
<file path=[Content_Types].xml><?xml version="1.0" encoding="utf-8"?>
<Types xmlns="http://schemas.openxmlformats.org/package/2006/content-types">
  <Default Extension="xml" ContentType="application/xml"/>
  <Default Extension="jpeg" ContentType="image/jpeg"/>
  <Default Extension="png" ContentType="image/pn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charts/chart2.xml" ContentType="application/vnd.openxmlformats-officedocument.drawingml.chart+xml"/>
  <Override PartName="/xl/drawings/drawing3.xml" ContentType="application/vnd.openxmlformats-officedocument.drawingml.chartshapes+xml"/>
  <Override PartName="/xl/drawings/drawing4.xml" ContentType="application/vnd.openxmlformats-officedocument.drawing+xml"/>
  <Override PartName="/xl/charts/chart3.xml" ContentType="application/vnd.openxmlformats-officedocument.drawingml.chart+xml"/>
  <Override PartName="/xl/drawings/drawing5.xml" ContentType="application/vnd.openxmlformats-officedocument.drawingml.chartshapes+xml"/>
  <Override PartName="/xl/charts/chart4.xml" ContentType="application/vnd.openxmlformats-officedocument.drawingml.chart+xml"/>
  <Override PartName="/xl/drawings/drawing6.xml" ContentType="application/vnd.openxmlformats-officedocument.drawingml.chartshapes+xml"/>
  <Override PartName="/xl/charts/chart5.xml" ContentType="application/vnd.openxmlformats-officedocument.drawingml.chart+xml"/>
  <Override PartName="/xl/theme/themeOverride1.xml" ContentType="application/vnd.openxmlformats-officedocument.themeOverride+xml"/>
  <Override PartName="/xl/charts/chart6.xml" ContentType="application/vnd.openxmlformats-officedocument.drawingml.chart+xml"/>
  <Override PartName="/xl/theme/themeOverride2.xml" ContentType="application/vnd.openxmlformats-officedocument.themeOverride+xml"/>
  <Override PartName="/xl/drawings/drawing7.xml" ContentType="application/vnd.openxmlformats-officedocument.drawingml.chartshapes+xml"/>
  <Override PartName="/xl/drawings/drawing8.xml" ContentType="application/vnd.openxmlformats-officedocument.drawing+xml"/>
  <Override PartName="/xl/charts/chart7.xml" ContentType="application/vnd.openxmlformats-officedocument.drawingml.chart+xml"/>
  <Override PartName="/xl/drawings/drawing9.xml" ContentType="application/vnd.openxmlformats-officedocument.drawingml.chartshapes+xml"/>
  <Override PartName="/xl/charts/chart8.xml" ContentType="application/vnd.openxmlformats-officedocument.drawingml.chart+xml"/>
  <Override PartName="/xl/theme/themeOverride3.xml" ContentType="application/vnd.openxmlformats-officedocument.themeOverride+xml"/>
  <Override PartName="/xl/drawings/drawing10.xml" ContentType="application/vnd.openxmlformats-officedocument.drawingml.chartshapes+xml"/>
  <Override PartName="/xl/drawings/drawing11.xml" ContentType="application/vnd.openxmlformats-officedocument.drawing+xml"/>
  <Override PartName="/xl/comments1.xml" ContentType="application/vnd.openxmlformats-officedocument.spreadsheetml.comments+xml"/>
  <Override PartName="/xl/charts/chart9.xml" ContentType="application/vnd.openxmlformats-officedocument.drawingml.chart+xml"/>
  <Override PartName="/xl/drawings/drawing12.xml" ContentType="application/vnd.openxmlformats-officedocument.drawingml.chartshapes+xml"/>
  <Override PartName="/xl/charts/chart10.xml" ContentType="application/vnd.openxmlformats-officedocument.drawingml.chart+xml"/>
  <Override PartName="/xl/theme/themeOverride4.xml" ContentType="application/vnd.openxmlformats-officedocument.themeOverride+xml"/>
  <Override PartName="/xl/drawings/drawing13.xml" ContentType="application/vnd.openxmlformats-officedocument.drawingml.chartshapes+xml"/>
  <Override PartName="/xl/charts/chart11.xml" ContentType="application/vnd.openxmlformats-officedocument.drawingml.chart+xml"/>
  <Override PartName="/xl/theme/themeOverride5.xml" ContentType="application/vnd.openxmlformats-officedocument.themeOverride+xml"/>
  <Override PartName="/xl/drawings/drawing14.xml" ContentType="application/vnd.openxmlformats-officedocument.drawingml.chartshapes+xml"/>
  <Override PartName="/xl/drawings/drawing15.xml" ContentType="application/vnd.openxmlformats-officedocument.drawing+xml"/>
  <Override PartName="/xl/comments2.xml" ContentType="application/vnd.openxmlformats-officedocument.spreadsheetml.comments+xml"/>
  <Override PartName="/xl/charts/chart12.xml" ContentType="application/vnd.openxmlformats-officedocument.drawingml.chart+xml"/>
  <Override PartName="/xl/charts/chart13.xml" ContentType="application/vnd.openxmlformats-officedocument.drawingml.chart+xml"/>
  <Override PartName="/xl/drawings/drawing16.xml" ContentType="application/vnd.openxmlformats-officedocument.drawingml.chartshapes+xml"/>
  <Override PartName="/xl/charts/chart14.xml" ContentType="application/vnd.openxmlformats-officedocument.drawingml.chart+xml"/>
  <Override PartName="/xl/drawings/drawing17.xml" ContentType="application/vnd.openxmlformats-officedocument.drawingml.chartshapes+xml"/>
  <Override PartName="/xl/charts/chart15.xml" ContentType="application/vnd.openxmlformats-officedocument.drawingml.chart+xml"/>
  <Override PartName="/xl/drawings/drawing18.xml" ContentType="application/vnd.openxmlformats-officedocument.drawingml.chartshapes+xml"/>
  <Override PartName="/xl/drawings/drawing19.xml" ContentType="application/vnd.openxmlformats-officedocument.drawing+xml"/>
  <Override PartName="/xl/charts/chart16.xml" ContentType="application/vnd.openxmlformats-officedocument.drawingml.chart+xml"/>
  <Override PartName="/xl/theme/themeOverride6.xml" ContentType="application/vnd.openxmlformats-officedocument.themeOverride+xml"/>
  <Override PartName="/xl/drawings/drawing20.xml" ContentType="application/vnd.openxmlformats-officedocument.drawingml.chartshapes+xml"/>
  <Override PartName="/xl/charts/chart17.xml" ContentType="application/vnd.openxmlformats-officedocument.drawingml.chart+xml"/>
  <Override PartName="/xl/theme/themeOverride7.xml" ContentType="application/vnd.openxmlformats-officedocument.themeOverride+xml"/>
  <Override PartName="/xl/drawings/drawing21.xml" ContentType="application/vnd.openxmlformats-officedocument.drawingml.chartshapes+xml"/>
  <Override PartName="/xl/drawings/drawing22.xml" ContentType="application/vnd.openxmlformats-officedocument.drawing+xml"/>
  <Override PartName="/xl/comments3.xml" ContentType="application/vnd.openxmlformats-officedocument.spreadsheetml.comments+xml"/>
  <Override PartName="/xl/charts/chart18.xml" ContentType="application/vnd.openxmlformats-officedocument.drawingml.chart+xml"/>
  <Override PartName="/xl/theme/themeOverride8.xml" ContentType="application/vnd.openxmlformats-officedocument.themeOverride+xml"/>
  <Override PartName="/xl/charts/chart19.xml" ContentType="application/vnd.openxmlformats-officedocument.drawingml.chart+xml"/>
  <Override PartName="/xl/theme/themeOverride9.xml" ContentType="application/vnd.openxmlformats-officedocument.themeOverride+xml"/>
  <Override PartName="/xl/drawings/drawing23.xml" ContentType="application/vnd.openxmlformats-officedocument.drawingml.chartshapes+xml"/>
  <Override PartName="/xl/drawings/drawing24.xml" ContentType="application/vnd.openxmlformats-officedocument.drawing+xml"/>
  <Override PartName="/xl/comments4.xml" ContentType="application/vnd.openxmlformats-officedocument.spreadsheetml.comments+xml"/>
  <Override PartName="/xl/charts/chart20.xml" ContentType="application/vnd.openxmlformats-officedocument.drawingml.chart+xml"/>
  <Override PartName="/xl/theme/themeOverride10.xml" ContentType="application/vnd.openxmlformats-officedocument.themeOverride+xml"/>
  <Override PartName="/xl/drawings/drawing25.xml" ContentType="application/vnd.openxmlformats-officedocument.drawingml.chartshapes+xml"/>
  <Override PartName="/xl/charts/chart21.xml" ContentType="application/vnd.openxmlformats-officedocument.drawingml.chart+xml"/>
  <Override PartName="/xl/theme/themeOverride11.xml" ContentType="application/vnd.openxmlformats-officedocument.themeOverride+xml"/>
  <Override PartName="/xl/drawings/drawing26.xml" ContentType="application/vnd.openxmlformats-officedocument.drawingml.chartshapes+xml"/>
  <Override PartName="/xl/drawings/drawing27.xml" ContentType="application/vnd.openxmlformats-officedocument.drawing+xml"/>
  <Override PartName="/xl/charts/chart22.xml" ContentType="application/vnd.openxmlformats-officedocument.drawingml.chart+xml"/>
  <Override PartName="/xl/theme/themeOverride12.xml" ContentType="application/vnd.openxmlformats-officedocument.themeOverride+xml"/>
  <Override PartName="/xl/drawings/drawing28.xml" ContentType="application/vnd.openxmlformats-officedocument.drawingml.chartshapes+xml"/>
  <Override PartName="/xl/charts/chart23.xml" ContentType="application/vnd.openxmlformats-officedocument.drawingml.chart+xml"/>
  <Override PartName="/xl/drawings/drawing29.xml" ContentType="application/vnd.openxmlformats-officedocument.drawingml.chartshapes+xml"/>
  <Override PartName="/xl/drawings/drawing30.xml" ContentType="application/vnd.openxmlformats-officedocument.drawing+xml"/>
  <Override PartName="/xl/charts/chart24.xml" ContentType="application/vnd.openxmlformats-officedocument.drawingml.chart+xml"/>
  <Override PartName="/xl/drawings/drawing31.xml" ContentType="application/vnd.openxmlformats-officedocument.drawingml.chartshapes+xml"/>
  <Override PartName="/xl/charts/chart25.xml" ContentType="application/vnd.openxmlformats-officedocument.drawingml.chart+xml"/>
  <Override PartName="/xl/drawings/drawing32.xml" ContentType="application/vnd.openxmlformats-officedocument.drawingml.chartshapes+xml"/>
  <Override PartName="/xl/drawings/drawing33.xml" ContentType="application/vnd.openxmlformats-officedocument.drawing+xml"/>
  <Override PartName="/xl/charts/chart26.xml" ContentType="application/vnd.openxmlformats-officedocument.drawingml.chart+xml"/>
  <Override PartName="/xl/charts/chart27.xml" ContentType="application/vnd.openxmlformats-officedocument.drawingml.chart+xml"/>
  <Override PartName="/xl/drawings/drawing34.xml" ContentType="application/vnd.openxmlformats-officedocument.drawingml.chartshapes+xml"/>
  <Override PartName="/xl/drawings/drawing35.xml" ContentType="application/vnd.openxmlformats-officedocument.drawing+xml"/>
  <Override PartName="/xl/charts/chart28.xml" ContentType="application/vnd.openxmlformats-officedocument.drawingml.chart+xml"/>
  <Override PartName="/xl/theme/themeOverride13.xml" ContentType="application/vnd.openxmlformats-officedocument.themeOverride+xml"/>
  <Override PartName="/xl/drawings/drawing36.xml" ContentType="application/vnd.openxmlformats-officedocument.drawingml.chartshapes+xml"/>
  <Override PartName="/xl/charts/chart29.xml" ContentType="application/vnd.openxmlformats-officedocument.drawingml.chart+xml"/>
  <Override PartName="/xl/theme/themeOverride14.xml" ContentType="application/vnd.openxmlformats-officedocument.themeOverride+xml"/>
  <Override PartName="/xl/drawings/drawing37.xml" ContentType="application/vnd.openxmlformats-officedocument.drawingml.chartshapes+xml"/>
  <Override PartName="/xl/drawings/drawing38.xml" ContentType="application/vnd.openxmlformats-officedocument.drawing+xml"/>
  <Override PartName="/xl/charts/chart30.xml" ContentType="application/vnd.openxmlformats-officedocument.drawingml.chart+xml"/>
  <Override PartName="/xl/theme/themeOverride15.xml" ContentType="application/vnd.openxmlformats-officedocument.themeOverride+xml"/>
  <Override PartName="/xl/charts/chart31.xml" ContentType="application/vnd.openxmlformats-officedocument.drawingml.chart+xml"/>
  <Override PartName="/xl/theme/themeOverride16.xml" ContentType="application/vnd.openxmlformats-officedocument.themeOverride+xml"/>
  <Override PartName="/xl/drawings/drawing39.xml" ContentType="application/vnd.openxmlformats-officedocument.drawing+xml"/>
  <Override PartName="/xl/charts/chart32.xml" ContentType="application/vnd.openxmlformats-officedocument.drawingml.chart+xml"/>
  <Override PartName="/xl/theme/themeOverride17.xml" ContentType="application/vnd.openxmlformats-officedocument.themeOverride+xml"/>
  <Override PartName="/xl/drawings/drawing40.xml" ContentType="application/vnd.openxmlformats-officedocument.drawingml.chartshapes+xml"/>
  <Override PartName="/xl/charts/chart33.xml" ContentType="application/vnd.openxmlformats-officedocument.drawingml.chart+xml"/>
  <Override PartName="/xl/theme/themeOverride18.xml" ContentType="application/vnd.openxmlformats-officedocument.themeOverride+xml"/>
  <Override PartName="/xl/drawings/drawing41.xml" ContentType="application/vnd.openxmlformats-officedocument.drawingml.chartshapes+xml"/>
  <Override PartName="/xl/drawings/drawing42.xml" ContentType="application/vnd.openxmlformats-officedocument.drawing+xml"/>
  <Override PartName="/xl/comments5.xml" ContentType="application/vnd.openxmlformats-officedocument.spreadsheetml.comments+xml"/>
  <Override PartName="/xl/charts/chart34.xml" ContentType="application/vnd.openxmlformats-officedocument.drawingml.chart+xml"/>
  <Override PartName="/xl/theme/themeOverride19.xml" ContentType="application/vnd.openxmlformats-officedocument.themeOverride+xml"/>
  <Override PartName="/xl/drawings/drawing43.xml" ContentType="application/vnd.openxmlformats-officedocument.drawingml.chartshapes+xml"/>
  <Override PartName="/xl/charts/chart35.xml" ContentType="application/vnd.openxmlformats-officedocument.drawingml.chart+xml"/>
  <Override PartName="/xl/theme/themeOverride20.xml" ContentType="application/vnd.openxmlformats-officedocument.themeOverride+xml"/>
  <Override PartName="/xl/drawings/drawing44.xml" ContentType="application/vnd.openxmlformats-officedocument.drawingml.chartshapes+xml"/>
  <Override PartName="/xl/drawings/drawing45.xml" ContentType="application/vnd.openxmlformats-officedocument.drawing+xml"/>
  <Override PartName="/xl/charts/chart36.xml" ContentType="application/vnd.openxmlformats-officedocument.drawingml.chart+xml"/>
  <Override PartName="/xl/theme/themeOverride21.xml" ContentType="application/vnd.openxmlformats-officedocument.themeOverride+xml"/>
  <Override PartName="/xl/drawings/drawing46.xml" ContentType="application/vnd.openxmlformats-officedocument.drawingml.chartshapes+xml"/>
  <Override PartName="/xl/charts/chart37.xml" ContentType="application/vnd.openxmlformats-officedocument.drawingml.chart+xml"/>
  <Override PartName="/xl/theme/themeOverride22.xml" ContentType="application/vnd.openxmlformats-officedocument.themeOverride+xml"/>
  <Override PartName="/xl/drawings/drawing47.xml" ContentType="application/vnd.openxmlformats-officedocument.drawingml.chartshapes+xml"/>
  <Override PartName="/xl/drawings/drawing48.xml" ContentType="application/vnd.openxmlformats-officedocument.drawing+xml"/>
  <Override PartName="/xl/charts/chart38.xml" ContentType="application/vnd.openxmlformats-officedocument.drawingml.chart+xml"/>
  <Override PartName="/xl/theme/themeOverride23.xml" ContentType="application/vnd.openxmlformats-officedocument.themeOverride+xml"/>
  <Override PartName="/xl/drawings/drawing49.xml" ContentType="application/vnd.openxmlformats-officedocument.drawingml.chartshapes+xml"/>
  <Override PartName="/xl/charts/chart39.xml" ContentType="application/vnd.openxmlformats-officedocument.drawingml.chart+xml"/>
  <Override PartName="/xl/theme/themeOverride24.xml" ContentType="application/vnd.openxmlformats-officedocument.themeOverride+xml"/>
  <Override PartName="/xl/drawings/drawing50.xml" ContentType="application/vnd.openxmlformats-officedocument.drawingml.chartshapes+xml"/>
  <Override PartName="/xl/drawings/drawing51.xml" ContentType="application/vnd.openxmlformats-officedocument.drawing+xml"/>
  <Override PartName="/xl/charts/chart40.xml" ContentType="application/vnd.openxmlformats-officedocument.drawingml.chart+xml"/>
  <Override PartName="/xl/theme/themeOverride25.xml" ContentType="application/vnd.openxmlformats-officedocument.themeOverride+xml"/>
  <Override PartName="/xl/drawings/drawing52.xml" ContentType="application/vnd.openxmlformats-officedocument.drawingml.chartshapes+xml"/>
  <Override PartName="/xl/charts/chart41.xml" ContentType="application/vnd.openxmlformats-officedocument.drawingml.chart+xml"/>
  <Override PartName="/xl/theme/themeOverride26.xml" ContentType="application/vnd.openxmlformats-officedocument.themeOverride+xml"/>
  <Override PartName="/xl/drawings/drawing53.xml" ContentType="application/vnd.openxmlformats-officedocument.drawingml.chartshapes+xml"/>
  <Override PartName="/xl/drawings/drawing54.xml" ContentType="application/vnd.openxmlformats-officedocument.drawing+xml"/>
  <Override PartName="/xl/charts/chart42.xml" ContentType="application/vnd.openxmlformats-officedocument.drawingml.chart+xml"/>
  <Override PartName="/xl/theme/themeOverride27.xml" ContentType="application/vnd.openxmlformats-officedocument.themeOverride+xml"/>
  <Override PartName="/xl/charts/chart43.xml" ContentType="application/vnd.openxmlformats-officedocument.drawingml.chart+xml"/>
  <Override PartName="/xl/theme/themeOverride28.xml" ContentType="application/vnd.openxmlformats-officedocument.themeOverride+xml"/>
  <Override PartName="/xl/drawings/drawing55.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6215"/>
  <workbookPr/>
  <mc:AlternateContent xmlns:mc="http://schemas.openxmlformats.org/markup-compatibility/2006">
    <mc:Choice Requires="x15">
      <x15ac:absPath xmlns:x15ac="http://schemas.microsoft.com/office/spreadsheetml/2010/11/ac" url="/Users/Irfan/Projects/Nitrogen-Calculator/spreadsheets/"/>
    </mc:Choice>
  </mc:AlternateContent>
  <bookViews>
    <workbookView xWindow="3420" yWindow="460" windowWidth="25260" windowHeight="14380" firstSheet="10" activeTab="17"/>
  </bookViews>
  <sheets>
    <sheet name="Cabbage_White" sheetId="9" r:id="rId1"/>
    <sheet name="Cucumber" sheetId="1" r:id="rId2"/>
    <sheet name="Eggplant" sheetId="5" r:id="rId3"/>
    <sheet name="Peppers_Bell" sheetId="4" r:id="rId4"/>
    <sheet name="Peppers_Chili" sheetId="3" r:id="rId5"/>
    <sheet name="Sugarbeet" sheetId="10" r:id="rId6"/>
    <sheet name="Tomatoes_Fresh" sheetId="6" r:id="rId7"/>
    <sheet name="Wheat_Durum" sheetId="7" r:id="rId8"/>
    <sheet name="Beetroot" sheetId="11" r:id="rId9"/>
    <sheet name="Pumpkin" sheetId="12" r:id="rId10"/>
    <sheet name="Zucchini&amp;Summer squash" sheetId="13" r:id="rId11"/>
    <sheet name="Watermelon" sheetId="14" r:id="rId12"/>
    <sheet name="Corn_Sweet" sheetId="15" r:id="rId13"/>
    <sheet name="Sweetpotato" sheetId="16" r:id="rId14"/>
    <sheet name="Oat_Grain" sheetId="17" r:id="rId15"/>
    <sheet name="Rye_Grain" sheetId="18" r:id="rId16"/>
    <sheet name="Triticale_Grain" sheetId="19" r:id="rId17"/>
    <sheet name="Sorghum_Grain" sheetId="20" r:id="rId18"/>
    <sheet name="Hay_SmallGrain" sheetId="21" r:id="rId19"/>
    <sheet name="Template" sheetId="2" r:id="rId20"/>
    <sheet name="Progress" sheetId="8" r:id="rId21"/>
  </sheets>
  <calcPr calcId="171027" concurrentCalc="0"/>
  <extLst>
    <ext xmlns:mx="http://schemas.microsoft.com/office/mac/excel/2008/main" uri="{7523E5D3-25F3-A5E0-1632-64F254C22452}">
      <mx:ArchID Flags="2"/>
    </ext>
  </extLst>
</workbook>
</file>

<file path=xl/calcChain.xml><?xml version="1.0" encoding="utf-8"?>
<calcChain xmlns="http://schemas.openxmlformats.org/spreadsheetml/2006/main">
  <c r="P183" i="6" l="1"/>
  <c r="P184" i="6"/>
  <c r="P185" i="6"/>
  <c r="P186" i="6"/>
  <c r="P187" i="6"/>
  <c r="P188" i="6"/>
  <c r="P189" i="6"/>
  <c r="P182" i="6"/>
  <c r="P175" i="6"/>
  <c r="P176" i="6"/>
  <c r="P177" i="6"/>
  <c r="P178" i="6"/>
  <c r="P179" i="6"/>
  <c r="P180" i="6"/>
  <c r="P181" i="6"/>
  <c r="P174" i="6"/>
  <c r="P167" i="6"/>
  <c r="P168" i="6"/>
  <c r="P169" i="6"/>
  <c r="P170" i="6"/>
  <c r="P171" i="6"/>
  <c r="P172" i="6"/>
  <c r="P173" i="6"/>
  <c r="P166" i="6"/>
  <c r="P159" i="6"/>
  <c r="P160" i="6"/>
  <c r="P161" i="6"/>
  <c r="P162" i="6"/>
  <c r="P163" i="6"/>
  <c r="P164" i="6"/>
  <c r="P165" i="6"/>
  <c r="P158" i="6"/>
  <c r="P151" i="6"/>
  <c r="P152" i="6"/>
  <c r="P153" i="6"/>
  <c r="P154" i="6"/>
  <c r="P155" i="6"/>
  <c r="P156" i="6"/>
  <c r="P157" i="6"/>
  <c r="P150" i="6"/>
  <c r="P143" i="6"/>
  <c r="P144" i="6"/>
  <c r="P145" i="6"/>
  <c r="P146" i="6"/>
  <c r="P147" i="6"/>
  <c r="P148" i="6"/>
  <c r="P149" i="6"/>
  <c r="P142" i="6"/>
  <c r="M151" i="6"/>
  <c r="M152" i="6"/>
  <c r="M153" i="6"/>
  <c r="M154" i="6"/>
  <c r="M155" i="6"/>
  <c r="M156" i="6"/>
  <c r="M157" i="6"/>
  <c r="M158" i="6"/>
  <c r="M159" i="6"/>
  <c r="M160" i="6"/>
  <c r="M161" i="6"/>
  <c r="M162" i="6"/>
  <c r="M163" i="6"/>
  <c r="M164" i="6"/>
  <c r="M165" i="6"/>
  <c r="M166" i="6"/>
  <c r="M167" i="6"/>
  <c r="M168" i="6"/>
  <c r="M169" i="6"/>
  <c r="M170" i="6"/>
  <c r="M171" i="6"/>
  <c r="M172" i="6"/>
  <c r="M173" i="6"/>
  <c r="M174" i="6"/>
  <c r="M175" i="6"/>
  <c r="M176" i="6"/>
  <c r="M177" i="6"/>
  <c r="M178" i="6"/>
  <c r="M179" i="6"/>
  <c r="M180" i="6"/>
  <c r="M181" i="6"/>
  <c r="M182" i="6"/>
  <c r="M183" i="6"/>
  <c r="M184" i="6"/>
  <c r="M185" i="6"/>
  <c r="M186" i="6"/>
  <c r="M187" i="6"/>
  <c r="M188" i="6"/>
  <c r="M189" i="6"/>
  <c r="M150" i="6"/>
  <c r="M142" i="6"/>
  <c r="M143" i="6"/>
  <c r="M144" i="6"/>
  <c r="M145" i="6"/>
  <c r="M146" i="6"/>
  <c r="M147" i="6"/>
  <c r="M148" i="6"/>
  <c r="M149" i="6"/>
  <c r="H142" i="6"/>
  <c r="M194" i="21"/>
  <c r="N194" i="21"/>
  <c r="M195" i="21"/>
  <c r="N195" i="21"/>
  <c r="M198" i="21"/>
  <c r="M188" i="21"/>
  <c r="M189" i="21"/>
  <c r="N189" i="21"/>
  <c r="M179" i="21"/>
  <c r="M182" i="21"/>
  <c r="N182" i="21"/>
  <c r="M183" i="21"/>
  <c r="N183" i="21"/>
  <c r="M176" i="21"/>
  <c r="M177" i="21"/>
  <c r="M166" i="21"/>
  <c r="M167" i="21"/>
  <c r="M170" i="21"/>
  <c r="N169" i="21"/>
  <c r="M164" i="21"/>
  <c r="M157" i="21"/>
  <c r="M151" i="21"/>
  <c r="N151" i="21"/>
  <c r="M154" i="21"/>
  <c r="M155" i="21"/>
  <c r="M144" i="21"/>
  <c r="M145" i="21"/>
  <c r="M138" i="21"/>
  <c r="M139" i="21"/>
  <c r="N139" i="21"/>
  <c r="M142" i="21"/>
  <c r="M132" i="21"/>
  <c r="N132" i="21"/>
  <c r="M133" i="21"/>
  <c r="M129" i="21"/>
  <c r="M126" i="21"/>
  <c r="M127" i="21"/>
  <c r="M116" i="21"/>
  <c r="M117" i="21"/>
  <c r="M120" i="21"/>
  <c r="M121" i="21"/>
  <c r="M114" i="21"/>
  <c r="N114" i="21"/>
  <c r="M108" i="21"/>
  <c r="M104" i="21"/>
  <c r="M101" i="21"/>
  <c r="M95" i="21"/>
  <c r="M88" i="21"/>
  <c r="M89" i="21"/>
  <c r="M82" i="21"/>
  <c r="M77" i="21"/>
  <c r="M70" i="21"/>
  <c r="M65" i="21"/>
  <c r="M52" i="21"/>
  <c r="M39" i="21"/>
  <c r="M32" i="21"/>
  <c r="M27" i="21"/>
  <c r="M17" i="21"/>
  <c r="N198" i="21"/>
  <c r="N154" i="21"/>
  <c r="N196" i="21"/>
  <c r="N179" i="21"/>
  <c r="K202" i="21"/>
  <c r="K203" i="21"/>
  <c r="K198" i="21"/>
  <c r="K195" i="21"/>
  <c r="K196" i="21"/>
  <c r="K186" i="21"/>
  <c r="K187" i="21"/>
  <c r="K190" i="21"/>
  <c r="K191" i="21"/>
  <c r="K184" i="21"/>
  <c r="K178" i="21"/>
  <c r="K171" i="21"/>
  <c r="K165" i="21"/>
  <c r="K158" i="21"/>
  <c r="K159" i="21"/>
  <c r="K162" i="21"/>
  <c r="K163" i="21"/>
  <c r="K152" i="21"/>
  <c r="K153" i="21"/>
  <c r="K146" i="21"/>
  <c r="K147" i="21"/>
  <c r="K140" i="21"/>
  <c r="K141" i="21"/>
  <c r="J205" i="21"/>
  <c r="K199" i="21"/>
  <c r="J204" i="21"/>
  <c r="J203" i="21"/>
  <c r="M203" i="21"/>
  <c r="J202" i="21"/>
  <c r="M202" i="21"/>
  <c r="J201" i="21"/>
  <c r="J200" i="21"/>
  <c r="J199" i="21"/>
  <c r="M199" i="21"/>
  <c r="J198" i="21"/>
  <c r="J197" i="21"/>
  <c r="J196" i="21"/>
  <c r="M196" i="21"/>
  <c r="J195" i="21"/>
  <c r="J194" i="21"/>
  <c r="K194" i="21"/>
  <c r="J193" i="21"/>
  <c r="J192" i="21"/>
  <c r="K192" i="21"/>
  <c r="J191" i="21"/>
  <c r="M191" i="21"/>
  <c r="N191" i="21"/>
  <c r="J190" i="21"/>
  <c r="M190" i="21"/>
  <c r="N190" i="21"/>
  <c r="J189" i="21"/>
  <c r="K189" i="21"/>
  <c r="J188" i="21"/>
  <c r="K188" i="21"/>
  <c r="J187" i="21"/>
  <c r="M187" i="21"/>
  <c r="N187" i="21"/>
  <c r="J186" i="21"/>
  <c r="M186" i="21"/>
  <c r="N186" i="21"/>
  <c r="J185" i="21"/>
  <c r="K185" i="21"/>
  <c r="J184" i="21"/>
  <c r="M184" i="21"/>
  <c r="N184" i="21"/>
  <c r="J183" i="21"/>
  <c r="K183" i="21"/>
  <c r="J182" i="21"/>
  <c r="K182" i="21"/>
  <c r="J181" i="21"/>
  <c r="M181" i="21"/>
  <c r="N181" i="21"/>
  <c r="J180" i="21"/>
  <c r="M180" i="21"/>
  <c r="N180" i="21"/>
  <c r="J179" i="21"/>
  <c r="K179" i="21"/>
  <c r="J178" i="21"/>
  <c r="M178" i="21"/>
  <c r="J177" i="21"/>
  <c r="K177" i="21"/>
  <c r="J176" i="21"/>
  <c r="K176" i="21"/>
  <c r="J175" i="21"/>
  <c r="M175" i="21"/>
  <c r="J174" i="21"/>
  <c r="M174" i="21"/>
  <c r="N174" i="21"/>
  <c r="J173" i="21"/>
  <c r="K173" i="21"/>
  <c r="J172" i="21"/>
  <c r="K172" i="21"/>
  <c r="J171" i="21"/>
  <c r="M171" i="21"/>
  <c r="J170" i="21"/>
  <c r="K170" i="21"/>
  <c r="J169" i="21"/>
  <c r="M169" i="21"/>
  <c r="J168" i="21"/>
  <c r="M168" i="21"/>
  <c r="N168" i="21"/>
  <c r="J167" i="21"/>
  <c r="K167" i="21"/>
  <c r="J166" i="21"/>
  <c r="K166" i="21"/>
  <c r="J165" i="21"/>
  <c r="M165" i="21"/>
  <c r="J164" i="21"/>
  <c r="K164" i="21"/>
  <c r="J163" i="21"/>
  <c r="M163" i="21"/>
  <c r="N163" i="21"/>
  <c r="J162" i="21"/>
  <c r="M162" i="21"/>
  <c r="N162" i="21"/>
  <c r="J161" i="21"/>
  <c r="K161" i="21"/>
  <c r="J160" i="21"/>
  <c r="K160" i="21"/>
  <c r="J159" i="21"/>
  <c r="M159" i="21"/>
  <c r="N159" i="21"/>
  <c r="J158" i="21"/>
  <c r="M158" i="21"/>
  <c r="N158" i="21"/>
  <c r="J157" i="21"/>
  <c r="K157" i="21"/>
  <c r="J156" i="21"/>
  <c r="M156" i="21"/>
  <c r="J155" i="21"/>
  <c r="K155" i="21"/>
  <c r="J154" i="21"/>
  <c r="K154" i="21"/>
  <c r="J153" i="21"/>
  <c r="M153" i="21"/>
  <c r="N153" i="21"/>
  <c r="J152" i="21"/>
  <c r="M152" i="21"/>
  <c r="J151" i="21"/>
  <c r="K151" i="21"/>
  <c r="J150" i="21"/>
  <c r="M150" i="21"/>
  <c r="J149" i="21"/>
  <c r="K149" i="21"/>
  <c r="J148" i="21"/>
  <c r="K148" i="21"/>
  <c r="J147" i="21"/>
  <c r="M147" i="21"/>
  <c r="J146" i="21"/>
  <c r="M146" i="21"/>
  <c r="J145" i="21"/>
  <c r="K145" i="21"/>
  <c r="J144" i="21"/>
  <c r="K144" i="21"/>
  <c r="J143" i="21"/>
  <c r="M143" i="21"/>
  <c r="J142" i="21"/>
  <c r="K142" i="21"/>
  <c r="J141" i="21"/>
  <c r="M141" i="21"/>
  <c r="N141" i="21"/>
  <c r="J140" i="21"/>
  <c r="M140" i="21"/>
  <c r="N140" i="21"/>
  <c r="J139" i="21"/>
  <c r="K139" i="21"/>
  <c r="J138" i="21"/>
  <c r="K138" i="21"/>
  <c r="J137" i="21"/>
  <c r="M137" i="21"/>
  <c r="N137" i="21"/>
  <c r="J136" i="21"/>
  <c r="K136" i="21"/>
  <c r="N131" i="21"/>
  <c r="N130" i="21"/>
  <c r="K130" i="21"/>
  <c r="K131" i="21"/>
  <c r="K124" i="21"/>
  <c r="K125" i="21"/>
  <c r="K128" i="21"/>
  <c r="K118" i="21"/>
  <c r="K119" i="21"/>
  <c r="K112" i="21"/>
  <c r="K113" i="21"/>
  <c r="J135" i="21"/>
  <c r="M135" i="21"/>
  <c r="J134" i="21"/>
  <c r="M134" i="21"/>
  <c r="J133" i="21"/>
  <c r="K133" i="21"/>
  <c r="J132" i="21"/>
  <c r="K132" i="21"/>
  <c r="J131" i="21"/>
  <c r="M131" i="21"/>
  <c r="J130" i="21"/>
  <c r="M130" i="21"/>
  <c r="J129" i="21"/>
  <c r="K129" i="21"/>
  <c r="J128" i="21"/>
  <c r="M128" i="21"/>
  <c r="N128" i="21"/>
  <c r="J127" i="21"/>
  <c r="K127" i="21"/>
  <c r="J126" i="21"/>
  <c r="K126" i="21"/>
  <c r="J125" i="21"/>
  <c r="M125" i="21"/>
  <c r="J124" i="21"/>
  <c r="M124" i="21"/>
  <c r="J123" i="21"/>
  <c r="K123" i="21"/>
  <c r="J122" i="21"/>
  <c r="M122" i="21"/>
  <c r="J121" i="21"/>
  <c r="K121" i="21"/>
  <c r="J120" i="21"/>
  <c r="K120" i="21"/>
  <c r="J119" i="21"/>
  <c r="M119" i="21"/>
  <c r="J118" i="21"/>
  <c r="M118" i="21"/>
  <c r="J117" i="21"/>
  <c r="K117" i="21"/>
  <c r="J116" i="21"/>
  <c r="K116" i="21"/>
  <c r="J115" i="21"/>
  <c r="M115" i="21"/>
  <c r="J114" i="21"/>
  <c r="K114" i="21"/>
  <c r="J113" i="21"/>
  <c r="M113" i="21"/>
  <c r="N113" i="21"/>
  <c r="J112" i="21"/>
  <c r="M112" i="21"/>
  <c r="N112" i="21"/>
  <c r="J111" i="21"/>
  <c r="K111" i="21"/>
  <c r="J110" i="21"/>
  <c r="K110" i="21"/>
  <c r="J109" i="21"/>
  <c r="M109" i="21"/>
  <c r="N109" i="21"/>
  <c r="J108" i="21"/>
  <c r="K108" i="21"/>
  <c r="J107" i="21"/>
  <c r="J106" i="21"/>
  <c r="M106" i="21"/>
  <c r="J105" i="21"/>
  <c r="K105" i="21"/>
  <c r="J104" i="21"/>
  <c r="J103" i="21"/>
  <c r="K103" i="21"/>
  <c r="J102" i="21"/>
  <c r="M102" i="21"/>
  <c r="J101" i="21"/>
  <c r="K101" i="21"/>
  <c r="J100" i="21"/>
  <c r="J99" i="21"/>
  <c r="M99" i="21"/>
  <c r="J98" i="21"/>
  <c r="M98" i="21"/>
  <c r="J97" i="21"/>
  <c r="M97" i="21"/>
  <c r="J96" i="21"/>
  <c r="J95" i="21"/>
  <c r="J94" i="21"/>
  <c r="M94" i="21"/>
  <c r="J93" i="21"/>
  <c r="M93" i="21"/>
  <c r="J92" i="21"/>
  <c r="M92" i="21"/>
  <c r="J91" i="21"/>
  <c r="M91" i="21"/>
  <c r="J90" i="21"/>
  <c r="J89" i="21"/>
  <c r="J88" i="21"/>
  <c r="J87" i="21"/>
  <c r="K72" i="21"/>
  <c r="J86" i="21"/>
  <c r="M86" i="21"/>
  <c r="J85" i="21"/>
  <c r="J84" i="21"/>
  <c r="M84" i="21"/>
  <c r="J83" i="21"/>
  <c r="K83" i="21"/>
  <c r="J82" i="21"/>
  <c r="J81" i="21"/>
  <c r="J80" i="21"/>
  <c r="K80" i="21"/>
  <c r="J79" i="21"/>
  <c r="M79" i="21"/>
  <c r="N79" i="21"/>
  <c r="J78" i="21"/>
  <c r="J77" i="21"/>
  <c r="J76" i="21"/>
  <c r="M76" i="21"/>
  <c r="J75" i="21"/>
  <c r="M75" i="21"/>
  <c r="J74" i="21"/>
  <c r="J73" i="21"/>
  <c r="J72" i="21"/>
  <c r="M72" i="21"/>
  <c r="J71" i="21"/>
  <c r="M71" i="21"/>
  <c r="J70" i="21"/>
  <c r="J69" i="21"/>
  <c r="M69" i="21"/>
  <c r="J68" i="21"/>
  <c r="M68" i="21"/>
  <c r="J67" i="21"/>
  <c r="M67" i="21"/>
  <c r="J66" i="21"/>
  <c r="M66" i="21"/>
  <c r="J65" i="21"/>
  <c r="J64" i="21"/>
  <c r="M64" i="21"/>
  <c r="J63" i="21"/>
  <c r="M63" i="21"/>
  <c r="J62" i="21"/>
  <c r="M62" i="21"/>
  <c r="J61" i="21"/>
  <c r="M61" i="21"/>
  <c r="J60" i="21"/>
  <c r="M60" i="21"/>
  <c r="J59" i="21"/>
  <c r="M59" i="21"/>
  <c r="K48" i="21"/>
  <c r="J58" i="21"/>
  <c r="K58" i="21"/>
  <c r="J57" i="21"/>
  <c r="J56" i="21"/>
  <c r="J55" i="21"/>
  <c r="M55" i="21"/>
  <c r="J54" i="21"/>
  <c r="K54" i="21"/>
  <c r="J53" i="21"/>
  <c r="J52" i="21"/>
  <c r="J51" i="21"/>
  <c r="M51" i="21"/>
  <c r="J50" i="21"/>
  <c r="M50" i="21"/>
  <c r="J49" i="21"/>
  <c r="M49" i="21"/>
  <c r="J48" i="21"/>
  <c r="M48" i="21"/>
  <c r="J47" i="21"/>
  <c r="M47" i="21"/>
  <c r="J46" i="21"/>
  <c r="M46" i="21"/>
  <c r="J45" i="21"/>
  <c r="K45" i="21"/>
  <c r="J44" i="21"/>
  <c r="M44" i="21"/>
  <c r="J43" i="21"/>
  <c r="M43" i="21"/>
  <c r="J42" i="21"/>
  <c r="M42" i="21"/>
  <c r="J41" i="21"/>
  <c r="M41" i="21"/>
  <c r="J40" i="21"/>
  <c r="M40" i="21"/>
  <c r="J39" i="21"/>
  <c r="K39" i="21"/>
  <c r="J38" i="21"/>
  <c r="M38" i="21"/>
  <c r="J37" i="21"/>
  <c r="K31" i="21"/>
  <c r="J36" i="21"/>
  <c r="M36" i="21"/>
  <c r="J35" i="21"/>
  <c r="M35" i="21"/>
  <c r="J34" i="21"/>
  <c r="M34" i="21"/>
  <c r="J33" i="21"/>
  <c r="K33" i="21"/>
  <c r="J32" i="21"/>
  <c r="J31" i="21"/>
  <c r="M31" i="21"/>
  <c r="J30" i="21"/>
  <c r="K24" i="21"/>
  <c r="J29" i="21"/>
  <c r="M29" i="21"/>
  <c r="J28" i="21"/>
  <c r="M28" i="21"/>
  <c r="J27" i="21"/>
  <c r="J26" i="21"/>
  <c r="M26" i="21"/>
  <c r="J25" i="21"/>
  <c r="M25" i="21"/>
  <c r="J24" i="21"/>
  <c r="M24" i="21"/>
  <c r="J23" i="21"/>
  <c r="K20" i="21"/>
  <c r="J22" i="21"/>
  <c r="M22" i="21"/>
  <c r="J21" i="21"/>
  <c r="M21" i="21"/>
  <c r="J20" i="21"/>
  <c r="M20" i="21"/>
  <c r="J19" i="21"/>
  <c r="M19" i="21"/>
  <c r="J18" i="21"/>
  <c r="M18" i="21"/>
  <c r="J17" i="21"/>
  <c r="K53" i="21"/>
  <c r="M53" i="21"/>
  <c r="N53" i="21"/>
  <c r="K76" i="21"/>
  <c r="M90" i="21"/>
  <c r="K90" i="21"/>
  <c r="N176" i="21"/>
  <c r="K43" i="21"/>
  <c r="K55" i="21"/>
  <c r="K63" i="21"/>
  <c r="K73" i="21"/>
  <c r="K81" i="21"/>
  <c r="M81" i="21"/>
  <c r="K85" i="21"/>
  <c r="M85" i="21"/>
  <c r="K68" i="21"/>
  <c r="K86" i="21"/>
  <c r="M96" i="21"/>
  <c r="K94" i="21"/>
  <c r="N134" i="21"/>
  <c r="K109" i="21"/>
  <c r="K122" i="21"/>
  <c r="K135" i="21"/>
  <c r="K200" i="21"/>
  <c r="K204" i="21"/>
  <c r="K137" i="21"/>
  <c r="K150" i="21"/>
  <c r="K169" i="21"/>
  <c r="K175" i="21"/>
  <c r="K181" i="21"/>
  <c r="M37" i="21"/>
  <c r="N37" i="21"/>
  <c r="M80" i="21"/>
  <c r="M105" i="21"/>
  <c r="M111" i="21"/>
  <c r="N111" i="21"/>
  <c r="M123" i="21"/>
  <c r="M136" i="21"/>
  <c r="M149" i="21"/>
  <c r="N144" i="21"/>
  <c r="N155" i="21"/>
  <c r="M161" i="21"/>
  <c r="N161" i="21"/>
  <c r="N167" i="21"/>
  <c r="M173" i="21"/>
  <c r="N173" i="21"/>
  <c r="M192" i="21"/>
  <c r="M204" i="21"/>
  <c r="K57" i="21"/>
  <c r="M57" i="21"/>
  <c r="M33" i="21"/>
  <c r="M83" i="21"/>
  <c r="N83" i="21"/>
  <c r="K21" i="21"/>
  <c r="K52" i="21"/>
  <c r="K70" i="21"/>
  <c r="K75" i="21"/>
  <c r="K87" i="21"/>
  <c r="M87" i="21"/>
  <c r="N175" i="21"/>
  <c r="M23" i="21"/>
  <c r="N20" i="21"/>
  <c r="M45" i="21"/>
  <c r="N45" i="21"/>
  <c r="M58" i="21"/>
  <c r="K56" i="21"/>
  <c r="M56" i="21"/>
  <c r="K74" i="21"/>
  <c r="M74" i="21"/>
  <c r="K78" i="21"/>
  <c r="M78" i="21"/>
  <c r="N82" i="21"/>
  <c r="K79" i="21"/>
  <c r="K82" i="21"/>
  <c r="N89" i="21"/>
  <c r="K97" i="21"/>
  <c r="N133" i="21"/>
  <c r="N135" i="21"/>
  <c r="K115" i="21"/>
  <c r="K134" i="21"/>
  <c r="N165" i="21"/>
  <c r="K193" i="21"/>
  <c r="M193" i="21"/>
  <c r="N193" i="21"/>
  <c r="K197" i="21"/>
  <c r="M197" i="21"/>
  <c r="N197" i="21"/>
  <c r="M201" i="21"/>
  <c r="K201" i="21"/>
  <c r="M205" i="21"/>
  <c r="N205" i="21"/>
  <c r="K205" i="21"/>
  <c r="K143" i="21"/>
  <c r="K156" i="21"/>
  <c r="K168" i="21"/>
  <c r="K174" i="21"/>
  <c r="K180" i="21"/>
  <c r="M30" i="21"/>
  <c r="M54" i="21"/>
  <c r="N54" i="21"/>
  <c r="M73" i="21"/>
  <c r="M110" i="21"/>
  <c r="N110" i="21"/>
  <c r="M148" i="21"/>
  <c r="M160" i="21"/>
  <c r="N160" i="21"/>
  <c r="M172" i="21"/>
  <c r="N172" i="21"/>
  <c r="M185" i="21"/>
  <c r="M200" i="21"/>
  <c r="K102" i="21"/>
  <c r="M107" i="21"/>
  <c r="M103" i="21"/>
  <c r="M100" i="21"/>
  <c r="N96" i="21"/>
  <c r="N192" i="21"/>
  <c r="N185" i="21"/>
  <c r="N188" i="21"/>
  <c r="N178" i="21"/>
  <c r="N129" i="21"/>
  <c r="N115" i="21"/>
  <c r="N108" i="21"/>
  <c r="N80" i="21"/>
  <c r="N52" i="21"/>
  <c r="N201" i="21"/>
  <c r="N177" i="21"/>
  <c r="N171" i="21"/>
  <c r="N166" i="21"/>
  <c r="N170" i="21"/>
  <c r="N164" i="21"/>
  <c r="N157" i="21"/>
  <c r="N152" i="21"/>
  <c r="N156" i="21"/>
  <c r="N150" i="21"/>
  <c r="N149" i="21"/>
  <c r="N138" i="21"/>
  <c r="N142" i="21"/>
  <c r="N136" i="21"/>
  <c r="N127" i="21"/>
  <c r="N119" i="21"/>
  <c r="N125" i="21"/>
  <c r="N122" i="21"/>
  <c r="N124" i="21"/>
  <c r="N117" i="21"/>
  <c r="N123" i="21"/>
  <c r="N120" i="21"/>
  <c r="N116" i="21"/>
  <c r="N126" i="21"/>
  <c r="N99" i="21"/>
  <c r="N121" i="21"/>
  <c r="N118" i="21"/>
  <c r="N77" i="21"/>
  <c r="N98" i="21"/>
  <c r="N91" i="21"/>
  <c r="N88" i="21"/>
  <c r="N92" i="21"/>
  <c r="N87" i="21"/>
  <c r="N93" i="21"/>
  <c r="K36" i="21"/>
  <c r="K49" i="21"/>
  <c r="K17" i="21"/>
  <c r="K30" i="21"/>
  <c r="N24" i="21"/>
  <c r="K42" i="21"/>
  <c r="K23" i="21"/>
  <c r="K19" i="21"/>
  <c r="K29" i="21"/>
  <c r="K25" i="21"/>
  <c r="K34" i="21"/>
  <c r="K22" i="21"/>
  <c r="K18" i="21"/>
  <c r="K28" i="21"/>
  <c r="K37" i="21"/>
  <c r="K44" i="21"/>
  <c r="K40" i="21"/>
  <c r="K50" i="21"/>
  <c r="K46" i="21"/>
  <c r="K65" i="21"/>
  <c r="K61" i="21"/>
  <c r="K71" i="21"/>
  <c r="K67" i="21"/>
  <c r="K77" i="21"/>
  <c r="N64" i="21"/>
  <c r="N85" i="21"/>
  <c r="N81" i="21"/>
  <c r="K92" i="21"/>
  <c r="K88" i="21"/>
  <c r="K98" i="21"/>
  <c r="K104" i="21"/>
  <c r="K27" i="21"/>
  <c r="K64" i="21"/>
  <c r="K60" i="21"/>
  <c r="N84" i="21"/>
  <c r="K91" i="21"/>
  <c r="K107" i="21"/>
  <c r="K32" i="21"/>
  <c r="K35" i="21"/>
  <c r="N57" i="21"/>
  <c r="K66" i="21"/>
  <c r="K69" i="21"/>
  <c r="N78" i="21"/>
  <c r="N74" i="21"/>
  <c r="K100" i="21"/>
  <c r="K96" i="21"/>
  <c r="K106" i="21"/>
  <c r="N90" i="21"/>
  <c r="K26" i="21"/>
  <c r="K38" i="21"/>
  <c r="K41" i="21"/>
  <c r="K51" i="21"/>
  <c r="K47" i="21"/>
  <c r="N56" i="21"/>
  <c r="K59" i="21"/>
  <c r="K62" i="21"/>
  <c r="K84" i="21"/>
  <c r="N70" i="21"/>
  <c r="K93" i="21"/>
  <c r="K89" i="21"/>
  <c r="K99" i="21"/>
  <c r="K95" i="21"/>
  <c r="N69" i="21"/>
  <c r="N86" i="21"/>
  <c r="N76" i="21"/>
  <c r="N73" i="21"/>
  <c r="N75" i="21"/>
  <c r="N68" i="21"/>
  <c r="N71" i="21"/>
  <c r="N67" i="21"/>
  <c r="N34" i="21"/>
  <c r="N42" i="21"/>
  <c r="N58" i="21"/>
  <c r="N72" i="21"/>
  <c r="N55" i="21"/>
  <c r="N35" i="21"/>
  <c r="N66" i="21"/>
  <c r="N47" i="21"/>
  <c r="N50" i="21"/>
  <c r="N36" i="21"/>
  <c r="N32" i="21"/>
  <c r="N48" i="21"/>
  <c r="N51" i="21"/>
  <c r="N41" i="21"/>
  <c r="N40" i="21"/>
  <c r="N46" i="21"/>
  <c r="N33" i="21"/>
  <c r="N43" i="21"/>
  <c r="N39" i="21"/>
  <c r="N49" i="21"/>
  <c r="N31" i="21"/>
  <c r="N44" i="21"/>
  <c r="N38" i="21"/>
  <c r="N145" i="21"/>
  <c r="N203" i="21"/>
  <c r="N148" i="21"/>
  <c r="N22" i="21"/>
  <c r="N95" i="21"/>
  <c r="N94" i="21"/>
  <c r="N23" i="21"/>
  <c r="N19" i="21"/>
  <c r="N100" i="21"/>
  <c r="N17" i="21"/>
  <c r="N97" i="21"/>
  <c r="N199" i="21"/>
  <c r="N204" i="21"/>
  <c r="N146" i="21"/>
  <c r="N147" i="21"/>
  <c r="N200" i="21"/>
  <c r="N18" i="21"/>
  <c r="N21" i="21"/>
  <c r="N143" i="21"/>
  <c r="N202" i="21"/>
  <c r="N103" i="21"/>
  <c r="N63" i="21"/>
  <c r="N27" i="21"/>
  <c r="N65" i="21"/>
  <c r="N60" i="21"/>
  <c r="N107" i="21"/>
  <c r="N101" i="21"/>
  <c r="N30" i="21"/>
  <c r="N26" i="21"/>
  <c r="N28" i="21"/>
  <c r="N61" i="21"/>
  <c r="N29" i="21"/>
  <c r="N59" i="21"/>
  <c r="N62" i="21"/>
  <c r="N104" i="21"/>
  <c r="N106" i="21"/>
  <c r="N25" i="21"/>
  <c r="N102" i="21"/>
  <c r="N105" i="21"/>
  <c r="P46" i="20"/>
  <c r="P47" i="20"/>
  <c r="P48" i="20"/>
  <c r="P49" i="20"/>
  <c r="P50" i="20"/>
  <c r="P45" i="20"/>
  <c r="P40" i="20"/>
  <c r="P41" i="20"/>
  <c r="P42" i="20"/>
  <c r="P43" i="20"/>
  <c r="P44" i="20"/>
  <c r="P39" i="20"/>
  <c r="M46" i="20"/>
  <c r="M47" i="20"/>
  <c r="M48" i="20"/>
  <c r="M49" i="20"/>
  <c r="M50" i="20"/>
  <c r="M45" i="20"/>
  <c r="M40" i="20"/>
  <c r="M41" i="20"/>
  <c r="M42" i="20"/>
  <c r="M43" i="20"/>
  <c r="M44" i="20"/>
  <c r="M39" i="20"/>
  <c r="P38" i="20"/>
  <c r="P37" i="20"/>
  <c r="P36" i="20"/>
  <c r="P35" i="20"/>
  <c r="P34" i="20"/>
  <c r="P33" i="20"/>
  <c r="P32" i="20"/>
  <c r="P31" i="20"/>
  <c r="P30" i="20"/>
  <c r="P29" i="20"/>
  <c r="P28" i="20"/>
  <c r="P27" i="20"/>
  <c r="M34" i="20"/>
  <c r="M35" i="20"/>
  <c r="M36" i="20"/>
  <c r="M37" i="20"/>
  <c r="M38" i="20"/>
  <c r="M33" i="20"/>
  <c r="M28" i="20"/>
  <c r="M29" i="20"/>
  <c r="M30" i="20"/>
  <c r="M31" i="20"/>
  <c r="M32" i="20"/>
  <c r="M27" i="20"/>
  <c r="I33" i="20"/>
  <c r="P6" i="20"/>
  <c r="P7" i="20"/>
  <c r="P8" i="20"/>
  <c r="P9" i="20"/>
  <c r="P10" i="20"/>
  <c r="P11" i="20"/>
  <c r="P12" i="20"/>
  <c r="P13" i="20"/>
  <c r="P14" i="20"/>
  <c r="P5" i="20"/>
  <c r="P26" i="20"/>
  <c r="P25" i="20"/>
  <c r="P24" i="20"/>
  <c r="P23" i="20"/>
  <c r="P22" i="20"/>
  <c r="P21" i="20"/>
  <c r="P20" i="20"/>
  <c r="P19" i="20"/>
  <c r="P18" i="20"/>
  <c r="P17" i="20"/>
  <c r="P16" i="20"/>
  <c r="P15" i="20"/>
  <c r="M16" i="20"/>
  <c r="M17" i="20"/>
  <c r="M18" i="20"/>
  <c r="M19" i="20"/>
  <c r="M20" i="20"/>
  <c r="M21" i="20"/>
  <c r="M22" i="20"/>
  <c r="M23" i="20"/>
  <c r="M24" i="20"/>
  <c r="M25" i="20"/>
  <c r="M26" i="20"/>
  <c r="M15" i="20"/>
  <c r="M6" i="20"/>
  <c r="M7" i="20"/>
  <c r="M8" i="20"/>
  <c r="M9" i="20"/>
  <c r="M10" i="20"/>
  <c r="M11" i="20"/>
  <c r="M12" i="20"/>
  <c r="M13" i="20"/>
  <c r="M14" i="20"/>
  <c r="M5" i="20"/>
  <c r="I5" i="20"/>
  <c r="O27" i="8"/>
  <c r="O29" i="8"/>
  <c r="P29" i="8"/>
  <c r="O28" i="8"/>
  <c r="O26" i="8"/>
  <c r="O6" i="19"/>
  <c r="O7" i="19"/>
  <c r="O8" i="19"/>
  <c r="O17" i="19"/>
  <c r="O9" i="19"/>
  <c r="P9" i="19"/>
  <c r="O10" i="19"/>
  <c r="O11" i="19"/>
  <c r="O12" i="19"/>
  <c r="O21" i="19"/>
  <c r="O13" i="19"/>
  <c r="P6" i="19"/>
  <c r="O5" i="19"/>
  <c r="O19" i="19"/>
  <c r="O15" i="19"/>
  <c r="P13" i="19"/>
  <c r="P8" i="19"/>
  <c r="P5" i="19"/>
  <c r="P10" i="19"/>
  <c r="P11" i="19"/>
  <c r="P7" i="19"/>
  <c r="P12" i="19"/>
  <c r="O14" i="19"/>
  <c r="O16" i="19"/>
  <c r="O18" i="19"/>
  <c r="O20" i="19"/>
  <c r="P20" i="19"/>
  <c r="O22" i="19"/>
  <c r="P22" i="19"/>
  <c r="O24" i="19"/>
  <c r="O26" i="19"/>
  <c r="O28" i="19"/>
  <c r="O30" i="19"/>
  <c r="O23" i="19"/>
  <c r="O25" i="19"/>
  <c r="O27" i="19"/>
  <c r="O29" i="19"/>
  <c r="O31" i="19"/>
  <c r="P31" i="19"/>
  <c r="S31" i="19"/>
  <c r="S30" i="19"/>
  <c r="S29" i="19"/>
  <c r="S28" i="19"/>
  <c r="S27" i="19"/>
  <c r="S26" i="19"/>
  <c r="S25" i="19"/>
  <c r="S24" i="19"/>
  <c r="S23" i="19"/>
  <c r="I23" i="19"/>
  <c r="S22" i="19"/>
  <c r="L22" i="19"/>
  <c r="M22" i="19"/>
  <c r="S20" i="19"/>
  <c r="S18" i="19"/>
  <c r="S17" i="19"/>
  <c r="S16" i="19"/>
  <c r="S15" i="19"/>
  <c r="S14" i="19"/>
  <c r="I14" i="19"/>
  <c r="S13" i="19"/>
  <c r="L13" i="19"/>
  <c r="L31" i="19"/>
  <c r="M31" i="19"/>
  <c r="S12" i="19"/>
  <c r="L12" i="19"/>
  <c r="L21" i="19"/>
  <c r="S11" i="19"/>
  <c r="L11" i="19"/>
  <c r="L29" i="19"/>
  <c r="S10" i="19"/>
  <c r="L10" i="19"/>
  <c r="S9" i="19"/>
  <c r="L9" i="19"/>
  <c r="L18" i="19"/>
  <c r="M18" i="19"/>
  <c r="S8" i="19"/>
  <c r="L8" i="19"/>
  <c r="L17" i="19"/>
  <c r="S7" i="19"/>
  <c r="L7" i="19"/>
  <c r="L25" i="19"/>
  <c r="S6" i="19"/>
  <c r="L6" i="19"/>
  <c r="L15" i="19"/>
  <c r="S5" i="19"/>
  <c r="L5" i="19"/>
  <c r="L14" i="19"/>
  <c r="I5" i="19"/>
  <c r="AD57" i="18"/>
  <c r="Y57" i="18"/>
  <c r="AD56" i="18"/>
  <c r="Y56" i="18"/>
  <c r="Y59" i="18"/>
  <c r="AD55" i="18"/>
  <c r="AD58" i="18"/>
  <c r="Y55" i="18"/>
  <c r="Y58" i="18"/>
  <c r="S45" i="18"/>
  <c r="J45" i="18"/>
  <c r="K45" i="18"/>
  <c r="S44" i="18"/>
  <c r="J44" i="18"/>
  <c r="S43" i="18"/>
  <c r="K43" i="18"/>
  <c r="S42" i="18"/>
  <c r="S41" i="18"/>
  <c r="S40" i="18"/>
  <c r="S39" i="18"/>
  <c r="S38" i="18"/>
  <c r="S37" i="18"/>
  <c r="S36" i="18"/>
  <c r="S35" i="18"/>
  <c r="S34" i="18"/>
  <c r="S33" i="18"/>
  <c r="I33" i="18"/>
  <c r="S32" i="18"/>
  <c r="S31" i="18"/>
  <c r="S30" i="18"/>
  <c r="S29" i="18"/>
  <c r="H29" i="18"/>
  <c r="S28" i="18"/>
  <c r="S27" i="18"/>
  <c r="S26" i="18"/>
  <c r="S25" i="18"/>
  <c r="S24" i="18"/>
  <c r="I24" i="18"/>
  <c r="S23" i="18"/>
  <c r="O23" i="18"/>
  <c r="O41" i="18"/>
  <c r="P41" i="18"/>
  <c r="L23" i="18"/>
  <c r="L32" i="18"/>
  <c r="M32" i="18"/>
  <c r="S22" i="18"/>
  <c r="O22" i="18"/>
  <c r="O40" i="18"/>
  <c r="P40" i="18"/>
  <c r="L22" i="18"/>
  <c r="L31" i="18"/>
  <c r="M31" i="18"/>
  <c r="S21" i="18"/>
  <c r="P21" i="18"/>
  <c r="O21" i="18"/>
  <c r="O30" i="18"/>
  <c r="L21" i="18"/>
  <c r="L39" i="18"/>
  <c r="S20" i="18"/>
  <c r="P20" i="18"/>
  <c r="O20" i="18"/>
  <c r="O29" i="18"/>
  <c r="L20" i="18"/>
  <c r="L38" i="18"/>
  <c r="S19" i="18"/>
  <c r="O19" i="18"/>
  <c r="O37" i="18"/>
  <c r="P37" i="18"/>
  <c r="L19" i="18"/>
  <c r="L28" i="18"/>
  <c r="M28" i="18"/>
  <c r="S18" i="18"/>
  <c r="O18" i="18"/>
  <c r="O27" i="18"/>
  <c r="L18" i="18"/>
  <c r="L27" i="18"/>
  <c r="M27" i="18"/>
  <c r="S17" i="18"/>
  <c r="P17" i="18"/>
  <c r="O17" i="18"/>
  <c r="O26" i="18"/>
  <c r="L17" i="18"/>
  <c r="L35" i="18"/>
  <c r="S16" i="18"/>
  <c r="P16" i="18"/>
  <c r="O16" i="18"/>
  <c r="O25" i="18"/>
  <c r="L16" i="18"/>
  <c r="L25" i="18"/>
  <c r="M25" i="18"/>
  <c r="S15" i="18"/>
  <c r="O15" i="18"/>
  <c r="O33" i="18"/>
  <c r="P33" i="18"/>
  <c r="L15" i="18"/>
  <c r="L24" i="18"/>
  <c r="M24" i="18"/>
  <c r="I15" i="18"/>
  <c r="S14" i="18"/>
  <c r="L14" i="18"/>
  <c r="M14" i="18"/>
  <c r="K14" i="18"/>
  <c r="S13" i="18"/>
  <c r="L13" i="18"/>
  <c r="M13" i="18"/>
  <c r="K13" i="18"/>
  <c r="S12" i="18"/>
  <c r="L12" i="18"/>
  <c r="M12" i="18"/>
  <c r="K12" i="18"/>
  <c r="S11" i="18"/>
  <c r="L11" i="18"/>
  <c r="M11" i="18"/>
  <c r="K11" i="18"/>
  <c r="S10" i="18"/>
  <c r="L10" i="18"/>
  <c r="M10" i="18"/>
  <c r="K10" i="18"/>
  <c r="S9" i="18"/>
  <c r="L9" i="18"/>
  <c r="M9" i="18"/>
  <c r="K9" i="18"/>
  <c r="S8" i="18"/>
  <c r="L8" i="18"/>
  <c r="M8" i="18"/>
  <c r="K8" i="18"/>
  <c r="S7" i="18"/>
  <c r="L7" i="18"/>
  <c r="M7" i="18"/>
  <c r="K7" i="18"/>
  <c r="S6" i="18"/>
  <c r="L6" i="18"/>
  <c r="M6" i="18"/>
  <c r="K6" i="18"/>
  <c r="S5" i="18"/>
  <c r="P91" i="17"/>
  <c r="M91" i="17"/>
  <c r="P90" i="17"/>
  <c r="M90" i="17"/>
  <c r="P89" i="17"/>
  <c r="M89" i="17"/>
  <c r="P88" i="17"/>
  <c r="M88" i="17"/>
  <c r="P87" i="17"/>
  <c r="M87" i="17"/>
  <c r="P86" i="17"/>
  <c r="M86" i="17"/>
  <c r="P85" i="17"/>
  <c r="M85" i="17"/>
  <c r="P84" i="17"/>
  <c r="M84" i="17"/>
  <c r="P83" i="17"/>
  <c r="M83" i="17"/>
  <c r="P82" i="17"/>
  <c r="M82" i="17"/>
  <c r="P81" i="17"/>
  <c r="M81" i="17"/>
  <c r="P80" i="17"/>
  <c r="M80" i="17"/>
  <c r="P79" i="17"/>
  <c r="M79" i="17"/>
  <c r="P78" i="17"/>
  <c r="M78" i="17"/>
  <c r="P77" i="17"/>
  <c r="M77" i="17"/>
  <c r="P76" i="17"/>
  <c r="M76" i="17"/>
  <c r="P75" i="17"/>
  <c r="M75" i="17"/>
  <c r="P74" i="17"/>
  <c r="M74" i="17"/>
  <c r="P73" i="17"/>
  <c r="M73" i="17"/>
  <c r="P72" i="17"/>
  <c r="M72" i="17"/>
  <c r="P71" i="17"/>
  <c r="M71" i="17"/>
  <c r="P70" i="17"/>
  <c r="M70" i="17"/>
  <c r="P69" i="17"/>
  <c r="M69" i="17"/>
  <c r="P68" i="17"/>
  <c r="M68" i="17"/>
  <c r="P67" i="17"/>
  <c r="M67" i="17"/>
  <c r="P66" i="17"/>
  <c r="M66" i="17"/>
  <c r="P65" i="17"/>
  <c r="M65" i="17"/>
  <c r="P64" i="17"/>
  <c r="M64" i="17"/>
  <c r="P63" i="17"/>
  <c r="M63" i="17"/>
  <c r="I63" i="17"/>
  <c r="P62" i="17"/>
  <c r="M62" i="17"/>
  <c r="P61" i="17"/>
  <c r="M61" i="17"/>
  <c r="P60" i="17"/>
  <c r="M60" i="17"/>
  <c r="P59" i="17"/>
  <c r="M59" i="17"/>
  <c r="P58" i="17"/>
  <c r="M58" i="17"/>
  <c r="P57" i="17"/>
  <c r="M57" i="17"/>
  <c r="P56" i="17"/>
  <c r="M56" i="17"/>
  <c r="P55" i="17"/>
  <c r="M55" i="17"/>
  <c r="P54" i="17"/>
  <c r="M54" i="17"/>
  <c r="P53" i="17"/>
  <c r="M53" i="17"/>
  <c r="P52" i="17"/>
  <c r="M52" i="17"/>
  <c r="P51" i="17"/>
  <c r="M51" i="17"/>
  <c r="P50" i="17"/>
  <c r="M50" i="17"/>
  <c r="P49" i="17"/>
  <c r="M49" i="17"/>
  <c r="P48" i="17"/>
  <c r="M48" i="17"/>
  <c r="P47" i="17"/>
  <c r="M47" i="17"/>
  <c r="P46" i="17"/>
  <c r="M46" i="17"/>
  <c r="P45" i="17"/>
  <c r="M45" i="17"/>
  <c r="P44" i="17"/>
  <c r="M44" i="17"/>
  <c r="P43" i="17"/>
  <c r="M43" i="17"/>
  <c r="P42" i="17"/>
  <c r="M42" i="17"/>
  <c r="P41" i="17"/>
  <c r="M41" i="17"/>
  <c r="P40" i="17"/>
  <c r="M40" i="17"/>
  <c r="P39" i="17"/>
  <c r="M39" i="17"/>
  <c r="P38" i="17"/>
  <c r="M38" i="17"/>
  <c r="P37" i="17"/>
  <c r="M37" i="17"/>
  <c r="P36" i="17"/>
  <c r="M36" i="17"/>
  <c r="P35" i="17"/>
  <c r="M35" i="17"/>
  <c r="P34" i="17"/>
  <c r="M34" i="17"/>
  <c r="I34" i="17"/>
  <c r="P33" i="17"/>
  <c r="P32" i="17"/>
  <c r="P31" i="17"/>
  <c r="L31" i="17"/>
  <c r="P30" i="17"/>
  <c r="L30" i="17"/>
  <c r="P29" i="17"/>
  <c r="L29" i="17"/>
  <c r="P28" i="17"/>
  <c r="G28" i="17"/>
  <c r="L32" i="17"/>
  <c r="P27" i="17"/>
  <c r="L27" i="17"/>
  <c r="M27" i="17"/>
  <c r="P26" i="17"/>
  <c r="L26" i="17"/>
  <c r="M26" i="17"/>
  <c r="P25" i="17"/>
  <c r="P24" i="17"/>
  <c r="P23" i="17"/>
  <c r="L23" i="17"/>
  <c r="M23" i="17"/>
  <c r="P22" i="17"/>
  <c r="G22" i="17"/>
  <c r="L24" i="17"/>
  <c r="M24" i="17"/>
  <c r="P21" i="17"/>
  <c r="M21" i="17"/>
  <c r="P20" i="17"/>
  <c r="M20" i="17"/>
  <c r="P19" i="17"/>
  <c r="M19" i="17"/>
  <c r="P18" i="17"/>
  <c r="M18" i="17"/>
  <c r="P17" i="17"/>
  <c r="M17" i="17"/>
  <c r="P16" i="17"/>
  <c r="M16" i="17"/>
  <c r="P15" i="17"/>
  <c r="M15" i="17"/>
  <c r="P14" i="17"/>
  <c r="M14" i="17"/>
  <c r="P13" i="17"/>
  <c r="M13" i="17"/>
  <c r="H13" i="17"/>
  <c r="P12" i="17"/>
  <c r="M12" i="17"/>
  <c r="P11" i="17"/>
  <c r="M11" i="17"/>
  <c r="P10" i="17"/>
  <c r="M10" i="17"/>
  <c r="P9" i="17"/>
  <c r="M9" i="17"/>
  <c r="P8" i="17"/>
  <c r="M8" i="17"/>
  <c r="P7" i="17"/>
  <c r="M7" i="17"/>
  <c r="P6" i="17"/>
  <c r="M6" i="17"/>
  <c r="P5" i="17"/>
  <c r="M5" i="17"/>
  <c r="I5" i="17"/>
  <c r="H5" i="17"/>
  <c r="P28" i="16"/>
  <c r="P27" i="16"/>
  <c r="P26" i="16"/>
  <c r="P25" i="16"/>
  <c r="P24" i="16"/>
  <c r="P23" i="16"/>
  <c r="P22" i="16"/>
  <c r="L22" i="16"/>
  <c r="L23" i="16"/>
  <c r="P21" i="16"/>
  <c r="P20" i="16"/>
  <c r="P19" i="16"/>
  <c r="M19" i="16"/>
  <c r="P18" i="16"/>
  <c r="M18" i="16"/>
  <c r="P17" i="16"/>
  <c r="M17" i="16"/>
  <c r="P16" i="16"/>
  <c r="M16" i="16"/>
  <c r="P15" i="16"/>
  <c r="M15" i="16"/>
  <c r="I15" i="16"/>
  <c r="P14" i="16"/>
  <c r="M14" i="16"/>
  <c r="P13" i="16"/>
  <c r="M13" i="16"/>
  <c r="P12" i="16"/>
  <c r="M12" i="16"/>
  <c r="P11" i="16"/>
  <c r="M11" i="16"/>
  <c r="I11" i="16"/>
  <c r="H11" i="16"/>
  <c r="P10" i="16"/>
  <c r="M10" i="16"/>
  <c r="P9" i="16"/>
  <c r="M9" i="16"/>
  <c r="P8" i="16"/>
  <c r="M8" i="16"/>
  <c r="P7" i="16"/>
  <c r="M7" i="16"/>
  <c r="P6" i="16"/>
  <c r="M6" i="16"/>
  <c r="P5" i="16"/>
  <c r="M5" i="16"/>
  <c r="I5" i="16"/>
  <c r="P34" i="15"/>
  <c r="M34" i="15"/>
  <c r="L34" i="15"/>
  <c r="P33" i="15"/>
  <c r="L33" i="15"/>
  <c r="M33" i="15"/>
  <c r="P32" i="15"/>
  <c r="L32" i="15"/>
  <c r="M32" i="15"/>
  <c r="P31" i="15"/>
  <c r="L31" i="15"/>
  <c r="M31" i="15"/>
  <c r="P30" i="15"/>
  <c r="M30" i="15"/>
  <c r="L30" i="15"/>
  <c r="P29" i="15"/>
  <c r="L29" i="15"/>
  <c r="M29" i="15"/>
  <c r="H29" i="15"/>
  <c r="P28" i="15"/>
  <c r="L28" i="15"/>
  <c r="M28" i="15"/>
  <c r="P27" i="15"/>
  <c r="P26" i="15"/>
  <c r="P25" i="15"/>
  <c r="L25" i="15"/>
  <c r="M25" i="15"/>
  <c r="P24" i="15"/>
  <c r="L24" i="15"/>
  <c r="M24" i="15"/>
  <c r="P23" i="15"/>
  <c r="M23" i="15"/>
  <c r="L23" i="15"/>
  <c r="P22" i="15"/>
  <c r="L22" i="15"/>
  <c r="M22" i="15"/>
  <c r="P21" i="15"/>
  <c r="L21" i="15"/>
  <c r="M21" i="15"/>
  <c r="H21" i="15"/>
  <c r="P20" i="15"/>
  <c r="M20" i="15"/>
  <c r="P19" i="15"/>
  <c r="M19" i="15"/>
  <c r="P18" i="15"/>
  <c r="M18" i="15"/>
  <c r="P17" i="15"/>
  <c r="M17" i="15"/>
  <c r="P16" i="15"/>
  <c r="M16" i="15"/>
  <c r="P15" i="15"/>
  <c r="M15" i="15"/>
  <c r="P14" i="15"/>
  <c r="M14" i="15"/>
  <c r="P13" i="15"/>
  <c r="M13" i="15"/>
  <c r="P12" i="15"/>
  <c r="M12" i="15"/>
  <c r="P11" i="15"/>
  <c r="M11" i="15"/>
  <c r="P10" i="15"/>
  <c r="M10" i="15"/>
  <c r="P9" i="15"/>
  <c r="M9" i="15"/>
  <c r="P8" i="15"/>
  <c r="M8" i="15"/>
  <c r="P7" i="15"/>
  <c r="M7" i="15"/>
  <c r="P6" i="15"/>
  <c r="M6" i="15"/>
  <c r="P5" i="15"/>
  <c r="M5" i="15"/>
  <c r="H5" i="15"/>
  <c r="P28" i="14"/>
  <c r="M28" i="14"/>
  <c r="P27" i="14"/>
  <c r="M27" i="14"/>
  <c r="P26" i="14"/>
  <c r="M26" i="14"/>
  <c r="P25" i="14"/>
  <c r="M25" i="14"/>
  <c r="P24" i="14"/>
  <c r="M24" i="14"/>
  <c r="P23" i="14"/>
  <c r="M23" i="14"/>
  <c r="E23" i="14"/>
  <c r="P22" i="14"/>
  <c r="M22" i="14"/>
  <c r="P21" i="14"/>
  <c r="M21" i="14"/>
  <c r="P20" i="14"/>
  <c r="M20" i="14"/>
  <c r="P19" i="14"/>
  <c r="M19" i="14"/>
  <c r="P18" i="14"/>
  <c r="M18" i="14"/>
  <c r="P17" i="14"/>
  <c r="M17" i="14"/>
  <c r="P16" i="14"/>
  <c r="M16" i="14"/>
  <c r="P15" i="14"/>
  <c r="M15" i="14"/>
  <c r="P14" i="14"/>
  <c r="M14" i="14"/>
  <c r="P13" i="14"/>
  <c r="M13" i="14"/>
  <c r="P12" i="14"/>
  <c r="M12" i="14"/>
  <c r="P11" i="14"/>
  <c r="M11" i="14"/>
  <c r="H11" i="14"/>
  <c r="P10" i="14"/>
  <c r="M10" i="14"/>
  <c r="P9" i="14"/>
  <c r="M9" i="14"/>
  <c r="P8" i="14"/>
  <c r="M8" i="14"/>
  <c r="P7" i="14"/>
  <c r="M7" i="14"/>
  <c r="P6" i="14"/>
  <c r="M6" i="14"/>
  <c r="P5" i="14"/>
  <c r="M5" i="14"/>
  <c r="H5" i="14"/>
  <c r="P44" i="13"/>
  <c r="M44" i="13"/>
  <c r="P43" i="13"/>
  <c r="M43" i="13"/>
  <c r="P42" i="13"/>
  <c r="M42" i="13"/>
  <c r="P41" i="13"/>
  <c r="M41" i="13"/>
  <c r="P40" i="13"/>
  <c r="M40" i="13"/>
  <c r="P39" i="13"/>
  <c r="M39" i="13"/>
  <c r="P38" i="13"/>
  <c r="M38" i="13"/>
  <c r="H38" i="13"/>
  <c r="P37" i="13"/>
  <c r="M37" i="13"/>
  <c r="P36" i="13"/>
  <c r="M36" i="13"/>
  <c r="P35" i="13"/>
  <c r="M35" i="13"/>
  <c r="P34" i="13"/>
  <c r="M34" i="13"/>
  <c r="P33" i="13"/>
  <c r="M33" i="13"/>
  <c r="AC32" i="13"/>
  <c r="P32" i="13"/>
  <c r="M32" i="13"/>
  <c r="AC31" i="13"/>
  <c r="P31" i="13"/>
  <c r="M31" i="13"/>
  <c r="AC30" i="13"/>
  <c r="P30" i="13"/>
  <c r="M30" i="13"/>
  <c r="AC29" i="13"/>
  <c r="P29" i="13"/>
  <c r="M29" i="13"/>
  <c r="AC28" i="13"/>
  <c r="P28" i="13"/>
  <c r="M28" i="13"/>
  <c r="AC27" i="13"/>
  <c r="P27" i="13"/>
  <c r="M27" i="13"/>
  <c r="I27" i="13"/>
  <c r="H27" i="13"/>
  <c r="E27" i="13"/>
  <c r="AC26" i="13"/>
  <c r="P26" i="13"/>
  <c r="M26" i="13"/>
  <c r="AC25" i="13"/>
  <c r="P25" i="13"/>
  <c r="M25" i="13"/>
  <c r="AC24" i="13"/>
  <c r="P24" i="13"/>
  <c r="M24" i="13"/>
  <c r="AC23" i="13"/>
  <c r="P23" i="13"/>
  <c r="M23" i="13"/>
  <c r="AC22" i="13"/>
  <c r="P22" i="13"/>
  <c r="M22" i="13"/>
  <c r="P21" i="13"/>
  <c r="M21" i="13"/>
  <c r="P20" i="13"/>
  <c r="M20" i="13"/>
  <c r="P19" i="13"/>
  <c r="M19" i="13"/>
  <c r="P18" i="13"/>
  <c r="M18" i="13"/>
  <c r="P17" i="13"/>
  <c r="M17" i="13"/>
  <c r="P16" i="13"/>
  <c r="M16" i="13"/>
  <c r="I16" i="13"/>
  <c r="H16" i="13"/>
  <c r="E16" i="13"/>
  <c r="P15" i="13"/>
  <c r="M15" i="13"/>
  <c r="F15" i="13"/>
  <c r="P14" i="13"/>
  <c r="M14" i="13"/>
  <c r="F14" i="13"/>
  <c r="P13" i="13"/>
  <c r="M13" i="13"/>
  <c r="F13" i="13"/>
  <c r="P12" i="13"/>
  <c r="M12" i="13"/>
  <c r="F12" i="13"/>
  <c r="P11" i="13"/>
  <c r="M11" i="13"/>
  <c r="F11" i="13"/>
  <c r="P10" i="13"/>
  <c r="M10" i="13"/>
  <c r="F10" i="13"/>
  <c r="P9" i="13"/>
  <c r="M9" i="13"/>
  <c r="F9" i="13"/>
  <c r="P8" i="13"/>
  <c r="M8" i="13"/>
  <c r="F8" i="13"/>
  <c r="P7" i="13"/>
  <c r="M7" i="13"/>
  <c r="F7" i="13"/>
  <c r="P6" i="13"/>
  <c r="M6" i="13"/>
  <c r="F6" i="13"/>
  <c r="P5" i="13"/>
  <c r="M5" i="13"/>
  <c r="I5" i="13"/>
  <c r="H5" i="13"/>
  <c r="G5" i="13"/>
  <c r="E5" i="13"/>
  <c r="P23" i="12"/>
  <c r="M23" i="12"/>
  <c r="P22" i="12"/>
  <c r="M22" i="12"/>
  <c r="P21" i="12"/>
  <c r="M21" i="12"/>
  <c r="P20" i="12"/>
  <c r="M20" i="12"/>
  <c r="P19" i="12"/>
  <c r="M19" i="12"/>
  <c r="P18" i="12"/>
  <c r="M18" i="12"/>
  <c r="P17" i="12"/>
  <c r="M17" i="12"/>
  <c r="G17" i="12"/>
  <c r="P16" i="12"/>
  <c r="M16" i="12"/>
  <c r="P15" i="12"/>
  <c r="L15" i="12"/>
  <c r="M15" i="12"/>
  <c r="P14" i="12"/>
  <c r="M14" i="12"/>
  <c r="P13" i="12"/>
  <c r="M13" i="12"/>
  <c r="P12" i="12"/>
  <c r="M12" i="12"/>
  <c r="P11" i="12"/>
  <c r="M11" i="12"/>
  <c r="I11" i="12"/>
  <c r="H11" i="12"/>
  <c r="P10" i="12"/>
  <c r="M10" i="12"/>
  <c r="P9" i="12"/>
  <c r="L9" i="12"/>
  <c r="M9" i="12"/>
  <c r="P8" i="12"/>
  <c r="M8" i="12"/>
  <c r="P7" i="12"/>
  <c r="M7" i="12"/>
  <c r="P6" i="12"/>
  <c r="M6" i="12"/>
  <c r="P5" i="12"/>
  <c r="M5" i="12"/>
  <c r="I5" i="12"/>
  <c r="H5" i="12"/>
  <c r="P64" i="11"/>
  <c r="M64" i="11"/>
  <c r="P63" i="11"/>
  <c r="M63" i="11"/>
  <c r="P62" i="11"/>
  <c r="M62" i="11"/>
  <c r="P61" i="11"/>
  <c r="M61" i="11"/>
  <c r="P60" i="11"/>
  <c r="M60" i="11"/>
  <c r="P59" i="11"/>
  <c r="M59" i="11"/>
  <c r="P58" i="11"/>
  <c r="M58" i="11"/>
  <c r="I58" i="11"/>
  <c r="H58" i="11"/>
  <c r="G58" i="11"/>
  <c r="P57" i="11"/>
  <c r="M57" i="11"/>
  <c r="P56" i="11"/>
  <c r="M56" i="11"/>
  <c r="P55" i="11"/>
  <c r="M55" i="11"/>
  <c r="P54" i="11"/>
  <c r="M54" i="11"/>
  <c r="P53" i="11"/>
  <c r="M53" i="11"/>
  <c r="P52" i="11"/>
  <c r="M52" i="11"/>
  <c r="P51" i="11"/>
  <c r="M51" i="11"/>
  <c r="I51" i="11"/>
  <c r="H51" i="11"/>
  <c r="G51" i="11"/>
  <c r="P50" i="11"/>
  <c r="M50" i="11"/>
  <c r="P49" i="11"/>
  <c r="M49" i="11"/>
  <c r="P48" i="11"/>
  <c r="M48" i="11"/>
  <c r="P47" i="11"/>
  <c r="M47" i="11"/>
  <c r="P46" i="11"/>
  <c r="M46" i="11"/>
  <c r="P45" i="11"/>
  <c r="M45" i="11"/>
  <c r="P44" i="11"/>
  <c r="M44" i="11"/>
  <c r="I44" i="11"/>
  <c r="H44" i="11"/>
  <c r="G44" i="11"/>
  <c r="P43" i="11"/>
  <c r="M43" i="11"/>
  <c r="P42" i="11"/>
  <c r="M42" i="11"/>
  <c r="P41" i="11"/>
  <c r="M41" i="11"/>
  <c r="P40" i="11"/>
  <c r="M40" i="11"/>
  <c r="P39" i="11"/>
  <c r="M39" i="11"/>
  <c r="H38" i="11"/>
  <c r="G38" i="11"/>
  <c r="P37" i="11"/>
  <c r="M37" i="11"/>
  <c r="P36" i="11"/>
  <c r="M36" i="11"/>
  <c r="P35" i="11"/>
  <c r="M35" i="11"/>
  <c r="P34" i="11"/>
  <c r="M34" i="11"/>
  <c r="P33" i="11"/>
  <c r="M33" i="11"/>
  <c r="P32" i="11"/>
  <c r="M32" i="11"/>
  <c r="H31" i="11"/>
  <c r="G31" i="11"/>
  <c r="P30" i="11"/>
  <c r="M30" i="11"/>
  <c r="P29" i="11"/>
  <c r="M29" i="11"/>
  <c r="P28" i="11"/>
  <c r="M28" i="11"/>
  <c r="P27" i="11"/>
  <c r="M27" i="11"/>
  <c r="P26" i="11"/>
  <c r="M26" i="11"/>
  <c r="H25" i="11"/>
  <c r="G25" i="11"/>
  <c r="P24" i="11"/>
  <c r="M24" i="11"/>
  <c r="P23" i="11"/>
  <c r="M23" i="11"/>
  <c r="P22" i="11"/>
  <c r="M22" i="11"/>
  <c r="P21" i="11"/>
  <c r="M21" i="11"/>
  <c r="P20" i="11"/>
  <c r="M20" i="11"/>
  <c r="H19" i="11"/>
  <c r="G19" i="11"/>
  <c r="P18" i="11"/>
  <c r="M18" i="11"/>
  <c r="P17" i="11"/>
  <c r="M17" i="11"/>
  <c r="P16" i="11"/>
  <c r="M16" i="11"/>
  <c r="P15" i="11"/>
  <c r="M15" i="11"/>
  <c r="P14" i="11"/>
  <c r="M14" i="11"/>
  <c r="P13" i="11"/>
  <c r="M13" i="11"/>
  <c r="H12" i="11"/>
  <c r="G12" i="11"/>
  <c r="P11" i="11"/>
  <c r="M11" i="11"/>
  <c r="P10" i="11"/>
  <c r="M10" i="11"/>
  <c r="P9" i="11"/>
  <c r="M9" i="11"/>
  <c r="P8" i="11"/>
  <c r="M8" i="11"/>
  <c r="P7" i="11"/>
  <c r="M7" i="11"/>
  <c r="P6" i="11"/>
  <c r="M6" i="11"/>
  <c r="H5" i="11"/>
  <c r="G5" i="11"/>
  <c r="P95" i="7"/>
  <c r="M95" i="7"/>
  <c r="P94" i="7"/>
  <c r="M94" i="7"/>
  <c r="P93" i="7"/>
  <c r="M93" i="7"/>
  <c r="P92" i="7"/>
  <c r="M92" i="7"/>
  <c r="P91" i="7"/>
  <c r="M91" i="7"/>
  <c r="P90" i="7"/>
  <c r="M90" i="7"/>
  <c r="P89" i="7"/>
  <c r="M89" i="7"/>
  <c r="P88" i="7"/>
  <c r="M88" i="7"/>
  <c r="P87" i="7"/>
  <c r="M87" i="7"/>
  <c r="P86" i="7"/>
  <c r="M86" i="7"/>
  <c r="P85" i="7"/>
  <c r="M85" i="7"/>
  <c r="P84" i="7"/>
  <c r="M84" i="7"/>
  <c r="P83" i="7"/>
  <c r="M83" i="7"/>
  <c r="P82" i="7"/>
  <c r="M82" i="7"/>
  <c r="P81" i="7"/>
  <c r="M81" i="7"/>
  <c r="P80" i="7"/>
  <c r="M80" i="7"/>
  <c r="P79" i="7"/>
  <c r="M79" i="7"/>
  <c r="P78" i="7"/>
  <c r="M78" i="7"/>
  <c r="I78" i="7"/>
  <c r="P77" i="7"/>
  <c r="M77" i="7"/>
  <c r="P76" i="7"/>
  <c r="M76" i="7"/>
  <c r="P75" i="7"/>
  <c r="M75" i="7"/>
  <c r="P74" i="7"/>
  <c r="M74" i="7"/>
  <c r="P73" i="7"/>
  <c r="M73" i="7"/>
  <c r="P72" i="7"/>
  <c r="M72" i="7"/>
  <c r="P71" i="7"/>
  <c r="M71" i="7"/>
  <c r="P70" i="7"/>
  <c r="M70" i="7"/>
  <c r="P69" i="7"/>
  <c r="M69" i="7"/>
  <c r="P68" i="7"/>
  <c r="M68" i="7"/>
  <c r="P67" i="7"/>
  <c r="M67" i="7"/>
  <c r="P66" i="7"/>
  <c r="M66" i="7"/>
  <c r="P65" i="7"/>
  <c r="M65" i="7"/>
  <c r="P64" i="7"/>
  <c r="M64" i="7"/>
  <c r="P63" i="7"/>
  <c r="M63" i="7"/>
  <c r="P62" i="7"/>
  <c r="M62" i="7"/>
  <c r="P61" i="7"/>
  <c r="M61" i="7"/>
  <c r="P60" i="7"/>
  <c r="M60" i="7"/>
  <c r="H60" i="7"/>
  <c r="P59" i="7"/>
  <c r="M59" i="7"/>
  <c r="P58" i="7"/>
  <c r="M58" i="7"/>
  <c r="P57" i="7"/>
  <c r="M57" i="7"/>
  <c r="P56" i="7"/>
  <c r="M56" i="7"/>
  <c r="P55" i="7"/>
  <c r="M55" i="7"/>
  <c r="P54" i="7"/>
  <c r="M54" i="7"/>
  <c r="P53" i="7"/>
  <c r="M53" i="7"/>
  <c r="P52" i="7"/>
  <c r="M52" i="7"/>
  <c r="P51" i="7"/>
  <c r="M51" i="7"/>
  <c r="P50" i="7"/>
  <c r="M50" i="7"/>
  <c r="P49" i="7"/>
  <c r="M49" i="7"/>
  <c r="P48" i="7"/>
  <c r="M48" i="7"/>
  <c r="I48" i="7"/>
  <c r="P47" i="7"/>
  <c r="M47" i="7"/>
  <c r="P46" i="7"/>
  <c r="M46" i="7"/>
  <c r="P45" i="7"/>
  <c r="M45" i="7"/>
  <c r="P44" i="7"/>
  <c r="M44" i="7"/>
  <c r="P43" i="7"/>
  <c r="M43" i="7"/>
  <c r="P42" i="7"/>
  <c r="M42" i="7"/>
  <c r="P41" i="7"/>
  <c r="M41" i="7"/>
  <c r="P40" i="7"/>
  <c r="M40" i="7"/>
  <c r="P39" i="7"/>
  <c r="M39" i="7"/>
  <c r="P38" i="7"/>
  <c r="M38" i="7"/>
  <c r="P37" i="7"/>
  <c r="M37" i="7"/>
  <c r="P36" i="7"/>
  <c r="M36" i="7"/>
  <c r="P35" i="7"/>
  <c r="M35" i="7"/>
  <c r="P34" i="7"/>
  <c r="M34" i="7"/>
  <c r="P33" i="7"/>
  <c r="M33" i="7"/>
  <c r="P32" i="7"/>
  <c r="M32" i="7"/>
  <c r="P31" i="7"/>
  <c r="M31" i="7"/>
  <c r="P30" i="7"/>
  <c r="M30" i="7"/>
  <c r="H30" i="7"/>
  <c r="P29" i="7"/>
  <c r="M29" i="7"/>
  <c r="P28" i="7"/>
  <c r="M28" i="7"/>
  <c r="P27" i="7"/>
  <c r="M27" i="7"/>
  <c r="P26" i="7"/>
  <c r="M26" i="7"/>
  <c r="P25" i="7"/>
  <c r="M25" i="7"/>
  <c r="P24" i="7"/>
  <c r="M24" i="7"/>
  <c r="P23" i="7"/>
  <c r="M23" i="7"/>
  <c r="I23" i="7"/>
  <c r="G23" i="7"/>
  <c r="P22" i="7"/>
  <c r="M22" i="7"/>
  <c r="P21" i="7"/>
  <c r="M21" i="7"/>
  <c r="P20" i="7"/>
  <c r="M20" i="7"/>
  <c r="P19" i="7"/>
  <c r="M19" i="7"/>
  <c r="P18" i="7"/>
  <c r="M18" i="7"/>
  <c r="P17" i="7"/>
  <c r="M17" i="7"/>
  <c r="P16" i="7"/>
  <c r="M16" i="7"/>
  <c r="P15" i="7"/>
  <c r="M15" i="7"/>
  <c r="P14" i="7"/>
  <c r="M14" i="7"/>
  <c r="P13" i="7"/>
  <c r="M13" i="7"/>
  <c r="P12" i="7"/>
  <c r="M12" i="7"/>
  <c r="P11" i="7"/>
  <c r="M11" i="7"/>
  <c r="P10" i="7"/>
  <c r="M10" i="7"/>
  <c r="P9" i="7"/>
  <c r="M9" i="7"/>
  <c r="P8" i="7"/>
  <c r="M8" i="7"/>
  <c r="P7" i="7"/>
  <c r="M7" i="7"/>
  <c r="P6" i="7"/>
  <c r="M6" i="7"/>
  <c r="P5" i="7"/>
  <c r="M5" i="7"/>
  <c r="P141" i="6"/>
  <c r="M141" i="6"/>
  <c r="P140" i="6"/>
  <c r="M140" i="6"/>
  <c r="P139" i="6"/>
  <c r="M139" i="6"/>
  <c r="P138" i="6"/>
  <c r="M138" i="6"/>
  <c r="P137" i="6"/>
  <c r="M137" i="6"/>
  <c r="Q136" i="6"/>
  <c r="P136" i="6"/>
  <c r="M136" i="6"/>
  <c r="P135" i="6"/>
  <c r="M135" i="6"/>
  <c r="I135" i="6"/>
  <c r="H135" i="6"/>
  <c r="P134" i="6"/>
  <c r="M134" i="6"/>
  <c r="P133" i="6"/>
  <c r="M133" i="6"/>
  <c r="P132" i="6"/>
  <c r="M132" i="6"/>
  <c r="P131" i="6"/>
  <c r="M131" i="6"/>
  <c r="P130" i="6"/>
  <c r="M130" i="6"/>
  <c r="Q129" i="6"/>
  <c r="P129" i="6"/>
  <c r="M129" i="6"/>
  <c r="P128" i="6"/>
  <c r="M128" i="6"/>
  <c r="I128" i="6"/>
  <c r="H128" i="6"/>
  <c r="P127" i="6"/>
  <c r="M127" i="6"/>
  <c r="P126" i="6"/>
  <c r="M126" i="6"/>
  <c r="P125" i="6"/>
  <c r="M125" i="6"/>
  <c r="P124" i="6"/>
  <c r="M124" i="6"/>
  <c r="P123" i="6"/>
  <c r="M123" i="6"/>
  <c r="P122" i="6"/>
  <c r="M122" i="6"/>
  <c r="Q121" i="6"/>
  <c r="P121" i="6"/>
  <c r="M121" i="6"/>
  <c r="P120" i="6"/>
  <c r="M120" i="6"/>
  <c r="I120" i="6"/>
  <c r="H120" i="6"/>
  <c r="P119" i="6"/>
  <c r="M119" i="6"/>
  <c r="P118" i="6"/>
  <c r="M118" i="6"/>
  <c r="P117" i="6"/>
  <c r="M117" i="6"/>
  <c r="P116" i="6"/>
  <c r="M116" i="6"/>
  <c r="P115" i="6"/>
  <c r="M115" i="6"/>
  <c r="P114" i="6"/>
  <c r="M114" i="6"/>
  <c r="Q113" i="6"/>
  <c r="P113" i="6"/>
  <c r="M113" i="6"/>
  <c r="P112" i="6"/>
  <c r="M112" i="6"/>
  <c r="I112" i="6"/>
  <c r="H112" i="6"/>
  <c r="P111" i="6"/>
  <c r="M111" i="6"/>
  <c r="P110" i="6"/>
  <c r="M110" i="6"/>
  <c r="P109" i="6"/>
  <c r="M109" i="6"/>
  <c r="P108" i="6"/>
  <c r="M108" i="6"/>
  <c r="P107" i="6"/>
  <c r="M107" i="6"/>
  <c r="Q106" i="6"/>
  <c r="Q107" i="6"/>
  <c r="P106" i="6"/>
  <c r="M106" i="6"/>
  <c r="P105" i="6"/>
  <c r="M105" i="6"/>
  <c r="I105" i="6"/>
  <c r="H105" i="6"/>
  <c r="P104" i="6"/>
  <c r="M104" i="6"/>
  <c r="P103" i="6"/>
  <c r="M103" i="6"/>
  <c r="P102" i="6"/>
  <c r="M102" i="6"/>
  <c r="P101" i="6"/>
  <c r="M101" i="6"/>
  <c r="P100" i="6"/>
  <c r="M100" i="6"/>
  <c r="Q99" i="6"/>
  <c r="Q100" i="6"/>
  <c r="P99" i="6"/>
  <c r="M99" i="6"/>
  <c r="P98" i="6"/>
  <c r="M98" i="6"/>
  <c r="I98" i="6"/>
  <c r="H98" i="6"/>
  <c r="P97" i="6"/>
  <c r="M97" i="6"/>
  <c r="P96" i="6"/>
  <c r="M96" i="6"/>
  <c r="P95" i="6"/>
  <c r="M95" i="6"/>
  <c r="P94" i="6"/>
  <c r="M94" i="6"/>
  <c r="Q93" i="6"/>
  <c r="Q94" i="6"/>
  <c r="P93" i="6"/>
  <c r="M93" i="6"/>
  <c r="P92" i="6"/>
  <c r="M92" i="6"/>
  <c r="I92" i="6"/>
  <c r="H92" i="6"/>
  <c r="P91" i="6"/>
  <c r="M91" i="6"/>
  <c r="P90" i="6"/>
  <c r="M90" i="6"/>
  <c r="P89" i="6"/>
  <c r="M89" i="6"/>
  <c r="P88" i="6"/>
  <c r="M88" i="6"/>
  <c r="Q87" i="6"/>
  <c r="Q88" i="6"/>
  <c r="P87" i="6"/>
  <c r="M87" i="6"/>
  <c r="P86" i="6"/>
  <c r="M86" i="6"/>
  <c r="I86" i="6"/>
  <c r="H86" i="6"/>
  <c r="P85" i="6"/>
  <c r="M85" i="6"/>
  <c r="P84" i="6"/>
  <c r="M84" i="6"/>
  <c r="P83" i="6"/>
  <c r="M83" i="6"/>
  <c r="P82" i="6"/>
  <c r="M82" i="6"/>
  <c r="P81" i="6"/>
  <c r="M81" i="6"/>
  <c r="P80" i="6"/>
  <c r="M80" i="6"/>
  <c r="P79" i="6"/>
  <c r="M79" i="6"/>
  <c r="P78" i="6"/>
  <c r="M78" i="6"/>
  <c r="I78" i="6"/>
  <c r="P77" i="6"/>
  <c r="M77" i="6"/>
  <c r="P76" i="6"/>
  <c r="M76" i="6"/>
  <c r="P75" i="6"/>
  <c r="M75" i="6"/>
  <c r="P74" i="6"/>
  <c r="M74" i="6"/>
  <c r="P73" i="6"/>
  <c r="M73" i="6"/>
  <c r="P72" i="6"/>
  <c r="M72" i="6"/>
  <c r="P71" i="6"/>
  <c r="M71" i="6"/>
  <c r="P70" i="6"/>
  <c r="M70" i="6"/>
  <c r="I70" i="6"/>
  <c r="P69" i="6"/>
  <c r="M69" i="6"/>
  <c r="P68" i="6"/>
  <c r="M68" i="6"/>
  <c r="P67" i="6"/>
  <c r="M67" i="6"/>
  <c r="P66" i="6"/>
  <c r="M66" i="6"/>
  <c r="P65" i="6"/>
  <c r="M65" i="6"/>
  <c r="P64" i="6"/>
  <c r="M64" i="6"/>
  <c r="P63" i="6"/>
  <c r="M63" i="6"/>
  <c r="P62" i="6"/>
  <c r="M62" i="6"/>
  <c r="I62" i="6"/>
  <c r="P61" i="6"/>
  <c r="M61" i="6"/>
  <c r="P60" i="6"/>
  <c r="M60" i="6"/>
  <c r="P59" i="6"/>
  <c r="M59" i="6"/>
  <c r="P58" i="6"/>
  <c r="M58" i="6"/>
  <c r="P57" i="6"/>
  <c r="M57" i="6"/>
  <c r="P56" i="6"/>
  <c r="M56" i="6"/>
  <c r="P55" i="6"/>
  <c r="M55" i="6"/>
  <c r="P54" i="6"/>
  <c r="M54" i="6"/>
  <c r="P53" i="6"/>
  <c r="M53" i="6"/>
  <c r="P52" i="6"/>
  <c r="M52" i="6"/>
  <c r="P51" i="6"/>
  <c r="M51" i="6"/>
  <c r="P50" i="6"/>
  <c r="M50" i="6"/>
  <c r="P49" i="6"/>
  <c r="M49" i="6"/>
  <c r="P48" i="6"/>
  <c r="M48" i="6"/>
  <c r="P47" i="6"/>
  <c r="M47" i="6"/>
  <c r="P46" i="6"/>
  <c r="M46" i="6"/>
  <c r="P45" i="6"/>
  <c r="M45" i="6"/>
  <c r="P44" i="6"/>
  <c r="M44" i="6"/>
  <c r="P43" i="6"/>
  <c r="M43" i="6"/>
  <c r="P42" i="6"/>
  <c r="M42" i="6"/>
  <c r="P41" i="6"/>
  <c r="M41" i="6"/>
  <c r="P40" i="6"/>
  <c r="M40" i="6"/>
  <c r="P39" i="6"/>
  <c r="M39" i="6"/>
  <c r="P38" i="6"/>
  <c r="M38" i="6"/>
  <c r="P37" i="6"/>
  <c r="M37" i="6"/>
  <c r="G37" i="6"/>
  <c r="P36" i="6"/>
  <c r="M36" i="6"/>
  <c r="P35" i="6"/>
  <c r="M35" i="6"/>
  <c r="P34" i="6"/>
  <c r="M34" i="6"/>
  <c r="P33" i="6"/>
  <c r="M33" i="6"/>
  <c r="P32" i="6"/>
  <c r="M32" i="6"/>
  <c r="T31" i="6"/>
  <c r="P31" i="6"/>
  <c r="M31" i="6"/>
  <c r="P30" i="6"/>
  <c r="M30" i="6"/>
  <c r="P29" i="6"/>
  <c r="M29" i="6"/>
  <c r="P28" i="6"/>
  <c r="M28" i="6"/>
  <c r="P27" i="6"/>
  <c r="M27" i="6"/>
  <c r="P26" i="6"/>
  <c r="M26" i="6"/>
  <c r="P25" i="6"/>
  <c r="M25" i="6"/>
  <c r="P24" i="6"/>
  <c r="M24" i="6"/>
  <c r="P23" i="6"/>
  <c r="M23" i="6"/>
  <c r="P22" i="6"/>
  <c r="M22" i="6"/>
  <c r="P21" i="6"/>
  <c r="M21" i="6"/>
  <c r="P20" i="6"/>
  <c r="M20" i="6"/>
  <c r="P19" i="6"/>
  <c r="M19" i="6"/>
  <c r="P18" i="6"/>
  <c r="M18" i="6"/>
  <c r="P17" i="6"/>
  <c r="M17" i="6"/>
  <c r="P16" i="6"/>
  <c r="M16" i="6"/>
  <c r="P15" i="6"/>
  <c r="M15" i="6"/>
  <c r="P14" i="6"/>
  <c r="M14" i="6"/>
  <c r="P13" i="6"/>
  <c r="M13" i="6"/>
  <c r="P12" i="6"/>
  <c r="M12" i="6"/>
  <c r="P11" i="6"/>
  <c r="M11" i="6"/>
  <c r="P10" i="6"/>
  <c r="M10" i="6"/>
  <c r="P9" i="6"/>
  <c r="M9" i="6"/>
  <c r="P8" i="6"/>
  <c r="M8" i="6"/>
  <c r="P7" i="6"/>
  <c r="M7" i="6"/>
  <c r="P6" i="6"/>
  <c r="M6" i="6"/>
  <c r="P5" i="6"/>
  <c r="M5" i="6"/>
  <c r="H5" i="6"/>
  <c r="G5" i="6"/>
  <c r="P14" i="10"/>
  <c r="M14" i="10"/>
  <c r="F14" i="10"/>
  <c r="P13" i="10"/>
  <c r="M13" i="10"/>
  <c r="F13" i="10"/>
  <c r="P12" i="10"/>
  <c r="M12" i="10"/>
  <c r="F12" i="10"/>
  <c r="P11" i="10"/>
  <c r="M11" i="10"/>
  <c r="F11" i="10"/>
  <c r="P10" i="10"/>
  <c r="M10" i="10"/>
  <c r="F10" i="10"/>
  <c r="P9" i="10"/>
  <c r="M9" i="10"/>
  <c r="F9" i="10"/>
  <c r="P8" i="10"/>
  <c r="M8" i="10"/>
  <c r="F8" i="10"/>
  <c r="P7" i="10"/>
  <c r="M7" i="10"/>
  <c r="F7" i="10"/>
  <c r="P6" i="10"/>
  <c r="M6" i="10"/>
  <c r="F6" i="10"/>
  <c r="P5" i="10"/>
  <c r="M5" i="10"/>
  <c r="H5" i="10"/>
  <c r="P56" i="3"/>
  <c r="M56" i="3"/>
  <c r="P55" i="3"/>
  <c r="M55" i="3"/>
  <c r="P54" i="3"/>
  <c r="M54" i="3"/>
  <c r="P53" i="3"/>
  <c r="M53" i="3"/>
  <c r="P52" i="3"/>
  <c r="M52" i="3"/>
  <c r="I52" i="3"/>
  <c r="P51" i="3"/>
  <c r="M51" i="3"/>
  <c r="P50" i="3"/>
  <c r="M50" i="3"/>
  <c r="P49" i="3"/>
  <c r="M49" i="3"/>
  <c r="P48" i="3"/>
  <c r="M48" i="3"/>
  <c r="P47" i="3"/>
  <c r="M47" i="3"/>
  <c r="P46" i="3"/>
  <c r="M46" i="3"/>
  <c r="I46" i="3"/>
  <c r="P45" i="3"/>
  <c r="M45" i="3"/>
  <c r="P44" i="3"/>
  <c r="M44" i="3"/>
  <c r="P43" i="3"/>
  <c r="M43" i="3"/>
  <c r="P42" i="3"/>
  <c r="M42" i="3"/>
  <c r="P41" i="3"/>
  <c r="M41" i="3"/>
  <c r="I41" i="3"/>
  <c r="P40" i="3"/>
  <c r="M40" i="3"/>
  <c r="P39" i="3"/>
  <c r="M39" i="3"/>
  <c r="P38" i="3"/>
  <c r="M38" i="3"/>
  <c r="P37" i="3"/>
  <c r="M37" i="3"/>
  <c r="P36" i="3"/>
  <c r="M36" i="3"/>
  <c r="I36" i="3"/>
  <c r="P35" i="3"/>
  <c r="M35" i="3"/>
  <c r="P34" i="3"/>
  <c r="M34" i="3"/>
  <c r="P33" i="3"/>
  <c r="M33" i="3"/>
  <c r="P32" i="3"/>
  <c r="M32" i="3"/>
  <c r="P31" i="3"/>
  <c r="M31" i="3"/>
  <c r="I31" i="3"/>
  <c r="P30" i="3"/>
  <c r="M30" i="3"/>
  <c r="P29" i="3"/>
  <c r="M29" i="3"/>
  <c r="P28" i="3"/>
  <c r="M28" i="3"/>
  <c r="P27" i="3"/>
  <c r="M27" i="3"/>
  <c r="P26" i="3"/>
  <c r="M26" i="3"/>
  <c r="I26" i="3"/>
  <c r="P25" i="3"/>
  <c r="M25" i="3"/>
  <c r="P24" i="3"/>
  <c r="M24" i="3"/>
  <c r="P23" i="3"/>
  <c r="M23" i="3"/>
  <c r="P22" i="3"/>
  <c r="M22" i="3"/>
  <c r="P21" i="3"/>
  <c r="M21" i="3"/>
  <c r="I21" i="3"/>
  <c r="P20" i="3"/>
  <c r="M20" i="3"/>
  <c r="P19" i="3"/>
  <c r="M19" i="3"/>
  <c r="P18" i="3"/>
  <c r="M18" i="3"/>
  <c r="P17" i="3"/>
  <c r="M17" i="3"/>
  <c r="P16" i="3"/>
  <c r="M16" i="3"/>
  <c r="I16" i="3"/>
  <c r="P15" i="3"/>
  <c r="M15" i="3"/>
  <c r="P14" i="3"/>
  <c r="M14" i="3"/>
  <c r="P13" i="3"/>
  <c r="M13" i="3"/>
  <c r="P12" i="3"/>
  <c r="M12" i="3"/>
  <c r="P11" i="3"/>
  <c r="M11" i="3"/>
  <c r="P10" i="3"/>
  <c r="M10" i="3"/>
  <c r="I10" i="3"/>
  <c r="P9" i="3"/>
  <c r="M9" i="3"/>
  <c r="P8" i="3"/>
  <c r="M8" i="3"/>
  <c r="P7" i="3"/>
  <c r="M7" i="3"/>
  <c r="P6" i="3"/>
  <c r="M6" i="3"/>
  <c r="P5" i="3"/>
  <c r="M5" i="3"/>
  <c r="I5" i="3"/>
  <c r="P51" i="4"/>
  <c r="M51" i="4"/>
  <c r="P50" i="4"/>
  <c r="M50" i="4"/>
  <c r="P49" i="4"/>
  <c r="M49" i="4"/>
  <c r="P48" i="4"/>
  <c r="M48" i="4"/>
  <c r="P47" i="4"/>
  <c r="M47" i="4"/>
  <c r="P46" i="4"/>
  <c r="M46" i="4"/>
  <c r="P45" i="4"/>
  <c r="M45" i="4"/>
  <c r="P44" i="4"/>
  <c r="M44" i="4"/>
  <c r="P43" i="4"/>
  <c r="M43" i="4"/>
  <c r="P42" i="4"/>
  <c r="M42" i="4"/>
  <c r="I42" i="4"/>
  <c r="P41" i="4"/>
  <c r="M41" i="4"/>
  <c r="P40" i="4"/>
  <c r="M40" i="4"/>
  <c r="P39" i="4"/>
  <c r="M39" i="4"/>
  <c r="P38" i="4"/>
  <c r="M38" i="4"/>
  <c r="P37" i="4"/>
  <c r="M37" i="4"/>
  <c r="P36" i="4"/>
  <c r="M36" i="4"/>
  <c r="P35" i="4"/>
  <c r="M35" i="4"/>
  <c r="P34" i="4"/>
  <c r="M34" i="4"/>
  <c r="P33" i="4"/>
  <c r="M33" i="4"/>
  <c r="P32" i="4"/>
  <c r="M32" i="4"/>
  <c r="I32" i="4"/>
  <c r="P31" i="4"/>
  <c r="M31" i="4"/>
  <c r="P30" i="4"/>
  <c r="M30" i="4"/>
  <c r="T29" i="4"/>
  <c r="P29" i="4"/>
  <c r="M29" i="4"/>
  <c r="T28" i="4"/>
  <c r="P28" i="4"/>
  <c r="M28" i="4"/>
  <c r="T27" i="4"/>
  <c r="P27" i="4"/>
  <c r="M27" i="4"/>
  <c r="I27" i="4"/>
  <c r="H27" i="4"/>
  <c r="P26" i="4"/>
  <c r="M26" i="4"/>
  <c r="P25" i="4"/>
  <c r="M25" i="4"/>
  <c r="P24" i="4"/>
  <c r="M24" i="4"/>
  <c r="P23" i="4"/>
  <c r="M23" i="4"/>
  <c r="P22" i="4"/>
  <c r="M22" i="4"/>
  <c r="P21" i="4"/>
  <c r="M21" i="4"/>
  <c r="P20" i="4"/>
  <c r="M20" i="4"/>
  <c r="I20" i="4"/>
  <c r="H20" i="4"/>
  <c r="P19" i="4"/>
  <c r="M19" i="4"/>
  <c r="P18" i="4"/>
  <c r="M18" i="4"/>
  <c r="P17" i="4"/>
  <c r="M17" i="4"/>
  <c r="P16" i="4"/>
  <c r="M16" i="4"/>
  <c r="P15" i="4"/>
  <c r="M15" i="4"/>
  <c r="P14" i="4"/>
  <c r="M14" i="4"/>
  <c r="P13" i="4"/>
  <c r="M13" i="4"/>
  <c r="H13" i="4"/>
  <c r="P12" i="4"/>
  <c r="M12" i="4"/>
  <c r="P11" i="4"/>
  <c r="M11" i="4"/>
  <c r="P10" i="4"/>
  <c r="M10" i="4"/>
  <c r="P9" i="4"/>
  <c r="M9" i="4"/>
  <c r="P8" i="4"/>
  <c r="M8" i="4"/>
  <c r="P7" i="4"/>
  <c r="M7" i="4"/>
  <c r="P6" i="4"/>
  <c r="M6" i="4"/>
  <c r="P5" i="4"/>
  <c r="M5" i="4"/>
  <c r="G5" i="4"/>
  <c r="G90" i="5"/>
  <c r="P53" i="5"/>
  <c r="M53" i="5"/>
  <c r="P52" i="5"/>
  <c r="M52" i="5"/>
  <c r="P51" i="5"/>
  <c r="M51" i="5"/>
  <c r="P50" i="5"/>
  <c r="M50" i="5"/>
  <c r="P49" i="5"/>
  <c r="M49" i="5"/>
  <c r="P48" i="5"/>
  <c r="M48" i="5"/>
  <c r="P47" i="5"/>
  <c r="M47" i="5"/>
  <c r="P46" i="5"/>
  <c r="M46" i="5"/>
  <c r="P45" i="5"/>
  <c r="M45" i="5"/>
  <c r="P44" i="5"/>
  <c r="M44" i="5"/>
  <c r="P43" i="5"/>
  <c r="M43" i="5"/>
  <c r="P42" i="5"/>
  <c r="M42" i="5"/>
  <c r="P41" i="5"/>
  <c r="M41" i="5"/>
  <c r="P40" i="5"/>
  <c r="M40" i="5"/>
  <c r="P39" i="5"/>
  <c r="M39" i="5"/>
  <c r="P38" i="5"/>
  <c r="M38" i="5"/>
  <c r="P37" i="5"/>
  <c r="M37" i="5"/>
  <c r="P36" i="5"/>
  <c r="M36" i="5"/>
  <c r="P35" i="5"/>
  <c r="M35" i="5"/>
  <c r="P34" i="5"/>
  <c r="M34" i="5"/>
  <c r="P33" i="5"/>
  <c r="M33" i="5"/>
  <c r="P32" i="5"/>
  <c r="M32" i="5"/>
  <c r="P31" i="5"/>
  <c r="M31" i="5"/>
  <c r="P30" i="5"/>
  <c r="M30" i="5"/>
  <c r="P29" i="5"/>
  <c r="M29" i="5"/>
  <c r="G29" i="5"/>
  <c r="P28" i="5"/>
  <c r="M28" i="5"/>
  <c r="P27" i="5"/>
  <c r="M27" i="5"/>
  <c r="P26" i="5"/>
  <c r="M26" i="5"/>
  <c r="P25" i="5"/>
  <c r="M25" i="5"/>
  <c r="P24" i="5"/>
  <c r="M24" i="5"/>
  <c r="P23" i="5"/>
  <c r="M23" i="5"/>
  <c r="P22" i="5"/>
  <c r="M22" i="5"/>
  <c r="P21" i="5"/>
  <c r="M21" i="5"/>
  <c r="P20" i="5"/>
  <c r="M20" i="5"/>
  <c r="P19" i="5"/>
  <c r="M19" i="5"/>
  <c r="P18" i="5"/>
  <c r="M18" i="5"/>
  <c r="P17" i="5"/>
  <c r="M17" i="5"/>
  <c r="P16" i="5"/>
  <c r="M16" i="5"/>
  <c r="P15" i="5"/>
  <c r="M15" i="5"/>
  <c r="P14" i="5"/>
  <c r="M14" i="5"/>
  <c r="P13" i="5"/>
  <c r="M13" i="5"/>
  <c r="P12" i="5"/>
  <c r="M12" i="5"/>
  <c r="P11" i="5"/>
  <c r="M11" i="5"/>
  <c r="P10" i="5"/>
  <c r="M10" i="5"/>
  <c r="P9" i="5"/>
  <c r="M9" i="5"/>
  <c r="P8" i="5"/>
  <c r="M8" i="5"/>
  <c r="P7" i="5"/>
  <c r="M7" i="5"/>
  <c r="P6" i="5"/>
  <c r="M6" i="5"/>
  <c r="P5" i="5"/>
  <c r="M5" i="5"/>
  <c r="G5" i="5"/>
  <c r="P78" i="1"/>
  <c r="M78" i="1"/>
  <c r="P77" i="1"/>
  <c r="M77" i="1"/>
  <c r="P76" i="1"/>
  <c r="M76" i="1"/>
  <c r="P75" i="1"/>
  <c r="M75" i="1"/>
  <c r="P74" i="1"/>
  <c r="M74" i="1"/>
  <c r="P73" i="1"/>
  <c r="M73" i="1"/>
  <c r="P72" i="1"/>
  <c r="M72" i="1"/>
  <c r="H72" i="1"/>
  <c r="P71" i="1"/>
  <c r="M71" i="1"/>
  <c r="P70" i="1"/>
  <c r="M70" i="1"/>
  <c r="P69" i="1"/>
  <c r="M69" i="1"/>
  <c r="P68" i="1"/>
  <c r="M68" i="1"/>
  <c r="P67" i="1"/>
  <c r="M67" i="1"/>
  <c r="P66" i="1"/>
  <c r="M66" i="1"/>
  <c r="P65" i="1"/>
  <c r="M65" i="1"/>
  <c r="H65" i="1"/>
  <c r="P64" i="1"/>
  <c r="M64" i="1"/>
  <c r="I64" i="1"/>
  <c r="P63" i="1"/>
  <c r="M63" i="1"/>
  <c r="I63" i="1"/>
  <c r="P62" i="1"/>
  <c r="M62" i="1"/>
  <c r="I62" i="1"/>
  <c r="P61" i="1"/>
  <c r="M61" i="1"/>
  <c r="I61" i="1"/>
  <c r="P60" i="1"/>
  <c r="M60" i="1"/>
  <c r="I60" i="1"/>
  <c r="H60" i="1"/>
  <c r="P59" i="1"/>
  <c r="M59" i="1"/>
  <c r="I59" i="1"/>
  <c r="P58" i="1"/>
  <c r="M58" i="1"/>
  <c r="I58" i="1"/>
  <c r="P57" i="1"/>
  <c r="M57" i="1"/>
  <c r="I57" i="1"/>
  <c r="P56" i="1"/>
  <c r="M56" i="1"/>
  <c r="I56" i="1"/>
  <c r="P55" i="1"/>
  <c r="M55" i="1"/>
  <c r="I55" i="1"/>
  <c r="H55" i="1"/>
  <c r="P54" i="1"/>
  <c r="M54" i="1"/>
  <c r="P53" i="1"/>
  <c r="M53" i="1"/>
  <c r="P52" i="1"/>
  <c r="M52" i="1"/>
  <c r="P51" i="1"/>
  <c r="M51" i="1"/>
  <c r="P50" i="1"/>
  <c r="M50" i="1"/>
  <c r="H50" i="1"/>
  <c r="P49" i="1"/>
  <c r="M49" i="1"/>
  <c r="I49" i="1"/>
  <c r="P48" i="1"/>
  <c r="M48" i="1"/>
  <c r="I48" i="1"/>
  <c r="P47" i="1"/>
  <c r="M47" i="1"/>
  <c r="I47" i="1"/>
  <c r="P46" i="1"/>
  <c r="M46" i="1"/>
  <c r="I46" i="1"/>
  <c r="P45" i="1"/>
  <c r="M45" i="1"/>
  <c r="I45" i="1"/>
  <c r="H45" i="1"/>
  <c r="P44" i="1"/>
  <c r="M44" i="1"/>
  <c r="I44" i="1"/>
  <c r="P43" i="1"/>
  <c r="M43" i="1"/>
  <c r="I43" i="1"/>
  <c r="P42" i="1"/>
  <c r="M42" i="1"/>
  <c r="I42" i="1"/>
  <c r="P41" i="1"/>
  <c r="M41" i="1"/>
  <c r="I41" i="1"/>
  <c r="P40" i="1"/>
  <c r="M40" i="1"/>
  <c r="I40" i="1"/>
  <c r="H40" i="1"/>
  <c r="P39" i="1"/>
  <c r="M39" i="1"/>
  <c r="P38" i="1"/>
  <c r="M38" i="1"/>
  <c r="P37" i="1"/>
  <c r="M37" i="1"/>
  <c r="P36" i="1"/>
  <c r="M36" i="1"/>
  <c r="P35" i="1"/>
  <c r="M35" i="1"/>
  <c r="H35" i="1"/>
  <c r="P34" i="1"/>
  <c r="M34" i="1"/>
  <c r="I34" i="1"/>
  <c r="P33" i="1"/>
  <c r="M33" i="1"/>
  <c r="I33" i="1"/>
  <c r="P32" i="1"/>
  <c r="M32" i="1"/>
  <c r="I32" i="1"/>
  <c r="P31" i="1"/>
  <c r="M31" i="1"/>
  <c r="I31" i="1"/>
  <c r="P30" i="1"/>
  <c r="M30" i="1"/>
  <c r="I30" i="1"/>
  <c r="H30" i="1"/>
  <c r="P29" i="1"/>
  <c r="M29" i="1"/>
  <c r="I29" i="1"/>
  <c r="P28" i="1"/>
  <c r="M28" i="1"/>
  <c r="I28" i="1"/>
  <c r="P27" i="1"/>
  <c r="M27" i="1"/>
  <c r="I27" i="1"/>
  <c r="P26" i="1"/>
  <c r="M26" i="1"/>
  <c r="I26" i="1"/>
  <c r="P25" i="1"/>
  <c r="M25" i="1"/>
  <c r="I25" i="1"/>
  <c r="H25" i="1"/>
  <c r="P24" i="1"/>
  <c r="M24" i="1"/>
  <c r="P23" i="1"/>
  <c r="M23" i="1"/>
  <c r="P22" i="1"/>
  <c r="M22" i="1"/>
  <c r="P21" i="1"/>
  <c r="M21" i="1"/>
  <c r="P20" i="1"/>
  <c r="M20" i="1"/>
  <c r="H20" i="1"/>
  <c r="P19" i="1"/>
  <c r="M19" i="1"/>
  <c r="I19" i="1"/>
  <c r="P18" i="1"/>
  <c r="M18" i="1"/>
  <c r="I18" i="1"/>
  <c r="P17" i="1"/>
  <c r="M17" i="1"/>
  <c r="I17" i="1"/>
  <c r="P16" i="1"/>
  <c r="M16" i="1"/>
  <c r="I16" i="1"/>
  <c r="P15" i="1"/>
  <c r="M15" i="1"/>
  <c r="I15" i="1"/>
  <c r="H15" i="1"/>
  <c r="P14" i="1"/>
  <c r="M14" i="1"/>
  <c r="I14" i="1"/>
  <c r="P13" i="1"/>
  <c r="M13" i="1"/>
  <c r="I13" i="1"/>
  <c r="P12" i="1"/>
  <c r="M12" i="1"/>
  <c r="I12" i="1"/>
  <c r="P11" i="1"/>
  <c r="M11" i="1"/>
  <c r="I11" i="1"/>
  <c r="P10" i="1"/>
  <c r="M10" i="1"/>
  <c r="I10" i="1"/>
  <c r="H10" i="1"/>
  <c r="P9" i="1"/>
  <c r="M9" i="1"/>
  <c r="P8" i="1"/>
  <c r="M8" i="1"/>
  <c r="P7" i="1"/>
  <c r="M7" i="1"/>
  <c r="P6" i="1"/>
  <c r="M6" i="1"/>
  <c r="P5" i="1"/>
  <c r="M5" i="1"/>
  <c r="H5" i="1"/>
  <c r="I5" i="9"/>
  <c r="L24" i="16"/>
  <c r="M32" i="17"/>
  <c r="M25" i="19"/>
  <c r="M15" i="19"/>
  <c r="M29" i="19"/>
  <c r="L27" i="19"/>
  <c r="M27" i="19"/>
  <c r="M27" i="15"/>
  <c r="L25" i="17"/>
  <c r="M25" i="17"/>
  <c r="L33" i="17"/>
  <c r="AD59" i="18"/>
  <c r="M14" i="19"/>
  <c r="M6" i="19"/>
  <c r="M17" i="19"/>
  <c r="M13" i="19"/>
  <c r="L20" i="19"/>
  <c r="M20" i="19"/>
  <c r="M26" i="15"/>
  <c r="M9" i="19"/>
  <c r="L24" i="19"/>
  <c r="M24" i="19"/>
  <c r="M5" i="18"/>
  <c r="M15" i="18"/>
  <c r="M18" i="18"/>
  <c r="M19" i="18"/>
  <c r="M22" i="18"/>
  <c r="M23" i="18"/>
  <c r="K42" i="18"/>
  <c r="K44" i="18"/>
  <c r="M5" i="19"/>
  <c r="M10" i="19"/>
  <c r="M21" i="19"/>
  <c r="L23" i="19"/>
  <c r="M23" i="19"/>
  <c r="L28" i="19"/>
  <c r="M28" i="19"/>
  <c r="P27" i="19"/>
  <c r="P28" i="19"/>
  <c r="P16" i="19"/>
  <c r="P17" i="19"/>
  <c r="P21" i="19"/>
  <c r="P25" i="19"/>
  <c r="P26" i="19"/>
  <c r="P18" i="19"/>
  <c r="P15" i="19"/>
  <c r="P23" i="19"/>
  <c r="P24" i="19"/>
  <c r="P29" i="19"/>
  <c r="P30" i="19"/>
  <c r="P14" i="19"/>
  <c r="P19" i="19"/>
  <c r="M8" i="19"/>
  <c r="M12" i="19"/>
  <c r="L16" i="19"/>
  <c r="M16" i="19"/>
  <c r="M7" i="19"/>
  <c r="M11" i="19"/>
  <c r="L19" i="19"/>
  <c r="M19" i="19"/>
  <c r="L26" i="19"/>
  <c r="M26" i="19"/>
  <c r="L30" i="19"/>
  <c r="M30" i="19"/>
  <c r="O24" i="18"/>
  <c r="L26" i="18"/>
  <c r="M26" i="18"/>
  <c r="O28" i="18"/>
  <c r="L29" i="18"/>
  <c r="M29" i="18"/>
  <c r="O31" i="18"/>
  <c r="O34" i="18"/>
  <c r="P34" i="18"/>
  <c r="L36" i="18"/>
  <c r="O38" i="18"/>
  <c r="P38" i="18"/>
  <c r="L40" i="18"/>
  <c r="L30" i="18"/>
  <c r="M30" i="18"/>
  <c r="O32" i="18"/>
  <c r="P32" i="18"/>
  <c r="L33" i="18"/>
  <c r="O35" i="18"/>
  <c r="P35" i="18"/>
  <c r="L37" i="18"/>
  <c r="O39" i="18"/>
  <c r="P39" i="18"/>
  <c r="L41" i="18"/>
  <c r="M41" i="18"/>
  <c r="M16" i="18"/>
  <c r="P18" i="18"/>
  <c r="M20" i="18"/>
  <c r="P22" i="18"/>
  <c r="L34" i="18"/>
  <c r="O36" i="18"/>
  <c r="P36" i="18"/>
  <c r="P15" i="18"/>
  <c r="M17" i="18"/>
  <c r="P19" i="18"/>
  <c r="M21" i="18"/>
  <c r="P23" i="18"/>
  <c r="M33" i="17"/>
  <c r="M28" i="17"/>
  <c r="M31" i="17"/>
  <c r="L25" i="16"/>
  <c r="M38" i="18"/>
  <c r="M36" i="18"/>
  <c r="M34" i="18"/>
  <c r="M40" i="18"/>
  <c r="M29" i="17"/>
  <c r="M30" i="17"/>
  <c r="M33" i="18"/>
  <c r="M39" i="18"/>
  <c r="P30" i="18"/>
  <c r="P28" i="18"/>
  <c r="P29" i="18"/>
  <c r="M37" i="18"/>
  <c r="M35" i="18"/>
  <c r="P26" i="18"/>
  <c r="P31" i="18"/>
  <c r="P24" i="18"/>
  <c r="P27" i="18"/>
  <c r="P25" i="18"/>
  <c r="L26" i="16"/>
  <c r="L27" i="16"/>
  <c r="M27" i="16"/>
  <c r="L28" i="16"/>
  <c r="M28" i="16"/>
  <c r="M21" i="16"/>
  <c r="M20" i="16"/>
  <c r="M23" i="16"/>
  <c r="M22" i="16"/>
  <c r="M24" i="16"/>
  <c r="M25" i="16"/>
  <c r="M26" i="16"/>
</calcChain>
</file>

<file path=xl/comments1.xml><?xml version="1.0" encoding="utf-8"?>
<comments xmlns="http://schemas.openxmlformats.org/spreadsheetml/2006/main">
  <authors>
    <author>Patricia Ann Lazicki</author>
  </authors>
  <commentList>
    <comment ref="I37" authorId="0">
      <text>
        <r>
          <rPr>
            <sz val="9"/>
            <color indexed="81"/>
            <rFont val="Tahoma"/>
            <family val="2"/>
          </rPr>
          <t>K1=193 kg/ha; k2=290 kg/ha</t>
        </r>
      </text>
    </comment>
  </commentList>
</comments>
</file>

<file path=xl/comments2.xml><?xml version="1.0" encoding="utf-8"?>
<comments xmlns="http://schemas.openxmlformats.org/spreadsheetml/2006/main">
  <authors>
    <author>Patricia Ann Lazicki</author>
  </authors>
  <commentList>
    <comment ref="E3" authorId="0">
      <text>
        <r>
          <rPr>
            <b/>
            <sz val="9"/>
            <color indexed="81"/>
            <rFont val="Tahoma"/>
            <family val="2"/>
          </rPr>
          <t>Patricia Ann Lazicki:</t>
        </r>
        <r>
          <rPr>
            <sz val="9"/>
            <color indexed="81"/>
            <rFont val="Tahoma"/>
            <family val="2"/>
          </rPr>
          <t xml:space="preserve">
Assumes 14% DM at dry harvest and 16% DM at red harvest (NRCS tool)</t>
        </r>
      </text>
    </comment>
    <comment ref="A5" authorId="0">
      <text>
        <r>
          <rPr>
            <b/>
            <sz val="9"/>
            <color indexed="81"/>
            <rFont val="Tahoma"/>
            <family val="2"/>
          </rPr>
          <t>Patricia Ann Lazicki:</t>
        </r>
        <r>
          <rPr>
            <sz val="9"/>
            <color indexed="81"/>
            <rFont val="Tahoma"/>
            <family val="2"/>
          </rPr>
          <t xml:space="preserve">
New Mexico chile cultivars; Capsicum annuum</t>
        </r>
      </text>
    </comment>
  </commentList>
</comments>
</file>

<file path=xl/comments3.xml><?xml version="1.0" encoding="utf-8"?>
<comments xmlns="http://schemas.openxmlformats.org/spreadsheetml/2006/main">
  <authors>
    <author>Patricia Ann Lazicki</author>
  </authors>
  <commentList>
    <comment ref="A86" authorId="0">
      <text>
        <r>
          <rPr>
            <b/>
            <sz val="9"/>
            <color indexed="81"/>
            <rFont val="Tahoma"/>
            <family val="2"/>
          </rPr>
          <t>Patricia Ann Lazicki:</t>
        </r>
        <r>
          <rPr>
            <sz val="9"/>
            <color indexed="81"/>
            <rFont val="Tahoma"/>
            <family val="2"/>
          </rPr>
          <t xml:space="preserve">
Maybe don't use autumn … the shapes of the curbes are pretty different than spring-planted, and I don't think they're appropriate to CA systems</t>
        </r>
      </text>
    </comment>
  </commentList>
</comments>
</file>

<file path=xl/comments4.xml><?xml version="1.0" encoding="utf-8"?>
<comments xmlns="http://schemas.openxmlformats.org/spreadsheetml/2006/main">
  <authors>
    <author>Patricia Ann Lazicki</author>
  </authors>
  <commentList>
    <comment ref="I5" authorId="0">
      <text>
        <r>
          <rPr>
            <b/>
            <sz val="9"/>
            <color indexed="81"/>
            <rFont val="Tahoma"/>
            <family val="2"/>
          </rPr>
          <t>Patricia Ann Lazicki:</t>
        </r>
        <r>
          <rPr>
            <sz val="9"/>
            <color indexed="81"/>
            <rFont val="Tahoma"/>
            <family val="2"/>
          </rPr>
          <t xml:space="preserve">
Low Zn</t>
        </r>
      </text>
    </comment>
    <comment ref="I14" authorId="0">
      <text>
        <r>
          <rPr>
            <b/>
            <sz val="9"/>
            <color indexed="81"/>
            <rFont val="Tahoma"/>
            <family val="2"/>
          </rPr>
          <t>Patricia Ann Lazicki:</t>
        </r>
        <r>
          <rPr>
            <sz val="9"/>
            <color indexed="81"/>
            <rFont val="Tahoma"/>
            <family val="2"/>
          </rPr>
          <t xml:space="preserve">
High Zn</t>
        </r>
      </text>
    </comment>
  </commentList>
</comments>
</file>

<file path=xl/comments5.xml><?xml version="1.0" encoding="utf-8"?>
<comments xmlns="http://schemas.openxmlformats.org/spreadsheetml/2006/main">
  <authors>
    <author>Patricia Ann Lazicki</author>
  </authors>
  <commentList>
    <comment ref="K22" authorId="0">
      <text>
        <r>
          <rPr>
            <b/>
            <sz val="9"/>
            <color indexed="81"/>
            <rFont val="Tahoma"/>
            <family val="2"/>
          </rPr>
          <t>Patricia Ann Lazicki:</t>
        </r>
        <r>
          <rPr>
            <sz val="9"/>
            <color indexed="81"/>
            <rFont val="Tahoma"/>
            <family val="2"/>
          </rPr>
          <t xml:space="preserve">
Assume 5 days to emergence, to match Malhi</t>
        </r>
      </text>
    </comment>
  </commentList>
</comments>
</file>

<file path=xl/sharedStrings.xml><?xml version="1.0" encoding="utf-8"?>
<sst xmlns="http://schemas.openxmlformats.org/spreadsheetml/2006/main" count="1604" uniqueCount="560">
  <si>
    <t>Source</t>
  </si>
  <si>
    <t>Planting date</t>
  </si>
  <si>
    <t>Harvest Date</t>
  </si>
  <si>
    <t>Sampling Date</t>
  </si>
  <si>
    <t>Season length</t>
  </si>
  <si>
    <t>% of season</t>
  </si>
  <si>
    <t>lbs N/acre</t>
  </si>
  <si>
    <t>(days)</t>
  </si>
  <si>
    <t xml:space="preserve">N application </t>
  </si>
  <si>
    <t>(lbs N/acre)</t>
  </si>
  <si>
    <t>Location</t>
  </si>
  <si>
    <t>China (in-soil greenhouse)</t>
  </si>
  <si>
    <t>% of max</t>
  </si>
  <si>
    <t>Season</t>
  </si>
  <si>
    <t>Spring</t>
  </si>
  <si>
    <t>Fall</t>
  </si>
  <si>
    <t>Gallardo et al., 2015</t>
  </si>
  <si>
    <t>Spain, Greenhouse</t>
  </si>
  <si>
    <t>conventional</t>
  </si>
  <si>
    <t>Days after transplanting</t>
  </si>
  <si>
    <t>TIME</t>
  </si>
  <si>
    <t>N UPTAKE</t>
  </si>
  <si>
    <t>Notes</t>
  </si>
  <si>
    <t>First harvest (spring 2005): 4/21/2005</t>
  </si>
  <si>
    <t>First harvest (fall 2005): 10/18/2005</t>
  </si>
  <si>
    <t>First harvest (spring 2006): 4/9/2006</t>
  </si>
  <si>
    <t>First harvest (fall 2006): 10/9/2006</t>
  </si>
  <si>
    <t>Tons/acre</t>
  </si>
  <si>
    <t>Yields (cumulative)</t>
  </si>
  <si>
    <t>(days 41-71)</t>
  </si>
  <si>
    <t>(days 71-101)</t>
  </si>
  <si>
    <t>(days 40-80)</t>
  </si>
  <si>
    <t>(days 81-121)</t>
  </si>
  <si>
    <t>(days 49-77)</t>
  </si>
  <si>
    <t>(days 77-122)</t>
  </si>
  <si>
    <t>(days 30-69)</t>
  </si>
  <si>
    <t>(days 69-116)</t>
  </si>
  <si>
    <t>References:</t>
  </si>
  <si>
    <t>Guo et al., 2008</t>
  </si>
  <si>
    <t xml:space="preserve">Guo, R., Li, X., Christie, P., Chen, Q., Fusuo, Z., 2008. Seasonal temperatures have more influence than nitrogen fertilizer rates on cucumber yield and nitrogen uptake in a double cropping system. Environmental Pollution 151, 443-451. </t>
  </si>
  <si>
    <t>Gallardo, M., Gimenez, R.B.C., Fernández, M.D., Padilla, F.M., Thompson, R.B., 2015. Use of the VegSyst model to calculate crop N uptake and ETc of autumn and spring grown cucumber in Mediterranean greenhouses. Oral Presentation at MODEL-IT 2015. http://hortilink.nl/hams/hams-model-it/modules/request.php?module=oc_proceedings&amp;action=summary.php&amp;id=13&amp;a=Accept+Oral</t>
  </si>
  <si>
    <t xml:space="preserve">Overall Notes:                                                                                                                </t>
  </si>
  <si>
    <t>Variety</t>
  </si>
  <si>
    <t>Various Chinese varieties (Jinglu, Zhongte); length 25-30 cm;         2.5 -3.0 cm in diameter</t>
  </si>
  <si>
    <t xml:space="preserve">cv 'Strategos'; Dutch type long fruit </t>
  </si>
  <si>
    <t>Soto-Ortiz, 2008</t>
  </si>
  <si>
    <t>Cochise County, AZ</t>
  </si>
  <si>
    <t>Esquina</t>
  </si>
  <si>
    <t>AZ 20</t>
  </si>
  <si>
    <t>AZ 8</t>
  </si>
  <si>
    <t>AZ 21</t>
  </si>
  <si>
    <t>AZ 335-270</t>
  </si>
  <si>
    <t>Ancho x chile</t>
  </si>
  <si>
    <t>B58</t>
  </si>
  <si>
    <t>LB 25</t>
  </si>
  <si>
    <t>Unit</t>
  </si>
  <si>
    <t>Value</t>
  </si>
  <si>
    <t>3/23-5/2003-5</t>
  </si>
  <si>
    <t>4/01-03/2003+5</t>
  </si>
  <si>
    <t>3/23/04&amp;4/12/05</t>
  </si>
  <si>
    <t>Mar-Oct</t>
  </si>
  <si>
    <t>First bloom</t>
  </si>
  <si>
    <t>Early bloom</t>
  </si>
  <si>
    <t>Peak bloom</t>
  </si>
  <si>
    <t>First green harvest</t>
  </si>
  <si>
    <t>Red harvest</t>
  </si>
  <si>
    <t>Hidalgo County, NM</t>
  </si>
  <si>
    <t>Highest dry matter accumulation 1006-1329</t>
  </si>
  <si>
    <t>`+/-</t>
  </si>
  <si>
    <t>measurements @ 14 day intervals</t>
  </si>
  <si>
    <t>very slow vegetative growth, prior</t>
  </si>
  <si>
    <t>Heat units after planting (30/13 °C)</t>
  </si>
  <si>
    <t>AVERAGE:</t>
  </si>
  <si>
    <t>Heat units after planting (HUAP)(30/13 °C)</t>
  </si>
  <si>
    <t>Planting</t>
  </si>
  <si>
    <t xml:space="preserve">Between green and red harvest, uptake slows, accumulation in the fruit </t>
  </si>
  <si>
    <t>12.9 (red)</t>
  </si>
  <si>
    <t>10.73 (red harvest)</t>
  </si>
  <si>
    <t>Marcussi et al., 2004</t>
  </si>
  <si>
    <t>`Elisa' (Capsicum annuum)</t>
  </si>
  <si>
    <t>days after transplanting</t>
  </si>
  <si>
    <t>5.95 g/plant</t>
  </si>
  <si>
    <t>Commercial-size fruit started to be harvested at 80 DAT</t>
  </si>
  <si>
    <t>amount</t>
  </si>
  <si>
    <t>mg N/plant</t>
  </si>
  <si>
    <t>Gimenez et al., 2013</t>
  </si>
  <si>
    <t>Spain (greenhouse)</t>
  </si>
  <si>
    <t>Brazil (greenhouse)</t>
  </si>
  <si>
    <t>'Vergasa'(Capsicum annuum)</t>
  </si>
  <si>
    <t>Fruit harvested 8 times</t>
  </si>
  <si>
    <t>Conventional--2006</t>
  </si>
  <si>
    <t>Improved, 2005</t>
  </si>
  <si>
    <t>Winter-spring</t>
  </si>
  <si>
    <t>Summer-winter</t>
  </si>
  <si>
    <t>Variety matures in 80 days, according to Syngenta</t>
  </si>
  <si>
    <t>Before 60 DAP: slow uptake</t>
  </si>
  <si>
    <t>60 DAP: beginning of fruiting, start of increased uptake</t>
  </si>
  <si>
    <t>maximum dry matter and N accumulation rate 120-140 DAT</t>
  </si>
  <si>
    <t>(Green)</t>
  </si>
  <si>
    <t>season shortened by virus</t>
  </si>
  <si>
    <t>Soto-Ortiz, R., 2008. Crop phenology, dry matter production, and nutrient uptake and partitioning in cantaloupe
(Cucumis melo L.) and chile (Capsicum annuum L.). Dissertation. Available online
at: http://hdl.handle.net/10150/194813</t>
  </si>
  <si>
    <t>(If green and red harvests are included on the same graph, distorts shape of the curve if x axis is % of season bc red season is longer)</t>
  </si>
  <si>
    <t xml:space="preserve">Marcussi, F.F.N., Villas Boas, R.L., Godoy, L.J.G.d., Goto, R., 2004. Macronutrient accumulation and partioning in fertigated sweet pepper plants. Scientia Agricola (Piracicaba, Brazil) 61, 62-68. </t>
  </si>
  <si>
    <t xml:space="preserve">Gimenez, C., Gallardo, M., Martinez-Gaitan, C., Stockle, C.O., Thompson, R.B., Granados, M.R., 2013. VegSyst, a simulation model of daily crop growth, nitrogen uptake and evapotranspiration for pepper crops for use in an on-farm decision support system. Irrigation Science 2013, 464-477. </t>
  </si>
  <si>
    <t>value</t>
  </si>
  <si>
    <t>Contreras et al., 2013</t>
  </si>
  <si>
    <t>'Aifos' (Capsicum annuum)</t>
  </si>
  <si>
    <t>112+K2</t>
  </si>
  <si>
    <t>168+K2</t>
  </si>
  <si>
    <t>0-56 DAT</t>
  </si>
  <si>
    <t>Early growth</t>
  </si>
  <si>
    <t>57-84</t>
  </si>
  <si>
    <t>Flowering, early fruit devt</t>
  </si>
  <si>
    <t>85-113</t>
  </si>
  <si>
    <t>Ripening, early harvesting</t>
  </si>
  <si>
    <t>114-155</t>
  </si>
  <si>
    <t>harvesting</t>
  </si>
  <si>
    <t>From pictures, looks like Aifos is harvested red?</t>
  </si>
  <si>
    <t>Contreras, J.I., Lopez, J.G., Lao, M.T., Eymar, E.E., Segura, M.L., 2013. Dry-Matter allocation and nutrient uptake dynamic in pepper plant irrigated with recycled water by different nitrogen and potassium rate. Communications in Soil Science and Plant Analysis 44, 758-766.</t>
  </si>
  <si>
    <t>Italy</t>
  </si>
  <si>
    <t>Amount</t>
  </si>
  <si>
    <t>Summer</t>
  </si>
  <si>
    <t>Rosati and Troisi, 2001</t>
  </si>
  <si>
    <t>Rosati, A., Troisi, A., 2001. Seasonal patterns of N uptake in eggplant (Solanum melongena L.) grown with different N fertigation levels. Acta Horticulturae 563, 195-200.</t>
  </si>
  <si>
    <t>Pessarakli and Tucker, 1988</t>
  </si>
  <si>
    <t>'Syria'</t>
  </si>
  <si>
    <t>Arizona, hydroponic,  growth chamber</t>
  </si>
  <si>
    <t>Days after transfering seedlings to nutrient solution</t>
  </si>
  <si>
    <t>mg</t>
  </si>
  <si>
    <t xml:space="preserve">Pessarakli, M., Tucker, T.C., 1988. Nitrogen-15 uptake by eggplant under sodium chloride stress. Soil Science Society of America Journal 52, 1673-1676. </t>
  </si>
  <si>
    <t>40 DAP</t>
  </si>
  <si>
    <t>41 DAP</t>
  </si>
  <si>
    <t>53 DAP</t>
  </si>
  <si>
    <t>29 DAP</t>
  </si>
  <si>
    <t>% of total uptake</t>
  </si>
  <si>
    <t>Green harvest</t>
  </si>
  <si>
    <t>Very slow growth prior to first bloom</t>
  </si>
  <si>
    <t>Highest dry  matter and nutrient accumulation occurs at peak bloom</t>
  </si>
  <si>
    <t>Spring harvest began (China greenhouse only) 41-53 DAT, ~40% of the way through the season</t>
  </si>
  <si>
    <t>Fall harvest began (China greenhouse only) 29-43 DAT; ~30% of the way through the season</t>
  </si>
  <si>
    <t>Winter-to-spring: Little uptake until about 40% of the way through the season, at early fruiting</t>
  </si>
  <si>
    <t>Maximum accumulation in the last third of the season (120-140 DAT)</t>
  </si>
  <si>
    <t>%</t>
  </si>
  <si>
    <t>More vegetative growth before fruiting begins, accumulation may be somewhat less steep during the main harvest</t>
  </si>
  <si>
    <t>Summer-to-winter: Harvest begins about 40-50% of the way through the season. May depend on the variety.</t>
  </si>
  <si>
    <t xml:space="preserve">Overall Notes:                                                                                                               May be differences between summer-winter, winter-srping plantings? Contreras and Gimenez curves are pretty different for summer-winter, try using average.  Plantings are done all times of the year in different parts of California. Both transplanting and direct seeding done. Greenhouse-grown peppers aren't common. </t>
  </si>
  <si>
    <t>Total uptake values include an estimate of the root N</t>
  </si>
  <si>
    <t>In both studies, very little uptake occurred during the first third of the season</t>
  </si>
  <si>
    <t>Looking up Italian eggplant varieties, most start harvesting about 60-70 days after planting</t>
  </si>
  <si>
    <t>Based on TRANSPLANTING</t>
  </si>
  <si>
    <t>In California, harvest starts around 75-90 DAT per the production manual, but in most places we also plant earlier</t>
  </si>
  <si>
    <t>SPRING</t>
  </si>
  <si>
    <t>FALL</t>
  </si>
  <si>
    <t>Average NHI</t>
  </si>
  <si>
    <t>GREEN HARVEST</t>
  </si>
  <si>
    <t>RED (Mature) harvest</t>
  </si>
  <si>
    <t>(Based on transplanting.</t>
  </si>
  <si>
    <t>Overall Notes:                                                                                                                Spring and Fall found to have different and characteristic uptake patterns in both China and Spain; separate curves may be appropriate. All studies are greenhouse grown transplanted. California produces cucumbers in all seasons</t>
  </si>
  <si>
    <t xml:space="preserve"> </t>
  </si>
  <si>
    <t>Field-grown</t>
  </si>
  <si>
    <t>All based on "days after transplanting"</t>
  </si>
  <si>
    <t>Winter</t>
  </si>
  <si>
    <t xml:space="preserve">Overall Notes:                                                                                       Rosati and Troisi uptake amounts include an estimate of root uptake. Values (% season) are days after transplanting. Transplanting is the common planting method in CA, though direct seeding is also practiced (as of 1998)                                                                                                     </t>
  </si>
  <si>
    <t>Kutman et al., 2011</t>
  </si>
  <si>
    <t>Balcali2000</t>
  </si>
  <si>
    <t>Turkey, Greenhouse</t>
  </si>
  <si>
    <t>250 mg N/kg dry soil</t>
  </si>
  <si>
    <t>Stem elongation (Zadok 3.0)</t>
  </si>
  <si>
    <t>Stem elongation (Zadok 3.5)</t>
  </si>
  <si>
    <t>Booting (Z-4.9)</t>
  </si>
  <si>
    <t>Anthesis halfway (Z 6.5)</t>
  </si>
  <si>
    <t>Kernel watery ripe (z 7.1)</t>
  </si>
  <si>
    <t>Late milk (Z 7.7)</t>
  </si>
  <si>
    <t>Soft dough (Z 8.5)</t>
  </si>
  <si>
    <t>Ripe seed (Z 9.9)</t>
  </si>
  <si>
    <t>Days ater sowing</t>
  </si>
  <si>
    <t>mg/plant</t>
  </si>
  <si>
    <t>Zn deficient soil, greenhouse trial</t>
  </si>
  <si>
    <t xml:space="preserve">Kutman, U.B., Yildiz, H., Cakmak, I., 2011. Effect of nitrogen on uptake, remobilization and partitioning of zinc and iron throughout the development of durum wheat. Plant and Soil 342, 149-164. </t>
  </si>
  <si>
    <t>Zubaidi_et_al_1999</t>
  </si>
  <si>
    <t>Australia, field</t>
  </si>
  <si>
    <t>9 durum wheat varieties</t>
  </si>
  <si>
    <t>Sowing</t>
  </si>
  <si>
    <t>1-2 tillers/plant</t>
  </si>
  <si>
    <t>kg/ha</t>
  </si>
  <si>
    <t>Winter (June-Nov)</t>
  </si>
  <si>
    <t>Early grain filling</t>
  </si>
  <si>
    <t>Liang et al., 2014</t>
  </si>
  <si>
    <t>Duraking, Topper, Kronons, Havasu, Orita, Ocotillo</t>
  </si>
  <si>
    <t>Arizona, field</t>
  </si>
  <si>
    <t xml:space="preserve">Dec-April </t>
  </si>
  <si>
    <t>Feekes 5</t>
  </si>
  <si>
    <t>Feekes 10</t>
  </si>
  <si>
    <t>Feekes 10.5</t>
  </si>
  <si>
    <t>Harvest</t>
  </si>
  <si>
    <t>days after sowing</t>
  </si>
  <si>
    <t>Feekes 2</t>
  </si>
  <si>
    <t>Feekes 1</t>
  </si>
  <si>
    <t>flowering</t>
  </si>
  <si>
    <t>tillering</t>
  </si>
  <si>
    <t>booting</t>
  </si>
  <si>
    <t>Scholberg et al., 2000</t>
  </si>
  <si>
    <t>'Sunny'</t>
  </si>
  <si>
    <t>'Solarset'</t>
  </si>
  <si>
    <t>Bradenton, FL</t>
  </si>
  <si>
    <t>Quincy, FL</t>
  </si>
  <si>
    <t>kg N/ha</t>
  </si>
  <si>
    <t>Ren et al., 2010</t>
  </si>
  <si>
    <t>China, Greenhouse</t>
  </si>
  <si>
    <t>Jinpeng #1</t>
  </si>
  <si>
    <t>Brewster</t>
  </si>
  <si>
    <t>Qianxi (Cherry)</t>
  </si>
  <si>
    <t>Qianxi (cherry)</t>
  </si>
  <si>
    <t>1st harvest</t>
  </si>
  <si>
    <t>DAT</t>
  </si>
  <si>
    <t>Autumn</t>
  </si>
  <si>
    <t>Autum</t>
  </si>
  <si>
    <t xml:space="preserve">Ren, T., Christie, P., Wang, J., Chen, Q., Zhang, F., 2010. Root zone soil nitrogen management to maintain high tomato yields and minimum nitrogen losses to the environment. Scientia Horticultuarae 125, 25-33. </t>
  </si>
  <si>
    <t xml:space="preserve">Overall Notes:                                                                                                      Decided not to use autumn curves from the greenhouse study (planting in late summer), as the curve shape was very different and this system isn't common in CA. Autumn curve shape from the field-grown tomatoes didn't differ from the spring curve, so included the data.  </t>
  </si>
  <si>
    <t>Transplated</t>
  </si>
  <si>
    <t>Included general info for several varieties</t>
  </si>
  <si>
    <t>Initial flowering ~4 weeks after transplanting,</t>
  </si>
  <si>
    <t>In China greenhouse, first harvest occurred 60-70% of the way through the season</t>
  </si>
  <si>
    <t xml:space="preserve">Scholberg, J., McNeal, B., Boote, K.J., Jones, J.W., Locascio, S.J., Olson, S.M., 2000. Nitrogen stress effects on grown and nitrogen accumulation by field-grown tomato. Additional info in: Scholberg, J., McNeal, B.L., Jones, J.W., Boote, K.J., Stanley, C.D., Obreza, T.A., 2000. Growth and canopy characteristics of field-grown tomato. Agronomy Journal 92, 152-159.  </t>
  </si>
  <si>
    <t>Linear fruit growth ~ 6 weeks after transplanting</t>
  </si>
  <si>
    <t>In other solanums, early bloom coincides with beginning of accelerated uptake</t>
  </si>
  <si>
    <t>No information on phenological stage given</t>
  </si>
  <si>
    <t>Crop</t>
  </si>
  <si>
    <t>Beet (beetroot; 2,700 acres)</t>
  </si>
  <si>
    <t>Durum wheat for grain (135,500 acres)</t>
  </si>
  <si>
    <t>Sugar beets (27,200 acres)</t>
  </si>
  <si>
    <t>Oats for grain (25,100 acres)</t>
  </si>
  <si>
    <t>Rye for grain (1,800 acres)</t>
  </si>
  <si>
    <t>Cabbage (9,800 acres)</t>
  </si>
  <si>
    <t>Small grain for hay (370,700 acres)</t>
  </si>
  <si>
    <t>Sorghum for grain (13,900 acres)</t>
  </si>
  <si>
    <t>Sweet potatoes (18,200 acres)</t>
  </si>
  <si>
    <t>Sweet corn (32,700 acres)</t>
  </si>
  <si>
    <t>Triticale for grain (14,700 acres)</t>
  </si>
  <si>
    <t>Cucumbers (7,900 acres)</t>
  </si>
  <si>
    <t>Bell pepper (19,200 acres)</t>
  </si>
  <si>
    <t>Chile peppers (7,000 acres)</t>
  </si>
  <si>
    <t>Watermelon (13,400 acres)</t>
  </si>
  <si>
    <t>Eggplant (1,200 acres)</t>
  </si>
  <si>
    <t>Zucchini (included in the acreage for squash)</t>
  </si>
  <si>
    <t>Fresh market tomatoes (39,200 acres)</t>
  </si>
  <si>
    <t>Uptake curve</t>
  </si>
  <si>
    <t>NHI</t>
  </si>
  <si>
    <t>Phenological information</t>
  </si>
  <si>
    <t>Literature</t>
  </si>
  <si>
    <t>yes</t>
  </si>
  <si>
    <t>started</t>
  </si>
  <si>
    <t>yes, though not satisfactory</t>
  </si>
  <si>
    <t>some</t>
  </si>
  <si>
    <t>yes, but may want to look for other studies</t>
  </si>
  <si>
    <t>no, but may not be possible</t>
  </si>
  <si>
    <t>Phenological information for Scholberg provided by companion paper</t>
  </si>
  <si>
    <t>Needs to be finished, final report written</t>
  </si>
  <si>
    <t>Should have all data by</t>
  </si>
  <si>
    <t>Dec 2017 (?)</t>
  </si>
  <si>
    <t>Zotarelli et al., 2009</t>
  </si>
  <si>
    <t>'Florida 47'</t>
  </si>
  <si>
    <t>Citra, FL</t>
  </si>
  <si>
    <t>Transplanted, harvested 70,77,86 DAT</t>
  </si>
  <si>
    <t>Smith et al., 2016</t>
  </si>
  <si>
    <t>Salinas Valley, CA</t>
  </si>
  <si>
    <t>March-Nov.</t>
  </si>
  <si>
    <t>March</t>
  </si>
  <si>
    <t>Nov</t>
  </si>
  <si>
    <t>Smith, R., Cahn, M., Hartz, T., Love, P., Farrara, B., 2016. Nitrogen dynamics of cole crop production: implications for fertility management and environmental protection. HortScience 51, 1586-1591.</t>
  </si>
  <si>
    <t>winter</t>
  </si>
  <si>
    <t>Imperial Valley, California</t>
  </si>
  <si>
    <t>Days after planting</t>
  </si>
  <si>
    <t>lbs/acre</t>
  </si>
  <si>
    <t>Daniel's data, no NHI yet</t>
  </si>
  <si>
    <t xml:space="preserve">Overall Notes:       Great paper! Not yet finished exracting data, would like to get phenology data                                                                                                         </t>
  </si>
  <si>
    <t>14 unfinished crops</t>
  </si>
  <si>
    <t>Try to have everything done by April, I think</t>
  </si>
  <si>
    <t>Aim to finish 2 crops/week</t>
  </si>
  <si>
    <t>Top growth declines</t>
  </si>
  <si>
    <t>About a weeks after this, rapid DM production ("slow for 1st 90 days of growth"--early January)</t>
  </si>
  <si>
    <t xml:space="preserve">Mackenzie, A.J., Stockinger, K.R., Krantz, B.A., 1957. Growth and Nutrient Uptake of Sugar Beets in the Imperial Valley, California. Journal of the American Society of Sugar Beet Technology 9,400-407. </t>
  </si>
  <si>
    <t>Phenology from Hoepting et al., 2017</t>
  </si>
  <si>
    <t>Mackenzie et al., 1957</t>
  </si>
  <si>
    <t>Feller and Fink, 2002</t>
  </si>
  <si>
    <t>Germany</t>
  </si>
  <si>
    <t xml:space="preserve">Feller, C., Fink, M., 2002. Nitrogen uptake by table beet--validation of a model. Journal of the American Society for Horticultural Science 127, 1013-1017. </t>
  </si>
  <si>
    <t>Bolivar</t>
  </si>
  <si>
    <t>Kosak</t>
  </si>
  <si>
    <t>Rote Kugel (baby type)</t>
  </si>
  <si>
    <t>Days after sowing</t>
  </si>
  <si>
    <t>Boltardy</t>
  </si>
  <si>
    <t>made some up based on beetroot</t>
  </si>
  <si>
    <t xml:space="preserve">Overall Notes:         From Beet Prdxn in CA-- they are usually seeded in March/April (cool season). Our season is quite a bit shorter-- 42-56 for fresh market beets, 60-70 for processing beets, 70=80 for cylindrical beets. However, harvest timing depends on desired size. Their varieties, except the baby beet, would be about Grade 3 (the largest size, and rare-ish) for us.  The baby beet is more our normal size.They only give one curve and it's atypical... should I use that instead? Beetroot usually topped for processing; beets for bunching have leaves still attached.             I can't really find any phenological information. I could make a guess, but...                                                                                 </t>
  </si>
  <si>
    <t>red=baby beets (Rote Kugel)</t>
  </si>
  <si>
    <t>Swiader, 1985</t>
  </si>
  <si>
    <t>Illinois--dryland</t>
  </si>
  <si>
    <t>Vine initiation</t>
  </si>
  <si>
    <t>First female flower</t>
  </si>
  <si>
    <t>Early fruiting</t>
  </si>
  <si>
    <t>Mid-fruiting</t>
  </si>
  <si>
    <t>Late fruiting</t>
  </si>
  <si>
    <r>
      <t>Libby Select' (</t>
    </r>
    <r>
      <rPr>
        <i/>
        <sz val="11"/>
        <color theme="1"/>
        <rFont val="Calibri"/>
        <family val="2"/>
        <scheme val="minor"/>
      </rPr>
      <t>C.Moschata</t>
    </r>
    <r>
      <rPr>
        <sz val="11"/>
        <color theme="1"/>
        <rFont val="Calibri"/>
        <family val="2"/>
        <scheme val="minor"/>
      </rPr>
      <t xml:space="preserve"> Poir)</t>
    </r>
  </si>
  <si>
    <t>Illinois--irrigated</t>
  </si>
  <si>
    <t>g/plant</t>
  </si>
  <si>
    <t>% season</t>
  </si>
  <si>
    <t>% uptake</t>
  </si>
  <si>
    <t xml:space="preserve">Swiader, J.M., 1985. Seasonal growth and composition and accumulation of N-P-K in dryland and irrigated pumpkins. Journal of Plant Nutrition 8, 909-919. </t>
  </si>
  <si>
    <t>Zotarelli et al., 2008</t>
  </si>
  <si>
    <t>Florida (field)</t>
  </si>
  <si>
    <t>fall-sown</t>
  </si>
  <si>
    <t>DAS</t>
  </si>
  <si>
    <t>Shape is flatter for low-N trt</t>
  </si>
  <si>
    <t>Rodas-Gaitan et al., 2012</t>
  </si>
  <si>
    <t>Mexico (field)</t>
  </si>
  <si>
    <t>Spring-sown</t>
  </si>
  <si>
    <t>'Contender'</t>
  </si>
  <si>
    <t>Paper is in Spanish</t>
  </si>
  <si>
    <t>Start of harvest</t>
  </si>
  <si>
    <t>Wildcat ("Study 2")</t>
  </si>
  <si>
    <t>days after emergence</t>
  </si>
  <si>
    <t>Vidigal et al., 2007</t>
  </si>
  <si>
    <r>
      <t xml:space="preserve">'Suprema' *(Tetsukabota type, </t>
    </r>
    <r>
      <rPr>
        <i/>
        <sz val="11"/>
        <color theme="1"/>
        <rFont val="Calibri"/>
        <family val="2"/>
        <scheme val="minor"/>
      </rPr>
      <t xml:space="preserve">C. maxima </t>
    </r>
    <r>
      <rPr>
        <sz val="11"/>
        <color theme="1"/>
        <rFont val="Calibri"/>
        <family val="2"/>
        <scheme val="minor"/>
      </rPr>
      <t xml:space="preserve">x </t>
    </r>
    <r>
      <rPr>
        <i/>
        <sz val="11"/>
        <color theme="1"/>
        <rFont val="Calibri"/>
        <family val="2"/>
        <scheme val="minor"/>
      </rPr>
      <t>C.moschata</t>
    </r>
    <r>
      <rPr>
        <sz val="11"/>
        <color theme="1"/>
        <rFont val="Calibri"/>
        <family val="2"/>
        <scheme val="minor"/>
      </rPr>
      <t>; seedless hybrid)</t>
    </r>
  </si>
  <si>
    <t>Brazil</t>
  </si>
  <si>
    <t>Vidigal, S.M., Pacheco, D.D., Facion, C.E., 2007. Crescimento e ecumulo de nutrientes pela abobora hybrida tipo Tetsukabuto. Horticultura Brasileira 25, 375-380.</t>
  </si>
  <si>
    <r>
      <t xml:space="preserve">Overall Notes:                                                                                                                       Pie-type pumpkins grown in Illinois; more closely related to butternut than what's grown as 'pumpkin' in California. Our season is similar though, 90-120 days. Other variety is a winter squash popular in Brazil, </t>
    </r>
    <r>
      <rPr>
        <i/>
        <sz val="11"/>
        <color theme="1"/>
        <rFont val="Calibri"/>
        <family val="2"/>
        <scheme val="minor"/>
      </rPr>
      <t xml:space="preserve">C. maxima </t>
    </r>
    <r>
      <rPr>
        <sz val="11"/>
        <color theme="1"/>
        <rFont val="Calibri"/>
        <family val="2"/>
        <scheme val="minor"/>
      </rPr>
      <t xml:space="preserve">x </t>
    </r>
    <r>
      <rPr>
        <i/>
        <sz val="11"/>
        <color theme="1"/>
        <rFont val="Calibri"/>
        <family val="2"/>
        <scheme val="minor"/>
      </rPr>
      <t>moschata</t>
    </r>
    <r>
      <rPr>
        <sz val="11"/>
        <color theme="1"/>
        <rFont val="Calibri"/>
        <family val="2"/>
        <scheme val="minor"/>
      </rPr>
      <t xml:space="preserve">, a seedless hybrid. Growth stages from the Swiader paper. </t>
    </r>
  </si>
  <si>
    <t>use zucchini</t>
  </si>
  <si>
    <t>Winter squash (pumpkin) (6,200 acres)</t>
  </si>
  <si>
    <t>Summer squash  (7,800 acres)</t>
  </si>
  <si>
    <t>m</t>
  </si>
  <si>
    <t xml:space="preserve">Note on summer squash..zucchini is a variety of summer squash and there is much more material. I'm afraid my numbers for summer squash are skewed by one paper that was very different from everything else, and had a lot of observations.  May be more accurate just to use zucchini numbers? Otherwise may look artificially different from zucchini, which I can't imagine it is. </t>
  </si>
  <si>
    <t>Macedo de Lucena et al., 2011</t>
  </si>
  <si>
    <t>brazil</t>
  </si>
  <si>
    <t>'Quetzal'</t>
  </si>
  <si>
    <t>Fruit set @ 42 DAT</t>
  </si>
  <si>
    <t>de Lucena</t>
  </si>
  <si>
    <t>Macedo de Lucena, R.R., Zuleide de Negreiros, M., de Medieros, J.F., Costa Grangeiro, L., de Tarcio Pereira Marrocos, S., 2011. Crescimento e acumulo de macronutrientes em malancia 'Quetzale' cultivada sob diferentes niveis de salinidade da agua de irrigacao. Revista Caatinga 24 (1), 34-42.</t>
  </si>
  <si>
    <t>Grangeiro and Filho, 2004</t>
  </si>
  <si>
    <t>Spring/ Summer</t>
  </si>
  <si>
    <t>'Tide' (hybrid)</t>
  </si>
  <si>
    <t>First fruit (35-40 DAT)</t>
  </si>
  <si>
    <t>End of vegetative growth</t>
  </si>
  <si>
    <t>Grangeiro, 2004</t>
  </si>
  <si>
    <t>Grangeiro, L.C., Cecilio Filho, A.B., 2004. Acumulo e exportacao de macronutrientes pelo hibrido de melancia Tide. Horticultura Brasiliera 22 (1), 93-97.</t>
  </si>
  <si>
    <t>Grangeiro, L.C., Cecilio Filho, A.B., 2005. Acumulo e exportacao de macronutrientes em melancia sem sementes. Horticultura Brasiliera 22 (1), 93-97.</t>
  </si>
  <si>
    <t>Grangeiro and Filho, 2005</t>
  </si>
  <si>
    <t>I think this variety may have seeds..there's a "Crimson Tide" that does</t>
  </si>
  <si>
    <t>'Nova' (seedless hybrid</t>
  </si>
  <si>
    <t>Grangeiro 2005</t>
  </si>
  <si>
    <t>First flowers (25-30 DAT)</t>
  </si>
  <si>
    <t>Doerge et al., 1991</t>
  </si>
  <si>
    <t>'Mirage'</t>
  </si>
  <si>
    <t>Arizona</t>
  </si>
  <si>
    <t>DAP</t>
  </si>
  <si>
    <t>Doerge, 1991</t>
  </si>
  <si>
    <t xml:space="preserve">Doerge, T.A., Pritchard, K.H., Pier, J.W., Fernández, P., McCreary, T.W., 1991. Nitrogen utilization efficiency in melons using soluble and slow release fertilizers. University of Arizona College of Agriculture, Vegetable Report. </t>
  </si>
  <si>
    <t>Spring/summer</t>
  </si>
  <si>
    <t>3-4 leaves</t>
  </si>
  <si>
    <t>3-in melons</t>
  </si>
  <si>
    <t>10-in melons</t>
  </si>
  <si>
    <t>Yes</t>
  </si>
  <si>
    <t>Doerge et al., 1990</t>
  </si>
  <si>
    <t>'Sweetie 82'</t>
  </si>
  <si>
    <t>V5</t>
  </si>
  <si>
    <t>V8</t>
  </si>
  <si>
    <t>V10</t>
  </si>
  <si>
    <t>VT</t>
  </si>
  <si>
    <t>R1</t>
  </si>
  <si>
    <t>Doerge, 1990 (used only two higher N rates)</t>
  </si>
  <si>
    <t xml:space="preserve">Doerge, T. A., Stroehlein, J. L., Tucker, T. C., Fangmeier, D. D., Oebker, N. F., McCreary, T. W., Husman, S. H., 1990. Effects of Nitrogen and Water Rates on Nitrogen Uptake Dynamics in Drip Irrigated Sweet Corn. University of Arizona Vegetable Report, 1990. </t>
  </si>
  <si>
    <t>Doerge et al., 1989</t>
  </si>
  <si>
    <t>'Jubilee'</t>
  </si>
  <si>
    <t>7.2 (max)</t>
  </si>
  <si>
    <t>7.8 (max)</t>
  </si>
  <si>
    <t>V1</t>
  </si>
  <si>
    <t>V4</t>
  </si>
  <si>
    <t>V6</t>
  </si>
  <si>
    <t>V11</t>
  </si>
  <si>
    <t xml:space="preserve">Doerge, T. A., Stroehlein, J. L., Tucker, T. C., Fangmeier, D. D., Oebker, N. F., McCreary, T. W., Husman, S. H., Lakatos, E.A., 1990. Nitrogen and Water Effects on the Growth, Yield and Quality of Drip Irrigated Sweet Corn. University of Arizona Vegetable Report, 1989. </t>
  </si>
  <si>
    <t>Doerge et al., 1989 (used only highest N rate, others deficient)</t>
  </si>
  <si>
    <t>Wu et al., 1993</t>
  </si>
  <si>
    <t>China</t>
  </si>
  <si>
    <t>'Sweet Corn II'</t>
  </si>
  <si>
    <t>Stem elongation</t>
  </si>
  <si>
    <t>Tassel initiation</t>
  </si>
  <si>
    <t>Tasselling</t>
  </si>
  <si>
    <t>Silking</t>
  </si>
  <si>
    <t>Maturity</t>
  </si>
  <si>
    <t xml:space="preserve">Overall Notes:           Used only well-fertilized treatments. Manipulated curve so characteristic shape (decrease in uptake rate between tasseling and R1) is evident . However! This shape only seems to happen in corn that isn't N deficient..possibly because pollination is better so there's more grain to fill? When N is deficient it flattens out.                                                                                                 </t>
  </si>
  <si>
    <t>Osaki et al., 1995b</t>
  </si>
  <si>
    <t>'Beniazuma'</t>
  </si>
  <si>
    <t>Japan</t>
  </si>
  <si>
    <t>g/m2</t>
  </si>
  <si>
    <t>Osaki, M., Ueda, H., Shinano, T., Matsui, H., Tadano, T., 1995b. Accumulation of carbon and nitrogen compounds in sweet potato plants grown under deficiency of N, P or K nutrients. Soil Science and Plant Nutrition 41, 557-566</t>
  </si>
  <si>
    <t>Osaki et al., 1995</t>
  </si>
  <si>
    <t>They estimate real growth ended at about 110 DAT but waited 19 days longer for the final harvest. 110 DAT is therefore used as being more representative of normal growing conditions</t>
  </si>
  <si>
    <t>Storage root intiation</t>
  </si>
  <si>
    <t xml:space="preserve">Rapid storage root bulking </t>
  </si>
  <si>
    <t>Echer et al., 2009</t>
  </si>
  <si>
    <t>'Canadense'</t>
  </si>
  <si>
    <t>(Japanese white-flesh variety)</t>
  </si>
  <si>
    <t>(red skin, white flesh)</t>
  </si>
  <si>
    <t xml:space="preserve">Overall Notes:                I am really unsure about the shape of this curve. All the studies I could find have much different curve shapes, even within the same variety/study. None of the varieties are similar to those grown in California.                                                                                                 </t>
  </si>
  <si>
    <t>Osaki, M., Ueda, H., Shinano, T., Matsui, H., Tadano, T., 1995a. Accumulation of carbon and nitrogen compounds in sweet potato plants grown under different nitrogen application rates. Soil Science and Plant Nutrition 41, 547-555</t>
  </si>
  <si>
    <t>Echer</t>
  </si>
  <si>
    <t>Echer, F.R., Dominato, J.C., Creste, J.E., 2009. Absorbacao de nutrientes e distribuicao da massa fresca e seca  entre orgaos de batata-doce. Horticultura Brasiliera 27, 176-182.</t>
  </si>
  <si>
    <t>Yes, but may want to find more if possible</t>
  </si>
  <si>
    <t>More or less, but not satisfactory</t>
  </si>
  <si>
    <t>Saskatchewan</t>
  </si>
  <si>
    <t>CDC Boyer</t>
  </si>
  <si>
    <t>Yields, uptake lower in 1999 bc of hailstorm during heading</t>
  </si>
  <si>
    <t xml:space="preserve">Overall Notes:               Maximum biomass at ripening (~89-90 DAE)    . Max rate of nutrient uptake @ tillering - stem elcongation (22-36 DAE), max aount flowering to med mil (61-75 DAE.                                      </t>
  </si>
  <si>
    <t>tillering-stem elongation</t>
  </si>
  <si>
    <t>22-36</t>
  </si>
  <si>
    <t>late boot</t>
  </si>
  <si>
    <t>46-47</t>
  </si>
  <si>
    <t>flowering-med milk</t>
  </si>
  <si>
    <t>61-75</t>
  </si>
  <si>
    <t>late milk-riperning</t>
  </si>
  <si>
    <t>80-90</t>
  </si>
  <si>
    <t>ripening</t>
  </si>
  <si>
    <t>89-90</t>
  </si>
  <si>
    <t>max uptake occurred earlier than biomass</t>
  </si>
  <si>
    <t>DAE</t>
  </si>
  <si>
    <t>Malhi et al., 2006</t>
  </si>
  <si>
    <t>Flowering</t>
  </si>
  <si>
    <t>Tillering</t>
  </si>
  <si>
    <t>Booting</t>
  </si>
  <si>
    <t>Ripening</t>
  </si>
  <si>
    <t>Neugschwandtner et al., 2014</t>
  </si>
  <si>
    <t>'Jumbo'</t>
  </si>
  <si>
    <t>Austria</t>
  </si>
  <si>
    <t>various, averaged</t>
  </si>
  <si>
    <t>Neughthiothekahgkds, 2014</t>
  </si>
  <si>
    <t>Zhou et al., 2013</t>
  </si>
  <si>
    <t>'Gosling'</t>
  </si>
  <si>
    <t>Ottawa</t>
  </si>
  <si>
    <t>Heading</t>
  </si>
  <si>
    <t>early May</t>
  </si>
  <si>
    <t>Rumberg and Sneva, 1970</t>
  </si>
  <si>
    <t>Oregon (Greenhouse)</t>
  </si>
  <si>
    <t>June 3rd=early jointing</t>
  </si>
  <si>
    <t>days after tillering</t>
  </si>
  <si>
    <t>Anthesis begins ~30 days after early jointing</t>
  </si>
  <si>
    <t>Mugwira and Bishnoi, 1980</t>
  </si>
  <si>
    <t>'Abruzzi'</t>
  </si>
  <si>
    <t>Alabama</t>
  </si>
  <si>
    <t>Strongly erect</t>
  </si>
  <si>
    <t>Stem extension</t>
  </si>
  <si>
    <t>Flowering over</t>
  </si>
  <si>
    <t>Ripe for cutting</t>
  </si>
  <si>
    <t>Heading half complete</t>
  </si>
  <si>
    <t xml:space="preserve">Mugwira, L.M., Bishnoi, U.R., 1980. Triticale, wheat and rye growth rates and mineral accumulation at various growth stages. Communications in Soil Science and Plant Analysis 11, 1129-1146. </t>
  </si>
  <si>
    <t>Rumberg and Sneva, 1970. Accumulation and loss of nitrogen during growth and maturation of cereal rye (Secale cereale). Agronomy Journal 62, 311-313.</t>
  </si>
  <si>
    <t>Lithourgidis and Dordas, 2010</t>
  </si>
  <si>
    <t>'Macedonia'</t>
  </si>
  <si>
    <t>2007-2009</t>
  </si>
  <si>
    <t>~mid-May</t>
  </si>
  <si>
    <t>All these are spring oats</t>
  </si>
  <si>
    <t>days till tillering</t>
  </si>
  <si>
    <t>days till ripe</t>
  </si>
  <si>
    <t>days to tillering</t>
  </si>
  <si>
    <t>days till flowering</t>
  </si>
  <si>
    <t>days to flowering</t>
  </si>
  <si>
    <t>Not too much difference btween regions in days to tillering, more with days to flowering</t>
  </si>
  <si>
    <t>Intermountain</t>
  </si>
  <si>
    <t>SJV</t>
  </si>
  <si>
    <t>'6TA 131'</t>
  </si>
  <si>
    <t>From Small Grains Handbook</t>
  </si>
  <si>
    <t>Greece</t>
  </si>
  <si>
    <t>Time (normalized for CA</t>
  </si>
  <si>
    <t>Original</t>
  </si>
  <si>
    <t>CA</t>
  </si>
  <si>
    <t>Feeekes est.</t>
  </si>
  <si>
    <t>Feekes 11.0: Ripening. The last stage and further divided by the characteristics of the maturing grain. These subdivisions include: milk stage (11.1), mealy stage (11.2), hard kernel (11.3) and harvest ready (11.4). Temperature and daylength will determine how quickly a wheat crop moves through each stage.</t>
  </si>
  <si>
    <t>Overall Notes:      No planting date give for Rumberg and Stuva paper; assume same amount of time between  planting and "early jointing" as planting and "strongly erect" in Mugwira and Bishnoi paper    .  Used Califronia wheat timing, synced with growth stages in Mugwira and Bishnoi. Tillering ~20%-30% of season, stem extension/ jointing 40-60, flowering ~ 70-80</t>
  </si>
  <si>
    <t>7,8</t>
  </si>
  <si>
    <t>This study</t>
  </si>
  <si>
    <t>Feekes</t>
  </si>
  <si>
    <t>This study--TIME</t>
  </si>
  <si>
    <t>California-adujsted --TIME</t>
  </si>
  <si>
    <t>Overall Notes:                                                                                                                Adjusted based on timing of wheat stages in California. Used Sacramento Valley</t>
  </si>
  <si>
    <t>est. CA</t>
  </si>
  <si>
    <t>May want to do different curves for spring and winter; or for different regions?</t>
  </si>
  <si>
    <t>Amouzou et al., 2018</t>
  </si>
  <si>
    <t>Benin</t>
  </si>
  <si>
    <t>Local</t>
  </si>
  <si>
    <t>39, irrigation</t>
  </si>
  <si>
    <t>Anthesis @92 DAP</t>
  </si>
  <si>
    <t>Physiological maturity =123 DAP</t>
  </si>
  <si>
    <t xml:space="preserve">Overall Notes:              </t>
  </si>
  <si>
    <t>Youngquist and Maranville, 1992</t>
  </si>
  <si>
    <t>Nebraska</t>
  </si>
  <si>
    <t>planting</t>
  </si>
  <si>
    <t>Panicle initiation</t>
  </si>
  <si>
    <t>Pre-boot</t>
  </si>
  <si>
    <t>Anthesis</t>
  </si>
  <si>
    <t>Soft dough</t>
  </si>
  <si>
    <t>Black layer</t>
  </si>
  <si>
    <t>Nakamura et al., 2002</t>
  </si>
  <si>
    <t>India</t>
  </si>
  <si>
    <t>CSH 9</t>
  </si>
  <si>
    <t>FSRP</t>
  </si>
  <si>
    <t>Nakamoto et al., 2002 (used 100 N field, only)</t>
  </si>
  <si>
    <t>Booting around 60 DAE</t>
  </si>
  <si>
    <t>Amouzou, K.A., Naab, J.B., Lamers, J.P.A., Becker, M., 2018. CERES-Maize and CERES-Sorghum for modeling growth, nitrogen and phosphorus uptake, and soil moisture dynamics in the dry savanna of West Africa. Field Crops Research 217, 134-149.</t>
  </si>
  <si>
    <t xml:space="preserve">Youngquist, J.B., Maranville, J.W., 1992. Patterns of nitrogen mobilization in grain sorghum hybrids and the relationship to grain and dry matter production. Journal of Plant Nutrition 15, 445-455. </t>
  </si>
  <si>
    <t xml:space="preserve">Nakamura, T., Adu-Gyamfi, J.J., Yamamoto, A., Ishikawa, S., Nakano, H., Ito, O., 2002. Varietal differences in root growth as related to nitrogen uptake by sorghum plants in low-nitrogen environment. Plant and Soil 245, 17-24. </t>
  </si>
  <si>
    <t>Crohn et al., 2009</t>
  </si>
  <si>
    <t>Central Valley</t>
  </si>
  <si>
    <t>Use "fit 4"-- same parameters for all cultivars</t>
  </si>
  <si>
    <t>b</t>
  </si>
  <si>
    <r>
      <t>a (GDD</t>
    </r>
    <r>
      <rPr>
        <vertAlign val="superscript"/>
        <sz val="11"/>
        <color theme="1"/>
        <rFont val="Calibri"/>
        <family val="2"/>
        <scheme val="minor"/>
      </rPr>
      <t>-1</t>
    </r>
    <r>
      <rPr>
        <sz val="11"/>
        <color theme="1"/>
        <rFont val="Calibri"/>
        <family val="2"/>
        <scheme val="minor"/>
      </rPr>
      <t>)</t>
    </r>
  </si>
  <si>
    <t>dmax (GDD)</t>
  </si>
  <si>
    <t>Bartali Italian ryegrass</t>
  </si>
  <si>
    <t>Big Daddy italian Ryegrass</t>
  </si>
  <si>
    <t>Nd=mass in crop @ thermal time D</t>
  </si>
  <si>
    <t>Nhvst</t>
  </si>
  <si>
    <t>Dhvst</t>
  </si>
  <si>
    <t>GDD</t>
  </si>
  <si>
    <t>Cayuse oat</t>
  </si>
  <si>
    <t>10/18/199</t>
  </si>
  <si>
    <t>Dirkwin wheat</t>
  </si>
  <si>
    <t>Ensiler oat</t>
  </si>
  <si>
    <t>Longhorn wheat</t>
  </si>
  <si>
    <t>Swan Oat</t>
  </si>
  <si>
    <t>Trical 2700 Triticale</t>
  </si>
  <si>
    <t>11/4/1998 Modesto</t>
  </si>
  <si>
    <t>11/4/1998 Hickman</t>
  </si>
  <si>
    <t xml:space="preserve">Overall Notes:              I took their equation for the N uptake at growing degree day, "Fit 4", which uses the same parameters for all cultivars. I used the values they gave for the total season GDD to create GDD for 0,20,40, 50, 60, 80 and 100% of the season and the equation to calculate the N uptake. I then did a best fit 3rd-order polynomial trendline through the average to get an average  curve.                                                                                                   </t>
  </si>
  <si>
    <t>Note: This N uptake curve is based on data from a variety of representative small grain hay varieties and planting dates from several sites in the Central Valley.</t>
  </si>
  <si>
    <t>yes but not satisfactory</t>
  </si>
  <si>
    <t>Crohn, D.M., Mathews, M.C., Putnam, D.H., 1009. Nitrogen content curves for small grain forage crops. Transactions of the American Society of Agricultural and Biological Engineers 52, 459-467.</t>
  </si>
  <si>
    <t>Only use this one</t>
  </si>
  <si>
    <t>Contreras, J.I., Lopez, J.G., Lao, M.T., Eymar, E.,. Segura, M.L., 2013. Dry-matter allocation and nutrient uptake dynamic in pepper plant irrigated with recycled water by different nitrogen and potassium rate. Communications in Soil Science and Plant Analysis 44, 758-766.</t>
  </si>
  <si>
    <t xml:space="preserve">Zotarelli, L., Dukes, M.D., Scholberg, J.M.S., Munoz-Carpena, R., Icerman, J., 2009. Tomato nitrogen accumulation and fertilizer use efficiency on a sandy soil, as affected by nitrogen rate and irrigation scheduling. Agricultural Water Management 96, 1247-1258. </t>
  </si>
  <si>
    <t xml:space="preserve">Liang, Z., Bronson, K.F., Thorp, K.R., Mon, J., Badaruddin, M., Wang, G., 2014. Cultivar and N fertilizer rate affect yield and N use efficiency in irrigated durum wheat. Crop Science 54, 1175-1183. </t>
  </si>
  <si>
    <t xml:space="preserve">Zotarelli, L., Dukes, M.D., Scholberg, J.M.S., Hanselman, T., Le Femminella, K.,  Munoz-Carpena, R., 2008. Nitrogen use and water use efficiency of zucchini squash for a plastic mulch bed system on a sandy soil. Scientia Horticulturae 116, 8-16. </t>
  </si>
  <si>
    <r>
      <t>Rodas-Gaitan, H., A., Rodriguez-Fuentes, H., Ojeda-Zacarias, M. del, Vidales-Contreras, J.A., Luna-Maldonado, A.I., 2012. Curvas de absorbcion de macronutrientes en calabacita italiana (</t>
    </r>
    <r>
      <rPr>
        <i/>
        <sz val="11"/>
        <color theme="1"/>
        <rFont val="Calibri"/>
        <family val="2"/>
        <scheme val="minor"/>
      </rPr>
      <t xml:space="preserve">Cucurbita pepo </t>
    </r>
    <r>
      <rPr>
        <sz val="11"/>
        <color theme="1"/>
        <rFont val="Calibri"/>
        <family val="2"/>
        <scheme val="minor"/>
      </rPr>
      <t xml:space="preserve">L.). Rev. Fitotec. Mex. 35(5), 57-60. </t>
    </r>
  </si>
  <si>
    <t xml:space="preserve">Wu, P., Dai, Q., Tao, Q., 1993. Effect of fertilizer rates on the growth, yield and kernel composition of sweet corn. Communications in Soil Science and Plant Analysis, 24, 237-253. </t>
  </si>
  <si>
    <t>Malhi, S.S., Johnston, A.M., Schoenau, J.J., Wang, Z.H., Vera, C.L., 2012. Seasonal biomass accumulation and nutrient uptake of wheat, barley and oat on a Blank Chernozem soil in Saskatchewan. Canadian Journal of Plant Science 86, 1005-1014.</t>
  </si>
  <si>
    <t xml:space="preserve">Neugschwandtner, R.,W., Wagentrist, H., Kaul, H.-P., 2014. Nitrogen concentrations and nitrogen yields of above-ground dry matter and chickpea during crop growth compared to pea, barley and oat in central Europe. Turkish Journal of Field Crops 19(1), 136-141. </t>
  </si>
  <si>
    <t xml:space="preserve">Zhou, Q.-P., Biswas, D.K., Ma, B.-L., 2013. Comparisons among cultivars of wheat, hulless and hulled oats: dry matter, N and P accumulation and partitioning as affected by N supply. Journal of Plant Nutrition and Soil Science 176, 929-941. </t>
  </si>
  <si>
    <t xml:space="preserve">Lithourgidis, A.S., Dordas, C.A., 2010. Forage yield, growth rate, and nitrogen uptake of faba bean intercrops with wheat, barley, and rye in three seeding ratios. Crop Science 50, 2148-2158. </t>
  </si>
  <si>
    <t>Lazicki, Lloyd and Geisseler, 2016</t>
  </si>
  <si>
    <t>Brandywine</t>
  </si>
  <si>
    <t>Yolo County</t>
  </si>
  <si>
    <t>C1</t>
  </si>
  <si>
    <t>C1+PB</t>
  </si>
  <si>
    <t>C1+PB+G</t>
  </si>
  <si>
    <t>C2</t>
  </si>
  <si>
    <t>C2+PB</t>
  </si>
  <si>
    <t>C2+PB+G</t>
  </si>
  <si>
    <t>transplant</t>
  </si>
  <si>
    <t>pre-flower</t>
  </si>
  <si>
    <t>full flower</t>
  </si>
  <si>
    <t>green fruit</t>
  </si>
  <si>
    <t>early harvest</t>
  </si>
  <si>
    <t>mid-harvest</t>
  </si>
  <si>
    <t>late harvest</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</si>
</sst>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m/d;@"/>
  </numFmts>
  <fonts count="8" x14ac:knownFonts="1">
    <font>
      <sz val="11"/>
      <color theme="1"/>
      <name val="Calibri"/>
      <family val="2"/>
      <scheme val="minor"/>
    </font>
    <font>
      <sz val="11"/>
      <color rgb="FFFF0000"/>
      <name val="Calibri"/>
      <family val="2"/>
      <scheme val="minor"/>
    </font>
    <font>
      <b/>
      <sz val="9"/>
      <color indexed="81"/>
      <name val="Tahoma"/>
      <family val="2"/>
    </font>
    <font>
      <sz val="9"/>
      <color indexed="81"/>
      <name val="Tahoma"/>
      <family val="2"/>
    </font>
    <font>
      <b/>
      <sz val="11"/>
      <color theme="1"/>
      <name val="Calibri"/>
      <family val="2"/>
      <scheme val="minor"/>
    </font>
    <font>
      <sz val="12"/>
      <color theme="1"/>
      <name val="Times New Roman"/>
      <family val="1"/>
    </font>
    <font>
      <i/>
      <sz val="11"/>
      <color theme="1"/>
      <name val="Calibri"/>
      <family val="2"/>
      <scheme val="minor"/>
    </font>
    <font>
      <vertAlign val="superscript"/>
      <sz val="11"/>
      <color theme="1"/>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rgb="FFFFFFCC"/>
        <bgColor indexed="64"/>
      </patternFill>
    </fill>
  </fills>
  <borders count="9">
    <border>
      <left/>
      <right/>
      <top/>
      <bottom/>
      <diagonal/>
    </border>
    <border>
      <left/>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s>
  <cellStyleXfs count="1">
    <xf numFmtId="0" fontId="0" fillId="0" borderId="0"/>
  </cellStyleXfs>
  <cellXfs count="273">
    <xf numFmtId="0" fontId="0" fillId="0" borderId="0" xfId="0"/>
    <xf numFmtId="14" fontId="0" fillId="0" borderId="0" xfId="0" applyNumberFormat="1"/>
    <xf numFmtId="0" fontId="0" fillId="0" borderId="1" xfId="0" applyBorder="1"/>
    <xf numFmtId="0" fontId="0" fillId="0" borderId="0" xfId="0" applyAlignment="1">
      <alignment horizontal="center"/>
    </xf>
    <xf numFmtId="0" fontId="0" fillId="0" borderId="1" xfId="0" applyBorder="1" applyAlignment="1">
      <alignment horizontal="center"/>
    </xf>
    <xf numFmtId="14" fontId="0" fillId="0" borderId="0" xfId="0" applyNumberFormat="1" applyAlignment="1">
      <alignment horizontal="center"/>
    </xf>
    <xf numFmtId="2" fontId="0" fillId="0" borderId="0" xfId="0" applyNumberFormat="1" applyAlignment="1">
      <alignment horizontal="center"/>
    </xf>
    <xf numFmtId="1" fontId="0" fillId="0" borderId="0" xfId="0" applyNumberFormat="1" applyAlignment="1">
      <alignment horizontal="center"/>
    </xf>
    <xf numFmtId="1" fontId="0" fillId="0" borderId="1" xfId="0" applyNumberFormat="1" applyBorder="1" applyAlignment="1">
      <alignment horizontal="center"/>
    </xf>
    <xf numFmtId="0" fontId="0" fillId="0" borderId="0" xfId="0" applyAlignment="1">
      <alignment horizontal="center"/>
    </xf>
    <xf numFmtId="1" fontId="0" fillId="0" borderId="0" xfId="0" applyNumberFormat="1" applyAlignment="1">
      <alignment horizontal="center"/>
    </xf>
    <xf numFmtId="1" fontId="0" fillId="0" borderId="0" xfId="0" applyNumberFormat="1"/>
    <xf numFmtId="0" fontId="0" fillId="0" borderId="0" xfId="0" applyAlignment="1">
      <alignment horizontal="center"/>
    </xf>
    <xf numFmtId="1" fontId="0" fillId="0" borderId="0" xfId="0" applyNumberFormat="1" applyAlignment="1">
      <alignment horizontal="center"/>
    </xf>
    <xf numFmtId="0" fontId="0" fillId="0" borderId="0" xfId="0" applyAlignment="1">
      <alignment wrapText="1"/>
    </xf>
    <xf numFmtId="0" fontId="0" fillId="0" borderId="0" xfId="0" applyAlignment="1">
      <alignment horizontal="center" wrapText="1"/>
    </xf>
    <xf numFmtId="1" fontId="0" fillId="0" borderId="0" xfId="0" applyNumberFormat="1" applyAlignment="1">
      <alignment horizontal="center" wrapText="1"/>
    </xf>
    <xf numFmtId="0" fontId="0" fillId="0" borderId="0" xfId="0" applyFill="1" applyBorder="1"/>
    <xf numFmtId="2" fontId="0" fillId="0" borderId="0" xfId="0" applyNumberFormat="1"/>
    <xf numFmtId="164" fontId="0" fillId="0" borderId="0" xfId="0" applyNumberFormat="1"/>
    <xf numFmtId="0" fontId="0" fillId="0" borderId="0" xfId="0" applyBorder="1" applyAlignment="1">
      <alignment horizontal="center"/>
    </xf>
    <xf numFmtId="1" fontId="0" fillId="0" borderId="0" xfId="0" applyNumberFormat="1" applyBorder="1" applyAlignment="1">
      <alignment horizontal="center"/>
    </xf>
    <xf numFmtId="0" fontId="0" fillId="0" borderId="1" xfId="0" applyFill="1" applyBorder="1"/>
    <xf numFmtId="0" fontId="0" fillId="0" borderId="0" xfId="0" applyBorder="1"/>
    <xf numFmtId="1" fontId="0" fillId="0" borderId="0" xfId="0" applyNumberFormat="1" applyAlignment="1">
      <alignment horizontal="center" wrapText="1"/>
    </xf>
    <xf numFmtId="0" fontId="0" fillId="0" borderId="1" xfId="0" applyBorder="1" applyAlignment="1">
      <alignment horizontal="center" wrapText="1"/>
    </xf>
    <xf numFmtId="0" fontId="0" fillId="0" borderId="1" xfId="0" applyBorder="1" applyAlignment="1">
      <alignment wrapText="1"/>
    </xf>
    <xf numFmtId="1" fontId="0" fillId="0" borderId="1" xfId="0" applyNumberFormat="1" applyBorder="1" applyAlignment="1">
      <alignment horizontal="center" wrapText="1"/>
    </xf>
    <xf numFmtId="0" fontId="0" fillId="0" borderId="0" xfId="0" applyAlignment="1">
      <alignment horizontal="left" wrapText="1"/>
    </xf>
    <xf numFmtId="164" fontId="0" fillId="0" borderId="0" xfId="0" applyNumberFormat="1" applyBorder="1"/>
    <xf numFmtId="14" fontId="0" fillId="0" borderId="0" xfId="0" applyNumberFormat="1" applyBorder="1" applyAlignment="1">
      <alignment horizontal="center"/>
    </xf>
    <xf numFmtId="0" fontId="0" fillId="0" borderId="0" xfId="0" applyBorder="1" applyAlignment="1">
      <alignment horizontal="left" wrapText="1"/>
    </xf>
    <xf numFmtId="0" fontId="0" fillId="0" borderId="0" xfId="0" applyAlignment="1">
      <alignment vertical="top" wrapText="1"/>
    </xf>
    <xf numFmtId="0" fontId="0" fillId="0" borderId="1" xfId="0" applyBorder="1" applyAlignment="1">
      <alignment vertical="top" wrapText="1"/>
    </xf>
    <xf numFmtId="0" fontId="0" fillId="0" borderId="0" xfId="0" applyAlignment="1">
      <alignment vertical="top"/>
    </xf>
    <xf numFmtId="0" fontId="0" fillId="0" borderId="0" xfId="0" applyAlignment="1">
      <alignment horizontal="left" vertical="top" wrapText="1"/>
    </xf>
    <xf numFmtId="0" fontId="0" fillId="0" borderId="1" xfId="0" applyBorder="1" applyAlignment="1">
      <alignment vertical="top"/>
    </xf>
    <xf numFmtId="0" fontId="0" fillId="0" borderId="0" xfId="0" applyAlignment="1">
      <alignment horizontal="left"/>
    </xf>
    <xf numFmtId="1" fontId="0" fillId="0" borderId="0" xfId="0" applyNumberFormat="1" applyBorder="1" applyAlignment="1">
      <alignment horizontal="left"/>
    </xf>
    <xf numFmtId="0" fontId="1" fillId="2" borderId="0" xfId="0" applyFont="1" applyFill="1" applyBorder="1" applyAlignment="1">
      <alignment horizontal="center"/>
    </xf>
    <xf numFmtId="1" fontId="1" fillId="2" borderId="0" xfId="0" applyNumberFormat="1" applyFont="1" applyFill="1" applyBorder="1" applyAlignment="1">
      <alignment horizontal="center"/>
    </xf>
    <xf numFmtId="2" fontId="0" fillId="0" borderId="0" xfId="0" applyNumberFormat="1" applyBorder="1"/>
    <xf numFmtId="164" fontId="1" fillId="2" borderId="0" xfId="0" applyNumberFormat="1" applyFont="1" applyFill="1"/>
    <xf numFmtId="1" fontId="0" fillId="0" borderId="0" xfId="0" applyNumberFormat="1" applyBorder="1"/>
    <xf numFmtId="0" fontId="1" fillId="2" borderId="0" xfId="0" applyFont="1" applyFill="1"/>
    <xf numFmtId="0" fontId="0" fillId="0" borderId="0" xfId="0" quotePrefix="1"/>
    <xf numFmtId="0" fontId="0" fillId="0" borderId="0" xfId="0" applyBorder="1" applyAlignment="1">
      <alignment horizontal="left"/>
    </xf>
    <xf numFmtId="0" fontId="0" fillId="0" borderId="1" xfId="0" applyFill="1" applyBorder="1" applyAlignment="1">
      <alignment horizontal="center" wrapText="1"/>
    </xf>
    <xf numFmtId="1" fontId="0" fillId="0" borderId="0" xfId="0" applyNumberFormat="1" applyAlignment="1">
      <alignment wrapText="1"/>
    </xf>
    <xf numFmtId="164" fontId="0" fillId="0" borderId="0" xfId="0" applyNumberFormat="1" applyFill="1" applyBorder="1"/>
    <xf numFmtId="0" fontId="0" fillId="0" borderId="0" xfId="0" applyFill="1" applyBorder="1" applyAlignment="1">
      <alignment horizontal="center"/>
    </xf>
    <xf numFmtId="1" fontId="0" fillId="0" borderId="0" xfId="0" applyNumberFormat="1" applyFill="1" applyBorder="1" applyAlignment="1">
      <alignment horizontal="center"/>
    </xf>
    <xf numFmtId="1" fontId="0" fillId="0" borderId="0" xfId="0" applyNumberFormat="1" applyFill="1" applyAlignment="1">
      <alignment horizontal="center"/>
    </xf>
    <xf numFmtId="0" fontId="0" fillId="0" borderId="1" xfId="0" applyFill="1" applyBorder="1" applyAlignment="1">
      <alignment horizontal="center"/>
    </xf>
    <xf numFmtId="1" fontId="0" fillId="0" borderId="1" xfId="0" applyNumberFormat="1" applyFill="1" applyBorder="1" applyAlignment="1">
      <alignment horizontal="center"/>
    </xf>
    <xf numFmtId="0" fontId="0" fillId="0" borderId="0" xfId="0" quotePrefix="1" applyBorder="1"/>
    <xf numFmtId="1" fontId="0" fillId="2" borderId="0" xfId="0" applyNumberFormat="1" applyFill="1" applyAlignment="1">
      <alignment horizontal="center"/>
    </xf>
    <xf numFmtId="0" fontId="0" fillId="0" borderId="0" xfId="0" applyBorder="1" applyAlignment="1">
      <alignment wrapText="1"/>
    </xf>
    <xf numFmtId="0" fontId="0" fillId="0" borderId="0" xfId="0" applyAlignment="1">
      <alignment horizontal="center"/>
    </xf>
    <xf numFmtId="0" fontId="0" fillId="0" borderId="0" xfId="0" applyAlignment="1">
      <alignment horizontal="left" wrapText="1"/>
    </xf>
    <xf numFmtId="0" fontId="0" fillId="0" borderId="0" xfId="0" applyAlignment="1">
      <alignment horizontal="center" wrapText="1"/>
    </xf>
    <xf numFmtId="0" fontId="0" fillId="0" borderId="0" xfId="0" applyAlignment="1">
      <alignment horizontal="center"/>
    </xf>
    <xf numFmtId="1" fontId="0" fillId="0" borderId="0" xfId="0" applyNumberFormat="1" applyAlignment="1">
      <alignment horizontal="center"/>
    </xf>
    <xf numFmtId="0" fontId="0" fillId="0" borderId="0" xfId="0" applyBorder="1" applyAlignment="1">
      <alignment horizontal="left" wrapText="1"/>
    </xf>
    <xf numFmtId="0" fontId="0" fillId="0" borderId="0" xfId="0" applyBorder="1" applyAlignment="1">
      <alignment horizontal="center" wrapText="1"/>
    </xf>
    <xf numFmtId="0" fontId="0" fillId="0" borderId="0" xfId="0" applyAlignment="1">
      <alignment horizontal="center"/>
    </xf>
    <xf numFmtId="1" fontId="0" fillId="0" borderId="0" xfId="0" applyNumberFormat="1" applyAlignment="1">
      <alignment horizontal="center"/>
    </xf>
    <xf numFmtId="1" fontId="0" fillId="0" borderId="0" xfId="0" applyNumberFormat="1" applyAlignment="1">
      <alignment horizontal="center" wrapText="1"/>
    </xf>
    <xf numFmtId="0" fontId="0" fillId="0" borderId="0" xfId="0" applyAlignment="1">
      <alignment horizontal="left" wrapText="1"/>
    </xf>
    <xf numFmtId="0" fontId="0" fillId="0" borderId="0" xfId="0" applyAlignment="1">
      <alignment horizontal="center" wrapText="1"/>
    </xf>
    <xf numFmtId="0" fontId="0" fillId="0" borderId="0" xfId="0" applyBorder="1" applyAlignment="1">
      <alignment horizontal="left" wrapText="1"/>
    </xf>
    <xf numFmtId="1" fontId="0" fillId="0" borderId="1" xfId="0" applyNumberFormat="1" applyBorder="1"/>
    <xf numFmtId="3" fontId="0" fillId="0" borderId="0" xfId="0" applyNumberFormat="1"/>
    <xf numFmtId="0" fontId="0" fillId="0" borderId="0" xfId="0" applyAlignment="1"/>
    <xf numFmtId="0" fontId="0" fillId="0" borderId="0" xfId="0" applyAlignment="1">
      <alignment horizontal="center"/>
    </xf>
    <xf numFmtId="1" fontId="0" fillId="0" borderId="0" xfId="0" applyNumberFormat="1" applyAlignment="1">
      <alignment horizontal="center"/>
    </xf>
    <xf numFmtId="1" fontId="0" fillId="0" borderId="0" xfId="0" applyNumberFormat="1" applyAlignment="1">
      <alignment horizontal="center" wrapText="1"/>
    </xf>
    <xf numFmtId="0" fontId="0" fillId="0" borderId="0" xfId="0" applyAlignment="1">
      <alignment horizontal="left" wrapText="1"/>
    </xf>
    <xf numFmtId="0" fontId="0" fillId="0" borderId="0" xfId="0" applyAlignment="1">
      <alignment horizontal="center" wrapText="1"/>
    </xf>
    <xf numFmtId="0" fontId="0" fillId="0" borderId="0" xfId="0" applyBorder="1" applyAlignment="1">
      <alignment horizontal="left" wrapText="1"/>
    </xf>
    <xf numFmtId="0" fontId="0" fillId="0" borderId="0" xfId="0" applyAlignment="1">
      <alignment horizontal="center"/>
    </xf>
    <xf numFmtId="0" fontId="0" fillId="3" borderId="0" xfId="0" applyFill="1"/>
    <xf numFmtId="0" fontId="4" fillId="3" borderId="0" xfId="0" applyFont="1" applyFill="1"/>
    <xf numFmtId="1" fontId="0" fillId="3" borderId="0" xfId="0" applyNumberFormat="1" applyFill="1"/>
    <xf numFmtId="0" fontId="0" fillId="0" borderId="0" xfId="0" applyAlignment="1">
      <alignment horizontal="center"/>
    </xf>
    <xf numFmtId="1" fontId="0" fillId="0" borderId="0" xfId="0" applyNumberFormat="1" applyAlignment="1">
      <alignment horizontal="center" wrapText="1"/>
    </xf>
    <xf numFmtId="0" fontId="0" fillId="0" borderId="0" xfId="0" applyAlignment="1">
      <alignment horizontal="left" wrapText="1"/>
    </xf>
    <xf numFmtId="0" fontId="0" fillId="0" borderId="0" xfId="0" applyAlignment="1">
      <alignment horizontal="center" wrapText="1"/>
    </xf>
    <xf numFmtId="1" fontId="0" fillId="0" borderId="0" xfId="0" applyNumberFormat="1" applyAlignment="1">
      <alignment horizontal="center"/>
    </xf>
    <xf numFmtId="0" fontId="0" fillId="0" borderId="0" xfId="0" applyBorder="1" applyAlignment="1">
      <alignment horizontal="left" wrapText="1"/>
    </xf>
    <xf numFmtId="2" fontId="0" fillId="3" borderId="0" xfId="0" applyNumberFormat="1" applyFill="1"/>
    <xf numFmtId="1" fontId="0" fillId="0" borderId="0" xfId="0" applyNumberFormat="1" applyAlignment="1">
      <alignment horizontal="center"/>
    </xf>
    <xf numFmtId="0" fontId="0" fillId="0" borderId="0" xfId="0" applyAlignment="1">
      <alignment horizontal="center"/>
    </xf>
    <xf numFmtId="14" fontId="0" fillId="0" borderId="0" xfId="0" applyNumberFormat="1" applyAlignment="1">
      <alignment horizontal="left"/>
    </xf>
    <xf numFmtId="14" fontId="0" fillId="0" borderId="0" xfId="0" applyNumberFormat="1" applyBorder="1"/>
    <xf numFmtId="1" fontId="0" fillId="0" borderId="0" xfId="0" applyNumberFormat="1" applyAlignment="1">
      <alignment horizontal="left"/>
    </xf>
    <xf numFmtId="2" fontId="0" fillId="0" borderId="0" xfId="0" applyNumberFormat="1" applyBorder="1" applyAlignment="1">
      <alignment horizontal="center"/>
    </xf>
    <xf numFmtId="0" fontId="5" fillId="0" borderId="0" xfId="0" applyFont="1" applyBorder="1" applyAlignment="1">
      <alignment horizontal="left" vertical="center" wrapText="1" indent="1"/>
    </xf>
    <xf numFmtId="0" fontId="4" fillId="0" borderId="1" xfId="0" applyFont="1" applyBorder="1"/>
    <xf numFmtId="0" fontId="5" fillId="2" borderId="0" xfId="0" applyFont="1" applyFill="1" applyBorder="1" applyAlignment="1">
      <alignment horizontal="left" vertical="center" wrapText="1" indent="1"/>
    </xf>
    <xf numFmtId="0" fontId="4" fillId="0" borderId="1" xfId="0" applyFont="1" applyBorder="1" applyAlignment="1">
      <alignment wrapText="1"/>
    </xf>
    <xf numFmtId="0" fontId="5" fillId="0" borderId="0" xfId="0" applyFont="1" applyBorder="1" applyAlignment="1">
      <alignment horizontal="left" vertical="center" wrapText="1"/>
    </xf>
    <xf numFmtId="0" fontId="5" fillId="2" borderId="0" xfId="0" applyFont="1" applyFill="1" applyBorder="1" applyAlignment="1">
      <alignment horizontal="left" vertical="center" wrapText="1"/>
    </xf>
    <xf numFmtId="0" fontId="0" fillId="2" borderId="0" xfId="0" applyFill="1" applyAlignment="1">
      <alignment wrapText="1"/>
    </xf>
    <xf numFmtId="0" fontId="0" fillId="0" borderId="0" xfId="0" applyFill="1" applyBorder="1" applyAlignment="1">
      <alignment wrapText="1"/>
    </xf>
    <xf numFmtId="17" fontId="0" fillId="0" borderId="0" xfId="0" applyNumberFormat="1"/>
    <xf numFmtId="1" fontId="0" fillId="0" borderId="0" xfId="0" applyNumberFormat="1" applyAlignment="1">
      <alignment horizontal="center"/>
    </xf>
    <xf numFmtId="0" fontId="0" fillId="0" borderId="0" xfId="0" applyAlignment="1">
      <alignment horizontal="center"/>
    </xf>
    <xf numFmtId="1" fontId="0" fillId="0" borderId="0" xfId="0" applyNumberFormat="1" applyAlignment="1">
      <alignment horizontal="center" wrapText="1"/>
    </xf>
    <xf numFmtId="0" fontId="0" fillId="0" borderId="0" xfId="0" applyAlignment="1">
      <alignment horizontal="left" wrapText="1"/>
    </xf>
    <xf numFmtId="0" fontId="0" fillId="0" borderId="0" xfId="0" applyAlignment="1">
      <alignment horizontal="center" wrapText="1"/>
    </xf>
    <xf numFmtId="0" fontId="0" fillId="0" borderId="0" xfId="0" applyBorder="1" applyAlignment="1">
      <alignment horizontal="left" wrapText="1"/>
    </xf>
    <xf numFmtId="165" fontId="0" fillId="0" borderId="0" xfId="0" applyNumberFormat="1"/>
    <xf numFmtId="0" fontId="0" fillId="0" borderId="0" xfId="0" applyAlignment="1">
      <alignment horizontal="center"/>
    </xf>
    <xf numFmtId="1" fontId="0" fillId="0" borderId="0" xfId="0" applyNumberFormat="1" applyAlignment="1">
      <alignment horizontal="center" wrapText="1"/>
    </xf>
    <xf numFmtId="0" fontId="0" fillId="0" borderId="0" xfId="0" applyAlignment="1">
      <alignment horizontal="left" wrapText="1"/>
    </xf>
    <xf numFmtId="0" fontId="0" fillId="0" borderId="0" xfId="0" applyAlignment="1">
      <alignment horizontal="center" wrapText="1"/>
    </xf>
    <xf numFmtId="1" fontId="0" fillId="0" borderId="0" xfId="0" applyNumberFormat="1" applyAlignment="1">
      <alignment horizontal="center"/>
    </xf>
    <xf numFmtId="0" fontId="0" fillId="0" borderId="0" xfId="0" applyBorder="1" applyAlignment="1">
      <alignment horizontal="left" wrapText="1"/>
    </xf>
    <xf numFmtId="164" fontId="0" fillId="0" borderId="0" xfId="0" applyNumberFormat="1" applyBorder="1" applyAlignment="1">
      <alignment horizontal="center"/>
    </xf>
    <xf numFmtId="1" fontId="0" fillId="0" borderId="0" xfId="0" applyNumberFormat="1" applyAlignment="1">
      <alignment horizontal="center" wrapText="1"/>
    </xf>
    <xf numFmtId="0" fontId="0" fillId="0" borderId="0" xfId="0" applyAlignment="1">
      <alignment horizontal="left" vertical="top" wrapText="1"/>
    </xf>
    <xf numFmtId="0" fontId="0" fillId="0" borderId="0" xfId="0" applyBorder="1" applyAlignment="1">
      <alignment horizontal="left" wrapText="1"/>
    </xf>
    <xf numFmtId="0" fontId="0" fillId="0" borderId="0" xfId="0" applyAlignment="1">
      <alignment horizontal="center"/>
    </xf>
    <xf numFmtId="0" fontId="0" fillId="0" borderId="0" xfId="0" applyAlignment="1">
      <alignment horizontal="left" wrapText="1"/>
    </xf>
    <xf numFmtId="0" fontId="0" fillId="0" borderId="0" xfId="0" applyAlignment="1">
      <alignment horizontal="center" wrapText="1"/>
    </xf>
    <xf numFmtId="1" fontId="0" fillId="0" borderId="0" xfId="0" applyNumberFormat="1" applyAlignment="1">
      <alignment horizontal="center"/>
    </xf>
    <xf numFmtId="1" fontId="0" fillId="0" borderId="0" xfId="0" applyNumberFormat="1" applyBorder="1" applyAlignment="1">
      <alignment horizontal="center" wrapText="1"/>
    </xf>
    <xf numFmtId="1" fontId="0" fillId="0" borderId="0" xfId="0" applyNumberFormat="1" applyAlignment="1">
      <alignment horizontal="center" wrapText="1"/>
    </xf>
    <xf numFmtId="0" fontId="0" fillId="0" borderId="0" xfId="0" applyBorder="1" applyAlignment="1">
      <alignment horizontal="left" wrapText="1"/>
    </xf>
    <xf numFmtId="0" fontId="0" fillId="0" borderId="0" xfId="0" applyAlignment="1">
      <alignment horizontal="center"/>
    </xf>
    <xf numFmtId="0" fontId="0" fillId="0" borderId="0" xfId="0" applyAlignment="1">
      <alignment horizontal="left" wrapText="1"/>
    </xf>
    <xf numFmtId="0" fontId="0" fillId="0" borderId="0" xfId="0" applyAlignment="1">
      <alignment horizontal="center" wrapText="1"/>
    </xf>
    <xf numFmtId="1" fontId="0" fillId="0" borderId="0" xfId="0" applyNumberFormat="1" applyAlignment="1">
      <alignment horizontal="center"/>
    </xf>
    <xf numFmtId="0" fontId="0" fillId="0" borderId="0" xfId="0" applyBorder="1" applyAlignment="1">
      <alignment horizontal="center"/>
    </xf>
    <xf numFmtId="1" fontId="0" fillId="0" borderId="0" xfId="0" applyNumberFormat="1" applyAlignment="1">
      <alignment horizontal="center" wrapText="1"/>
    </xf>
    <xf numFmtId="0" fontId="0" fillId="0" borderId="0" xfId="0" applyAlignment="1">
      <alignment horizontal="center"/>
    </xf>
    <xf numFmtId="1" fontId="0" fillId="0" borderId="0" xfId="0" applyNumberFormat="1" applyAlignment="1">
      <alignment horizontal="center"/>
    </xf>
    <xf numFmtId="0" fontId="0" fillId="0" borderId="0" xfId="0" applyAlignment="1">
      <alignment horizontal="left" wrapText="1"/>
    </xf>
    <xf numFmtId="0" fontId="0" fillId="0" borderId="0" xfId="0" applyAlignment="1">
      <alignment horizontal="center" wrapText="1"/>
    </xf>
    <xf numFmtId="0" fontId="0" fillId="0" borderId="0" xfId="0" applyBorder="1" applyAlignment="1">
      <alignment horizontal="center"/>
    </xf>
    <xf numFmtId="1" fontId="0" fillId="0" borderId="0" xfId="0" applyNumberFormat="1" applyAlignment="1">
      <alignment horizontal="center" wrapText="1"/>
    </xf>
    <xf numFmtId="0" fontId="0" fillId="0" borderId="0" xfId="0" applyAlignment="1">
      <alignment horizontal="center"/>
    </xf>
    <xf numFmtId="0" fontId="0" fillId="0" borderId="0" xfId="0" applyAlignment="1">
      <alignment horizontal="center" wrapText="1"/>
    </xf>
    <xf numFmtId="1" fontId="0" fillId="0" borderId="0" xfId="0" applyNumberFormat="1" applyAlignment="1">
      <alignment horizontal="center"/>
    </xf>
    <xf numFmtId="0" fontId="0" fillId="0" borderId="0" xfId="0" applyBorder="1" applyAlignment="1">
      <alignment horizontal="center"/>
    </xf>
    <xf numFmtId="1" fontId="0" fillId="0" borderId="0" xfId="0" applyNumberFormat="1" applyAlignment="1">
      <alignment horizontal="center"/>
    </xf>
    <xf numFmtId="1" fontId="0" fillId="0" borderId="0" xfId="0" applyNumberFormat="1" applyAlignment="1">
      <alignment horizontal="center" wrapText="1"/>
    </xf>
    <xf numFmtId="0" fontId="0" fillId="0" borderId="0" xfId="0" applyBorder="1" applyAlignment="1">
      <alignment horizontal="left" wrapText="1"/>
    </xf>
    <xf numFmtId="0" fontId="0" fillId="0" borderId="0" xfId="0" applyAlignment="1">
      <alignment horizontal="center"/>
    </xf>
    <xf numFmtId="0" fontId="0" fillId="0" borderId="0" xfId="0" applyAlignment="1">
      <alignment horizontal="center" wrapText="1"/>
    </xf>
    <xf numFmtId="1" fontId="0" fillId="0" borderId="0" xfId="0" applyNumberFormat="1" applyAlignment="1">
      <alignment horizontal="center"/>
    </xf>
    <xf numFmtId="0" fontId="0" fillId="0" borderId="0" xfId="0" applyBorder="1" applyAlignment="1">
      <alignment horizontal="center"/>
    </xf>
    <xf numFmtId="17" fontId="0" fillId="0" borderId="0" xfId="0" applyNumberFormat="1" applyBorder="1" applyAlignment="1">
      <alignment horizontal="center"/>
    </xf>
    <xf numFmtId="1" fontId="0" fillId="0" borderId="0" xfId="0" applyNumberFormat="1" applyAlignment="1">
      <alignment horizontal="center" wrapText="1"/>
    </xf>
    <xf numFmtId="0" fontId="0" fillId="0" borderId="0" xfId="0" applyBorder="1" applyAlignment="1">
      <alignment horizontal="left" wrapText="1"/>
    </xf>
    <xf numFmtId="0" fontId="0" fillId="0" borderId="0" xfId="0" applyAlignment="1">
      <alignment horizontal="center"/>
    </xf>
    <xf numFmtId="0" fontId="0" fillId="0" borderId="0" xfId="0" applyAlignment="1">
      <alignment horizontal="left" wrapText="1"/>
    </xf>
    <xf numFmtId="0" fontId="0" fillId="0" borderId="0" xfId="0" applyAlignment="1">
      <alignment horizontal="center" wrapText="1"/>
    </xf>
    <xf numFmtId="1" fontId="0" fillId="0" borderId="0" xfId="0" applyNumberFormat="1" applyAlignment="1">
      <alignment horizontal="center"/>
    </xf>
    <xf numFmtId="0" fontId="0" fillId="0" borderId="0" xfId="0" applyBorder="1" applyAlignment="1">
      <alignment horizontal="center"/>
    </xf>
    <xf numFmtId="1" fontId="0" fillId="0" borderId="0" xfId="0" applyNumberFormat="1" applyAlignment="1">
      <alignment horizontal="center" wrapText="1"/>
    </xf>
    <xf numFmtId="0" fontId="0" fillId="0" borderId="0" xfId="0" applyBorder="1" applyAlignment="1">
      <alignment horizontal="left" wrapText="1"/>
    </xf>
    <xf numFmtId="0" fontId="0" fillId="0" borderId="0" xfId="0" applyAlignment="1">
      <alignment horizontal="center"/>
    </xf>
    <xf numFmtId="1" fontId="0" fillId="0" borderId="0" xfId="0" applyNumberFormat="1" applyAlignment="1">
      <alignment horizontal="center"/>
    </xf>
    <xf numFmtId="0" fontId="0" fillId="0" borderId="0" xfId="0" applyAlignment="1">
      <alignment horizontal="left" wrapText="1"/>
    </xf>
    <xf numFmtId="0" fontId="0" fillId="0" borderId="0" xfId="0" applyAlignment="1">
      <alignment horizontal="center" wrapText="1"/>
    </xf>
    <xf numFmtId="0" fontId="0" fillId="0" borderId="0" xfId="0" applyBorder="1" applyAlignment="1">
      <alignment horizontal="center"/>
    </xf>
    <xf numFmtId="1" fontId="0" fillId="0" borderId="0" xfId="0" applyNumberFormat="1" applyAlignment="1">
      <alignment horizontal="center" wrapText="1"/>
    </xf>
    <xf numFmtId="0" fontId="0" fillId="0" borderId="0" xfId="0" applyBorder="1" applyAlignment="1">
      <alignment horizontal="left" wrapText="1"/>
    </xf>
    <xf numFmtId="0" fontId="0" fillId="0" borderId="0" xfId="0" applyAlignment="1">
      <alignment horizontal="center"/>
    </xf>
    <xf numFmtId="0" fontId="0" fillId="0" borderId="0" xfId="0" applyAlignment="1">
      <alignment horizontal="left" wrapText="1"/>
    </xf>
    <xf numFmtId="0" fontId="0" fillId="0" borderId="0" xfId="0" applyAlignment="1">
      <alignment horizontal="center" wrapText="1"/>
    </xf>
    <xf numFmtId="1" fontId="0" fillId="0" borderId="0" xfId="0" applyNumberFormat="1" applyAlignment="1">
      <alignment horizontal="center"/>
    </xf>
    <xf numFmtId="0" fontId="0" fillId="0" borderId="0" xfId="0" applyBorder="1" applyAlignment="1">
      <alignment horizontal="center"/>
    </xf>
    <xf numFmtId="0" fontId="0" fillId="2" borderId="0" xfId="0" applyFill="1" applyAlignment="1">
      <alignment vertical="center" wrapText="1"/>
    </xf>
    <xf numFmtId="0" fontId="0" fillId="0" borderId="0" xfId="0" applyBorder="1" applyAlignment="1">
      <alignment vertical="top" wrapText="1"/>
    </xf>
    <xf numFmtId="0" fontId="0" fillId="4" borderId="0" xfId="0" applyFill="1" applyAlignment="1">
      <alignment wrapText="1"/>
    </xf>
    <xf numFmtId="0" fontId="0" fillId="0" borderId="0" xfId="0" applyAlignment="1">
      <alignment horizontal="center"/>
    </xf>
    <xf numFmtId="1" fontId="0" fillId="0" borderId="0" xfId="0" applyNumberFormat="1" applyAlignment="1">
      <alignment horizontal="center"/>
    </xf>
    <xf numFmtId="0" fontId="0" fillId="0" borderId="0" xfId="0" applyBorder="1" applyAlignment="1">
      <alignment horizontal="center"/>
    </xf>
    <xf numFmtId="1" fontId="0" fillId="0" borderId="0" xfId="0" applyNumberFormat="1" applyAlignment="1">
      <alignment horizontal="center" wrapText="1"/>
    </xf>
    <xf numFmtId="0" fontId="0" fillId="0" borderId="0" xfId="0" applyBorder="1" applyAlignment="1">
      <alignment horizontal="left" wrapText="1"/>
    </xf>
    <xf numFmtId="0" fontId="0" fillId="0" borderId="0" xfId="0" applyAlignment="1">
      <alignment horizontal="center"/>
    </xf>
    <xf numFmtId="1" fontId="0" fillId="0" borderId="0" xfId="0" applyNumberFormat="1" applyAlignment="1">
      <alignment horizontal="center"/>
    </xf>
    <xf numFmtId="0" fontId="0" fillId="0" borderId="0" xfId="0" applyAlignment="1">
      <alignment horizontal="left" wrapText="1"/>
    </xf>
    <xf numFmtId="0" fontId="0" fillId="0" borderId="0" xfId="0" applyAlignment="1">
      <alignment horizontal="center" wrapText="1"/>
    </xf>
    <xf numFmtId="0" fontId="0" fillId="0" borderId="0" xfId="0" applyBorder="1" applyAlignment="1">
      <alignment horizontal="center"/>
    </xf>
    <xf numFmtId="0" fontId="0" fillId="0" borderId="0" xfId="0" applyBorder="1" applyAlignment="1">
      <alignment horizontal="left" wrapText="1"/>
    </xf>
    <xf numFmtId="0" fontId="0" fillId="0" borderId="0" xfId="0" applyAlignment="1">
      <alignment horizontal="center"/>
    </xf>
    <xf numFmtId="1" fontId="0" fillId="0" borderId="0" xfId="0" applyNumberFormat="1" applyAlignment="1">
      <alignment horizontal="center"/>
    </xf>
    <xf numFmtId="16" fontId="0" fillId="0" borderId="0" xfId="0" applyNumberFormat="1"/>
    <xf numFmtId="1" fontId="0" fillId="0" borderId="0" xfId="0" applyNumberFormat="1" applyBorder="1" applyAlignment="1">
      <alignment horizontal="right"/>
    </xf>
    <xf numFmtId="0" fontId="0" fillId="0" borderId="0" xfId="0" applyBorder="1" applyAlignment="1">
      <alignment horizontal="left" wrapText="1"/>
    </xf>
    <xf numFmtId="1" fontId="0" fillId="0" borderId="0" xfId="0" applyNumberFormat="1" applyAlignment="1">
      <alignment horizontal="center"/>
    </xf>
    <xf numFmtId="0" fontId="0" fillId="0" borderId="0" xfId="0" applyAlignment="1">
      <alignment horizontal="left" wrapText="1"/>
    </xf>
    <xf numFmtId="0" fontId="0" fillId="0" borderId="0" xfId="0" applyBorder="1" applyAlignment="1">
      <alignment horizontal="center"/>
    </xf>
    <xf numFmtId="16" fontId="0" fillId="0" borderId="0" xfId="0" applyNumberFormat="1" applyBorder="1" applyAlignment="1">
      <alignment horizontal="center"/>
    </xf>
    <xf numFmtId="1" fontId="0" fillId="0" borderId="0" xfId="0" applyNumberFormat="1" applyAlignment="1">
      <alignment horizontal="center" wrapText="1"/>
    </xf>
    <xf numFmtId="0" fontId="0" fillId="0" borderId="0" xfId="0" applyBorder="1" applyAlignment="1">
      <alignment horizontal="left" wrapText="1"/>
    </xf>
    <xf numFmtId="0" fontId="0" fillId="0" borderId="0" xfId="0" applyAlignment="1">
      <alignment horizontal="center"/>
    </xf>
    <xf numFmtId="0" fontId="0" fillId="0" borderId="0" xfId="0" applyAlignment="1">
      <alignment horizontal="left" wrapText="1"/>
    </xf>
    <xf numFmtId="0" fontId="0" fillId="0" borderId="0" xfId="0" applyAlignment="1">
      <alignment horizontal="center" wrapText="1"/>
    </xf>
    <xf numFmtId="1" fontId="0" fillId="0" borderId="0" xfId="0" applyNumberFormat="1" applyAlignment="1">
      <alignment horizontal="center"/>
    </xf>
    <xf numFmtId="0" fontId="0" fillId="0" borderId="0" xfId="0" applyBorder="1" applyAlignment="1">
      <alignment horizontal="center"/>
    </xf>
    <xf numFmtId="0" fontId="0" fillId="0" borderId="0" xfId="0" applyFill="1" applyAlignment="1">
      <alignment wrapText="1"/>
    </xf>
    <xf numFmtId="0" fontId="0" fillId="0" borderId="0" xfId="0" applyAlignment="1">
      <alignment horizontal="center"/>
    </xf>
    <xf numFmtId="1" fontId="0" fillId="0" borderId="0" xfId="0" applyNumberFormat="1" applyAlignment="1">
      <alignment horizontal="center"/>
    </xf>
    <xf numFmtId="0" fontId="0" fillId="0" borderId="0" xfId="0" applyAlignment="1">
      <alignment horizontal="left" wrapText="1"/>
    </xf>
    <xf numFmtId="0" fontId="0" fillId="0" borderId="0" xfId="0" applyBorder="1" applyAlignment="1">
      <alignment horizontal="center"/>
    </xf>
    <xf numFmtId="0" fontId="4" fillId="0" borderId="0" xfId="0" applyFont="1"/>
    <xf numFmtId="1" fontId="0" fillId="0" borderId="0" xfId="0" applyNumberFormat="1" applyAlignment="1">
      <alignment horizontal="center" wrapText="1"/>
    </xf>
    <xf numFmtId="0" fontId="0" fillId="0" borderId="0" xfId="0" applyAlignment="1">
      <alignment horizontal="left" vertical="top" wrapText="1"/>
    </xf>
    <xf numFmtId="0" fontId="0" fillId="0" borderId="0" xfId="0" applyBorder="1" applyAlignment="1">
      <alignment horizontal="left" wrapText="1"/>
    </xf>
    <xf numFmtId="0" fontId="0" fillId="0" borderId="0" xfId="0" applyAlignment="1">
      <alignment horizontal="center"/>
    </xf>
    <xf numFmtId="0" fontId="0" fillId="0" borderId="0" xfId="0" applyAlignment="1">
      <alignment horizontal="left" wrapText="1"/>
    </xf>
    <xf numFmtId="0" fontId="0" fillId="0" borderId="0" xfId="0" applyAlignment="1">
      <alignment horizontal="center" wrapText="1"/>
    </xf>
    <xf numFmtId="1" fontId="0" fillId="0" borderId="0" xfId="0" applyNumberFormat="1" applyAlignment="1">
      <alignment horizontal="center"/>
    </xf>
    <xf numFmtId="0" fontId="0" fillId="0" borderId="0" xfId="0" applyBorder="1" applyAlignment="1">
      <alignment horizontal="center"/>
    </xf>
    <xf numFmtId="1" fontId="0" fillId="0" borderId="0" xfId="0" applyNumberFormat="1" applyAlignment="1">
      <alignment horizontal="center"/>
    </xf>
    <xf numFmtId="0" fontId="0" fillId="0" borderId="0" xfId="0" applyBorder="1" applyAlignment="1">
      <alignment horizontal="center"/>
    </xf>
    <xf numFmtId="1" fontId="0" fillId="0" borderId="0" xfId="0" applyNumberFormat="1" applyAlignment="1">
      <alignment horizontal="right"/>
    </xf>
    <xf numFmtId="1" fontId="0" fillId="0" borderId="0" xfId="0" applyNumberFormat="1" applyFill="1" applyBorder="1" applyAlignment="1">
      <alignment horizontal="right"/>
    </xf>
    <xf numFmtId="0" fontId="0" fillId="2" borderId="0" xfId="0" applyFill="1" applyBorder="1"/>
    <xf numFmtId="14" fontId="0" fillId="2" borderId="0" xfId="0" applyNumberFormat="1" applyFill="1" applyBorder="1" applyAlignment="1">
      <alignment horizontal="center"/>
    </xf>
    <xf numFmtId="0" fontId="0" fillId="2" borderId="0" xfId="0" applyFill="1" applyBorder="1" applyAlignment="1">
      <alignment horizontal="center"/>
    </xf>
    <xf numFmtId="1" fontId="0" fillId="2" borderId="0" xfId="0" applyNumberFormat="1" applyFill="1" applyBorder="1" applyAlignment="1">
      <alignment horizontal="center"/>
    </xf>
    <xf numFmtId="0" fontId="0" fillId="2" borderId="0" xfId="0" applyFill="1" applyAlignment="1">
      <alignment horizontal="center"/>
    </xf>
    <xf numFmtId="1" fontId="0" fillId="2" borderId="0" xfId="0" applyNumberFormat="1" applyFill="1" applyBorder="1" applyAlignment="1">
      <alignment horizontal="left"/>
    </xf>
    <xf numFmtId="0" fontId="0" fillId="2" borderId="0" xfId="0" applyFill="1"/>
    <xf numFmtId="1" fontId="0" fillId="0" borderId="0" xfId="0" applyNumberFormat="1" applyAlignment="1">
      <alignment horizontal="center" wrapText="1"/>
    </xf>
    <xf numFmtId="0" fontId="0" fillId="0" borderId="0" xfId="0" applyAlignment="1">
      <alignment horizontal="left" vertical="top" wrapText="1"/>
    </xf>
    <xf numFmtId="0" fontId="0" fillId="0" borderId="2" xfId="0" applyBorder="1" applyAlignment="1">
      <alignment horizontal="left" wrapText="1"/>
    </xf>
    <xf numFmtId="0" fontId="0" fillId="0" borderId="3" xfId="0" applyBorder="1" applyAlignment="1">
      <alignment horizontal="left" wrapText="1"/>
    </xf>
    <xf numFmtId="0" fontId="0" fillId="0" borderId="4" xfId="0" applyBorder="1" applyAlignment="1">
      <alignment horizontal="left" wrapText="1"/>
    </xf>
    <xf numFmtId="0" fontId="0" fillId="0" borderId="5" xfId="0" applyBorder="1" applyAlignment="1">
      <alignment horizontal="left" wrapText="1"/>
    </xf>
    <xf numFmtId="0" fontId="0" fillId="0" borderId="0" xfId="0" applyBorder="1" applyAlignment="1">
      <alignment horizontal="left" wrapText="1"/>
    </xf>
    <xf numFmtId="0" fontId="0" fillId="0" borderId="6" xfId="0" applyBorder="1" applyAlignment="1">
      <alignment horizontal="left" wrapText="1"/>
    </xf>
    <xf numFmtId="0" fontId="0" fillId="0" borderId="7" xfId="0" applyBorder="1" applyAlignment="1">
      <alignment horizontal="left" wrapText="1"/>
    </xf>
    <xf numFmtId="0" fontId="0" fillId="0" borderId="1" xfId="0" applyBorder="1" applyAlignment="1">
      <alignment horizontal="left" wrapText="1"/>
    </xf>
    <xf numFmtId="0" fontId="0" fillId="0" borderId="8" xfId="0" applyBorder="1" applyAlignment="1">
      <alignment horizontal="left" wrapText="1"/>
    </xf>
    <xf numFmtId="0" fontId="0" fillId="0" borderId="0" xfId="0" applyAlignment="1">
      <alignment horizontal="center"/>
    </xf>
    <xf numFmtId="1" fontId="0" fillId="0" borderId="0" xfId="0" applyNumberFormat="1" applyAlignment="1">
      <alignment horizontal="center"/>
    </xf>
    <xf numFmtId="0" fontId="0" fillId="0" borderId="0" xfId="0" applyAlignment="1">
      <alignment horizontal="left" wrapText="1"/>
    </xf>
    <xf numFmtId="0" fontId="0" fillId="0" borderId="3" xfId="0" applyBorder="1" applyAlignment="1">
      <alignment horizontal="left" vertical="top" wrapText="1"/>
    </xf>
    <xf numFmtId="0" fontId="0" fillId="0" borderId="0" xfId="0" applyAlignment="1">
      <alignment horizontal="center" wrapText="1"/>
    </xf>
    <xf numFmtId="1" fontId="0" fillId="0" borderId="3" xfId="0" applyNumberFormat="1" applyBorder="1" applyAlignment="1">
      <alignment horizontal="left" wrapText="1"/>
    </xf>
    <xf numFmtId="1" fontId="0" fillId="0" borderId="0" xfId="0" applyNumberFormat="1" applyBorder="1" applyAlignment="1">
      <alignment horizontal="left" wrapText="1"/>
    </xf>
    <xf numFmtId="1" fontId="0" fillId="0" borderId="1" xfId="0" applyNumberFormat="1" applyBorder="1" applyAlignment="1">
      <alignment horizontal="left" wrapText="1"/>
    </xf>
    <xf numFmtId="1" fontId="0" fillId="0" borderId="3" xfId="0" applyNumberFormat="1" applyBorder="1" applyAlignment="1">
      <alignment horizontal="center" wrapText="1"/>
    </xf>
    <xf numFmtId="1" fontId="0" fillId="0" borderId="0" xfId="0" applyNumberFormat="1" applyAlignment="1">
      <alignment horizontal="left" wrapText="1"/>
    </xf>
    <xf numFmtId="1" fontId="0" fillId="0" borderId="3" xfId="0" applyNumberFormat="1" applyBorder="1" applyAlignment="1">
      <alignment horizontal="left" vertical="top" wrapText="1"/>
    </xf>
    <xf numFmtId="1" fontId="0" fillId="0" borderId="0" xfId="0" applyNumberFormat="1" applyAlignment="1">
      <alignment horizontal="left" vertical="top" wrapText="1"/>
    </xf>
    <xf numFmtId="0" fontId="0" fillId="0" borderId="0" xfId="0" applyBorder="1" applyAlignment="1">
      <alignment horizontal="center"/>
    </xf>
    <xf numFmtId="0" fontId="0" fillId="0" borderId="2" xfId="0" applyBorder="1" applyAlignment="1">
      <alignment horizontal="left"/>
    </xf>
    <xf numFmtId="0" fontId="0" fillId="0" borderId="3" xfId="0" applyBorder="1" applyAlignment="1">
      <alignment horizontal="left"/>
    </xf>
    <xf numFmtId="0" fontId="0" fillId="0" borderId="4" xfId="0" applyBorder="1" applyAlignment="1">
      <alignment horizontal="left"/>
    </xf>
    <xf numFmtId="0" fontId="0" fillId="0" borderId="5" xfId="0" applyBorder="1" applyAlignment="1">
      <alignment horizontal="left"/>
    </xf>
    <xf numFmtId="0" fontId="0" fillId="0" borderId="0" xfId="0" applyBorder="1" applyAlignment="1">
      <alignment horizontal="left"/>
    </xf>
    <xf numFmtId="0" fontId="0" fillId="0" borderId="6" xfId="0" applyBorder="1" applyAlignment="1">
      <alignment horizontal="left"/>
    </xf>
    <xf numFmtId="0" fontId="0" fillId="0" borderId="7" xfId="0" applyBorder="1" applyAlignment="1">
      <alignment horizontal="left"/>
    </xf>
    <xf numFmtId="0" fontId="0" fillId="0" borderId="1" xfId="0" applyBorder="1" applyAlignment="1">
      <alignment horizontal="left"/>
    </xf>
    <xf numFmtId="0" fontId="0" fillId="0" borderId="8" xfId="0" applyBorder="1" applyAlignment="1">
      <alignment horizontal="left"/>
    </xf>
    <xf numFmtId="0" fontId="0" fillId="0" borderId="0" xfId="0" applyBorder="1" applyAlignment="1">
      <alignment horizontal="center" vertical="top" wrapText="1"/>
    </xf>
    <xf numFmtId="0" fontId="0" fillId="0" borderId="2" xfId="0" applyBorder="1" applyAlignment="1">
      <alignment horizontal="center" wrapText="1"/>
    </xf>
    <xf numFmtId="0" fontId="0" fillId="0" borderId="3" xfId="0" applyBorder="1" applyAlignment="1">
      <alignment horizontal="center" wrapText="1"/>
    </xf>
    <xf numFmtId="0" fontId="0" fillId="0" borderId="4" xfId="0" applyBorder="1" applyAlignment="1">
      <alignment horizontal="center" wrapText="1"/>
    </xf>
    <xf numFmtId="0" fontId="0" fillId="0" borderId="5" xfId="0" applyBorder="1" applyAlignment="1">
      <alignment horizontal="center" wrapText="1"/>
    </xf>
    <xf numFmtId="0" fontId="0" fillId="0" borderId="0" xfId="0" applyBorder="1" applyAlignment="1">
      <alignment horizontal="center" wrapText="1"/>
    </xf>
    <xf numFmtId="0" fontId="0" fillId="0" borderId="6" xfId="0" applyBorder="1" applyAlignment="1">
      <alignment horizontal="center" wrapText="1"/>
    </xf>
    <xf numFmtId="0" fontId="0" fillId="0" borderId="7" xfId="0" applyBorder="1" applyAlignment="1">
      <alignment horizontal="center" wrapText="1"/>
    </xf>
    <xf numFmtId="0" fontId="0" fillId="0" borderId="1" xfId="0" applyBorder="1" applyAlignment="1">
      <alignment horizontal="center" wrapText="1"/>
    </xf>
    <xf numFmtId="0" fontId="0" fillId="0" borderId="8" xfId="0" applyBorder="1" applyAlignment="1">
      <alignment horizontal="center" wrapText="1"/>
    </xf>
  </cellXfs>
  <cellStyles count="1">
    <cellStyle name="Normal" xfId="0" builtinId="0"/>
  </cellStyles>
  <dxfs count="0"/>
  <tableStyles count="0" defaultTableStyle="TableStyleMedium2" defaultPivotStyle="PivotStyleLight16"/>
  <colors>
    <mruColors>
      <color rgb="FF0432FF"/>
      <color rgb="FFFFFFCC"/>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theme" Target="theme/theme1.xml"/><Relationship Id="rId23" Type="http://schemas.openxmlformats.org/officeDocument/2006/relationships/styles" Target="styles.xml"/><Relationship Id="rId24" Type="http://schemas.openxmlformats.org/officeDocument/2006/relationships/sharedStrings" Target="sharedStrings.xml"/><Relationship Id="rId25" Type="http://schemas.openxmlformats.org/officeDocument/2006/relationships/calcChain" Target="calcChain.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10.xml.rels><?xml version="1.0" encoding="UTF-8" standalone="yes"?>
<Relationships xmlns="http://schemas.openxmlformats.org/package/2006/relationships"><Relationship Id="rId1" Type="http://schemas.openxmlformats.org/officeDocument/2006/relationships/themeOverride" Target="../theme/themeOverride4.xml"/><Relationship Id="rId2" Type="http://schemas.openxmlformats.org/officeDocument/2006/relationships/chartUserShapes" Target="../drawings/drawing13.xml"/></Relationships>
</file>

<file path=xl/charts/_rels/chart11.xml.rels><?xml version="1.0" encoding="UTF-8" standalone="yes"?>
<Relationships xmlns="http://schemas.openxmlformats.org/package/2006/relationships"><Relationship Id="rId1" Type="http://schemas.openxmlformats.org/officeDocument/2006/relationships/themeOverride" Target="../theme/themeOverride5.xml"/><Relationship Id="rId2" Type="http://schemas.openxmlformats.org/officeDocument/2006/relationships/chartUserShapes" Target="../drawings/drawing14.xml"/></Relationships>
</file>

<file path=xl/charts/_rels/chart13.xml.rels><?xml version="1.0" encoding="UTF-8" standalone="yes"?>
<Relationships xmlns="http://schemas.openxmlformats.org/package/2006/relationships"><Relationship Id="rId1" Type="http://schemas.openxmlformats.org/officeDocument/2006/relationships/chartUserShapes" Target="../drawings/drawing16.xml"/></Relationships>
</file>

<file path=xl/charts/_rels/chart14.xml.rels><?xml version="1.0" encoding="UTF-8" standalone="yes"?>
<Relationships xmlns="http://schemas.openxmlformats.org/package/2006/relationships"><Relationship Id="rId1" Type="http://schemas.openxmlformats.org/officeDocument/2006/relationships/chartUserShapes" Target="../drawings/drawing17.xml"/></Relationships>
</file>

<file path=xl/charts/_rels/chart15.xml.rels><?xml version="1.0" encoding="UTF-8" standalone="yes"?>
<Relationships xmlns="http://schemas.openxmlformats.org/package/2006/relationships"><Relationship Id="rId1" Type="http://schemas.openxmlformats.org/officeDocument/2006/relationships/chartUserShapes" Target="../drawings/drawing18.xml"/></Relationships>
</file>

<file path=xl/charts/_rels/chart16.xml.rels><?xml version="1.0" encoding="UTF-8" standalone="yes"?>
<Relationships xmlns="http://schemas.openxmlformats.org/package/2006/relationships"><Relationship Id="rId1" Type="http://schemas.openxmlformats.org/officeDocument/2006/relationships/themeOverride" Target="../theme/themeOverride6.xml"/><Relationship Id="rId2" Type="http://schemas.openxmlformats.org/officeDocument/2006/relationships/chartUserShapes" Target="../drawings/drawing20.xml"/></Relationships>
</file>

<file path=xl/charts/_rels/chart17.xml.rels><?xml version="1.0" encoding="UTF-8" standalone="yes"?>
<Relationships xmlns="http://schemas.openxmlformats.org/package/2006/relationships"><Relationship Id="rId1" Type="http://schemas.openxmlformats.org/officeDocument/2006/relationships/themeOverride" Target="../theme/themeOverride7.xml"/><Relationship Id="rId2" Type="http://schemas.openxmlformats.org/officeDocument/2006/relationships/chartUserShapes" Target="../drawings/drawing21.xml"/></Relationships>
</file>

<file path=xl/charts/_rels/chart18.xml.rels><?xml version="1.0" encoding="UTF-8" standalone="yes"?>
<Relationships xmlns="http://schemas.openxmlformats.org/package/2006/relationships"><Relationship Id="rId1" Type="http://schemas.openxmlformats.org/officeDocument/2006/relationships/themeOverride" Target="../theme/themeOverride8.xml"/></Relationships>
</file>

<file path=xl/charts/_rels/chart19.xml.rels><?xml version="1.0" encoding="UTF-8" standalone="yes"?>
<Relationships xmlns="http://schemas.openxmlformats.org/package/2006/relationships"><Relationship Id="rId1" Type="http://schemas.openxmlformats.org/officeDocument/2006/relationships/themeOverride" Target="../theme/themeOverride9.xml"/><Relationship Id="rId2" Type="http://schemas.openxmlformats.org/officeDocument/2006/relationships/chartUserShapes" Target="../drawings/drawing23.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20.xml.rels><?xml version="1.0" encoding="UTF-8" standalone="yes"?>
<Relationships xmlns="http://schemas.openxmlformats.org/package/2006/relationships"><Relationship Id="rId1" Type="http://schemas.openxmlformats.org/officeDocument/2006/relationships/themeOverride" Target="../theme/themeOverride10.xml"/><Relationship Id="rId2" Type="http://schemas.openxmlformats.org/officeDocument/2006/relationships/chartUserShapes" Target="../drawings/drawing25.xml"/></Relationships>
</file>

<file path=xl/charts/_rels/chart21.xml.rels><?xml version="1.0" encoding="UTF-8" standalone="yes"?>
<Relationships xmlns="http://schemas.openxmlformats.org/package/2006/relationships"><Relationship Id="rId1" Type="http://schemas.openxmlformats.org/officeDocument/2006/relationships/themeOverride" Target="../theme/themeOverride11.xml"/><Relationship Id="rId2" Type="http://schemas.openxmlformats.org/officeDocument/2006/relationships/chartUserShapes" Target="../drawings/drawing26.xml"/></Relationships>
</file>

<file path=xl/charts/_rels/chart22.xml.rels><?xml version="1.0" encoding="UTF-8" standalone="yes"?>
<Relationships xmlns="http://schemas.openxmlformats.org/package/2006/relationships"><Relationship Id="rId1" Type="http://schemas.openxmlformats.org/officeDocument/2006/relationships/themeOverride" Target="../theme/themeOverride12.xml"/><Relationship Id="rId2" Type="http://schemas.openxmlformats.org/officeDocument/2006/relationships/chartUserShapes" Target="../drawings/drawing28.xml"/></Relationships>
</file>

<file path=xl/charts/_rels/chart23.xml.rels><?xml version="1.0" encoding="UTF-8" standalone="yes"?>
<Relationships xmlns="http://schemas.openxmlformats.org/package/2006/relationships"><Relationship Id="rId1" Type="http://schemas.openxmlformats.org/officeDocument/2006/relationships/chartUserShapes" Target="../drawings/drawing29.xml"/></Relationships>
</file>

<file path=xl/charts/_rels/chart24.xml.rels><?xml version="1.0" encoding="UTF-8" standalone="yes"?>
<Relationships xmlns="http://schemas.openxmlformats.org/package/2006/relationships"><Relationship Id="rId1" Type="http://schemas.openxmlformats.org/officeDocument/2006/relationships/chartUserShapes" Target="../drawings/drawing31.xml"/></Relationships>
</file>

<file path=xl/charts/_rels/chart25.xml.rels><?xml version="1.0" encoding="UTF-8" standalone="yes"?>
<Relationships xmlns="http://schemas.openxmlformats.org/package/2006/relationships"><Relationship Id="rId1" Type="http://schemas.openxmlformats.org/officeDocument/2006/relationships/chartUserShapes" Target="../drawings/drawing32.xml"/></Relationships>
</file>

<file path=xl/charts/_rels/chart27.xml.rels><?xml version="1.0" encoding="UTF-8" standalone="yes"?>
<Relationships xmlns="http://schemas.openxmlformats.org/package/2006/relationships"><Relationship Id="rId1" Type="http://schemas.openxmlformats.org/officeDocument/2006/relationships/chartUserShapes" Target="../drawings/drawing34.xml"/></Relationships>
</file>

<file path=xl/charts/_rels/chart28.xml.rels><?xml version="1.0" encoding="UTF-8" standalone="yes"?>
<Relationships xmlns="http://schemas.openxmlformats.org/package/2006/relationships"><Relationship Id="rId1" Type="http://schemas.openxmlformats.org/officeDocument/2006/relationships/themeOverride" Target="../theme/themeOverride13.xml"/><Relationship Id="rId2" Type="http://schemas.openxmlformats.org/officeDocument/2006/relationships/chartUserShapes" Target="../drawings/drawing36.xml"/></Relationships>
</file>

<file path=xl/charts/_rels/chart29.xml.rels><?xml version="1.0" encoding="UTF-8" standalone="yes"?>
<Relationships xmlns="http://schemas.openxmlformats.org/package/2006/relationships"><Relationship Id="rId1" Type="http://schemas.openxmlformats.org/officeDocument/2006/relationships/themeOverride" Target="../theme/themeOverride14.xml"/><Relationship Id="rId2" Type="http://schemas.openxmlformats.org/officeDocument/2006/relationships/chartUserShapes" Target="../drawings/drawing37.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5.xml"/></Relationships>
</file>

<file path=xl/charts/_rels/chart30.xml.rels><?xml version="1.0" encoding="UTF-8" standalone="yes"?>
<Relationships xmlns="http://schemas.openxmlformats.org/package/2006/relationships"><Relationship Id="rId1" Type="http://schemas.openxmlformats.org/officeDocument/2006/relationships/themeOverride" Target="../theme/themeOverride15.xml"/></Relationships>
</file>

<file path=xl/charts/_rels/chart31.xml.rels><?xml version="1.0" encoding="UTF-8" standalone="yes"?>
<Relationships xmlns="http://schemas.openxmlformats.org/package/2006/relationships"><Relationship Id="rId1" Type="http://schemas.openxmlformats.org/officeDocument/2006/relationships/themeOverride" Target="../theme/themeOverride16.xml"/></Relationships>
</file>

<file path=xl/charts/_rels/chart32.xml.rels><?xml version="1.0" encoding="UTF-8" standalone="yes"?>
<Relationships xmlns="http://schemas.openxmlformats.org/package/2006/relationships"><Relationship Id="rId1" Type="http://schemas.openxmlformats.org/officeDocument/2006/relationships/themeOverride" Target="../theme/themeOverride17.xml"/><Relationship Id="rId2" Type="http://schemas.openxmlformats.org/officeDocument/2006/relationships/chartUserShapes" Target="../drawings/drawing40.xml"/></Relationships>
</file>

<file path=xl/charts/_rels/chart33.xml.rels><?xml version="1.0" encoding="UTF-8" standalone="yes"?>
<Relationships xmlns="http://schemas.openxmlformats.org/package/2006/relationships"><Relationship Id="rId1" Type="http://schemas.openxmlformats.org/officeDocument/2006/relationships/themeOverride" Target="../theme/themeOverride18.xml"/><Relationship Id="rId2" Type="http://schemas.openxmlformats.org/officeDocument/2006/relationships/chartUserShapes" Target="../drawings/drawing41.xml"/></Relationships>
</file>

<file path=xl/charts/_rels/chart34.xml.rels><?xml version="1.0" encoding="UTF-8" standalone="yes"?>
<Relationships xmlns="http://schemas.openxmlformats.org/package/2006/relationships"><Relationship Id="rId1" Type="http://schemas.openxmlformats.org/officeDocument/2006/relationships/themeOverride" Target="../theme/themeOverride19.xml"/><Relationship Id="rId2" Type="http://schemas.openxmlformats.org/officeDocument/2006/relationships/chartUserShapes" Target="../drawings/drawing43.xml"/></Relationships>
</file>

<file path=xl/charts/_rels/chart35.xml.rels><?xml version="1.0" encoding="UTF-8" standalone="yes"?>
<Relationships xmlns="http://schemas.openxmlformats.org/package/2006/relationships"><Relationship Id="rId1" Type="http://schemas.openxmlformats.org/officeDocument/2006/relationships/themeOverride" Target="../theme/themeOverride20.xml"/><Relationship Id="rId2" Type="http://schemas.openxmlformats.org/officeDocument/2006/relationships/chartUserShapes" Target="../drawings/drawing44.xml"/></Relationships>
</file>

<file path=xl/charts/_rels/chart36.xml.rels><?xml version="1.0" encoding="UTF-8" standalone="yes"?>
<Relationships xmlns="http://schemas.openxmlformats.org/package/2006/relationships"><Relationship Id="rId1" Type="http://schemas.openxmlformats.org/officeDocument/2006/relationships/themeOverride" Target="../theme/themeOverride21.xml"/><Relationship Id="rId2" Type="http://schemas.openxmlformats.org/officeDocument/2006/relationships/chartUserShapes" Target="../drawings/drawing46.xml"/></Relationships>
</file>

<file path=xl/charts/_rels/chart37.xml.rels><?xml version="1.0" encoding="UTF-8" standalone="yes"?>
<Relationships xmlns="http://schemas.openxmlformats.org/package/2006/relationships"><Relationship Id="rId1" Type="http://schemas.openxmlformats.org/officeDocument/2006/relationships/themeOverride" Target="../theme/themeOverride22.xml"/><Relationship Id="rId2" Type="http://schemas.openxmlformats.org/officeDocument/2006/relationships/chartUserShapes" Target="../drawings/drawing47.xml"/></Relationships>
</file>

<file path=xl/charts/_rels/chart38.xml.rels><?xml version="1.0" encoding="UTF-8" standalone="yes"?>
<Relationships xmlns="http://schemas.openxmlformats.org/package/2006/relationships"><Relationship Id="rId1" Type="http://schemas.openxmlformats.org/officeDocument/2006/relationships/themeOverride" Target="../theme/themeOverride23.xml"/><Relationship Id="rId2" Type="http://schemas.openxmlformats.org/officeDocument/2006/relationships/chartUserShapes" Target="../drawings/drawing49.xml"/></Relationships>
</file>

<file path=xl/charts/_rels/chart39.xml.rels><?xml version="1.0" encoding="UTF-8" standalone="yes"?>
<Relationships xmlns="http://schemas.openxmlformats.org/package/2006/relationships"><Relationship Id="rId1" Type="http://schemas.openxmlformats.org/officeDocument/2006/relationships/themeOverride" Target="../theme/themeOverride24.xml"/><Relationship Id="rId2" Type="http://schemas.openxmlformats.org/officeDocument/2006/relationships/chartUserShapes" Target="../drawings/drawing50.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40.xml.rels><?xml version="1.0" encoding="UTF-8" standalone="yes"?>
<Relationships xmlns="http://schemas.openxmlformats.org/package/2006/relationships"><Relationship Id="rId1" Type="http://schemas.openxmlformats.org/officeDocument/2006/relationships/themeOverride" Target="../theme/themeOverride25.xml"/><Relationship Id="rId2" Type="http://schemas.openxmlformats.org/officeDocument/2006/relationships/chartUserShapes" Target="../drawings/drawing52.xml"/></Relationships>
</file>

<file path=xl/charts/_rels/chart41.xml.rels><?xml version="1.0" encoding="UTF-8" standalone="yes"?>
<Relationships xmlns="http://schemas.openxmlformats.org/package/2006/relationships"><Relationship Id="rId1" Type="http://schemas.openxmlformats.org/officeDocument/2006/relationships/themeOverride" Target="../theme/themeOverride26.xml"/><Relationship Id="rId2" Type="http://schemas.openxmlformats.org/officeDocument/2006/relationships/chartUserShapes" Target="../drawings/drawing53.xml"/></Relationships>
</file>

<file path=xl/charts/_rels/chart42.xml.rels><?xml version="1.0" encoding="UTF-8" standalone="yes"?>
<Relationships xmlns="http://schemas.openxmlformats.org/package/2006/relationships"><Relationship Id="rId1" Type="http://schemas.openxmlformats.org/officeDocument/2006/relationships/themeOverride" Target="../theme/themeOverride27.xml"/></Relationships>
</file>

<file path=xl/charts/_rels/chart43.xml.rels><?xml version="1.0" encoding="UTF-8" standalone="yes"?>
<Relationships xmlns="http://schemas.openxmlformats.org/package/2006/relationships"><Relationship Id="rId1" Type="http://schemas.openxmlformats.org/officeDocument/2006/relationships/themeOverride" Target="../theme/themeOverride28.xml"/><Relationship Id="rId2" Type="http://schemas.openxmlformats.org/officeDocument/2006/relationships/chartUserShapes" Target="../drawings/drawing55.xml"/></Relationships>
</file>

<file path=xl/charts/_rels/chart5.xml.rels><?xml version="1.0" encoding="UTF-8" standalone="yes"?>
<Relationships xmlns="http://schemas.openxmlformats.org/package/2006/relationships"><Relationship Id="rId1" Type="http://schemas.openxmlformats.org/officeDocument/2006/relationships/themeOverride" Target="../theme/themeOverride1.xml"/></Relationships>
</file>

<file path=xl/charts/_rels/chart6.xml.rels><?xml version="1.0" encoding="UTF-8" standalone="yes"?>
<Relationships xmlns="http://schemas.openxmlformats.org/package/2006/relationships"><Relationship Id="rId1" Type="http://schemas.openxmlformats.org/officeDocument/2006/relationships/themeOverride" Target="../theme/themeOverride2.xml"/><Relationship Id="rId2" Type="http://schemas.openxmlformats.org/officeDocument/2006/relationships/chartUserShapes" Target="../drawings/drawing7.xml"/></Relationships>
</file>

<file path=xl/charts/_rels/chart7.xml.rels><?xml version="1.0" encoding="UTF-8" standalone="yes"?>
<Relationships xmlns="http://schemas.openxmlformats.org/package/2006/relationships"><Relationship Id="rId1" Type="http://schemas.openxmlformats.org/officeDocument/2006/relationships/chartUserShapes" Target="../drawings/drawing9.xml"/></Relationships>
</file>

<file path=xl/charts/_rels/chart8.xml.rels><?xml version="1.0" encoding="UTF-8" standalone="yes"?>
<Relationships xmlns="http://schemas.openxmlformats.org/package/2006/relationships"><Relationship Id="rId1" Type="http://schemas.openxmlformats.org/officeDocument/2006/relationships/themeOverride" Target="../theme/themeOverride3.xml"/><Relationship Id="rId2" Type="http://schemas.openxmlformats.org/officeDocument/2006/relationships/chartUserShapes" Target="../drawings/drawing10.xml"/></Relationships>
</file>

<file path=xl/charts/_rels/chart9.xml.rels><?xml version="1.0" encoding="UTF-8" standalone="yes"?>
<Relationships xmlns="http://schemas.openxmlformats.org/package/2006/relationships"><Relationship Id="rId1" Type="http://schemas.openxmlformats.org/officeDocument/2006/relationships/chartUserShapes" Target="../drawings/drawing1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28575">
              <a:noFill/>
            </a:ln>
          </c:spPr>
          <c:marker>
            <c:spPr>
              <a:solidFill>
                <a:srgbClr val="FF0000"/>
              </a:solidFill>
              <a:ln>
                <a:noFill/>
              </a:ln>
            </c:spPr>
          </c:marker>
          <c:xVal>
            <c:numRef>
              <c:f>Cabbage_White!$M$5:$M$15</c:f>
              <c:numCache>
                <c:formatCode>0.0</c:formatCode>
                <c:ptCount val="11"/>
                <c:pt idx="0">
                  <c:v>0.0</c:v>
                </c:pt>
                <c:pt idx="1">
                  <c:v>0.1</c:v>
                </c:pt>
                <c:pt idx="2">
                  <c:v>0.2</c:v>
                </c:pt>
                <c:pt idx="3">
                  <c:v>0.3</c:v>
                </c:pt>
                <c:pt idx="4">
                  <c:v>0.4</c:v>
                </c:pt>
                <c:pt idx="5">
                  <c:v>0.5</c:v>
                </c:pt>
                <c:pt idx="6">
                  <c:v>0.6</c:v>
                </c:pt>
                <c:pt idx="7">
                  <c:v>0.7</c:v>
                </c:pt>
                <c:pt idx="8">
                  <c:v>0.8</c:v>
                </c:pt>
                <c:pt idx="9">
                  <c:v>0.9</c:v>
                </c:pt>
                <c:pt idx="10">
                  <c:v>1.0</c:v>
                </c:pt>
              </c:numCache>
            </c:numRef>
          </c:xVal>
          <c:yVal>
            <c:numRef>
              <c:f>Cabbage_White!$P$5:$P$15</c:f>
              <c:numCache>
                <c:formatCode>0.00</c:formatCode>
                <c:ptCount val="11"/>
                <c:pt idx="0">
                  <c:v>0.0</c:v>
                </c:pt>
                <c:pt idx="1">
                  <c:v>0.00986842105263158</c:v>
                </c:pt>
                <c:pt idx="2">
                  <c:v>0.0197368421052632</c:v>
                </c:pt>
                <c:pt idx="3">
                  <c:v>0.0789473684210526</c:v>
                </c:pt>
                <c:pt idx="4">
                  <c:v>0.153947368421053</c:v>
                </c:pt>
                <c:pt idx="5">
                  <c:v>0.292105263157895</c:v>
                </c:pt>
                <c:pt idx="6">
                  <c:v>0.485526315789474</c:v>
                </c:pt>
                <c:pt idx="7">
                  <c:v>0.671052631578947</c:v>
                </c:pt>
                <c:pt idx="8">
                  <c:v>0.828947368421053</c:v>
                </c:pt>
                <c:pt idx="9">
                  <c:v>0.919736842105263</c:v>
                </c:pt>
                <c:pt idx="10">
                  <c:v>1.002631578947369</c:v>
                </c:pt>
              </c:numCache>
            </c:numRef>
          </c:yVal>
          <c:smooth val="0"/>
          <c:extLst xmlns:c16r2="http://schemas.microsoft.com/office/drawing/2015/06/chart">
            <c:ext xmlns:c16="http://schemas.microsoft.com/office/drawing/2014/chart" uri="{C3380CC4-5D6E-409C-BE32-E72D297353CC}">
              <c16:uniqueId val="{00000000-BFBF-4315-964C-938164DA1AF1}"/>
            </c:ext>
          </c:extLst>
        </c:ser>
        <c:dLbls>
          <c:showLegendKey val="0"/>
          <c:showVal val="0"/>
          <c:showCatName val="0"/>
          <c:showSerName val="0"/>
          <c:showPercent val="0"/>
          <c:showBubbleSize val="0"/>
        </c:dLbls>
        <c:axId val="-2009922432"/>
        <c:axId val="-2009641200"/>
      </c:scatterChart>
      <c:valAx>
        <c:axId val="-2009922432"/>
        <c:scaling>
          <c:orientation val="minMax"/>
          <c:max val="1.0"/>
        </c:scaling>
        <c:delete val="0"/>
        <c:axPos val="b"/>
        <c:title>
          <c:tx>
            <c:rich>
              <a:bodyPr/>
              <a:lstStyle/>
              <a:p>
                <a:pPr>
                  <a:defRPr/>
                </a:pPr>
                <a:r>
                  <a:rPr lang="en-US"/>
                  <a:t>Proportion of season</a:t>
                </a:r>
              </a:p>
            </c:rich>
          </c:tx>
          <c:layout/>
          <c:overlay val="0"/>
        </c:title>
        <c:numFmt formatCode="0.0" sourceLinked="1"/>
        <c:majorTickMark val="out"/>
        <c:minorTickMark val="none"/>
        <c:tickLblPos val="nextTo"/>
        <c:crossAx val="-2009641200"/>
        <c:crosses val="autoZero"/>
        <c:crossBetween val="midCat"/>
      </c:valAx>
      <c:valAx>
        <c:axId val="-2009641200"/>
        <c:scaling>
          <c:orientation val="minMax"/>
          <c:max val="1.05"/>
          <c:min val="0.0"/>
        </c:scaling>
        <c:delete val="0"/>
        <c:axPos val="l"/>
        <c:majorGridlines/>
        <c:title>
          <c:tx>
            <c:rich>
              <a:bodyPr rot="-5400000" vert="horz"/>
              <a:lstStyle/>
              <a:p>
                <a:pPr>
                  <a:defRPr/>
                </a:pPr>
                <a:r>
                  <a:rPr lang="en-US"/>
                  <a:t>Proportion of total N uptake</a:t>
                </a:r>
              </a:p>
            </c:rich>
          </c:tx>
          <c:layout/>
          <c:overlay val="0"/>
        </c:title>
        <c:numFmt formatCode="0.0" sourceLinked="0"/>
        <c:majorTickMark val="out"/>
        <c:minorTickMark val="none"/>
        <c:tickLblPos val="nextTo"/>
        <c:crossAx val="-2009922432"/>
        <c:crosses val="autoZero"/>
        <c:crossBetween val="midCat"/>
        <c:majorUnit val="0.2"/>
      </c:valAx>
    </c:plotArea>
    <c:plotVisOnly val="1"/>
    <c:dispBlanksAs val="gap"/>
    <c:showDLblsOverMax val="0"/>
  </c:chart>
  <c:spPr>
    <a:ln>
      <a:noFill/>
    </a:ln>
  </c:spPr>
  <c:txPr>
    <a:bodyPr/>
    <a:lstStyle/>
    <a:p>
      <a:pPr>
        <a:defRPr>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userShapes r:id="rId1"/>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scatterChart>
        <c:scatterStyle val="lineMarker"/>
        <c:varyColors val="0"/>
        <c:dLbls>
          <c:showLegendKey val="0"/>
          <c:showVal val="0"/>
          <c:showCatName val="0"/>
          <c:showSerName val="0"/>
          <c:showPercent val="0"/>
          <c:showBubbleSize val="0"/>
        </c:dLbls>
        <c:axId val="-2008253216"/>
        <c:axId val="-2012413264"/>
      </c:scatterChart>
      <c:valAx>
        <c:axId val="-2008253216"/>
        <c:scaling>
          <c:orientation val="minMax"/>
          <c:max val="102.0"/>
          <c:min val="0.0"/>
        </c:scaling>
        <c:delete val="0"/>
        <c:axPos val="b"/>
        <c:title>
          <c:tx>
            <c:rich>
              <a:bodyPr/>
              <a:lstStyle/>
              <a:p>
                <a:pPr>
                  <a:defRPr>
                    <a:latin typeface="Arial" panose="020B0604020202020204" pitchFamily="34" charset="0"/>
                    <a:cs typeface="Arial" panose="020B0604020202020204" pitchFamily="34" charset="0"/>
                  </a:defRPr>
                </a:pPr>
                <a:r>
                  <a:rPr lang="en-US" sz="1000" b="1" i="0" baseline="0">
                    <a:effectLst/>
                    <a:latin typeface="Arial" panose="020B0604020202020204" pitchFamily="34" charset="0"/>
                    <a:cs typeface="Arial" panose="020B0604020202020204" pitchFamily="34" charset="0"/>
                  </a:rPr>
                  <a:t>Proportion of season </a:t>
                </a:r>
                <a:r>
                  <a:rPr lang="en-US" sz="1000" b="0" i="0" baseline="0">
                    <a:effectLst/>
                    <a:latin typeface="Arial" panose="020B0604020202020204" pitchFamily="34" charset="0"/>
                    <a:cs typeface="Arial" panose="020B0604020202020204" pitchFamily="34" charset="0"/>
                  </a:rPr>
                  <a:t>(% of total)</a:t>
                </a:r>
                <a:endParaRPr lang="en-US" sz="1000">
                  <a:effectLst/>
                  <a:latin typeface="Arial" panose="020B0604020202020204" pitchFamily="34" charset="0"/>
                  <a:cs typeface="Arial" panose="020B0604020202020204" pitchFamily="34" charset="0"/>
                </a:endParaRPr>
              </a:p>
            </c:rich>
          </c:tx>
          <c:layout/>
          <c:overlay val="0"/>
        </c:title>
        <c:numFmt formatCode="General" sourceLinked="1"/>
        <c:majorTickMark val="out"/>
        <c:minorTickMark val="none"/>
        <c:tickLblPos val="nextTo"/>
        <c:crossAx val="-2012413264"/>
        <c:crosses val="autoZero"/>
        <c:crossBetween val="midCat"/>
        <c:majorUnit val="10.0"/>
      </c:valAx>
      <c:valAx>
        <c:axId val="-2012413264"/>
        <c:scaling>
          <c:orientation val="minMax"/>
          <c:max val="102.0"/>
          <c:min val="0.0"/>
        </c:scaling>
        <c:delete val="0"/>
        <c:axPos val="l"/>
        <c:majorGridlines/>
        <c:title>
          <c:tx>
            <c:rich>
              <a:bodyPr rot="-5400000" vert="horz"/>
              <a:lstStyle/>
              <a:p>
                <a:pPr marL="0" marR="0" indent="0" algn="ctr" defTabSz="914400" rtl="0" eaLnBrk="1" fontAlgn="auto" latinLnBrk="0" hangingPunct="1">
                  <a:lnSpc>
                    <a:spcPct val="100000"/>
                  </a:lnSpc>
                  <a:spcBef>
                    <a:spcPts val="0"/>
                  </a:spcBef>
                  <a:spcAft>
                    <a:spcPts val="0"/>
                  </a:spcAft>
                  <a:buClrTx/>
                  <a:buSzTx/>
                  <a:buFontTx/>
                  <a:buNone/>
                  <a:tabLst/>
                  <a:defRPr sz="10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sz="1000" b="1" i="0" baseline="0">
                    <a:effectLst/>
                  </a:rPr>
                  <a:t>Aboveground N uptake</a:t>
                </a:r>
                <a:r>
                  <a:rPr lang="en-US" sz="1000" b="0" i="0" baseline="0">
                    <a:effectLst/>
                  </a:rPr>
                  <a:t> (% of total)</a:t>
                </a:r>
                <a:endParaRPr lang="en-US" sz="1000">
                  <a:effectLst/>
                </a:endParaRPr>
              </a:p>
            </c:rich>
          </c:tx>
          <c:layout/>
          <c:overlay val="0"/>
        </c:title>
        <c:numFmt formatCode="0" sourceLinked="1"/>
        <c:majorTickMark val="out"/>
        <c:minorTickMark val="none"/>
        <c:tickLblPos val="nextTo"/>
        <c:crossAx val="-2008253216"/>
        <c:crosses val="autoZero"/>
        <c:crossBetween val="midCat"/>
      </c:valAx>
      <c:spPr>
        <a:noFill/>
      </c:spPr>
    </c:plotArea>
    <c:plotVisOnly val="1"/>
    <c:dispBlanksAs val="gap"/>
    <c:showDLblsOverMax val="0"/>
  </c:chart>
  <c:spPr>
    <a:noFill/>
    <a:ln>
      <a:noFill/>
    </a:ln>
  </c:spPr>
  <c:printSettings>
    <c:headerFooter/>
    <c:pageMargins b="0.75" l="0.7" r="0.7" t="0.75" header="0.3" footer="0.3"/>
    <c:pageSetup/>
  </c:printSettings>
  <c:userShapes r:id="rId2"/>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scatterChart>
        <c:scatterStyle val="lineMarker"/>
        <c:varyColors val="0"/>
        <c:dLbls>
          <c:showLegendKey val="0"/>
          <c:showVal val="0"/>
          <c:showCatName val="0"/>
          <c:showSerName val="0"/>
          <c:showPercent val="0"/>
          <c:showBubbleSize val="0"/>
        </c:dLbls>
        <c:axId val="-2008568160"/>
        <c:axId val="-2008562384"/>
      </c:scatterChart>
      <c:valAx>
        <c:axId val="-2008568160"/>
        <c:scaling>
          <c:orientation val="minMax"/>
          <c:max val="102.0"/>
          <c:min val="0.0"/>
        </c:scaling>
        <c:delete val="0"/>
        <c:axPos val="b"/>
        <c:title>
          <c:tx>
            <c:rich>
              <a:bodyPr/>
              <a:lstStyle/>
              <a:p>
                <a:pPr>
                  <a:defRPr>
                    <a:latin typeface="Arial" panose="020B0604020202020204" pitchFamily="34" charset="0"/>
                    <a:cs typeface="Arial" panose="020B0604020202020204" pitchFamily="34" charset="0"/>
                  </a:defRPr>
                </a:pPr>
                <a:r>
                  <a:rPr lang="en-US" sz="1000" b="1" i="0" baseline="0">
                    <a:effectLst/>
                    <a:latin typeface="Arial" panose="020B0604020202020204" pitchFamily="34" charset="0"/>
                    <a:cs typeface="Arial" panose="020B0604020202020204" pitchFamily="34" charset="0"/>
                  </a:rPr>
                  <a:t>Proportion of season </a:t>
                </a:r>
                <a:r>
                  <a:rPr lang="en-US" sz="1000" b="0" i="0" baseline="0">
                    <a:effectLst/>
                    <a:latin typeface="Arial" panose="020B0604020202020204" pitchFamily="34" charset="0"/>
                    <a:cs typeface="Arial" panose="020B0604020202020204" pitchFamily="34" charset="0"/>
                  </a:rPr>
                  <a:t>(% of total)</a:t>
                </a:r>
                <a:endParaRPr lang="en-US" sz="1000">
                  <a:effectLst/>
                  <a:latin typeface="Arial" panose="020B0604020202020204" pitchFamily="34" charset="0"/>
                  <a:cs typeface="Arial" panose="020B0604020202020204" pitchFamily="34" charset="0"/>
                </a:endParaRPr>
              </a:p>
            </c:rich>
          </c:tx>
          <c:layout/>
          <c:overlay val="0"/>
        </c:title>
        <c:numFmt formatCode="General" sourceLinked="1"/>
        <c:majorTickMark val="out"/>
        <c:minorTickMark val="none"/>
        <c:tickLblPos val="nextTo"/>
        <c:crossAx val="-2008562384"/>
        <c:crosses val="autoZero"/>
        <c:crossBetween val="midCat"/>
        <c:majorUnit val="10.0"/>
      </c:valAx>
      <c:valAx>
        <c:axId val="-2008562384"/>
        <c:scaling>
          <c:orientation val="minMax"/>
          <c:max val="102.0"/>
          <c:min val="0.0"/>
        </c:scaling>
        <c:delete val="0"/>
        <c:axPos val="l"/>
        <c:majorGridlines/>
        <c:title>
          <c:tx>
            <c:rich>
              <a:bodyPr rot="-5400000" vert="horz"/>
              <a:lstStyle/>
              <a:p>
                <a:pPr marL="0" marR="0" indent="0" algn="ctr" defTabSz="914400" rtl="0" eaLnBrk="1" fontAlgn="auto" latinLnBrk="0" hangingPunct="1">
                  <a:lnSpc>
                    <a:spcPct val="100000"/>
                  </a:lnSpc>
                  <a:spcBef>
                    <a:spcPts val="0"/>
                  </a:spcBef>
                  <a:spcAft>
                    <a:spcPts val="0"/>
                  </a:spcAft>
                  <a:buClrTx/>
                  <a:buSzTx/>
                  <a:buFontTx/>
                  <a:buNone/>
                  <a:tabLst/>
                  <a:defRPr sz="10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sz="1000" b="1" i="0" baseline="0">
                    <a:effectLst/>
                  </a:rPr>
                  <a:t>Aboveground N uptake</a:t>
                </a:r>
                <a:r>
                  <a:rPr lang="en-US" sz="1000" b="0" i="0" baseline="0">
                    <a:effectLst/>
                  </a:rPr>
                  <a:t> (% of total)</a:t>
                </a:r>
                <a:endParaRPr lang="en-US" sz="1000">
                  <a:effectLst/>
                </a:endParaRPr>
              </a:p>
            </c:rich>
          </c:tx>
          <c:layout/>
          <c:overlay val="0"/>
        </c:title>
        <c:numFmt formatCode="0" sourceLinked="1"/>
        <c:majorTickMark val="out"/>
        <c:minorTickMark val="none"/>
        <c:tickLblPos val="nextTo"/>
        <c:crossAx val="-2008568160"/>
        <c:crosses val="autoZero"/>
        <c:crossBetween val="midCat"/>
      </c:valAx>
    </c:plotArea>
    <c:plotVisOnly val="1"/>
    <c:dispBlanksAs val="gap"/>
    <c:showDLblsOverMax val="0"/>
  </c:chart>
  <c:spPr>
    <a:ln>
      <a:noFill/>
    </a:ln>
  </c:spPr>
  <c:printSettings>
    <c:headerFooter/>
    <c:pageMargins b="0.75" l="0.7" r="0.7" t="0.75" header="0.3" footer="0.3"/>
    <c:pageSetup/>
  </c:printSettings>
  <c:userShapes r:id="rId2"/>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28575">
              <a:noFill/>
            </a:ln>
          </c:spPr>
          <c:xVal>
            <c:numRef>
              <c:f>Peppers_Chili!$L$5:$L$56</c:f>
              <c:numCache>
                <c:formatCode>0</c:formatCode>
                <c:ptCount val="52"/>
                <c:pt idx="0">
                  <c:v>0.0</c:v>
                </c:pt>
                <c:pt idx="1">
                  <c:v>766.0</c:v>
                </c:pt>
                <c:pt idx="2">
                  <c:v>980.0</c:v>
                </c:pt>
                <c:pt idx="3">
                  <c:v>1166.0</c:v>
                </c:pt>
                <c:pt idx="4">
                  <c:v>1523.0</c:v>
                </c:pt>
                <c:pt idx="5">
                  <c:v>0.0</c:v>
                </c:pt>
                <c:pt idx="6">
                  <c:v>483.0</c:v>
                </c:pt>
                <c:pt idx="7">
                  <c:v>844.0</c:v>
                </c:pt>
                <c:pt idx="8">
                  <c:v>1153.0</c:v>
                </c:pt>
                <c:pt idx="9">
                  <c:v>1353.0</c:v>
                </c:pt>
                <c:pt idx="10">
                  <c:v>1805.0</c:v>
                </c:pt>
                <c:pt idx="11">
                  <c:v>0.0</c:v>
                </c:pt>
                <c:pt idx="12">
                  <c:v>459.0</c:v>
                </c:pt>
                <c:pt idx="13">
                  <c:v>615.0</c:v>
                </c:pt>
                <c:pt idx="14">
                  <c:v>798.0</c:v>
                </c:pt>
                <c:pt idx="15">
                  <c:v>1213.0</c:v>
                </c:pt>
                <c:pt idx="16">
                  <c:v>0.0</c:v>
                </c:pt>
                <c:pt idx="17">
                  <c:v>523.0</c:v>
                </c:pt>
                <c:pt idx="18">
                  <c:v>737.0</c:v>
                </c:pt>
                <c:pt idx="19">
                  <c:v>985.0</c:v>
                </c:pt>
                <c:pt idx="20">
                  <c:v>1323.0</c:v>
                </c:pt>
                <c:pt idx="21">
                  <c:v>0.0</c:v>
                </c:pt>
                <c:pt idx="22">
                  <c:v>459.0</c:v>
                </c:pt>
                <c:pt idx="23">
                  <c:v>615.0</c:v>
                </c:pt>
                <c:pt idx="24">
                  <c:v>798.0</c:v>
                </c:pt>
                <c:pt idx="25">
                  <c:v>1128.0</c:v>
                </c:pt>
                <c:pt idx="26">
                  <c:v>0.0</c:v>
                </c:pt>
                <c:pt idx="27">
                  <c:v>498.0</c:v>
                </c:pt>
                <c:pt idx="28">
                  <c:v>661.0</c:v>
                </c:pt>
                <c:pt idx="29">
                  <c:v>926.0</c:v>
                </c:pt>
                <c:pt idx="30">
                  <c:v>1256.0</c:v>
                </c:pt>
                <c:pt idx="31">
                  <c:v>0.0</c:v>
                </c:pt>
                <c:pt idx="32">
                  <c:v>422.0</c:v>
                </c:pt>
                <c:pt idx="33">
                  <c:v>574.0</c:v>
                </c:pt>
                <c:pt idx="34">
                  <c:v>913.0</c:v>
                </c:pt>
                <c:pt idx="35">
                  <c:v>1244.0</c:v>
                </c:pt>
                <c:pt idx="36">
                  <c:v>0.0</c:v>
                </c:pt>
                <c:pt idx="37">
                  <c:v>766.0</c:v>
                </c:pt>
                <c:pt idx="38">
                  <c:v>980.0</c:v>
                </c:pt>
                <c:pt idx="39">
                  <c:v>1166.0</c:v>
                </c:pt>
                <c:pt idx="40">
                  <c:v>1523.0</c:v>
                </c:pt>
                <c:pt idx="41">
                  <c:v>0.0</c:v>
                </c:pt>
                <c:pt idx="42">
                  <c:v>440.0</c:v>
                </c:pt>
                <c:pt idx="43">
                  <c:v>690.0</c:v>
                </c:pt>
                <c:pt idx="44">
                  <c:v>997.0</c:v>
                </c:pt>
                <c:pt idx="45">
                  <c:v>1271.0</c:v>
                </c:pt>
                <c:pt idx="46">
                  <c:v>1786.0</c:v>
                </c:pt>
                <c:pt idx="47">
                  <c:v>0.0</c:v>
                </c:pt>
                <c:pt idx="48">
                  <c:v>766.0</c:v>
                </c:pt>
                <c:pt idx="49">
                  <c:v>980.0</c:v>
                </c:pt>
                <c:pt idx="50">
                  <c:v>1166.0</c:v>
                </c:pt>
                <c:pt idx="51">
                  <c:v>1523.0</c:v>
                </c:pt>
              </c:numCache>
            </c:numRef>
          </c:xVal>
          <c:yVal>
            <c:numRef>
              <c:f>Peppers_Chili!$P$5:$P$56</c:f>
              <c:numCache>
                <c:formatCode>0</c:formatCode>
                <c:ptCount val="52"/>
                <c:pt idx="0">
                  <c:v>0.0</c:v>
                </c:pt>
                <c:pt idx="1">
                  <c:v>16.17647058823529</c:v>
                </c:pt>
                <c:pt idx="2">
                  <c:v>25.49019607843137</c:v>
                </c:pt>
                <c:pt idx="3">
                  <c:v>41.17647058823529</c:v>
                </c:pt>
                <c:pt idx="4">
                  <c:v>100.0</c:v>
                </c:pt>
                <c:pt idx="5">
                  <c:v>0.0</c:v>
                </c:pt>
                <c:pt idx="6">
                  <c:v>9.134615384615383</c:v>
                </c:pt>
                <c:pt idx="7">
                  <c:v>50.48076923076923</c:v>
                </c:pt>
                <c:pt idx="8">
                  <c:v>60.57692307692307</c:v>
                </c:pt>
                <c:pt idx="9">
                  <c:v>100.0</c:v>
                </c:pt>
                <c:pt idx="10">
                  <c:v>97.11538461538461</c:v>
                </c:pt>
                <c:pt idx="11">
                  <c:v>0.0</c:v>
                </c:pt>
                <c:pt idx="12">
                  <c:v>1.082251082251082</c:v>
                </c:pt>
                <c:pt idx="13">
                  <c:v>9.956709956709957</c:v>
                </c:pt>
                <c:pt idx="14">
                  <c:v>36.7965367965368</c:v>
                </c:pt>
                <c:pt idx="15">
                  <c:v>100.0</c:v>
                </c:pt>
                <c:pt idx="16">
                  <c:v>0.0</c:v>
                </c:pt>
                <c:pt idx="17">
                  <c:v>6.787330316742082</c:v>
                </c:pt>
                <c:pt idx="18">
                  <c:v>26.24434389140271</c:v>
                </c:pt>
                <c:pt idx="19">
                  <c:v>38.91402714932127</c:v>
                </c:pt>
                <c:pt idx="20">
                  <c:v>100.0</c:v>
                </c:pt>
                <c:pt idx="21">
                  <c:v>0.0</c:v>
                </c:pt>
                <c:pt idx="22">
                  <c:v>0.636363636363636</c:v>
                </c:pt>
                <c:pt idx="23">
                  <c:v>16.36363636363636</c:v>
                </c:pt>
                <c:pt idx="24">
                  <c:v>51.81818181818182</c:v>
                </c:pt>
                <c:pt idx="25">
                  <c:v>100.0</c:v>
                </c:pt>
                <c:pt idx="26">
                  <c:v>0.0</c:v>
                </c:pt>
                <c:pt idx="27">
                  <c:v>0.485436893203883</c:v>
                </c:pt>
                <c:pt idx="28">
                  <c:v>2.475728155339806</c:v>
                </c:pt>
                <c:pt idx="29">
                  <c:v>61.16504854368932</c:v>
                </c:pt>
                <c:pt idx="30">
                  <c:v>100.0</c:v>
                </c:pt>
                <c:pt idx="31">
                  <c:v>0.0</c:v>
                </c:pt>
                <c:pt idx="32">
                  <c:v>1.918604651162791</c:v>
                </c:pt>
                <c:pt idx="33">
                  <c:v>6.976744186046511</c:v>
                </c:pt>
                <c:pt idx="34">
                  <c:v>57.55813953488372</c:v>
                </c:pt>
                <c:pt idx="35">
                  <c:v>100.0</c:v>
                </c:pt>
                <c:pt idx="36">
                  <c:v>0.0</c:v>
                </c:pt>
                <c:pt idx="37">
                  <c:v>13.13131313131313</c:v>
                </c:pt>
                <c:pt idx="38">
                  <c:v>40.4040404040404</c:v>
                </c:pt>
                <c:pt idx="39">
                  <c:v>56.06060606060606</c:v>
                </c:pt>
                <c:pt idx="40">
                  <c:v>100.0</c:v>
                </c:pt>
                <c:pt idx="41">
                  <c:v>0.0</c:v>
                </c:pt>
                <c:pt idx="42">
                  <c:v>1.703056768558952</c:v>
                </c:pt>
                <c:pt idx="43">
                  <c:v>3.668122270742358</c:v>
                </c:pt>
                <c:pt idx="44">
                  <c:v>41.04803493449781</c:v>
                </c:pt>
                <c:pt idx="45">
                  <c:v>67.24890829694323</c:v>
                </c:pt>
                <c:pt idx="46">
                  <c:v>100.0</c:v>
                </c:pt>
                <c:pt idx="47">
                  <c:v>0.0</c:v>
                </c:pt>
                <c:pt idx="48">
                  <c:v>12.29508196721312</c:v>
                </c:pt>
                <c:pt idx="49">
                  <c:v>39.34426229508197</c:v>
                </c:pt>
                <c:pt idx="50">
                  <c:v>40.98360655737705</c:v>
                </c:pt>
                <c:pt idx="51">
                  <c:v>100.0</c:v>
                </c:pt>
              </c:numCache>
            </c:numRef>
          </c:yVal>
          <c:smooth val="0"/>
          <c:extLst xmlns:c16r2="http://schemas.microsoft.com/office/drawing/2015/06/chart">
            <c:ext xmlns:c16="http://schemas.microsoft.com/office/drawing/2014/chart" uri="{C3380CC4-5D6E-409C-BE32-E72D297353CC}">
              <c16:uniqueId val="{00000000-C9EE-4D29-857E-ACCC3995B9D2}"/>
            </c:ext>
          </c:extLst>
        </c:ser>
        <c:dLbls>
          <c:showLegendKey val="0"/>
          <c:showVal val="0"/>
          <c:showCatName val="0"/>
          <c:showSerName val="0"/>
          <c:showPercent val="0"/>
          <c:showBubbleSize val="0"/>
        </c:dLbls>
        <c:axId val="-2008592640"/>
        <c:axId val="-2012706416"/>
      </c:scatterChart>
      <c:valAx>
        <c:axId val="-2008592640"/>
        <c:scaling>
          <c:orientation val="minMax"/>
        </c:scaling>
        <c:delete val="0"/>
        <c:axPos val="b"/>
        <c:title>
          <c:tx>
            <c:rich>
              <a:bodyPr/>
              <a:lstStyle/>
              <a:p>
                <a:pPr>
                  <a:defRPr/>
                </a:pPr>
                <a:r>
                  <a:rPr lang="en-US"/>
                  <a:t>HUAP (30/13 °C)</a:t>
                </a:r>
              </a:p>
            </c:rich>
          </c:tx>
          <c:layout/>
          <c:overlay val="0"/>
        </c:title>
        <c:numFmt formatCode="0" sourceLinked="1"/>
        <c:majorTickMark val="out"/>
        <c:minorTickMark val="none"/>
        <c:tickLblPos val="nextTo"/>
        <c:crossAx val="-2012706416"/>
        <c:crosses val="autoZero"/>
        <c:crossBetween val="midCat"/>
      </c:valAx>
      <c:valAx>
        <c:axId val="-2012706416"/>
        <c:scaling>
          <c:orientation val="minMax"/>
          <c:max val="102.0"/>
          <c:min val="0.0"/>
        </c:scaling>
        <c:delete val="0"/>
        <c:axPos val="l"/>
        <c:majorGridlines/>
        <c:title>
          <c:tx>
            <c:rich>
              <a:bodyPr rot="-5400000" vert="horz"/>
              <a:lstStyle/>
              <a:p>
                <a:pPr>
                  <a:defRPr/>
                </a:pPr>
                <a:r>
                  <a:rPr lang="en-US"/>
                  <a:t>Aboveground N uptake (% of maximum)</a:t>
                </a:r>
              </a:p>
            </c:rich>
          </c:tx>
          <c:layout/>
          <c:overlay val="0"/>
        </c:title>
        <c:numFmt formatCode="0" sourceLinked="1"/>
        <c:majorTickMark val="out"/>
        <c:minorTickMark val="none"/>
        <c:tickLblPos val="nextTo"/>
        <c:crossAx val="-2008592640"/>
        <c:crosses val="autoZero"/>
        <c:crossBetween val="midCat"/>
      </c:valAx>
    </c:plotArea>
    <c:plotVisOnly val="1"/>
    <c:dispBlanksAs val="gap"/>
    <c:showDLblsOverMax val="0"/>
  </c:chart>
  <c:spPr>
    <a:ln>
      <a:noFill/>
    </a:ln>
  </c:sp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tx>
            <c:v>Green harvest</c:v>
          </c:tx>
          <c:spPr>
            <a:ln w="28575">
              <a:noFill/>
            </a:ln>
          </c:spPr>
          <c:marker>
            <c:spPr>
              <a:solidFill>
                <a:srgbClr val="00B050"/>
              </a:solidFill>
              <a:ln>
                <a:solidFill>
                  <a:srgbClr val="00B050"/>
                </a:solidFill>
              </a:ln>
            </c:spPr>
          </c:marker>
          <c:xVal>
            <c:numRef>
              <c:f>(Peppers_Chili!$M$5:$M$9,Peppers_Chili!$M$16:$M$45,Peppers_Chili!$M$52:$M$56)</c:f>
              <c:numCache>
                <c:formatCode>0</c:formatCode>
                <c:ptCount val="40"/>
                <c:pt idx="0">
                  <c:v>0.0</c:v>
                </c:pt>
                <c:pt idx="1">
                  <c:v>50.29546946815494</c:v>
                </c:pt>
                <c:pt idx="2">
                  <c:v>64.34668417596847</c:v>
                </c:pt>
                <c:pt idx="3">
                  <c:v>76.55942219304005</c:v>
                </c:pt>
                <c:pt idx="4">
                  <c:v>100.0</c:v>
                </c:pt>
                <c:pt idx="5">
                  <c:v>0.0</c:v>
                </c:pt>
                <c:pt idx="6">
                  <c:v>37.84006595218467</c:v>
                </c:pt>
                <c:pt idx="7">
                  <c:v>50.70074196207749</c:v>
                </c:pt>
                <c:pt idx="8">
                  <c:v>65.78730420445177</c:v>
                </c:pt>
                <c:pt idx="9">
                  <c:v>100.0</c:v>
                </c:pt>
                <c:pt idx="10">
                  <c:v>0.0</c:v>
                </c:pt>
                <c:pt idx="11">
                  <c:v>39.53136810279668</c:v>
                </c:pt>
                <c:pt idx="12">
                  <c:v>55.70672713529856</c:v>
                </c:pt>
                <c:pt idx="13">
                  <c:v>74.45200302343159</c:v>
                </c:pt>
                <c:pt idx="14">
                  <c:v>100.0</c:v>
                </c:pt>
                <c:pt idx="15">
                  <c:v>0.0</c:v>
                </c:pt>
                <c:pt idx="16">
                  <c:v>40.69148936170212</c:v>
                </c:pt>
                <c:pt idx="17">
                  <c:v>54.52127659574468</c:v>
                </c:pt>
                <c:pt idx="18">
                  <c:v>70.74468085106383</c:v>
                </c:pt>
                <c:pt idx="19">
                  <c:v>100.0</c:v>
                </c:pt>
                <c:pt idx="20">
                  <c:v>0.0</c:v>
                </c:pt>
                <c:pt idx="21">
                  <c:v>39.64968152866242</c:v>
                </c:pt>
                <c:pt idx="22">
                  <c:v>52.62738853503184</c:v>
                </c:pt>
                <c:pt idx="23">
                  <c:v>73.72611464968153</c:v>
                </c:pt>
                <c:pt idx="24">
                  <c:v>100.0</c:v>
                </c:pt>
                <c:pt idx="25">
                  <c:v>0.0</c:v>
                </c:pt>
                <c:pt idx="26">
                  <c:v>33.92282958199357</c:v>
                </c:pt>
                <c:pt idx="27">
                  <c:v>46.14147909967846</c:v>
                </c:pt>
                <c:pt idx="28">
                  <c:v>73.39228295819936</c:v>
                </c:pt>
                <c:pt idx="29">
                  <c:v>100.0</c:v>
                </c:pt>
                <c:pt idx="30">
                  <c:v>0.0</c:v>
                </c:pt>
                <c:pt idx="31">
                  <c:v>50.29546946815494</c:v>
                </c:pt>
                <c:pt idx="32">
                  <c:v>64.34668417596847</c:v>
                </c:pt>
                <c:pt idx="33">
                  <c:v>76.55942219304005</c:v>
                </c:pt>
                <c:pt idx="34">
                  <c:v>100.0</c:v>
                </c:pt>
                <c:pt idx="35">
                  <c:v>0.0</c:v>
                </c:pt>
                <c:pt idx="36">
                  <c:v>50.29546946815494</c:v>
                </c:pt>
                <c:pt idx="37">
                  <c:v>64.34668417596847</c:v>
                </c:pt>
                <c:pt idx="38">
                  <c:v>76.55942219304005</c:v>
                </c:pt>
                <c:pt idx="39">
                  <c:v>100.0</c:v>
                </c:pt>
              </c:numCache>
            </c:numRef>
          </c:xVal>
          <c:yVal>
            <c:numRef>
              <c:f>(Peppers_Chili!$P$5:$P$9,Peppers_Chili!$P$16:$P$45,Peppers_Chili!$P$52:$P$56)</c:f>
              <c:numCache>
                <c:formatCode>0</c:formatCode>
                <c:ptCount val="40"/>
                <c:pt idx="0">
                  <c:v>0.0</c:v>
                </c:pt>
                <c:pt idx="1">
                  <c:v>16.17647058823529</c:v>
                </c:pt>
                <c:pt idx="2">
                  <c:v>25.49019607843137</c:v>
                </c:pt>
                <c:pt idx="3">
                  <c:v>41.17647058823529</c:v>
                </c:pt>
                <c:pt idx="4">
                  <c:v>100.0</c:v>
                </c:pt>
                <c:pt idx="5">
                  <c:v>0.0</c:v>
                </c:pt>
                <c:pt idx="6">
                  <c:v>1.082251082251082</c:v>
                </c:pt>
                <c:pt idx="7">
                  <c:v>9.956709956709957</c:v>
                </c:pt>
                <c:pt idx="8">
                  <c:v>36.7965367965368</c:v>
                </c:pt>
                <c:pt idx="9">
                  <c:v>100.0</c:v>
                </c:pt>
                <c:pt idx="10">
                  <c:v>0.0</c:v>
                </c:pt>
                <c:pt idx="11">
                  <c:v>6.787330316742082</c:v>
                </c:pt>
                <c:pt idx="12">
                  <c:v>26.24434389140271</c:v>
                </c:pt>
                <c:pt idx="13">
                  <c:v>38.91402714932127</c:v>
                </c:pt>
                <c:pt idx="14">
                  <c:v>100.0</c:v>
                </c:pt>
                <c:pt idx="15">
                  <c:v>0.0</c:v>
                </c:pt>
                <c:pt idx="16">
                  <c:v>0.636363636363636</c:v>
                </c:pt>
                <c:pt idx="17">
                  <c:v>16.36363636363636</c:v>
                </c:pt>
                <c:pt idx="18">
                  <c:v>51.81818181818182</c:v>
                </c:pt>
                <c:pt idx="19">
                  <c:v>100.0</c:v>
                </c:pt>
                <c:pt idx="20">
                  <c:v>0.0</c:v>
                </c:pt>
                <c:pt idx="21">
                  <c:v>0.485436893203883</c:v>
                </c:pt>
                <c:pt idx="22">
                  <c:v>2.475728155339806</c:v>
                </c:pt>
                <c:pt idx="23">
                  <c:v>61.16504854368932</c:v>
                </c:pt>
                <c:pt idx="24">
                  <c:v>100.0</c:v>
                </c:pt>
                <c:pt idx="25">
                  <c:v>0.0</c:v>
                </c:pt>
                <c:pt idx="26">
                  <c:v>1.918604651162791</c:v>
                </c:pt>
                <c:pt idx="27">
                  <c:v>6.976744186046511</c:v>
                </c:pt>
                <c:pt idx="28">
                  <c:v>57.55813953488372</c:v>
                </c:pt>
                <c:pt idx="29">
                  <c:v>100.0</c:v>
                </c:pt>
                <c:pt idx="30">
                  <c:v>0.0</c:v>
                </c:pt>
                <c:pt idx="31">
                  <c:v>13.13131313131313</c:v>
                </c:pt>
                <c:pt idx="32">
                  <c:v>40.4040404040404</c:v>
                </c:pt>
                <c:pt idx="33">
                  <c:v>56.06060606060606</c:v>
                </c:pt>
                <c:pt idx="34">
                  <c:v>100.0</c:v>
                </c:pt>
                <c:pt idx="35">
                  <c:v>0.0</c:v>
                </c:pt>
                <c:pt idx="36">
                  <c:v>12.29508196721312</c:v>
                </c:pt>
                <c:pt idx="37">
                  <c:v>39.34426229508197</c:v>
                </c:pt>
                <c:pt idx="38">
                  <c:v>40.98360655737705</c:v>
                </c:pt>
                <c:pt idx="39">
                  <c:v>100.0</c:v>
                </c:pt>
              </c:numCache>
            </c:numRef>
          </c:yVal>
          <c:smooth val="0"/>
          <c:extLst xmlns:c16r2="http://schemas.microsoft.com/office/drawing/2015/06/chart">
            <c:ext xmlns:c16="http://schemas.microsoft.com/office/drawing/2014/chart" uri="{C3380CC4-5D6E-409C-BE32-E72D297353CC}">
              <c16:uniqueId val="{00000000-0518-481F-8D90-383F6B8D18DC}"/>
            </c:ext>
          </c:extLst>
        </c:ser>
        <c:ser>
          <c:idx val="1"/>
          <c:order val="1"/>
          <c:tx>
            <c:v>Red harvest</c:v>
          </c:tx>
          <c:spPr>
            <a:ln w="28575">
              <a:noFill/>
            </a:ln>
          </c:spPr>
          <c:marker>
            <c:symbol val="square"/>
            <c:size val="5"/>
          </c:marker>
          <c:xVal>
            <c:numRef>
              <c:f>(Peppers_Chili!$M$10:$M$15,Peppers_Chili!$M$46:$M$51)</c:f>
              <c:numCache>
                <c:formatCode>0</c:formatCode>
                <c:ptCount val="12"/>
                <c:pt idx="0">
                  <c:v>0.0</c:v>
                </c:pt>
                <c:pt idx="1">
                  <c:v>26.7590027700831</c:v>
                </c:pt>
                <c:pt idx="2">
                  <c:v>46.7590027700831</c:v>
                </c:pt>
                <c:pt idx="3">
                  <c:v>63.87811634349031</c:v>
                </c:pt>
                <c:pt idx="4">
                  <c:v>74.9584487534626</c:v>
                </c:pt>
                <c:pt idx="5">
                  <c:v>100.0</c:v>
                </c:pt>
                <c:pt idx="6">
                  <c:v>0.0</c:v>
                </c:pt>
                <c:pt idx="7">
                  <c:v>24.6360582306831</c:v>
                </c:pt>
                <c:pt idx="8">
                  <c:v>38.63381858902575</c:v>
                </c:pt>
                <c:pt idx="9">
                  <c:v>55.82306830907054</c:v>
                </c:pt>
                <c:pt idx="10">
                  <c:v>71.1646136618141</c:v>
                </c:pt>
                <c:pt idx="11">
                  <c:v>100.0</c:v>
                </c:pt>
              </c:numCache>
            </c:numRef>
          </c:xVal>
          <c:yVal>
            <c:numRef>
              <c:f>(Peppers_Chili!$P$10:$P$15,Peppers_Chili!$P$46:$P$51)</c:f>
              <c:numCache>
                <c:formatCode>0</c:formatCode>
                <c:ptCount val="12"/>
                <c:pt idx="0">
                  <c:v>0.0</c:v>
                </c:pt>
                <c:pt idx="1">
                  <c:v>9.134615384615383</c:v>
                </c:pt>
                <c:pt idx="2">
                  <c:v>50.48076923076923</c:v>
                </c:pt>
                <c:pt idx="3">
                  <c:v>60.57692307692307</c:v>
                </c:pt>
                <c:pt idx="4">
                  <c:v>100.0</c:v>
                </c:pt>
                <c:pt idx="5">
                  <c:v>97.11538461538461</c:v>
                </c:pt>
                <c:pt idx="6">
                  <c:v>0.0</c:v>
                </c:pt>
                <c:pt idx="7">
                  <c:v>1.703056768558952</c:v>
                </c:pt>
                <c:pt idx="8">
                  <c:v>3.668122270742358</c:v>
                </c:pt>
                <c:pt idx="9">
                  <c:v>41.04803493449781</c:v>
                </c:pt>
                <c:pt idx="10">
                  <c:v>67.24890829694323</c:v>
                </c:pt>
                <c:pt idx="11">
                  <c:v>100.0</c:v>
                </c:pt>
              </c:numCache>
            </c:numRef>
          </c:yVal>
          <c:smooth val="0"/>
          <c:extLst xmlns:c16r2="http://schemas.microsoft.com/office/drawing/2015/06/chart">
            <c:ext xmlns:c16="http://schemas.microsoft.com/office/drawing/2014/chart" uri="{C3380CC4-5D6E-409C-BE32-E72D297353CC}">
              <c16:uniqueId val="{00000001-0518-481F-8D90-383F6B8D18DC}"/>
            </c:ext>
          </c:extLst>
        </c:ser>
        <c:dLbls>
          <c:showLegendKey val="0"/>
          <c:showVal val="0"/>
          <c:showCatName val="0"/>
          <c:showSerName val="0"/>
          <c:showPercent val="0"/>
          <c:showBubbleSize val="0"/>
        </c:dLbls>
        <c:axId val="-2008992448"/>
        <c:axId val="-2012414688"/>
      </c:scatterChart>
      <c:valAx>
        <c:axId val="-2008992448"/>
        <c:scaling>
          <c:orientation val="minMax"/>
          <c:max val="102.0"/>
          <c:min val="0.0"/>
        </c:scaling>
        <c:delete val="0"/>
        <c:axPos val="b"/>
        <c:title>
          <c:tx>
            <c:rich>
              <a:bodyPr/>
              <a:lstStyle/>
              <a:p>
                <a:pPr>
                  <a:defRPr>
                    <a:latin typeface="Arial" panose="020B0604020202020204" pitchFamily="34" charset="0"/>
                    <a:cs typeface="Arial" panose="020B0604020202020204" pitchFamily="34" charset="0"/>
                  </a:defRPr>
                </a:pPr>
                <a:r>
                  <a:rPr lang="en-US" sz="1000" b="1" i="0" baseline="0">
                    <a:effectLst/>
                    <a:latin typeface="Arial" panose="020B0604020202020204" pitchFamily="34" charset="0"/>
                    <a:cs typeface="Arial" panose="020B0604020202020204" pitchFamily="34" charset="0"/>
                  </a:rPr>
                  <a:t>Proportion of season </a:t>
                </a:r>
                <a:r>
                  <a:rPr lang="en-US" sz="1000" b="0" i="0" baseline="0">
                    <a:effectLst/>
                    <a:latin typeface="Arial" panose="020B0604020202020204" pitchFamily="34" charset="0"/>
                    <a:cs typeface="Arial" panose="020B0604020202020204" pitchFamily="34" charset="0"/>
                  </a:rPr>
                  <a:t>(% of total)</a:t>
                </a:r>
                <a:endParaRPr lang="en-US" sz="1000">
                  <a:effectLst/>
                  <a:latin typeface="Arial" panose="020B0604020202020204" pitchFamily="34" charset="0"/>
                  <a:cs typeface="Arial" panose="020B0604020202020204" pitchFamily="34" charset="0"/>
                </a:endParaRPr>
              </a:p>
            </c:rich>
          </c:tx>
          <c:layout/>
          <c:overlay val="0"/>
        </c:title>
        <c:numFmt formatCode="0" sourceLinked="1"/>
        <c:majorTickMark val="out"/>
        <c:minorTickMark val="none"/>
        <c:tickLblPos val="nextTo"/>
        <c:crossAx val="-2012414688"/>
        <c:crosses val="autoZero"/>
        <c:crossBetween val="midCat"/>
        <c:majorUnit val="10.0"/>
      </c:valAx>
      <c:valAx>
        <c:axId val="-2012414688"/>
        <c:scaling>
          <c:orientation val="minMax"/>
          <c:max val="102.0"/>
          <c:min val="0.0"/>
        </c:scaling>
        <c:delete val="0"/>
        <c:axPos val="l"/>
        <c:majorGridlines/>
        <c:title>
          <c:tx>
            <c:rich>
              <a:bodyPr rot="-5400000" vert="horz"/>
              <a:lstStyle/>
              <a:p>
                <a:pPr>
                  <a:defRPr>
                    <a:latin typeface="Arial" panose="020B0604020202020204" pitchFamily="34" charset="0"/>
                    <a:cs typeface="Arial" panose="020B0604020202020204" pitchFamily="34" charset="0"/>
                  </a:defRPr>
                </a:pPr>
                <a:r>
                  <a:rPr lang="en-US">
                    <a:latin typeface="Arial" panose="020B0604020202020204" pitchFamily="34" charset="0"/>
                    <a:cs typeface="Arial" panose="020B0604020202020204" pitchFamily="34" charset="0"/>
                  </a:rPr>
                  <a:t>Aboveground N uptake (% of maximum)</a:t>
                </a:r>
              </a:p>
            </c:rich>
          </c:tx>
          <c:layout/>
          <c:overlay val="0"/>
        </c:title>
        <c:numFmt formatCode="0" sourceLinked="1"/>
        <c:majorTickMark val="out"/>
        <c:minorTickMark val="none"/>
        <c:tickLblPos val="nextTo"/>
        <c:crossAx val="-2008992448"/>
        <c:crosses val="autoZero"/>
        <c:crossBetween val="midCat"/>
      </c:valAx>
    </c:plotArea>
    <c:legend>
      <c:legendPos val="r"/>
      <c:layout/>
      <c:overlay val="0"/>
      <c:txPr>
        <a:bodyPr/>
        <a:lstStyle/>
        <a:p>
          <a:pPr>
            <a:defRPr>
              <a:latin typeface="Arial" panose="020B0604020202020204" pitchFamily="34" charset="0"/>
              <a:cs typeface="Arial" panose="020B0604020202020204" pitchFamily="34" charset="0"/>
            </a:defRPr>
          </a:pPr>
          <a:endParaRPr lang="en-US"/>
        </a:p>
      </c:txPr>
    </c:legend>
    <c:plotVisOnly val="1"/>
    <c:dispBlanksAs val="gap"/>
    <c:showDLblsOverMax val="0"/>
  </c:chart>
  <c:spPr>
    <a:ln>
      <a:noFill/>
    </a:ln>
  </c:spPr>
  <c:printSettings>
    <c:headerFooter/>
    <c:pageMargins b="0.75" l="0.7" r="0.7" t="0.75" header="0.3" footer="0.3"/>
    <c:pageSetup/>
  </c:printSettings>
  <c:userShapes r:id="rId1"/>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scatterChart>
        <c:scatterStyle val="lineMarker"/>
        <c:varyColors val="0"/>
        <c:dLbls>
          <c:showLegendKey val="0"/>
          <c:showVal val="0"/>
          <c:showCatName val="0"/>
          <c:showSerName val="0"/>
          <c:showPercent val="0"/>
          <c:showBubbleSize val="0"/>
        </c:dLbls>
        <c:axId val="-2008426528"/>
        <c:axId val="-2008355456"/>
      </c:scatterChart>
      <c:valAx>
        <c:axId val="-2008426528"/>
        <c:scaling>
          <c:orientation val="minMax"/>
          <c:max val="102.0"/>
          <c:min val="0.0"/>
        </c:scaling>
        <c:delete val="1"/>
        <c:axPos val="b"/>
        <c:title>
          <c:tx>
            <c:rich>
              <a:bodyPr/>
              <a:lstStyle/>
              <a:p>
                <a:pPr>
                  <a:defRPr>
                    <a:latin typeface="Arial" panose="020B0604020202020204" pitchFamily="34" charset="0"/>
                    <a:cs typeface="Arial" panose="020B0604020202020204" pitchFamily="34" charset="0"/>
                  </a:defRPr>
                </a:pPr>
                <a:r>
                  <a:rPr lang="en-US" sz="1000" b="1" i="0" baseline="0">
                    <a:effectLst/>
                    <a:latin typeface="Arial" panose="020B0604020202020204" pitchFamily="34" charset="0"/>
                    <a:cs typeface="Arial" panose="020B0604020202020204" pitchFamily="34" charset="0"/>
                  </a:rPr>
                  <a:t>Proportion of season </a:t>
                </a:r>
                <a:r>
                  <a:rPr lang="en-US" sz="1000" b="0" i="0" baseline="0">
                    <a:effectLst/>
                    <a:latin typeface="Arial" panose="020B0604020202020204" pitchFamily="34" charset="0"/>
                    <a:cs typeface="Arial" panose="020B0604020202020204" pitchFamily="34" charset="0"/>
                  </a:rPr>
                  <a:t>(% of total)</a:t>
                </a:r>
                <a:endParaRPr lang="en-US" sz="1000">
                  <a:effectLst/>
                  <a:latin typeface="Arial" panose="020B0604020202020204" pitchFamily="34" charset="0"/>
                  <a:cs typeface="Arial" panose="020B0604020202020204" pitchFamily="34" charset="0"/>
                </a:endParaRPr>
              </a:p>
            </c:rich>
          </c:tx>
          <c:layout>
            <c:manualLayout>
              <c:xMode val="edge"/>
              <c:yMode val="edge"/>
              <c:x val="0.359992740940992"/>
              <c:y val="0.946180555555556"/>
            </c:manualLayout>
          </c:layout>
          <c:overlay val="0"/>
        </c:title>
        <c:numFmt formatCode="General" sourceLinked="1"/>
        <c:majorTickMark val="out"/>
        <c:minorTickMark val="none"/>
        <c:tickLblPos val="nextTo"/>
        <c:crossAx val="-2008355456"/>
        <c:crosses val="autoZero"/>
        <c:crossBetween val="midCat"/>
        <c:majorUnit val="10.0"/>
      </c:valAx>
      <c:valAx>
        <c:axId val="-2008355456"/>
        <c:scaling>
          <c:orientation val="minMax"/>
          <c:max val="102.0"/>
          <c:min val="0.0"/>
        </c:scaling>
        <c:delete val="1"/>
        <c:axPos val="l"/>
        <c:title>
          <c:tx>
            <c:rich>
              <a:bodyPr rot="-5400000" vert="horz"/>
              <a:lstStyle/>
              <a:p>
                <a:pPr marL="0" marR="0" indent="0" algn="ctr" defTabSz="914400" rtl="0" eaLnBrk="1" fontAlgn="auto" latinLnBrk="0" hangingPunct="1">
                  <a:lnSpc>
                    <a:spcPct val="100000"/>
                  </a:lnSpc>
                  <a:spcBef>
                    <a:spcPts val="0"/>
                  </a:spcBef>
                  <a:spcAft>
                    <a:spcPts val="0"/>
                  </a:spcAft>
                  <a:buClrTx/>
                  <a:buSzTx/>
                  <a:buFontTx/>
                  <a:buNone/>
                  <a:tabLst/>
                  <a:defRPr sz="10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sz="1000" b="1" i="0" baseline="0">
                    <a:effectLst/>
                  </a:rPr>
                  <a:t>Aboveground N uptake</a:t>
                </a:r>
                <a:r>
                  <a:rPr lang="en-US" sz="1000" b="0" i="0" baseline="0">
                    <a:effectLst/>
                  </a:rPr>
                  <a:t> (% of total)</a:t>
                </a:r>
                <a:endParaRPr lang="en-US" sz="1000">
                  <a:effectLst/>
                </a:endParaRPr>
              </a:p>
              <a:p>
                <a:pPr marL="0" marR="0" indent="0" algn="ctr" defTabSz="914400" rtl="0" eaLnBrk="1" fontAlgn="auto" latinLnBrk="0" hangingPunct="1">
                  <a:lnSpc>
                    <a:spcPct val="100000"/>
                  </a:lnSpc>
                  <a:spcBef>
                    <a:spcPts val="0"/>
                  </a:spcBef>
                  <a:spcAft>
                    <a:spcPts val="0"/>
                  </a:spcAft>
                  <a:buClrTx/>
                  <a:buSzTx/>
                  <a:buFontTx/>
                  <a:buNone/>
                  <a:tabLst/>
                  <a:defRPr sz="10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rich>
          </c:tx>
          <c:layout>
            <c:manualLayout>
              <c:xMode val="edge"/>
              <c:yMode val="edge"/>
              <c:x val="0.00850461710305285"/>
              <c:y val="0.184652777777778"/>
            </c:manualLayout>
          </c:layout>
          <c:overlay val="0"/>
        </c:title>
        <c:numFmt formatCode="General" sourceLinked="1"/>
        <c:majorTickMark val="out"/>
        <c:minorTickMark val="none"/>
        <c:tickLblPos val="nextTo"/>
        <c:crossAx val="-2008426528"/>
        <c:crosses val="autoZero"/>
        <c:crossBetween val="midCat"/>
      </c:valAx>
    </c:plotArea>
    <c:plotVisOnly val="1"/>
    <c:dispBlanksAs val="gap"/>
    <c:showDLblsOverMax val="0"/>
  </c:chart>
  <c:spPr>
    <a:ln>
      <a:noFill/>
    </a:ln>
  </c:spPr>
  <c:printSettings>
    <c:headerFooter/>
    <c:pageMargins b="0.75" l="0.7" r="0.7" t="0.75" header="0.3" footer="0.3"/>
    <c:pageSetup/>
  </c:printSettings>
  <c:userShapes r:id="rId1"/>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scatterChart>
        <c:scatterStyle val="lineMarker"/>
        <c:varyColors val="0"/>
        <c:dLbls>
          <c:showLegendKey val="0"/>
          <c:showVal val="0"/>
          <c:showCatName val="0"/>
          <c:showSerName val="0"/>
          <c:showPercent val="0"/>
          <c:showBubbleSize val="0"/>
        </c:dLbls>
        <c:axId val="-2008061120"/>
        <c:axId val="-2008175728"/>
      </c:scatterChart>
      <c:valAx>
        <c:axId val="-2008061120"/>
        <c:scaling>
          <c:orientation val="minMax"/>
          <c:max val="102.0"/>
          <c:min val="0.0"/>
        </c:scaling>
        <c:delete val="1"/>
        <c:axPos val="b"/>
        <c:title>
          <c:tx>
            <c:rich>
              <a:bodyPr/>
              <a:lstStyle/>
              <a:p>
                <a:pPr>
                  <a:defRPr>
                    <a:latin typeface="Arial" panose="020B0604020202020204" pitchFamily="34" charset="0"/>
                    <a:cs typeface="Arial" panose="020B0604020202020204" pitchFamily="34" charset="0"/>
                  </a:defRPr>
                </a:pPr>
                <a:r>
                  <a:rPr lang="en-US" sz="1000" b="1" i="0" baseline="0">
                    <a:effectLst/>
                    <a:latin typeface="Arial" panose="020B0604020202020204" pitchFamily="34" charset="0"/>
                    <a:cs typeface="Arial" panose="020B0604020202020204" pitchFamily="34" charset="0"/>
                  </a:rPr>
                  <a:t>Proportion of season </a:t>
                </a:r>
                <a:r>
                  <a:rPr lang="en-US" sz="1000" b="0" i="0" baseline="0">
                    <a:effectLst/>
                    <a:latin typeface="Arial" panose="020B0604020202020204" pitchFamily="34" charset="0"/>
                    <a:cs typeface="Arial" panose="020B0604020202020204" pitchFamily="34" charset="0"/>
                  </a:rPr>
                  <a:t>(% of total)</a:t>
                </a:r>
                <a:endParaRPr lang="en-US" sz="1000">
                  <a:effectLst/>
                  <a:latin typeface="Arial" panose="020B0604020202020204" pitchFamily="34" charset="0"/>
                  <a:cs typeface="Arial" panose="020B0604020202020204" pitchFamily="34" charset="0"/>
                </a:endParaRPr>
              </a:p>
            </c:rich>
          </c:tx>
          <c:layout>
            <c:manualLayout>
              <c:xMode val="edge"/>
              <c:yMode val="edge"/>
              <c:x val="0.366196507846625"/>
              <c:y val="0.949652777777778"/>
            </c:manualLayout>
          </c:layout>
          <c:overlay val="0"/>
        </c:title>
        <c:numFmt formatCode="General" sourceLinked="1"/>
        <c:majorTickMark val="out"/>
        <c:minorTickMark val="none"/>
        <c:tickLblPos val="nextTo"/>
        <c:crossAx val="-2008175728"/>
        <c:crosses val="autoZero"/>
        <c:crossBetween val="midCat"/>
        <c:majorUnit val="10.0"/>
      </c:valAx>
      <c:valAx>
        <c:axId val="-2008175728"/>
        <c:scaling>
          <c:orientation val="minMax"/>
          <c:max val="102.0"/>
          <c:min val="0.0"/>
        </c:scaling>
        <c:delete val="1"/>
        <c:axPos val="l"/>
        <c:title>
          <c:tx>
            <c:rich>
              <a:bodyPr rot="-5400000" vert="horz"/>
              <a:lstStyle/>
              <a:p>
                <a:pPr marL="0" marR="0" indent="0" algn="ctr" defTabSz="914400" rtl="0" eaLnBrk="1" fontAlgn="auto" latinLnBrk="0" hangingPunct="1">
                  <a:lnSpc>
                    <a:spcPct val="100000"/>
                  </a:lnSpc>
                  <a:spcBef>
                    <a:spcPts val="0"/>
                  </a:spcBef>
                  <a:spcAft>
                    <a:spcPts val="0"/>
                  </a:spcAft>
                  <a:buClrTx/>
                  <a:buSzTx/>
                  <a:buFontTx/>
                  <a:buNone/>
                  <a:tabLst/>
                  <a:defRPr sz="10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sz="1000" b="1" i="0" baseline="0">
                    <a:effectLst/>
                  </a:rPr>
                  <a:t>Aboveground N uptake</a:t>
                </a:r>
                <a:r>
                  <a:rPr lang="en-US" sz="1000" b="0" i="0" baseline="0">
                    <a:effectLst/>
                  </a:rPr>
                  <a:t> (% of total)</a:t>
                </a:r>
                <a:endParaRPr lang="en-US" sz="1000">
                  <a:effectLst/>
                </a:endParaRPr>
              </a:p>
              <a:p>
                <a:pPr marL="0" marR="0" indent="0" algn="ctr" defTabSz="914400" rtl="0" eaLnBrk="1" fontAlgn="auto" latinLnBrk="0" hangingPunct="1">
                  <a:lnSpc>
                    <a:spcPct val="100000"/>
                  </a:lnSpc>
                  <a:spcBef>
                    <a:spcPts val="0"/>
                  </a:spcBef>
                  <a:spcAft>
                    <a:spcPts val="0"/>
                  </a:spcAft>
                  <a:buClrTx/>
                  <a:buSzTx/>
                  <a:buFontTx/>
                  <a:buNone/>
                  <a:tabLst/>
                  <a:defRPr sz="10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rich>
          </c:tx>
          <c:layout>
            <c:manualLayout>
              <c:xMode val="edge"/>
              <c:yMode val="edge"/>
              <c:x val="0.0"/>
              <c:y val="0.184652777777778"/>
            </c:manualLayout>
          </c:layout>
          <c:overlay val="0"/>
        </c:title>
        <c:numFmt formatCode="General" sourceLinked="1"/>
        <c:majorTickMark val="out"/>
        <c:minorTickMark val="none"/>
        <c:tickLblPos val="nextTo"/>
        <c:crossAx val="-2008061120"/>
        <c:crosses val="autoZero"/>
        <c:crossBetween val="midCat"/>
      </c:valAx>
    </c:plotArea>
    <c:plotVisOnly val="1"/>
    <c:dispBlanksAs val="gap"/>
    <c:showDLblsOverMax val="0"/>
  </c:chart>
  <c:spPr>
    <a:ln>
      <a:noFill/>
    </a:ln>
  </c:spPr>
  <c:printSettings>
    <c:headerFooter/>
    <c:pageMargins b="0.75" l="0.7" r="0.7" t="0.75" header="0.3" footer="0.3"/>
    <c:pageSetup/>
  </c:printSettings>
  <c:userShapes r:id="rId1"/>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scatterChart>
        <c:scatterStyle val="lineMarker"/>
        <c:varyColors val="0"/>
        <c:dLbls>
          <c:showLegendKey val="0"/>
          <c:showVal val="0"/>
          <c:showCatName val="0"/>
          <c:showSerName val="0"/>
          <c:showPercent val="0"/>
          <c:showBubbleSize val="0"/>
        </c:dLbls>
        <c:axId val="-2012588192"/>
        <c:axId val="-2012583344"/>
      </c:scatterChart>
      <c:valAx>
        <c:axId val="-2012588192"/>
        <c:scaling>
          <c:orientation val="minMax"/>
          <c:max val="102.0"/>
          <c:min val="0.0"/>
        </c:scaling>
        <c:delete val="0"/>
        <c:axPos val="b"/>
        <c:title>
          <c:tx>
            <c:rich>
              <a:bodyPr/>
              <a:lstStyle/>
              <a:p>
                <a:pPr>
                  <a:defRPr/>
                </a:pPr>
                <a:r>
                  <a:rPr lang="en-US"/>
                  <a:t>% of season</a:t>
                </a:r>
              </a:p>
            </c:rich>
          </c:tx>
          <c:layout/>
          <c:overlay val="0"/>
        </c:title>
        <c:numFmt formatCode="0" sourceLinked="1"/>
        <c:majorTickMark val="out"/>
        <c:minorTickMark val="none"/>
        <c:tickLblPos val="nextTo"/>
        <c:crossAx val="-2012583344"/>
        <c:crosses val="autoZero"/>
        <c:crossBetween val="midCat"/>
        <c:majorUnit val="10.0"/>
      </c:valAx>
      <c:valAx>
        <c:axId val="-2012583344"/>
        <c:scaling>
          <c:orientation val="minMax"/>
          <c:max val="102.0"/>
          <c:min val="0.0"/>
        </c:scaling>
        <c:delete val="0"/>
        <c:axPos val="l"/>
        <c:majorGridlines/>
        <c:title>
          <c:tx>
            <c:rich>
              <a:bodyPr rot="-5400000" vert="horz"/>
              <a:lstStyle/>
              <a:p>
                <a:pPr>
                  <a:defRPr/>
                </a:pPr>
                <a:r>
                  <a:rPr lang="en-US"/>
                  <a:t>N uptake (% of maximum)</a:t>
                </a:r>
              </a:p>
            </c:rich>
          </c:tx>
          <c:layout/>
          <c:overlay val="0"/>
        </c:title>
        <c:numFmt formatCode="0" sourceLinked="1"/>
        <c:majorTickMark val="out"/>
        <c:minorTickMark val="none"/>
        <c:tickLblPos val="nextTo"/>
        <c:crossAx val="-2012588192"/>
        <c:crosses val="autoZero"/>
        <c:crossBetween val="midCat"/>
      </c:valAx>
    </c:plotArea>
    <c:plotVisOnly val="1"/>
    <c:dispBlanksAs val="gap"/>
    <c:showDLblsOverMax val="0"/>
  </c:chart>
  <c:spPr>
    <a:ln>
      <a:noFill/>
    </a:ln>
  </c:spPr>
  <c:txPr>
    <a:bodyPr/>
    <a:lstStyle/>
    <a:p>
      <a:pPr>
        <a:defRPr b="1">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userShapes r:id="rId2"/>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scatterChart>
        <c:scatterStyle val="lineMarker"/>
        <c:varyColors val="0"/>
        <c:ser>
          <c:idx val="1"/>
          <c:order val="0"/>
          <c:spPr>
            <a:ln w="28575">
              <a:noFill/>
            </a:ln>
          </c:spPr>
          <c:marker>
            <c:symbol val="square"/>
            <c:size val="5"/>
            <c:spPr>
              <a:solidFill>
                <a:srgbClr val="FF0000"/>
              </a:solidFill>
              <a:ln>
                <a:noFill/>
              </a:ln>
            </c:spPr>
          </c:marker>
          <c:trendline>
            <c:trendlineType val="log"/>
            <c:dispRSqr val="0"/>
            <c:dispEq val="0"/>
          </c:trendline>
          <c:xVal>
            <c:numRef>
              <c:f>Sugarbeet!$M$5:$M$14</c:f>
              <c:numCache>
                <c:formatCode>0</c:formatCode>
                <c:ptCount val="10"/>
                <c:pt idx="0">
                  <c:v>0.0</c:v>
                </c:pt>
                <c:pt idx="1">
                  <c:v>31.1216429699842</c:v>
                </c:pt>
                <c:pt idx="2">
                  <c:v>46.76145339652448</c:v>
                </c:pt>
                <c:pt idx="3">
                  <c:v>58.29383886255923</c:v>
                </c:pt>
                <c:pt idx="4">
                  <c:v>65.40284360189572</c:v>
                </c:pt>
                <c:pt idx="5">
                  <c:v>72.82780410742497</c:v>
                </c:pt>
                <c:pt idx="6">
                  <c:v>78.19905213270142</c:v>
                </c:pt>
                <c:pt idx="7">
                  <c:v>86.09794628751974</c:v>
                </c:pt>
                <c:pt idx="8">
                  <c:v>93.52290679304896</c:v>
                </c:pt>
                <c:pt idx="9">
                  <c:v>100.0</c:v>
                </c:pt>
              </c:numCache>
            </c:numRef>
          </c:xVal>
          <c:yVal>
            <c:numRef>
              <c:f>Sugarbeet!$P$5:$P$14</c:f>
              <c:numCache>
                <c:formatCode>0</c:formatCode>
                <c:ptCount val="10"/>
                <c:pt idx="0">
                  <c:v>0.0</c:v>
                </c:pt>
                <c:pt idx="1">
                  <c:v>19.70021413276232</c:v>
                </c:pt>
                <c:pt idx="2">
                  <c:v>41.54175588865096</c:v>
                </c:pt>
                <c:pt idx="3">
                  <c:v>68.09421841541755</c:v>
                </c:pt>
                <c:pt idx="4">
                  <c:v>83.72591006423983</c:v>
                </c:pt>
                <c:pt idx="5">
                  <c:v>88.0085653104925</c:v>
                </c:pt>
                <c:pt idx="6">
                  <c:v>92.29122055674517</c:v>
                </c:pt>
                <c:pt idx="7">
                  <c:v>100.0</c:v>
                </c:pt>
                <c:pt idx="8">
                  <c:v>94.86081370449678</c:v>
                </c:pt>
                <c:pt idx="9">
                  <c:v>85.65310492505353</c:v>
                </c:pt>
              </c:numCache>
            </c:numRef>
          </c:yVal>
          <c:smooth val="0"/>
          <c:extLst xmlns:c16r2="http://schemas.microsoft.com/office/drawing/2015/06/chart">
            <c:ext xmlns:c16="http://schemas.microsoft.com/office/drawing/2014/chart" uri="{C3380CC4-5D6E-409C-BE32-E72D297353CC}">
              <c16:uniqueId val="{00000001-2100-4BB6-A99D-E610C2FF56E1}"/>
            </c:ext>
          </c:extLst>
        </c:ser>
        <c:dLbls>
          <c:showLegendKey val="0"/>
          <c:showVal val="0"/>
          <c:showCatName val="0"/>
          <c:showSerName val="0"/>
          <c:showPercent val="0"/>
          <c:showBubbleSize val="0"/>
        </c:dLbls>
        <c:axId val="-2008185952"/>
        <c:axId val="-2008180976"/>
      </c:scatterChart>
      <c:valAx>
        <c:axId val="-2008185952"/>
        <c:scaling>
          <c:orientation val="minMax"/>
          <c:max val="102.0"/>
          <c:min val="0.0"/>
        </c:scaling>
        <c:delete val="0"/>
        <c:axPos val="b"/>
        <c:title>
          <c:tx>
            <c:rich>
              <a:bodyPr/>
              <a:lstStyle/>
              <a:p>
                <a:pPr>
                  <a:defRPr/>
                </a:pPr>
                <a:r>
                  <a:rPr lang="en-US"/>
                  <a:t>% of season</a:t>
                </a:r>
              </a:p>
            </c:rich>
          </c:tx>
          <c:layout/>
          <c:overlay val="0"/>
        </c:title>
        <c:numFmt formatCode="0" sourceLinked="1"/>
        <c:majorTickMark val="out"/>
        <c:minorTickMark val="none"/>
        <c:tickLblPos val="nextTo"/>
        <c:crossAx val="-2008180976"/>
        <c:crosses val="autoZero"/>
        <c:crossBetween val="midCat"/>
        <c:majorUnit val="10.0"/>
      </c:valAx>
      <c:valAx>
        <c:axId val="-2008180976"/>
        <c:scaling>
          <c:orientation val="minMax"/>
          <c:max val="102.0"/>
          <c:min val="0.0"/>
        </c:scaling>
        <c:delete val="0"/>
        <c:axPos val="l"/>
        <c:majorGridlines/>
        <c:title>
          <c:tx>
            <c:rich>
              <a:bodyPr rot="-5400000" vert="horz"/>
              <a:lstStyle/>
              <a:p>
                <a:pPr>
                  <a:defRPr/>
                </a:pPr>
                <a:r>
                  <a:rPr lang="en-US"/>
                  <a:t>N uptake (% of maximum)</a:t>
                </a:r>
              </a:p>
            </c:rich>
          </c:tx>
          <c:layout/>
          <c:overlay val="0"/>
        </c:title>
        <c:numFmt formatCode="0" sourceLinked="1"/>
        <c:majorTickMark val="out"/>
        <c:minorTickMark val="none"/>
        <c:tickLblPos val="nextTo"/>
        <c:crossAx val="-2008185952"/>
        <c:crosses val="autoZero"/>
        <c:crossBetween val="midCat"/>
      </c:valAx>
    </c:plotArea>
    <c:plotVisOnly val="1"/>
    <c:dispBlanksAs val="gap"/>
    <c:showDLblsOverMax val="0"/>
  </c:chart>
  <c:spPr>
    <a:ln>
      <a:noFill/>
    </a:ln>
  </c:spPr>
  <c:txPr>
    <a:bodyPr/>
    <a:lstStyle/>
    <a:p>
      <a:pPr>
        <a:defRPr b="1">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userShapes r:id="rId2"/>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scatterChart>
        <c:scatterStyle val="lineMarker"/>
        <c:varyColors val="0"/>
        <c:ser>
          <c:idx val="1"/>
          <c:order val="0"/>
          <c:spPr>
            <a:ln w="28575">
              <a:noFill/>
            </a:ln>
          </c:spPr>
          <c:marker>
            <c:symbol val="square"/>
            <c:size val="5"/>
            <c:spPr>
              <a:solidFill>
                <a:srgbClr val="FF0000"/>
              </a:solidFill>
              <a:ln>
                <a:noFill/>
              </a:ln>
            </c:spPr>
          </c:marker>
          <c:trendline>
            <c:trendlineType val="log"/>
            <c:dispRSqr val="0"/>
            <c:dispEq val="0"/>
          </c:trendline>
          <c:xVal>
            <c:numRef>
              <c:f>Tomatoes_Fresh!$M$5:$M$111</c:f>
              <c:numCache>
                <c:formatCode>0</c:formatCode>
                <c:ptCount val="107"/>
                <c:pt idx="0">
                  <c:v>0.0</c:v>
                </c:pt>
                <c:pt idx="1">
                  <c:v>12.95681063122924</c:v>
                </c:pt>
                <c:pt idx="2">
                  <c:v>24.91694352159469</c:v>
                </c:pt>
                <c:pt idx="3">
                  <c:v>44.51827242524918</c:v>
                </c:pt>
                <c:pt idx="4">
                  <c:v>58.13953488372093</c:v>
                </c:pt>
                <c:pt idx="5">
                  <c:v>71.76079734219269</c:v>
                </c:pt>
                <c:pt idx="6">
                  <c:v>85.71428571428573</c:v>
                </c:pt>
                <c:pt idx="7">
                  <c:v>100.0</c:v>
                </c:pt>
                <c:pt idx="8">
                  <c:v>0.0</c:v>
                </c:pt>
                <c:pt idx="9">
                  <c:v>12.95681063122924</c:v>
                </c:pt>
                <c:pt idx="10">
                  <c:v>24.91694352159469</c:v>
                </c:pt>
                <c:pt idx="11">
                  <c:v>44.51827242524918</c:v>
                </c:pt>
                <c:pt idx="12">
                  <c:v>58.13953488372093</c:v>
                </c:pt>
                <c:pt idx="13">
                  <c:v>71.76079734219269</c:v>
                </c:pt>
                <c:pt idx="14">
                  <c:v>85.71428571428573</c:v>
                </c:pt>
                <c:pt idx="15">
                  <c:v>100.0</c:v>
                </c:pt>
                <c:pt idx="16">
                  <c:v>0.0</c:v>
                </c:pt>
                <c:pt idx="17">
                  <c:v>12.95681063122924</c:v>
                </c:pt>
                <c:pt idx="18">
                  <c:v>24.91694352159469</c:v>
                </c:pt>
                <c:pt idx="19">
                  <c:v>44.51827242524918</c:v>
                </c:pt>
                <c:pt idx="20">
                  <c:v>58.13953488372093</c:v>
                </c:pt>
                <c:pt idx="21">
                  <c:v>71.76079734219269</c:v>
                </c:pt>
                <c:pt idx="22">
                  <c:v>85.71428571428573</c:v>
                </c:pt>
                <c:pt idx="23">
                  <c:v>100.0</c:v>
                </c:pt>
                <c:pt idx="24">
                  <c:v>0.0</c:v>
                </c:pt>
                <c:pt idx="25">
                  <c:v>12.95681063122924</c:v>
                </c:pt>
                <c:pt idx="26">
                  <c:v>24.91694352159469</c:v>
                </c:pt>
                <c:pt idx="27">
                  <c:v>44.51827242524918</c:v>
                </c:pt>
                <c:pt idx="28">
                  <c:v>58.13953488372093</c:v>
                </c:pt>
                <c:pt idx="29">
                  <c:v>71.76079734219269</c:v>
                </c:pt>
                <c:pt idx="30">
                  <c:v>85.71428571428573</c:v>
                </c:pt>
                <c:pt idx="31">
                  <c:v>100.0</c:v>
                </c:pt>
                <c:pt idx="32">
                  <c:v>0.0</c:v>
                </c:pt>
                <c:pt idx="33">
                  <c:v>27.86377708978328</c:v>
                </c:pt>
                <c:pt idx="34">
                  <c:v>51.70278637770897</c:v>
                </c:pt>
                <c:pt idx="35">
                  <c:v>74.92260061919503</c:v>
                </c:pt>
                <c:pt idx="36">
                  <c:v>100.0</c:v>
                </c:pt>
                <c:pt idx="37">
                  <c:v>0.0</c:v>
                </c:pt>
                <c:pt idx="38">
                  <c:v>27.86377708978328</c:v>
                </c:pt>
                <c:pt idx="39">
                  <c:v>51.70278637770897</c:v>
                </c:pt>
                <c:pt idx="40">
                  <c:v>74.92260061919503</c:v>
                </c:pt>
                <c:pt idx="41">
                  <c:v>100.0</c:v>
                </c:pt>
                <c:pt idx="42">
                  <c:v>0.0</c:v>
                </c:pt>
                <c:pt idx="43">
                  <c:v>27.86377708978328</c:v>
                </c:pt>
                <c:pt idx="44">
                  <c:v>51.70278637770897</c:v>
                </c:pt>
                <c:pt idx="45">
                  <c:v>74.92260061919503</c:v>
                </c:pt>
                <c:pt idx="46">
                  <c:v>100.0</c:v>
                </c:pt>
                <c:pt idx="47">
                  <c:v>0.0</c:v>
                </c:pt>
                <c:pt idx="48">
                  <c:v>27.86377708978328</c:v>
                </c:pt>
                <c:pt idx="49">
                  <c:v>51.70278637770897</c:v>
                </c:pt>
                <c:pt idx="50">
                  <c:v>74.92260061919503</c:v>
                </c:pt>
                <c:pt idx="51">
                  <c:v>100.0</c:v>
                </c:pt>
                <c:pt idx="52">
                  <c:v>0.0</c:v>
                </c:pt>
                <c:pt idx="53">
                  <c:v>27.86377708978328</c:v>
                </c:pt>
                <c:pt idx="54">
                  <c:v>51.70278637770897</c:v>
                </c:pt>
                <c:pt idx="55">
                  <c:v>74.92260061919503</c:v>
                </c:pt>
                <c:pt idx="56">
                  <c:v>100.0</c:v>
                </c:pt>
                <c:pt idx="57">
                  <c:v>0.0</c:v>
                </c:pt>
                <c:pt idx="58">
                  <c:v>7.807807807807809</c:v>
                </c:pt>
                <c:pt idx="59">
                  <c:v>24.47447447447448</c:v>
                </c:pt>
                <c:pt idx="60">
                  <c:v>40.69069069069069</c:v>
                </c:pt>
                <c:pt idx="61">
                  <c:v>56.60660660660661</c:v>
                </c:pt>
                <c:pt idx="62">
                  <c:v>72.97297297297298</c:v>
                </c:pt>
                <c:pt idx="63">
                  <c:v>89.18918918918919</c:v>
                </c:pt>
                <c:pt idx="64">
                  <c:v>100.0</c:v>
                </c:pt>
                <c:pt idx="65">
                  <c:v>0.0</c:v>
                </c:pt>
                <c:pt idx="66">
                  <c:v>7.807807807807809</c:v>
                </c:pt>
                <c:pt idx="67">
                  <c:v>24.47447447447448</c:v>
                </c:pt>
                <c:pt idx="68">
                  <c:v>40.69069069069069</c:v>
                </c:pt>
                <c:pt idx="69">
                  <c:v>56.60660660660661</c:v>
                </c:pt>
                <c:pt idx="70">
                  <c:v>72.97297297297298</c:v>
                </c:pt>
                <c:pt idx="71">
                  <c:v>89.18918918918919</c:v>
                </c:pt>
                <c:pt idx="72">
                  <c:v>100.0</c:v>
                </c:pt>
                <c:pt idx="73">
                  <c:v>0.0</c:v>
                </c:pt>
                <c:pt idx="74">
                  <c:v>7.807807807807809</c:v>
                </c:pt>
                <c:pt idx="75">
                  <c:v>24.47447447447448</c:v>
                </c:pt>
                <c:pt idx="76">
                  <c:v>40.69069069069069</c:v>
                </c:pt>
                <c:pt idx="77">
                  <c:v>56.60660660660661</c:v>
                </c:pt>
                <c:pt idx="78">
                  <c:v>72.97297297297298</c:v>
                </c:pt>
                <c:pt idx="79">
                  <c:v>89.18918918918919</c:v>
                </c:pt>
                <c:pt idx="80">
                  <c:v>100.0</c:v>
                </c:pt>
                <c:pt idx="81">
                  <c:v>0.0</c:v>
                </c:pt>
                <c:pt idx="82">
                  <c:v>39.79591836734694</c:v>
                </c:pt>
                <c:pt idx="83">
                  <c:v>55.10204081632654</c:v>
                </c:pt>
                <c:pt idx="84">
                  <c:v>63.26530612244896</c:v>
                </c:pt>
                <c:pt idx="85">
                  <c:v>77.55102040816326</c:v>
                </c:pt>
                <c:pt idx="86">
                  <c:v>100.0</c:v>
                </c:pt>
                <c:pt idx="87">
                  <c:v>0.0</c:v>
                </c:pt>
                <c:pt idx="88">
                  <c:v>44.85981308411215</c:v>
                </c:pt>
                <c:pt idx="89">
                  <c:v>56.07476635514018</c:v>
                </c:pt>
                <c:pt idx="90">
                  <c:v>64.48598130841121</c:v>
                </c:pt>
                <c:pt idx="91">
                  <c:v>71.02803738317756</c:v>
                </c:pt>
                <c:pt idx="92">
                  <c:v>100.0</c:v>
                </c:pt>
                <c:pt idx="93">
                  <c:v>0.0</c:v>
                </c:pt>
                <c:pt idx="94">
                  <c:v>33.33333333333333</c:v>
                </c:pt>
                <c:pt idx="95">
                  <c:v>44.76190476190477</c:v>
                </c:pt>
                <c:pt idx="96">
                  <c:v>50.47619047619047</c:v>
                </c:pt>
                <c:pt idx="97">
                  <c:v>60.95238095238095</c:v>
                </c:pt>
                <c:pt idx="98">
                  <c:v>68.57142857142857</c:v>
                </c:pt>
                <c:pt idx="99">
                  <c:v>100.0</c:v>
                </c:pt>
                <c:pt idx="100">
                  <c:v>0.0</c:v>
                </c:pt>
                <c:pt idx="101">
                  <c:v>33.0188679245283</c:v>
                </c:pt>
                <c:pt idx="102">
                  <c:v>43.39622641509434</c:v>
                </c:pt>
                <c:pt idx="103">
                  <c:v>48.11320754716981</c:v>
                </c:pt>
                <c:pt idx="104">
                  <c:v>60.37735849056604</c:v>
                </c:pt>
                <c:pt idx="105">
                  <c:v>67.9245283018868</c:v>
                </c:pt>
                <c:pt idx="106">
                  <c:v>100.0</c:v>
                </c:pt>
              </c:numCache>
            </c:numRef>
          </c:xVal>
          <c:yVal>
            <c:numRef>
              <c:f>Tomatoes_Fresh!$P$5:$P$111</c:f>
              <c:numCache>
                <c:formatCode>0</c:formatCode>
                <c:ptCount val="107"/>
                <c:pt idx="0">
                  <c:v>0.0</c:v>
                </c:pt>
                <c:pt idx="1">
                  <c:v>5.714285714285714</c:v>
                </c:pt>
                <c:pt idx="2">
                  <c:v>8.571428571428571</c:v>
                </c:pt>
                <c:pt idx="3">
                  <c:v>31.42857142857143</c:v>
                </c:pt>
                <c:pt idx="4">
                  <c:v>82.85714285714285</c:v>
                </c:pt>
                <c:pt idx="5">
                  <c:v>100.0</c:v>
                </c:pt>
                <c:pt idx="6">
                  <c:v>91.42857142857143</c:v>
                </c:pt>
                <c:pt idx="7">
                  <c:v>80.0</c:v>
                </c:pt>
                <c:pt idx="8">
                  <c:v>0.0</c:v>
                </c:pt>
                <c:pt idx="9">
                  <c:v>1.515151515151515</c:v>
                </c:pt>
                <c:pt idx="10">
                  <c:v>2.272727272727272</c:v>
                </c:pt>
                <c:pt idx="11">
                  <c:v>27.27272727272727</c:v>
                </c:pt>
                <c:pt idx="12">
                  <c:v>62.87878787878787</c:v>
                </c:pt>
                <c:pt idx="13">
                  <c:v>100.0</c:v>
                </c:pt>
                <c:pt idx="14">
                  <c:v>95.45454545454545</c:v>
                </c:pt>
                <c:pt idx="15">
                  <c:v>94.69696969696968</c:v>
                </c:pt>
                <c:pt idx="16">
                  <c:v>0.0</c:v>
                </c:pt>
                <c:pt idx="17">
                  <c:v>1.129943502824859</c:v>
                </c:pt>
                <c:pt idx="18">
                  <c:v>1.694915254237288</c:v>
                </c:pt>
                <c:pt idx="19">
                  <c:v>32.20338983050847</c:v>
                </c:pt>
                <c:pt idx="20">
                  <c:v>62.71186440677966</c:v>
                </c:pt>
                <c:pt idx="21">
                  <c:v>87.57062146892656</c:v>
                </c:pt>
                <c:pt idx="22">
                  <c:v>100.0</c:v>
                </c:pt>
                <c:pt idx="23">
                  <c:v>81.35593220338983</c:v>
                </c:pt>
                <c:pt idx="24">
                  <c:v>0.0</c:v>
                </c:pt>
                <c:pt idx="25">
                  <c:v>0.796812749003984</c:v>
                </c:pt>
                <c:pt idx="26">
                  <c:v>1.195219123505976</c:v>
                </c:pt>
                <c:pt idx="27">
                  <c:v>27.88844621513945</c:v>
                </c:pt>
                <c:pt idx="28">
                  <c:v>52.98804780876495</c:v>
                </c:pt>
                <c:pt idx="29">
                  <c:v>75.2988047808765</c:v>
                </c:pt>
                <c:pt idx="30">
                  <c:v>96.01593625498009</c:v>
                </c:pt>
                <c:pt idx="31">
                  <c:v>100.0</c:v>
                </c:pt>
                <c:pt idx="32">
                  <c:v>0.0</c:v>
                </c:pt>
                <c:pt idx="33">
                  <c:v>8.79120879120879</c:v>
                </c:pt>
                <c:pt idx="34">
                  <c:v>40.65934065934066</c:v>
                </c:pt>
                <c:pt idx="35">
                  <c:v>49.45054945054945</c:v>
                </c:pt>
                <c:pt idx="36">
                  <c:v>100.0</c:v>
                </c:pt>
                <c:pt idx="37">
                  <c:v>0.0</c:v>
                </c:pt>
                <c:pt idx="38">
                  <c:v>5.194805194805195</c:v>
                </c:pt>
                <c:pt idx="39">
                  <c:v>31.81818181818182</c:v>
                </c:pt>
                <c:pt idx="40">
                  <c:v>59.74025974025973</c:v>
                </c:pt>
                <c:pt idx="41">
                  <c:v>100.0</c:v>
                </c:pt>
                <c:pt idx="42">
                  <c:v>0.0</c:v>
                </c:pt>
                <c:pt idx="43">
                  <c:v>4.210526315789474</c:v>
                </c:pt>
                <c:pt idx="44">
                  <c:v>32.63157894736842</c:v>
                </c:pt>
                <c:pt idx="45">
                  <c:v>53.6842105263158</c:v>
                </c:pt>
                <c:pt idx="46">
                  <c:v>100.0</c:v>
                </c:pt>
                <c:pt idx="47">
                  <c:v>0.0</c:v>
                </c:pt>
                <c:pt idx="48">
                  <c:v>3.030303030303031</c:v>
                </c:pt>
                <c:pt idx="49">
                  <c:v>23.48484848484848</c:v>
                </c:pt>
                <c:pt idx="50">
                  <c:v>49.24242424242424</c:v>
                </c:pt>
                <c:pt idx="51">
                  <c:v>100.0</c:v>
                </c:pt>
                <c:pt idx="52">
                  <c:v>0.0</c:v>
                </c:pt>
                <c:pt idx="53">
                  <c:v>3.252032520325204</c:v>
                </c:pt>
                <c:pt idx="54">
                  <c:v>25.20325203252033</c:v>
                </c:pt>
                <c:pt idx="55">
                  <c:v>45.52845528455284</c:v>
                </c:pt>
                <c:pt idx="56">
                  <c:v>100.0</c:v>
                </c:pt>
                <c:pt idx="57">
                  <c:v>0.0</c:v>
                </c:pt>
                <c:pt idx="58">
                  <c:v>0.535331905781585</c:v>
                </c:pt>
                <c:pt idx="59">
                  <c:v>4.282655246252678</c:v>
                </c:pt>
                <c:pt idx="60">
                  <c:v>30.83511777301927</c:v>
                </c:pt>
                <c:pt idx="61">
                  <c:v>55.0321199143469</c:v>
                </c:pt>
                <c:pt idx="62">
                  <c:v>66.80942184154176</c:v>
                </c:pt>
                <c:pt idx="63">
                  <c:v>85.43897216274091</c:v>
                </c:pt>
                <c:pt idx="64">
                  <c:v>100.0</c:v>
                </c:pt>
                <c:pt idx="65">
                  <c:v>0.0</c:v>
                </c:pt>
                <c:pt idx="66">
                  <c:v>0.460405156537753</c:v>
                </c:pt>
                <c:pt idx="67">
                  <c:v>4.604051565377533</c:v>
                </c:pt>
                <c:pt idx="68">
                  <c:v>27.6243093922652</c:v>
                </c:pt>
                <c:pt idx="69">
                  <c:v>53.03867403314918</c:v>
                </c:pt>
                <c:pt idx="70">
                  <c:v>69.6132596685083</c:v>
                </c:pt>
                <c:pt idx="71">
                  <c:v>81.58379373848987</c:v>
                </c:pt>
                <c:pt idx="72">
                  <c:v>100.0</c:v>
                </c:pt>
                <c:pt idx="73">
                  <c:v>0.0</c:v>
                </c:pt>
                <c:pt idx="74">
                  <c:v>0.410509031198686</c:v>
                </c:pt>
                <c:pt idx="75">
                  <c:v>4.105090311986864</c:v>
                </c:pt>
                <c:pt idx="76">
                  <c:v>29.06403940886699</c:v>
                </c:pt>
                <c:pt idx="77">
                  <c:v>56.32183908045977</c:v>
                </c:pt>
                <c:pt idx="78">
                  <c:v>66.99507389162561</c:v>
                </c:pt>
                <c:pt idx="79">
                  <c:v>88.66995073891625</c:v>
                </c:pt>
                <c:pt idx="80">
                  <c:v>100.0</c:v>
                </c:pt>
                <c:pt idx="81">
                  <c:v>0.0</c:v>
                </c:pt>
                <c:pt idx="82">
                  <c:v>4.777070063694265</c:v>
                </c:pt>
                <c:pt idx="83">
                  <c:v>32.48407643312102</c:v>
                </c:pt>
                <c:pt idx="84">
                  <c:v>62.10191082802547</c:v>
                </c:pt>
                <c:pt idx="85">
                  <c:v>90.12738853503184</c:v>
                </c:pt>
                <c:pt idx="86">
                  <c:v>100.0</c:v>
                </c:pt>
                <c:pt idx="87">
                  <c:v>0.0</c:v>
                </c:pt>
                <c:pt idx="88">
                  <c:v>17.40890688259109</c:v>
                </c:pt>
                <c:pt idx="89">
                  <c:v>32.38866396761134</c:v>
                </c:pt>
                <c:pt idx="90">
                  <c:v>61.53846153846153</c:v>
                </c:pt>
                <c:pt idx="91">
                  <c:v>76.51821862348176</c:v>
                </c:pt>
                <c:pt idx="92">
                  <c:v>100.0</c:v>
                </c:pt>
                <c:pt idx="93">
                  <c:v>0.0</c:v>
                </c:pt>
                <c:pt idx="94">
                  <c:v>3.886925795053004</c:v>
                </c:pt>
                <c:pt idx="95">
                  <c:v>16.96113074204947</c:v>
                </c:pt>
                <c:pt idx="96">
                  <c:v>32.15547703180212</c:v>
                </c:pt>
                <c:pt idx="97">
                  <c:v>62.19081272084806</c:v>
                </c:pt>
                <c:pt idx="98">
                  <c:v>75.97173144876325</c:v>
                </c:pt>
                <c:pt idx="99">
                  <c:v>100.0</c:v>
                </c:pt>
                <c:pt idx="100">
                  <c:v>0.0</c:v>
                </c:pt>
                <c:pt idx="101">
                  <c:v>4.792332268370607</c:v>
                </c:pt>
                <c:pt idx="102">
                  <c:v>16.61341853035144</c:v>
                </c:pt>
                <c:pt idx="103">
                  <c:v>31.62939297124601</c:v>
                </c:pt>
                <c:pt idx="104">
                  <c:v>61.66134185303515</c:v>
                </c:pt>
                <c:pt idx="105">
                  <c:v>76.35782747603834</c:v>
                </c:pt>
                <c:pt idx="106">
                  <c:v>100.0</c:v>
                </c:pt>
              </c:numCache>
            </c:numRef>
          </c:yVal>
          <c:smooth val="0"/>
          <c:extLst xmlns:c16r2="http://schemas.microsoft.com/office/drawing/2015/06/chart">
            <c:ext xmlns:c16="http://schemas.microsoft.com/office/drawing/2014/chart" uri="{C3380CC4-5D6E-409C-BE32-E72D297353CC}">
              <c16:uniqueId val="{00000001-C3C5-4501-9634-8AA4F196B4D8}"/>
            </c:ext>
          </c:extLst>
        </c:ser>
        <c:ser>
          <c:idx val="0"/>
          <c:order val="1"/>
          <c:spPr>
            <a:ln w="28575">
              <a:noFill/>
            </a:ln>
          </c:spPr>
          <c:xVal>
            <c:numRef>
              <c:f>Tomatoes_Fresh!$M$142:$M$189</c:f>
              <c:numCache>
                <c:formatCode>0</c:formatCode>
                <c:ptCount val="48"/>
                <c:pt idx="0">
                  <c:v>0.0</c:v>
                </c:pt>
                <c:pt idx="1">
                  <c:v>9.859154929577464</c:v>
                </c:pt>
                <c:pt idx="2">
                  <c:v>21.83098591549295</c:v>
                </c:pt>
                <c:pt idx="3">
                  <c:v>36.61971830985915</c:v>
                </c:pt>
                <c:pt idx="4">
                  <c:v>54.92957746478874</c:v>
                </c:pt>
                <c:pt idx="5">
                  <c:v>69.01408450704225</c:v>
                </c:pt>
                <c:pt idx="6">
                  <c:v>85.91549295774648</c:v>
                </c:pt>
                <c:pt idx="7">
                  <c:v>100.0</c:v>
                </c:pt>
                <c:pt idx="8">
                  <c:v>0.0</c:v>
                </c:pt>
                <c:pt idx="9">
                  <c:v>9.859154929577464</c:v>
                </c:pt>
                <c:pt idx="10">
                  <c:v>21.83098591549295</c:v>
                </c:pt>
                <c:pt idx="11">
                  <c:v>36.61971830985915</c:v>
                </c:pt>
                <c:pt idx="12">
                  <c:v>54.92957746478874</c:v>
                </c:pt>
                <c:pt idx="13">
                  <c:v>69.01408450704225</c:v>
                </c:pt>
                <c:pt idx="14">
                  <c:v>85.91549295774648</c:v>
                </c:pt>
                <c:pt idx="15">
                  <c:v>100.0</c:v>
                </c:pt>
                <c:pt idx="16">
                  <c:v>0.0</c:v>
                </c:pt>
                <c:pt idx="17">
                  <c:v>9.859154929577464</c:v>
                </c:pt>
                <c:pt idx="18">
                  <c:v>21.83098591549295</c:v>
                </c:pt>
                <c:pt idx="19">
                  <c:v>36.61971830985915</c:v>
                </c:pt>
                <c:pt idx="20">
                  <c:v>54.92957746478874</c:v>
                </c:pt>
                <c:pt idx="21">
                  <c:v>69.01408450704225</c:v>
                </c:pt>
                <c:pt idx="22">
                  <c:v>85.91549295774648</c:v>
                </c:pt>
                <c:pt idx="23">
                  <c:v>100.0</c:v>
                </c:pt>
                <c:pt idx="24">
                  <c:v>0.0</c:v>
                </c:pt>
                <c:pt idx="25">
                  <c:v>9.859154929577464</c:v>
                </c:pt>
                <c:pt idx="26">
                  <c:v>21.83098591549295</c:v>
                </c:pt>
                <c:pt idx="27">
                  <c:v>36.61971830985915</c:v>
                </c:pt>
                <c:pt idx="28">
                  <c:v>54.92957746478874</c:v>
                </c:pt>
                <c:pt idx="29">
                  <c:v>69.01408450704225</c:v>
                </c:pt>
                <c:pt idx="30">
                  <c:v>85.91549295774648</c:v>
                </c:pt>
                <c:pt idx="31">
                  <c:v>100.0</c:v>
                </c:pt>
                <c:pt idx="32">
                  <c:v>0.0</c:v>
                </c:pt>
                <c:pt idx="33">
                  <c:v>9.859154929577464</c:v>
                </c:pt>
                <c:pt idx="34">
                  <c:v>21.83098591549295</c:v>
                </c:pt>
                <c:pt idx="35">
                  <c:v>36.61971830985915</c:v>
                </c:pt>
                <c:pt idx="36">
                  <c:v>54.92957746478874</c:v>
                </c:pt>
                <c:pt idx="37">
                  <c:v>69.01408450704225</c:v>
                </c:pt>
                <c:pt idx="38">
                  <c:v>85.91549295774648</c:v>
                </c:pt>
                <c:pt idx="39">
                  <c:v>100.0</c:v>
                </c:pt>
                <c:pt idx="40">
                  <c:v>0.0</c:v>
                </c:pt>
                <c:pt idx="41">
                  <c:v>9.859154929577464</c:v>
                </c:pt>
                <c:pt idx="42">
                  <c:v>21.83098591549295</c:v>
                </c:pt>
                <c:pt idx="43">
                  <c:v>36.61971830985915</c:v>
                </c:pt>
                <c:pt idx="44">
                  <c:v>54.92957746478874</c:v>
                </c:pt>
                <c:pt idx="45">
                  <c:v>69.01408450704225</c:v>
                </c:pt>
                <c:pt idx="46">
                  <c:v>85.91549295774648</c:v>
                </c:pt>
                <c:pt idx="47">
                  <c:v>100.0</c:v>
                </c:pt>
              </c:numCache>
            </c:numRef>
          </c:xVal>
          <c:yVal>
            <c:numRef>
              <c:f>Tomatoes_Fresh!$P$142:$P$189</c:f>
              <c:numCache>
                <c:formatCode>0</c:formatCode>
                <c:ptCount val="48"/>
                <c:pt idx="0">
                  <c:v>0.0</c:v>
                </c:pt>
                <c:pt idx="1">
                  <c:v>0.159529940048435</c:v>
                </c:pt>
                <c:pt idx="2">
                  <c:v>2.298927275835425</c:v>
                </c:pt>
                <c:pt idx="3">
                  <c:v>7.218788182196872</c:v>
                </c:pt>
                <c:pt idx="4">
                  <c:v>27.73666976484519</c:v>
                </c:pt>
                <c:pt idx="5">
                  <c:v>51.51898445000738</c:v>
                </c:pt>
                <c:pt idx="6">
                  <c:v>100.0</c:v>
                </c:pt>
                <c:pt idx="7">
                  <c:v>50.71849529644487</c:v>
                </c:pt>
                <c:pt idx="8">
                  <c:v>0.0</c:v>
                </c:pt>
                <c:pt idx="9">
                  <c:v>0.21691982755611</c:v>
                </c:pt>
                <c:pt idx="10">
                  <c:v>3.241995625061708</c:v>
                </c:pt>
                <c:pt idx="11">
                  <c:v>11.76225213468334</c:v>
                </c:pt>
                <c:pt idx="12">
                  <c:v>62.89638484567871</c:v>
                </c:pt>
                <c:pt idx="13">
                  <c:v>66.01564656235713</c:v>
                </c:pt>
                <c:pt idx="14">
                  <c:v>100.0</c:v>
                </c:pt>
                <c:pt idx="15">
                  <c:v>83.24456636175477</c:v>
                </c:pt>
                <c:pt idx="16">
                  <c:v>0.0</c:v>
                </c:pt>
                <c:pt idx="17">
                  <c:v>0.287061072680431</c:v>
                </c:pt>
                <c:pt idx="18">
                  <c:v>4.272734328663627</c:v>
                </c:pt>
                <c:pt idx="19">
                  <c:v>24.84567514455341</c:v>
                </c:pt>
                <c:pt idx="20">
                  <c:v>57.52528969130108</c:v>
                </c:pt>
                <c:pt idx="21">
                  <c:v>93.8252160382025</c:v>
                </c:pt>
                <c:pt idx="22">
                  <c:v>81.37682560778227</c:v>
                </c:pt>
                <c:pt idx="23">
                  <c:v>100.0</c:v>
                </c:pt>
                <c:pt idx="24">
                  <c:v>0.0</c:v>
                </c:pt>
                <c:pt idx="25">
                  <c:v>0.203426970918148</c:v>
                </c:pt>
                <c:pt idx="26">
                  <c:v>1.892314813210735</c:v>
                </c:pt>
                <c:pt idx="27">
                  <c:v>10.79924799859366</c:v>
                </c:pt>
                <c:pt idx="28">
                  <c:v>42.2104929082476</c:v>
                </c:pt>
                <c:pt idx="29">
                  <c:v>99.22367321484677</c:v>
                </c:pt>
                <c:pt idx="30">
                  <c:v>100.0</c:v>
                </c:pt>
                <c:pt idx="31">
                  <c:v>97.52223429086418</c:v>
                </c:pt>
                <c:pt idx="32">
                  <c:v>0.0</c:v>
                </c:pt>
                <c:pt idx="33">
                  <c:v>0.160909440724891</c:v>
                </c:pt>
                <c:pt idx="34">
                  <c:v>3.121567509829855</c:v>
                </c:pt>
                <c:pt idx="35">
                  <c:v>7.464416674473872</c:v>
                </c:pt>
                <c:pt idx="36">
                  <c:v>26.04319225028715</c:v>
                </c:pt>
                <c:pt idx="37">
                  <c:v>77.37476251191995</c:v>
                </c:pt>
                <c:pt idx="38">
                  <c:v>100.0</c:v>
                </c:pt>
                <c:pt idx="39">
                  <c:v>69.88982492750921</c:v>
                </c:pt>
                <c:pt idx="40">
                  <c:v>0.0</c:v>
                </c:pt>
                <c:pt idx="41">
                  <c:v>0.181300722659857</c:v>
                </c:pt>
                <c:pt idx="42">
                  <c:v>3.176056071396944</c:v>
                </c:pt>
                <c:pt idx="43">
                  <c:v>14.56797494232415</c:v>
                </c:pt>
                <c:pt idx="44">
                  <c:v>40.0018832026302</c:v>
                </c:pt>
                <c:pt idx="45">
                  <c:v>100.0</c:v>
                </c:pt>
                <c:pt idx="46">
                  <c:v>97.82813370386553</c:v>
                </c:pt>
                <c:pt idx="47">
                  <c:v>91.17242133566074</c:v>
                </c:pt>
              </c:numCache>
            </c:numRef>
          </c:yVal>
          <c:smooth val="0"/>
          <c:extLst xmlns:c16r2="http://schemas.microsoft.com/office/drawing/2015/06/chart">
            <c:ext xmlns:c16="http://schemas.microsoft.com/office/drawing/2014/chart" uri="{C3380CC4-5D6E-409C-BE32-E72D297353CC}">
              <c16:uniqueId val="{00000001-CE20-4623-80CB-502DD952C55D}"/>
            </c:ext>
          </c:extLst>
        </c:ser>
        <c:dLbls>
          <c:showLegendKey val="0"/>
          <c:showVal val="0"/>
          <c:showCatName val="0"/>
          <c:showSerName val="0"/>
          <c:showPercent val="0"/>
          <c:showBubbleSize val="0"/>
        </c:dLbls>
        <c:axId val="-2005584080"/>
        <c:axId val="-2006940896"/>
      </c:scatterChart>
      <c:valAx>
        <c:axId val="-2005584080"/>
        <c:scaling>
          <c:orientation val="minMax"/>
          <c:max val="102.0"/>
          <c:min val="0.0"/>
        </c:scaling>
        <c:delete val="0"/>
        <c:axPos val="b"/>
        <c:title>
          <c:tx>
            <c:rich>
              <a:bodyPr/>
              <a:lstStyle/>
              <a:p>
                <a:pPr>
                  <a:defRPr>
                    <a:latin typeface="Arial" panose="020B0604020202020204" pitchFamily="34" charset="0"/>
                    <a:cs typeface="Arial" panose="020B0604020202020204" pitchFamily="34" charset="0"/>
                  </a:defRPr>
                </a:pPr>
                <a:r>
                  <a:rPr lang="en-US"/>
                  <a:t>Proportion</a:t>
                </a:r>
                <a:r>
                  <a:rPr lang="en-US" baseline="0"/>
                  <a:t> of season (%)</a:t>
                </a:r>
                <a:endParaRPr lang="en-US"/>
              </a:p>
            </c:rich>
          </c:tx>
          <c:layout/>
          <c:overlay val="0"/>
        </c:title>
        <c:numFmt formatCode="0" sourceLinked="1"/>
        <c:majorTickMark val="out"/>
        <c:minorTickMark val="none"/>
        <c:tickLblPos val="nextTo"/>
        <c:crossAx val="-2006940896"/>
        <c:crosses val="autoZero"/>
        <c:crossBetween val="midCat"/>
        <c:majorUnit val="10.0"/>
      </c:valAx>
      <c:valAx>
        <c:axId val="-2006940896"/>
        <c:scaling>
          <c:orientation val="minMax"/>
          <c:max val="102.0"/>
          <c:min val="0.0"/>
        </c:scaling>
        <c:delete val="0"/>
        <c:axPos val="l"/>
        <c:title>
          <c:tx>
            <c:rich>
              <a:bodyPr rot="-5400000" vert="horz"/>
              <a:lstStyle/>
              <a:p>
                <a:pPr>
                  <a:defRPr>
                    <a:latin typeface="Arial" panose="020B0604020202020204" pitchFamily="34" charset="0"/>
                    <a:cs typeface="Arial" panose="020B0604020202020204" pitchFamily="34" charset="0"/>
                  </a:defRPr>
                </a:pPr>
                <a:r>
                  <a:rPr lang="en-US"/>
                  <a:t>Proportion</a:t>
                </a:r>
                <a:r>
                  <a:rPr lang="en-US" baseline="0"/>
                  <a:t> of total N uptake (%)</a:t>
                </a:r>
                <a:endParaRPr lang="en-US"/>
              </a:p>
            </c:rich>
          </c:tx>
          <c:layout/>
          <c:overlay val="0"/>
        </c:title>
        <c:numFmt formatCode="0" sourceLinked="1"/>
        <c:majorTickMark val="out"/>
        <c:minorTickMark val="none"/>
        <c:tickLblPos val="nextTo"/>
        <c:crossAx val="-2005584080"/>
        <c:crosses val="autoZero"/>
        <c:crossBetween val="midCat"/>
      </c:valAx>
    </c:plotArea>
    <c:plotVisOnly val="1"/>
    <c:dispBlanksAs val="gap"/>
    <c:showDLblsOverMax val="0"/>
  </c:chart>
  <c:spPr>
    <a:ln>
      <a:noFill/>
    </a:ln>
  </c:sp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scatterChart>
        <c:scatterStyle val="lineMarker"/>
        <c:varyColors val="0"/>
        <c:dLbls>
          <c:showLegendKey val="0"/>
          <c:showVal val="0"/>
          <c:showCatName val="0"/>
          <c:showSerName val="0"/>
          <c:showPercent val="0"/>
          <c:showBubbleSize val="0"/>
        </c:dLbls>
        <c:axId val="-2010013424"/>
        <c:axId val="1776732592"/>
      </c:scatterChart>
      <c:valAx>
        <c:axId val="-2010013424"/>
        <c:scaling>
          <c:orientation val="minMax"/>
          <c:max val="102.0"/>
          <c:min val="0.0"/>
        </c:scaling>
        <c:delete val="1"/>
        <c:axPos val="b"/>
        <c:title>
          <c:tx>
            <c:rich>
              <a:bodyPr/>
              <a:lstStyle/>
              <a:p>
                <a:pPr>
                  <a:defRPr>
                    <a:latin typeface="Arial" panose="020B0604020202020204" pitchFamily="34" charset="0"/>
                    <a:cs typeface="Arial" panose="020B0604020202020204" pitchFamily="34" charset="0"/>
                  </a:defRPr>
                </a:pPr>
                <a:r>
                  <a:rPr lang="en-US" sz="1000" b="1" i="0" baseline="0">
                    <a:effectLst/>
                    <a:latin typeface="Arial" panose="020B0604020202020204" pitchFamily="34" charset="0"/>
                    <a:cs typeface="Arial" panose="020B0604020202020204" pitchFamily="34" charset="0"/>
                  </a:rPr>
                  <a:t>Proportion of season (%)</a:t>
                </a:r>
                <a:endParaRPr lang="en-US" sz="1000">
                  <a:effectLst/>
                  <a:latin typeface="Arial" panose="020B0604020202020204" pitchFamily="34" charset="0"/>
                  <a:cs typeface="Arial" panose="020B0604020202020204" pitchFamily="34" charset="0"/>
                </a:endParaRPr>
              </a:p>
            </c:rich>
          </c:tx>
          <c:layout>
            <c:manualLayout>
              <c:xMode val="edge"/>
              <c:yMode val="edge"/>
              <c:x val="0.374121654040238"/>
              <c:y val="0.93287037037037"/>
            </c:manualLayout>
          </c:layout>
          <c:overlay val="0"/>
        </c:title>
        <c:numFmt formatCode="General" sourceLinked="1"/>
        <c:majorTickMark val="out"/>
        <c:minorTickMark val="none"/>
        <c:tickLblPos val="nextTo"/>
        <c:crossAx val="1776732592"/>
        <c:crosses val="autoZero"/>
        <c:crossBetween val="midCat"/>
        <c:majorUnit val="10.0"/>
      </c:valAx>
      <c:valAx>
        <c:axId val="1776732592"/>
        <c:scaling>
          <c:orientation val="minMax"/>
          <c:max val="102.0"/>
          <c:min val="0.0"/>
        </c:scaling>
        <c:delete val="1"/>
        <c:axPos val="l"/>
        <c:title>
          <c:tx>
            <c:rich>
              <a:bodyPr rot="-5400000" vert="horz"/>
              <a:lstStyle/>
              <a:p>
                <a:pPr>
                  <a:defRPr>
                    <a:latin typeface="Arial" panose="020B0604020202020204" pitchFamily="34" charset="0"/>
                    <a:cs typeface="Arial" panose="020B0604020202020204" pitchFamily="34" charset="0"/>
                  </a:defRPr>
                </a:pPr>
                <a:r>
                  <a:rPr lang="en-US" sz="1000" b="1" i="0" baseline="0">
                    <a:effectLst/>
                  </a:rPr>
                  <a:t>Proportion of total uptake (%)</a:t>
                </a:r>
                <a:endParaRPr lang="en-US" sz="1000">
                  <a:effectLst/>
                </a:endParaRPr>
              </a:p>
            </c:rich>
          </c:tx>
          <c:layout>
            <c:manualLayout>
              <c:xMode val="edge"/>
              <c:yMode val="edge"/>
              <c:x val="0.00556983831680363"/>
              <c:y val="0.120995188101487"/>
            </c:manualLayout>
          </c:layout>
          <c:overlay val="0"/>
        </c:title>
        <c:numFmt formatCode="0" sourceLinked="1"/>
        <c:majorTickMark val="out"/>
        <c:minorTickMark val="none"/>
        <c:tickLblPos val="nextTo"/>
        <c:crossAx val="-2010013424"/>
        <c:crosses val="autoZero"/>
        <c:crossBetween val="midCat"/>
      </c:valAx>
      <c:spPr>
        <a:noFill/>
        <a:ln w="25400">
          <a:noFill/>
        </a:ln>
      </c:spPr>
    </c:plotArea>
    <c:plotVisOnly val="1"/>
    <c:dispBlanksAs val="gap"/>
    <c:showDLblsOverMax val="0"/>
  </c:chart>
  <c:spPr>
    <a:ln>
      <a:noFill/>
    </a:ln>
  </c:spPr>
  <c:printSettings>
    <c:headerFooter/>
    <c:pageMargins b="0.75" l="0.7" r="0.7" t="0.75" header="0.3" footer="0.3"/>
    <c:pageSetup/>
  </c:printSettings>
  <c:userShapes r:id="rId2"/>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dLbls>
          <c:showLegendKey val="0"/>
          <c:showVal val="0"/>
          <c:showCatName val="0"/>
          <c:showSerName val="0"/>
          <c:showPercent val="0"/>
          <c:showBubbleSize val="0"/>
        </c:dLbls>
        <c:axId val="-2012751248"/>
        <c:axId val="-2008520320"/>
      </c:scatterChart>
      <c:valAx>
        <c:axId val="-2012751248"/>
        <c:scaling>
          <c:orientation val="minMax"/>
          <c:max val="1.0"/>
        </c:scaling>
        <c:delete val="0"/>
        <c:axPos val="b"/>
        <c:numFmt formatCode="0.0" sourceLinked="1"/>
        <c:majorTickMark val="out"/>
        <c:minorTickMark val="none"/>
        <c:tickLblPos val="nextTo"/>
        <c:crossAx val="-2008520320"/>
        <c:crosses val="autoZero"/>
        <c:crossBetween val="midCat"/>
      </c:valAx>
      <c:valAx>
        <c:axId val="-2008520320"/>
        <c:scaling>
          <c:orientation val="minMax"/>
          <c:max val="1.0"/>
          <c:min val="0.0"/>
        </c:scaling>
        <c:delete val="0"/>
        <c:axPos val="l"/>
        <c:majorGridlines/>
        <c:title>
          <c:tx>
            <c:rich>
              <a:bodyPr rot="-5400000" vert="horz"/>
              <a:lstStyle/>
              <a:p>
                <a:pPr>
                  <a:defRPr/>
                </a:pPr>
                <a:r>
                  <a:rPr lang="en-US"/>
                  <a:t>Proportion of total N uptake</a:t>
                </a:r>
              </a:p>
            </c:rich>
          </c:tx>
          <c:layout/>
          <c:overlay val="0"/>
        </c:title>
        <c:numFmt formatCode="0.0" sourceLinked="0"/>
        <c:majorTickMark val="out"/>
        <c:minorTickMark val="none"/>
        <c:tickLblPos val="nextTo"/>
        <c:crossAx val="-2012751248"/>
        <c:crosses val="autoZero"/>
        <c:crossBetween val="midCat"/>
        <c:majorUnit val="0.2"/>
      </c:valAx>
    </c:plotArea>
    <c:plotVisOnly val="1"/>
    <c:dispBlanksAs val="gap"/>
    <c:showDLblsOverMax val="0"/>
  </c:chart>
  <c:spPr>
    <a:ln>
      <a:noFill/>
    </a:ln>
  </c:spPr>
  <c:printSettings>
    <c:headerFooter/>
    <c:pageMargins b="0.75" l="0.7" r="0.7" t="0.75" header="0.3" footer="0.3"/>
    <c:pageSetup/>
  </c:printSettings>
  <c:userShapes r:id="rId1"/>
</c:chartSpace>
</file>

<file path=xl/charts/chart2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scatterChart>
        <c:scatterStyle val="lineMarker"/>
        <c:varyColors val="0"/>
        <c:ser>
          <c:idx val="1"/>
          <c:order val="0"/>
          <c:spPr>
            <a:ln w="28575">
              <a:noFill/>
            </a:ln>
          </c:spPr>
          <c:marker>
            <c:symbol val="square"/>
            <c:size val="5"/>
            <c:spPr>
              <a:solidFill>
                <a:srgbClr val="FF0000"/>
              </a:solidFill>
              <a:ln>
                <a:noFill/>
              </a:ln>
            </c:spPr>
          </c:marker>
          <c:trendline>
            <c:trendlineType val="log"/>
            <c:dispRSqr val="0"/>
            <c:dispEq val="0"/>
          </c:trendline>
          <c:xVal>
            <c:numRef>
              <c:f>Wheat_Durum!$M$30:$M$95</c:f>
              <c:numCache>
                <c:formatCode>0</c:formatCode>
                <c:ptCount val="66"/>
                <c:pt idx="0">
                  <c:v>0.0</c:v>
                </c:pt>
                <c:pt idx="1">
                  <c:v>20.11834319526627</c:v>
                </c:pt>
                <c:pt idx="2">
                  <c:v>42.01183431952663</c:v>
                </c:pt>
                <c:pt idx="3">
                  <c:v>57.39644970414201</c:v>
                </c:pt>
                <c:pt idx="4">
                  <c:v>66.86390532544378</c:v>
                </c:pt>
                <c:pt idx="5">
                  <c:v>100.0</c:v>
                </c:pt>
                <c:pt idx="6">
                  <c:v>0.0</c:v>
                </c:pt>
                <c:pt idx="7">
                  <c:v>20.11834319526627</c:v>
                </c:pt>
                <c:pt idx="8">
                  <c:v>42.01183431952663</c:v>
                </c:pt>
                <c:pt idx="9">
                  <c:v>57.39644970414201</c:v>
                </c:pt>
                <c:pt idx="10">
                  <c:v>66.86390532544378</c:v>
                </c:pt>
                <c:pt idx="11">
                  <c:v>100.0</c:v>
                </c:pt>
                <c:pt idx="12">
                  <c:v>0.0</c:v>
                </c:pt>
                <c:pt idx="13">
                  <c:v>20.11834319526627</c:v>
                </c:pt>
                <c:pt idx="14">
                  <c:v>42.01183431952663</c:v>
                </c:pt>
                <c:pt idx="15">
                  <c:v>57.39644970414201</c:v>
                </c:pt>
                <c:pt idx="16">
                  <c:v>66.86390532544378</c:v>
                </c:pt>
                <c:pt idx="17">
                  <c:v>100.0</c:v>
                </c:pt>
                <c:pt idx="18">
                  <c:v>0.0</c:v>
                </c:pt>
                <c:pt idx="19">
                  <c:v>20.11834319526627</c:v>
                </c:pt>
                <c:pt idx="20">
                  <c:v>42.01183431952663</c:v>
                </c:pt>
                <c:pt idx="21">
                  <c:v>57.39644970414201</c:v>
                </c:pt>
                <c:pt idx="22">
                  <c:v>66.86390532544378</c:v>
                </c:pt>
                <c:pt idx="23">
                  <c:v>100.0</c:v>
                </c:pt>
                <c:pt idx="24">
                  <c:v>0.0</c:v>
                </c:pt>
                <c:pt idx="25">
                  <c:v>20.11834319526627</c:v>
                </c:pt>
                <c:pt idx="26">
                  <c:v>42.01183431952663</c:v>
                </c:pt>
                <c:pt idx="27">
                  <c:v>57.39644970414201</c:v>
                </c:pt>
                <c:pt idx="28">
                  <c:v>66.86390532544378</c:v>
                </c:pt>
                <c:pt idx="29">
                  <c:v>100.0</c:v>
                </c:pt>
                <c:pt idx="30">
                  <c:v>0.0</c:v>
                </c:pt>
                <c:pt idx="31">
                  <c:v>19.16167664670659</c:v>
                </c:pt>
                <c:pt idx="32">
                  <c:v>41.31736526946108</c:v>
                </c:pt>
                <c:pt idx="33">
                  <c:v>56.88622754491018</c:v>
                </c:pt>
                <c:pt idx="34">
                  <c:v>70.05988023952095</c:v>
                </c:pt>
                <c:pt idx="35">
                  <c:v>100.0</c:v>
                </c:pt>
                <c:pt idx="36">
                  <c:v>0.0</c:v>
                </c:pt>
                <c:pt idx="37">
                  <c:v>19.16167664670659</c:v>
                </c:pt>
                <c:pt idx="38">
                  <c:v>41.31736526946108</c:v>
                </c:pt>
                <c:pt idx="39">
                  <c:v>56.88622754491018</c:v>
                </c:pt>
                <c:pt idx="40">
                  <c:v>70.05988023952095</c:v>
                </c:pt>
                <c:pt idx="41">
                  <c:v>100.0</c:v>
                </c:pt>
                <c:pt idx="42">
                  <c:v>0.0</c:v>
                </c:pt>
                <c:pt idx="43">
                  <c:v>19.16167664670659</c:v>
                </c:pt>
                <c:pt idx="44">
                  <c:v>41.31736526946108</c:v>
                </c:pt>
                <c:pt idx="45">
                  <c:v>56.88622754491018</c:v>
                </c:pt>
                <c:pt idx="46">
                  <c:v>70.05988023952095</c:v>
                </c:pt>
                <c:pt idx="47">
                  <c:v>100.0</c:v>
                </c:pt>
                <c:pt idx="48">
                  <c:v>0.0</c:v>
                </c:pt>
                <c:pt idx="49">
                  <c:v>19.16167664670659</c:v>
                </c:pt>
                <c:pt idx="50">
                  <c:v>41.31736526946108</c:v>
                </c:pt>
                <c:pt idx="51">
                  <c:v>56.88622754491018</c:v>
                </c:pt>
                <c:pt idx="52">
                  <c:v>70.05988023952095</c:v>
                </c:pt>
                <c:pt idx="53">
                  <c:v>100.0</c:v>
                </c:pt>
                <c:pt idx="54">
                  <c:v>0.0</c:v>
                </c:pt>
                <c:pt idx="55">
                  <c:v>19.16167664670659</c:v>
                </c:pt>
                <c:pt idx="56">
                  <c:v>41.31736526946108</c:v>
                </c:pt>
                <c:pt idx="57">
                  <c:v>56.88622754491018</c:v>
                </c:pt>
                <c:pt idx="58">
                  <c:v>70.05988023952095</c:v>
                </c:pt>
                <c:pt idx="59">
                  <c:v>100.0</c:v>
                </c:pt>
                <c:pt idx="60">
                  <c:v>0.0</c:v>
                </c:pt>
                <c:pt idx="61">
                  <c:v>19.16167664670659</c:v>
                </c:pt>
                <c:pt idx="62">
                  <c:v>41.31736526946108</c:v>
                </c:pt>
                <c:pt idx="63">
                  <c:v>56.88622754491018</c:v>
                </c:pt>
                <c:pt idx="64">
                  <c:v>70.05988023952095</c:v>
                </c:pt>
                <c:pt idx="65">
                  <c:v>100.0</c:v>
                </c:pt>
              </c:numCache>
            </c:numRef>
          </c:xVal>
          <c:yVal>
            <c:numRef>
              <c:f>Wheat_Durum!$P$30:$P$95</c:f>
              <c:numCache>
                <c:formatCode>0</c:formatCode>
                <c:ptCount val="66"/>
                <c:pt idx="0">
                  <c:v>0.0</c:v>
                </c:pt>
                <c:pt idx="1">
                  <c:v>5.0</c:v>
                </c:pt>
                <c:pt idx="2">
                  <c:v>28.0</c:v>
                </c:pt>
                <c:pt idx="3">
                  <c:v>58</c:v>
                </c:pt>
                <c:pt idx="4">
                  <c:v>100.0</c:v>
                </c:pt>
                <c:pt idx="5">
                  <c:v>86.0</c:v>
                </c:pt>
                <c:pt idx="6">
                  <c:v>0.0</c:v>
                </c:pt>
                <c:pt idx="7">
                  <c:v>2.100840336134454</c:v>
                </c:pt>
                <c:pt idx="8">
                  <c:v>29.41176470588236</c:v>
                </c:pt>
                <c:pt idx="9">
                  <c:v>42.01680672268908</c:v>
                </c:pt>
                <c:pt idx="10">
                  <c:v>43.69747899159665</c:v>
                </c:pt>
                <c:pt idx="11">
                  <c:v>100.0</c:v>
                </c:pt>
                <c:pt idx="12">
                  <c:v>0.0</c:v>
                </c:pt>
                <c:pt idx="13">
                  <c:v>1.488095238095238</c:v>
                </c:pt>
                <c:pt idx="14">
                  <c:v>30.35714285714286</c:v>
                </c:pt>
                <c:pt idx="15">
                  <c:v>47.02380952380953</c:v>
                </c:pt>
                <c:pt idx="16">
                  <c:v>61.3095238095238</c:v>
                </c:pt>
                <c:pt idx="17">
                  <c:v>100.0</c:v>
                </c:pt>
                <c:pt idx="18">
                  <c:v>0.0</c:v>
                </c:pt>
                <c:pt idx="19">
                  <c:v>1.024590163934426</c:v>
                </c:pt>
                <c:pt idx="20">
                  <c:v>29.91803278688525</c:v>
                </c:pt>
                <c:pt idx="21">
                  <c:v>39.75409836065574</c:v>
                </c:pt>
                <c:pt idx="22">
                  <c:v>45.90163934426229</c:v>
                </c:pt>
                <c:pt idx="23">
                  <c:v>100.0</c:v>
                </c:pt>
                <c:pt idx="24">
                  <c:v>0.0</c:v>
                </c:pt>
                <c:pt idx="25">
                  <c:v>0.871080139372822</c:v>
                </c:pt>
                <c:pt idx="26">
                  <c:v>30.66202090592335</c:v>
                </c:pt>
                <c:pt idx="27">
                  <c:v>34.49477351916377</c:v>
                </c:pt>
                <c:pt idx="28">
                  <c:v>51.21951219512195</c:v>
                </c:pt>
                <c:pt idx="29">
                  <c:v>100.0</c:v>
                </c:pt>
                <c:pt idx="30">
                  <c:v>0.0</c:v>
                </c:pt>
                <c:pt idx="31">
                  <c:v>4.098360655737705</c:v>
                </c:pt>
                <c:pt idx="32">
                  <c:v>36.0655737704918</c:v>
                </c:pt>
                <c:pt idx="33">
                  <c:v>70.49180327868852</c:v>
                </c:pt>
                <c:pt idx="34">
                  <c:v>100.0</c:v>
                </c:pt>
                <c:pt idx="35">
                  <c:v>59.01639344262295</c:v>
                </c:pt>
                <c:pt idx="36">
                  <c:v>0.0</c:v>
                </c:pt>
                <c:pt idx="37">
                  <c:v>2.272727272727272</c:v>
                </c:pt>
                <c:pt idx="38">
                  <c:v>23.63636363636364</c:v>
                </c:pt>
                <c:pt idx="39">
                  <c:v>62.72727272727271</c:v>
                </c:pt>
                <c:pt idx="40">
                  <c:v>90.0</c:v>
                </c:pt>
                <c:pt idx="41">
                  <c:v>100.0</c:v>
                </c:pt>
                <c:pt idx="42">
                  <c:v>0.0</c:v>
                </c:pt>
                <c:pt idx="43">
                  <c:v>1.666666666666667</c:v>
                </c:pt>
                <c:pt idx="44">
                  <c:v>24.66666666666667</c:v>
                </c:pt>
                <c:pt idx="45">
                  <c:v>64.66666666666667</c:v>
                </c:pt>
                <c:pt idx="46">
                  <c:v>86.0</c:v>
                </c:pt>
                <c:pt idx="47">
                  <c:v>100.0</c:v>
                </c:pt>
                <c:pt idx="48">
                  <c:v>0.0</c:v>
                </c:pt>
                <c:pt idx="49">
                  <c:v>1.225490196078431</c:v>
                </c:pt>
                <c:pt idx="50">
                  <c:v>25.0</c:v>
                </c:pt>
                <c:pt idx="51">
                  <c:v>64.70588235294117</c:v>
                </c:pt>
                <c:pt idx="52">
                  <c:v>66.1764705882353</c:v>
                </c:pt>
                <c:pt idx="53">
                  <c:v>100.0</c:v>
                </c:pt>
                <c:pt idx="54">
                  <c:v>0.0</c:v>
                </c:pt>
                <c:pt idx="55">
                  <c:v>0.87719298245614</c:v>
                </c:pt>
                <c:pt idx="56">
                  <c:v>24.91228070175438</c:v>
                </c:pt>
                <c:pt idx="57">
                  <c:v>55.43859649122808</c:v>
                </c:pt>
                <c:pt idx="58">
                  <c:v>70.52631578947368</c:v>
                </c:pt>
                <c:pt idx="59">
                  <c:v>100.0</c:v>
                </c:pt>
                <c:pt idx="60">
                  <c:v>0.0</c:v>
                </c:pt>
                <c:pt idx="61">
                  <c:v>0.692520775623269</c:v>
                </c:pt>
                <c:pt idx="62">
                  <c:v>31.02493074792244</c:v>
                </c:pt>
                <c:pt idx="63">
                  <c:v>64.26592797783933</c:v>
                </c:pt>
                <c:pt idx="64">
                  <c:v>77.00831024930747</c:v>
                </c:pt>
                <c:pt idx="65">
                  <c:v>100.0</c:v>
                </c:pt>
              </c:numCache>
            </c:numRef>
          </c:yVal>
          <c:smooth val="0"/>
          <c:extLst xmlns:c16r2="http://schemas.microsoft.com/office/drawing/2015/06/chart">
            <c:ext xmlns:c16="http://schemas.microsoft.com/office/drawing/2014/chart" uri="{C3380CC4-5D6E-409C-BE32-E72D297353CC}">
              <c16:uniqueId val="{00000001-3AA2-4FD1-A1BC-62E6225E9AFD}"/>
            </c:ext>
          </c:extLst>
        </c:ser>
        <c:dLbls>
          <c:showLegendKey val="0"/>
          <c:showVal val="0"/>
          <c:showCatName val="0"/>
          <c:showSerName val="0"/>
          <c:showPercent val="0"/>
          <c:showBubbleSize val="0"/>
        </c:dLbls>
        <c:axId val="-2016584896"/>
        <c:axId val="-2017402672"/>
      </c:scatterChart>
      <c:valAx>
        <c:axId val="-2016584896"/>
        <c:scaling>
          <c:orientation val="minMax"/>
          <c:max val="102.0"/>
          <c:min val="0.0"/>
        </c:scaling>
        <c:delete val="0"/>
        <c:axPos val="b"/>
        <c:title>
          <c:tx>
            <c:rich>
              <a:bodyPr/>
              <a:lstStyle/>
              <a:p>
                <a:pPr>
                  <a:defRPr>
                    <a:latin typeface="Arial" panose="020B0604020202020204" pitchFamily="34" charset="0"/>
                    <a:cs typeface="Arial" panose="020B0604020202020204" pitchFamily="34" charset="0"/>
                  </a:defRPr>
                </a:pPr>
                <a:r>
                  <a:rPr lang="en-US" sz="1000" b="1" i="0" baseline="0">
                    <a:effectLst/>
                    <a:latin typeface="Arial" panose="020B0604020202020204" pitchFamily="34" charset="0"/>
                    <a:cs typeface="Arial" panose="020B0604020202020204" pitchFamily="34" charset="0"/>
                  </a:rPr>
                  <a:t>Proportion of season </a:t>
                </a:r>
                <a:r>
                  <a:rPr lang="en-US" sz="1000" b="0" i="0" baseline="0">
                    <a:effectLst/>
                    <a:latin typeface="Arial" panose="020B0604020202020204" pitchFamily="34" charset="0"/>
                    <a:cs typeface="Arial" panose="020B0604020202020204" pitchFamily="34" charset="0"/>
                  </a:rPr>
                  <a:t>(% of total)</a:t>
                </a:r>
                <a:endParaRPr lang="en-US" sz="1000">
                  <a:effectLst/>
                  <a:latin typeface="Arial" panose="020B0604020202020204" pitchFamily="34" charset="0"/>
                  <a:cs typeface="Arial" panose="020B0604020202020204" pitchFamily="34" charset="0"/>
                </a:endParaRPr>
              </a:p>
            </c:rich>
          </c:tx>
          <c:layout/>
          <c:overlay val="0"/>
        </c:title>
        <c:numFmt formatCode="0" sourceLinked="1"/>
        <c:majorTickMark val="out"/>
        <c:minorTickMark val="none"/>
        <c:tickLblPos val="nextTo"/>
        <c:crossAx val="-2017402672"/>
        <c:crosses val="autoZero"/>
        <c:crossBetween val="midCat"/>
        <c:majorUnit val="10.0"/>
      </c:valAx>
      <c:valAx>
        <c:axId val="-2017402672"/>
        <c:scaling>
          <c:orientation val="minMax"/>
          <c:max val="102.0"/>
          <c:min val="0.0"/>
        </c:scaling>
        <c:delete val="0"/>
        <c:axPos val="l"/>
        <c:title>
          <c:tx>
            <c:rich>
              <a:bodyPr rot="-5400000" vert="horz"/>
              <a:lstStyle/>
              <a:p>
                <a:pPr>
                  <a:defRPr>
                    <a:latin typeface="Arial" panose="020B0604020202020204" pitchFamily="34" charset="0"/>
                    <a:cs typeface="Arial" panose="020B0604020202020204" pitchFamily="34" charset="0"/>
                  </a:defRPr>
                </a:pPr>
                <a:r>
                  <a:rPr lang="en-US" sz="1000" b="1" i="0" baseline="0">
                    <a:effectLst/>
                  </a:rPr>
                  <a:t>Plant N uptake</a:t>
                </a:r>
                <a:r>
                  <a:rPr lang="en-US" sz="1000" b="0" i="0" baseline="0">
                    <a:effectLst/>
                  </a:rPr>
                  <a:t> (% of total)</a:t>
                </a:r>
                <a:endParaRPr lang="en-US" sz="1000">
                  <a:effectLst/>
                </a:endParaRPr>
              </a:p>
            </c:rich>
          </c:tx>
          <c:layout/>
          <c:overlay val="0"/>
        </c:title>
        <c:numFmt formatCode="0" sourceLinked="1"/>
        <c:majorTickMark val="out"/>
        <c:minorTickMark val="none"/>
        <c:tickLblPos val="nextTo"/>
        <c:crossAx val="-2016584896"/>
        <c:crosses val="autoZero"/>
        <c:crossBetween val="midCat"/>
      </c:valAx>
    </c:plotArea>
    <c:plotVisOnly val="1"/>
    <c:dispBlanksAs val="gap"/>
    <c:showDLblsOverMax val="0"/>
  </c:chart>
  <c:spPr>
    <a:ln>
      <a:noFill/>
    </a:ln>
  </c:spPr>
  <c:printSettings>
    <c:headerFooter/>
    <c:pageMargins b="0.75" l="0.7" r="0.7" t="0.75" header="0.3" footer="0.3"/>
    <c:pageSetup/>
  </c:printSettings>
  <c:userShapes r:id="rId2"/>
</c:chartSpace>
</file>

<file path=xl/charts/chart2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scatterChart>
        <c:scatterStyle val="lineMarker"/>
        <c:varyColors val="0"/>
        <c:dLbls>
          <c:showLegendKey val="0"/>
          <c:showVal val="0"/>
          <c:showCatName val="0"/>
          <c:showSerName val="0"/>
          <c:showPercent val="0"/>
          <c:showBubbleSize val="0"/>
        </c:dLbls>
        <c:axId val="-2019722688"/>
        <c:axId val="-2017049296"/>
      </c:scatterChart>
      <c:valAx>
        <c:axId val="-2019722688"/>
        <c:scaling>
          <c:orientation val="minMax"/>
          <c:max val="102.0"/>
          <c:min val="0.0"/>
        </c:scaling>
        <c:delete val="1"/>
        <c:axPos val="b"/>
        <c:title>
          <c:tx>
            <c:rich>
              <a:bodyPr/>
              <a:lstStyle/>
              <a:p>
                <a:pPr>
                  <a:defRPr>
                    <a:latin typeface="Arial" panose="020B0604020202020204" pitchFamily="34" charset="0"/>
                    <a:cs typeface="Arial" panose="020B0604020202020204" pitchFamily="34" charset="0"/>
                  </a:defRPr>
                </a:pPr>
                <a:r>
                  <a:rPr lang="en-US"/>
                  <a:t>Days</a:t>
                </a:r>
                <a:r>
                  <a:rPr lang="en-US" baseline="0"/>
                  <a:t> after planting</a:t>
                </a:r>
                <a:endParaRPr lang="en-US"/>
              </a:p>
            </c:rich>
          </c:tx>
          <c:layout>
            <c:manualLayout>
              <c:xMode val="edge"/>
              <c:yMode val="edge"/>
              <c:x val="0.395190520567969"/>
              <c:y val="0.928240740740741"/>
            </c:manualLayout>
          </c:layout>
          <c:overlay val="0"/>
        </c:title>
        <c:numFmt formatCode="General" sourceLinked="1"/>
        <c:majorTickMark val="out"/>
        <c:minorTickMark val="none"/>
        <c:tickLblPos val="nextTo"/>
        <c:crossAx val="-2017049296"/>
        <c:crosses val="autoZero"/>
        <c:crossBetween val="midCat"/>
        <c:majorUnit val="10.0"/>
      </c:valAx>
      <c:valAx>
        <c:axId val="-2017049296"/>
        <c:scaling>
          <c:orientation val="minMax"/>
          <c:max val="102.0"/>
          <c:min val="0.0"/>
        </c:scaling>
        <c:delete val="1"/>
        <c:axPos val="l"/>
        <c:title>
          <c:tx>
            <c:rich>
              <a:bodyPr rot="-5400000" vert="horz"/>
              <a:lstStyle/>
              <a:p>
                <a:pPr>
                  <a:defRPr>
                    <a:latin typeface="Arial" panose="020B0604020202020204" pitchFamily="34" charset="0"/>
                    <a:cs typeface="Arial" panose="020B0604020202020204" pitchFamily="34" charset="0"/>
                  </a:defRPr>
                </a:pPr>
                <a:r>
                  <a:rPr lang="en-US"/>
                  <a:t>Total</a:t>
                </a:r>
                <a:r>
                  <a:rPr lang="en-US" baseline="0"/>
                  <a:t> N Uptake </a:t>
                </a:r>
                <a:r>
                  <a:rPr lang="en-US" b="0" baseline="0"/>
                  <a:t>(lbs N/acre)</a:t>
                </a:r>
                <a:endParaRPr lang="en-US" b="0"/>
              </a:p>
            </c:rich>
          </c:tx>
          <c:layout>
            <c:manualLayout>
              <c:xMode val="edge"/>
              <c:yMode val="edge"/>
              <c:x val="0.0111026990923762"/>
              <c:y val="0.164444444444445"/>
            </c:manualLayout>
          </c:layout>
          <c:overlay val="0"/>
        </c:title>
        <c:numFmt formatCode="0" sourceLinked="1"/>
        <c:majorTickMark val="out"/>
        <c:minorTickMark val="none"/>
        <c:tickLblPos val="nextTo"/>
        <c:crossAx val="-2019722688"/>
        <c:crosses val="autoZero"/>
        <c:crossBetween val="midCat"/>
      </c:valAx>
    </c:plotArea>
    <c:plotVisOnly val="1"/>
    <c:dispBlanksAs val="gap"/>
    <c:showDLblsOverMax val="0"/>
  </c:chart>
  <c:spPr>
    <a:ln>
      <a:noFill/>
    </a:ln>
  </c:spPr>
  <c:printSettings>
    <c:headerFooter/>
    <c:pageMargins b="0.75" l="0.7" r="0.7" t="0.75" header="0.3" footer="0.3"/>
    <c:pageSetup/>
  </c:printSettings>
  <c:userShapes r:id="rId2"/>
</c:chartSpace>
</file>

<file path=xl/charts/chart2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scatterChart>
        <c:scatterStyle val="lineMarker"/>
        <c:varyColors val="0"/>
        <c:ser>
          <c:idx val="0"/>
          <c:order val="0"/>
          <c:spPr>
            <a:ln w="28575">
              <a:noFill/>
            </a:ln>
          </c:spPr>
          <c:trendline>
            <c:trendlineType val="poly"/>
            <c:order val="3"/>
            <c:dispRSqr val="0"/>
            <c:dispEq val="0"/>
          </c:trendline>
          <c:xVal>
            <c:numRef>
              <c:f>Beetroot!$M$5:$M$64</c:f>
              <c:numCache>
                <c:formatCode>0</c:formatCode>
                <c:ptCount val="60"/>
                <c:pt idx="0">
                  <c:v>0.0</c:v>
                </c:pt>
                <c:pt idx="1">
                  <c:v>43.9647577092511</c:v>
                </c:pt>
                <c:pt idx="2">
                  <c:v>49.25110132158591</c:v>
                </c:pt>
                <c:pt idx="3">
                  <c:v>54.00881057268722</c:v>
                </c:pt>
                <c:pt idx="4">
                  <c:v>64.58149779735683</c:v>
                </c:pt>
                <c:pt idx="5">
                  <c:v>73.83259911894274</c:v>
                </c:pt>
                <c:pt idx="6">
                  <c:v>100.0</c:v>
                </c:pt>
                <c:pt idx="7">
                  <c:v>0.0</c:v>
                </c:pt>
                <c:pt idx="8">
                  <c:v>44.94028912633564</c:v>
                </c:pt>
                <c:pt idx="9">
                  <c:v>49.21433060967945</c:v>
                </c:pt>
                <c:pt idx="10">
                  <c:v>54.24261470773099</c:v>
                </c:pt>
                <c:pt idx="11">
                  <c:v>64.04776869893147</c:v>
                </c:pt>
                <c:pt idx="12">
                  <c:v>74.60716530483973</c:v>
                </c:pt>
                <c:pt idx="13">
                  <c:v>100.0</c:v>
                </c:pt>
                <c:pt idx="14">
                  <c:v>0.0</c:v>
                </c:pt>
                <c:pt idx="15">
                  <c:v>60.64461407972858</c:v>
                </c:pt>
                <c:pt idx="16">
                  <c:v>66.75148430873622</c:v>
                </c:pt>
                <c:pt idx="17">
                  <c:v>73.87616624257845</c:v>
                </c:pt>
                <c:pt idx="18">
                  <c:v>88.12553011026294</c:v>
                </c:pt>
                <c:pt idx="19">
                  <c:v>100.0</c:v>
                </c:pt>
                <c:pt idx="20">
                  <c:v>0.0</c:v>
                </c:pt>
                <c:pt idx="21">
                  <c:v>44.22488171444476</c:v>
                </c:pt>
                <c:pt idx="22">
                  <c:v>55.24631227386584</c:v>
                </c:pt>
                <c:pt idx="23">
                  <c:v>68.27163929863621</c:v>
                </c:pt>
                <c:pt idx="24">
                  <c:v>78.29112162538268</c:v>
                </c:pt>
                <c:pt idx="25">
                  <c:v>100.0</c:v>
                </c:pt>
                <c:pt idx="26">
                  <c:v>0.0</c:v>
                </c:pt>
                <c:pt idx="27">
                  <c:v>39.15783443139501</c:v>
                </c:pt>
                <c:pt idx="28">
                  <c:v>50.15754798052134</c:v>
                </c:pt>
                <c:pt idx="29">
                  <c:v>62.53222572328845</c:v>
                </c:pt>
                <c:pt idx="30">
                  <c:v>75.59438556287597</c:v>
                </c:pt>
                <c:pt idx="31">
                  <c:v>87.28158120882267</c:v>
                </c:pt>
                <c:pt idx="32">
                  <c:v>100.0</c:v>
                </c:pt>
                <c:pt idx="33">
                  <c:v>0.0</c:v>
                </c:pt>
                <c:pt idx="34">
                  <c:v>44.628390278267</c:v>
                </c:pt>
                <c:pt idx="35">
                  <c:v>55.61817541387812</c:v>
                </c:pt>
                <c:pt idx="36">
                  <c:v>69.98943289890805</c:v>
                </c:pt>
                <c:pt idx="37">
                  <c:v>86.0514265586474</c:v>
                </c:pt>
                <c:pt idx="38">
                  <c:v>100.0</c:v>
                </c:pt>
                <c:pt idx="39">
                  <c:v>0.0</c:v>
                </c:pt>
                <c:pt idx="40">
                  <c:v>37.45819397993311</c:v>
                </c:pt>
                <c:pt idx="41">
                  <c:v>52.5083612040134</c:v>
                </c:pt>
                <c:pt idx="42">
                  <c:v>63.87959866220736</c:v>
                </c:pt>
                <c:pt idx="43">
                  <c:v>76.25418060200668</c:v>
                </c:pt>
                <c:pt idx="44">
                  <c:v>87.95986622073577</c:v>
                </c:pt>
                <c:pt idx="45">
                  <c:v>100.0</c:v>
                </c:pt>
                <c:pt idx="46">
                  <c:v>0.0</c:v>
                </c:pt>
                <c:pt idx="47">
                  <c:v>39.0</c:v>
                </c:pt>
                <c:pt idx="48">
                  <c:v>50.0</c:v>
                </c:pt>
                <c:pt idx="49">
                  <c:v>62.0</c:v>
                </c:pt>
                <c:pt idx="50">
                  <c:v>75.0</c:v>
                </c:pt>
                <c:pt idx="51">
                  <c:v>87.33333333333336</c:v>
                </c:pt>
                <c:pt idx="52">
                  <c:v>100.0</c:v>
                </c:pt>
                <c:pt idx="53">
                  <c:v>0.0</c:v>
                </c:pt>
                <c:pt idx="54">
                  <c:v>39.62264150943396</c:v>
                </c:pt>
                <c:pt idx="55">
                  <c:v>50.2572898799314</c:v>
                </c:pt>
                <c:pt idx="56">
                  <c:v>63.29331046312178</c:v>
                </c:pt>
                <c:pt idx="57">
                  <c:v>75.30017152658662</c:v>
                </c:pt>
                <c:pt idx="58">
                  <c:v>87.65008576329332</c:v>
                </c:pt>
                <c:pt idx="59">
                  <c:v>100.0</c:v>
                </c:pt>
              </c:numCache>
            </c:numRef>
          </c:xVal>
          <c:yVal>
            <c:numRef>
              <c:f>Beetroot!$P$5:$P$64</c:f>
              <c:numCache>
                <c:formatCode>0</c:formatCode>
                <c:ptCount val="60"/>
                <c:pt idx="0" formatCode="General">
                  <c:v>0.0</c:v>
                </c:pt>
                <c:pt idx="1">
                  <c:v>15.59633027522936</c:v>
                </c:pt>
                <c:pt idx="2">
                  <c:v>25.3822629969419</c:v>
                </c:pt>
                <c:pt idx="3">
                  <c:v>49.23547400611621</c:v>
                </c:pt>
                <c:pt idx="4">
                  <c:v>67.2782874617737</c:v>
                </c:pt>
                <c:pt idx="5">
                  <c:v>85.01529051987766</c:v>
                </c:pt>
                <c:pt idx="6">
                  <c:v>100.0</c:v>
                </c:pt>
                <c:pt idx="7">
                  <c:v>0.0</c:v>
                </c:pt>
                <c:pt idx="8">
                  <c:v>14.28571428571428</c:v>
                </c:pt>
                <c:pt idx="9">
                  <c:v>22.61904761904762</c:v>
                </c:pt>
                <c:pt idx="10">
                  <c:v>45.5357142857143</c:v>
                </c:pt>
                <c:pt idx="11">
                  <c:v>73.21428571428572</c:v>
                </c:pt>
                <c:pt idx="12">
                  <c:v>93.45238095238096</c:v>
                </c:pt>
                <c:pt idx="13">
                  <c:v>100.0</c:v>
                </c:pt>
                <c:pt idx="14">
                  <c:v>0.0</c:v>
                </c:pt>
                <c:pt idx="15">
                  <c:v>21.23552123552124</c:v>
                </c:pt>
                <c:pt idx="16">
                  <c:v>30.50193050193051</c:v>
                </c:pt>
                <c:pt idx="17">
                  <c:v>59.84555984555984</c:v>
                </c:pt>
                <c:pt idx="18">
                  <c:v>98.84169884169885</c:v>
                </c:pt>
                <c:pt idx="19">
                  <c:v>100.0</c:v>
                </c:pt>
                <c:pt idx="20">
                  <c:v>0.0</c:v>
                </c:pt>
                <c:pt idx="21">
                  <c:v>12.63157894736842</c:v>
                </c:pt>
                <c:pt idx="22">
                  <c:v>37.54385964912281</c:v>
                </c:pt>
                <c:pt idx="23">
                  <c:v>67.71929824561404</c:v>
                </c:pt>
                <c:pt idx="24">
                  <c:v>85.96491228070175</c:v>
                </c:pt>
                <c:pt idx="25">
                  <c:v>100.0</c:v>
                </c:pt>
                <c:pt idx="26">
                  <c:v>0.0</c:v>
                </c:pt>
                <c:pt idx="27">
                  <c:v>12.5</c:v>
                </c:pt>
                <c:pt idx="28">
                  <c:v>25.0</c:v>
                </c:pt>
                <c:pt idx="29">
                  <c:v>63.21428571428572</c:v>
                </c:pt>
                <c:pt idx="30">
                  <c:v>80.7142857142857</c:v>
                </c:pt>
                <c:pt idx="31">
                  <c:v>97.14285714285715</c:v>
                </c:pt>
                <c:pt idx="32">
                  <c:v>100.0</c:v>
                </c:pt>
                <c:pt idx="33">
                  <c:v>0.0</c:v>
                </c:pt>
                <c:pt idx="34">
                  <c:v>31.27572016460905</c:v>
                </c:pt>
                <c:pt idx="35">
                  <c:v>37.86008230452674</c:v>
                </c:pt>
                <c:pt idx="36">
                  <c:v>80.2469135802469</c:v>
                </c:pt>
                <c:pt idx="37">
                  <c:v>87.24279835390946</c:v>
                </c:pt>
                <c:pt idx="38">
                  <c:v>100.0</c:v>
                </c:pt>
                <c:pt idx="39">
                  <c:v>0.0</c:v>
                </c:pt>
                <c:pt idx="40">
                  <c:v>12.25490196078431</c:v>
                </c:pt>
                <c:pt idx="41">
                  <c:v>25.98039215686275</c:v>
                </c:pt>
                <c:pt idx="42">
                  <c:v>65.19607843137255</c:v>
                </c:pt>
                <c:pt idx="43">
                  <c:v>81.37254901960783</c:v>
                </c:pt>
                <c:pt idx="44">
                  <c:v>100.0</c:v>
                </c:pt>
                <c:pt idx="45">
                  <c:v>100.0</c:v>
                </c:pt>
                <c:pt idx="46">
                  <c:v>0.0</c:v>
                </c:pt>
                <c:pt idx="47">
                  <c:v>11.74496644295302</c:v>
                </c:pt>
                <c:pt idx="48">
                  <c:v>23.8255033557047</c:v>
                </c:pt>
                <c:pt idx="49">
                  <c:v>55.70469798657718</c:v>
                </c:pt>
                <c:pt idx="50">
                  <c:v>76.1744966442953</c:v>
                </c:pt>
                <c:pt idx="51">
                  <c:v>94.96644295302013</c:v>
                </c:pt>
                <c:pt idx="52">
                  <c:v>100.0</c:v>
                </c:pt>
                <c:pt idx="53">
                  <c:v>0.0</c:v>
                </c:pt>
                <c:pt idx="54">
                  <c:v>11.21794871794872</c:v>
                </c:pt>
                <c:pt idx="55">
                  <c:v>25.64102564102565</c:v>
                </c:pt>
                <c:pt idx="56">
                  <c:v>62.17948717948718</c:v>
                </c:pt>
                <c:pt idx="57">
                  <c:v>83.65384615384615</c:v>
                </c:pt>
                <c:pt idx="58">
                  <c:v>101.2820512820513</c:v>
                </c:pt>
                <c:pt idx="59">
                  <c:v>100.0</c:v>
                </c:pt>
              </c:numCache>
            </c:numRef>
          </c:yVal>
          <c:smooth val="0"/>
          <c:extLst xmlns:c16r2="http://schemas.microsoft.com/office/drawing/2015/06/chart">
            <c:ext xmlns:c16="http://schemas.microsoft.com/office/drawing/2014/chart" uri="{C3380CC4-5D6E-409C-BE32-E72D297353CC}">
              <c16:uniqueId val="{00000001-73A4-4694-8BAE-4520B6B7EE90}"/>
            </c:ext>
          </c:extLst>
        </c:ser>
        <c:ser>
          <c:idx val="1"/>
          <c:order val="1"/>
          <c:tx>
            <c:v>Baby beets</c:v>
          </c:tx>
          <c:spPr>
            <a:ln w="28575">
              <a:noFill/>
            </a:ln>
          </c:spPr>
          <c:xVal>
            <c:numRef>
              <c:f>Beetroot!$M$19:$M$24</c:f>
              <c:numCache>
                <c:formatCode>0</c:formatCode>
                <c:ptCount val="6"/>
                <c:pt idx="0">
                  <c:v>0.0</c:v>
                </c:pt>
                <c:pt idx="1">
                  <c:v>60.64461407972858</c:v>
                </c:pt>
                <c:pt idx="2">
                  <c:v>66.75148430873622</c:v>
                </c:pt>
                <c:pt idx="3">
                  <c:v>73.87616624257845</c:v>
                </c:pt>
                <c:pt idx="4">
                  <c:v>88.12553011026294</c:v>
                </c:pt>
                <c:pt idx="5">
                  <c:v>100.0</c:v>
                </c:pt>
              </c:numCache>
            </c:numRef>
          </c:xVal>
          <c:yVal>
            <c:numRef>
              <c:f>Beetroot!$P$19:$P$24</c:f>
              <c:numCache>
                <c:formatCode>0</c:formatCode>
                <c:ptCount val="6"/>
                <c:pt idx="0">
                  <c:v>0.0</c:v>
                </c:pt>
                <c:pt idx="1">
                  <c:v>21.23552123552124</c:v>
                </c:pt>
                <c:pt idx="2">
                  <c:v>30.50193050193051</c:v>
                </c:pt>
                <c:pt idx="3">
                  <c:v>59.84555984555984</c:v>
                </c:pt>
                <c:pt idx="4">
                  <c:v>98.84169884169885</c:v>
                </c:pt>
                <c:pt idx="5">
                  <c:v>100.0</c:v>
                </c:pt>
              </c:numCache>
            </c:numRef>
          </c:yVal>
          <c:smooth val="0"/>
          <c:extLst xmlns:c16r2="http://schemas.microsoft.com/office/drawing/2015/06/chart">
            <c:ext xmlns:c16="http://schemas.microsoft.com/office/drawing/2014/chart" uri="{C3380CC4-5D6E-409C-BE32-E72D297353CC}">
              <c16:uniqueId val="{00000002-73A4-4694-8BAE-4520B6B7EE90}"/>
            </c:ext>
          </c:extLst>
        </c:ser>
        <c:dLbls>
          <c:showLegendKey val="0"/>
          <c:showVal val="0"/>
          <c:showCatName val="0"/>
          <c:showSerName val="0"/>
          <c:showPercent val="0"/>
          <c:showBubbleSize val="0"/>
        </c:dLbls>
        <c:axId val="-2016521792"/>
        <c:axId val="-2010686560"/>
      </c:scatterChart>
      <c:valAx>
        <c:axId val="-2016521792"/>
        <c:scaling>
          <c:orientation val="minMax"/>
          <c:max val="100.0"/>
          <c:min val="0.0"/>
        </c:scaling>
        <c:delete val="0"/>
        <c:axPos val="b"/>
        <c:title>
          <c:tx>
            <c:rich>
              <a:bodyPr/>
              <a:lstStyle/>
              <a:p>
                <a:pPr>
                  <a:defRPr/>
                </a:pPr>
                <a:r>
                  <a:rPr lang="en-US"/>
                  <a:t>Fraction of season (%)</a:t>
                </a:r>
              </a:p>
            </c:rich>
          </c:tx>
          <c:layout/>
          <c:overlay val="0"/>
        </c:title>
        <c:numFmt formatCode="0" sourceLinked="1"/>
        <c:majorTickMark val="out"/>
        <c:minorTickMark val="none"/>
        <c:tickLblPos val="nextTo"/>
        <c:crossAx val="-2010686560"/>
        <c:crosses val="autoZero"/>
        <c:crossBetween val="midCat"/>
        <c:majorUnit val="10.0"/>
      </c:valAx>
      <c:valAx>
        <c:axId val="-2010686560"/>
        <c:scaling>
          <c:orientation val="minMax"/>
          <c:max val="100.0"/>
          <c:min val="0.0"/>
        </c:scaling>
        <c:delete val="0"/>
        <c:axPos val="l"/>
        <c:majorGridlines/>
        <c:title>
          <c:tx>
            <c:rich>
              <a:bodyPr rot="-5400000" vert="horz"/>
              <a:lstStyle/>
              <a:p>
                <a:pPr>
                  <a:defRPr/>
                </a:pPr>
                <a:r>
                  <a:rPr lang="en-US"/>
                  <a:t>Fraction of total N uptake (%)</a:t>
                </a:r>
              </a:p>
            </c:rich>
          </c:tx>
          <c:layout/>
          <c:overlay val="0"/>
        </c:title>
        <c:numFmt formatCode="General" sourceLinked="1"/>
        <c:majorTickMark val="out"/>
        <c:minorTickMark val="none"/>
        <c:tickLblPos val="nextTo"/>
        <c:crossAx val="-2016521792"/>
        <c:crosses val="autoZero"/>
        <c:crossBetween val="midCat"/>
        <c:majorUnit val="20.0"/>
      </c:valAx>
    </c:plotArea>
    <c:plotVisOnly val="1"/>
    <c:dispBlanksAs val="gap"/>
    <c:showDLblsOverMax val="0"/>
  </c:chart>
  <c:spPr>
    <a:ln>
      <a:noFill/>
    </a:ln>
  </c:spPr>
  <c:printSettings>
    <c:headerFooter/>
    <c:pageMargins b="0.750000000000001" l="0.700000000000001" r="0.700000000000001" t="0.750000000000001" header="0.3" footer="0.3"/>
    <c:pageSetup/>
  </c:printSettings>
  <c:userShapes r:id="rId2"/>
</c:chartSpace>
</file>

<file path=xl/charts/chart2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dLbls>
          <c:showLegendKey val="0"/>
          <c:showVal val="0"/>
          <c:showCatName val="0"/>
          <c:showSerName val="0"/>
          <c:showPercent val="0"/>
          <c:showBubbleSize val="0"/>
        </c:dLbls>
        <c:axId val="-2017435184"/>
        <c:axId val="-2015035280"/>
      </c:scatterChart>
      <c:valAx>
        <c:axId val="-2017435184"/>
        <c:scaling>
          <c:orientation val="minMax"/>
          <c:max val="100.0"/>
        </c:scaling>
        <c:delete val="0"/>
        <c:axPos val="b"/>
        <c:numFmt formatCode="General" sourceLinked="1"/>
        <c:majorTickMark val="out"/>
        <c:minorTickMark val="none"/>
        <c:tickLblPos val="nextTo"/>
        <c:crossAx val="-2015035280"/>
        <c:crosses val="autoZero"/>
        <c:crossBetween val="midCat"/>
      </c:valAx>
      <c:valAx>
        <c:axId val="-2015035280"/>
        <c:scaling>
          <c:orientation val="minMax"/>
          <c:max val="100.0"/>
        </c:scaling>
        <c:delete val="0"/>
        <c:axPos val="l"/>
        <c:majorGridlines/>
        <c:title>
          <c:tx>
            <c:rich>
              <a:bodyPr rot="-5400000" vert="horz"/>
              <a:lstStyle/>
              <a:p>
                <a:pPr>
                  <a:defRPr/>
                </a:pPr>
                <a:r>
                  <a:rPr lang="en-US"/>
                  <a:t>Fraction of total N uptake (%)</a:t>
                </a:r>
              </a:p>
            </c:rich>
          </c:tx>
          <c:layout/>
          <c:overlay val="0"/>
        </c:title>
        <c:numFmt formatCode="General" sourceLinked="1"/>
        <c:majorTickMark val="out"/>
        <c:minorTickMark val="none"/>
        <c:tickLblPos val="nextTo"/>
        <c:crossAx val="-2017435184"/>
        <c:crosses val="autoZero"/>
        <c:crossBetween val="midCat"/>
      </c:valAx>
    </c:plotArea>
    <c:plotVisOnly val="1"/>
    <c:dispBlanksAs val="gap"/>
    <c:showDLblsOverMax val="0"/>
  </c:chart>
  <c:spPr>
    <a:ln>
      <a:noFill/>
    </a:ln>
  </c:spPr>
  <c:txPr>
    <a:bodyPr/>
    <a:lstStyle/>
    <a:p>
      <a:pPr>
        <a:defRPr>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userShapes r:id="rId1"/>
</c:chartSpace>
</file>

<file path=xl/charts/chart2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28575">
              <a:noFill/>
            </a:ln>
          </c:spPr>
          <c:marker>
            <c:spPr>
              <a:solidFill>
                <a:srgbClr val="FF0000"/>
              </a:solidFill>
              <a:ln>
                <a:noFill/>
              </a:ln>
            </c:spPr>
          </c:marker>
          <c:trendline>
            <c:trendlineType val="poly"/>
            <c:order val="3"/>
            <c:dispRSqr val="0"/>
            <c:dispEq val="0"/>
          </c:trendline>
          <c:xVal>
            <c:numRef>
              <c:f>Pumpkin!$M$5:$M$23</c:f>
              <c:numCache>
                <c:formatCode>0</c:formatCode>
                <c:ptCount val="19"/>
                <c:pt idx="0">
                  <c:v>0.0</c:v>
                </c:pt>
                <c:pt idx="1">
                  <c:v>26.21359223300971</c:v>
                </c:pt>
                <c:pt idx="2">
                  <c:v>45.63106796116505</c:v>
                </c:pt>
                <c:pt idx="3">
                  <c:v>63.10679611650486</c:v>
                </c:pt>
                <c:pt idx="4">
                  <c:v>79.6116504854369</c:v>
                </c:pt>
                <c:pt idx="5">
                  <c:v>100.0</c:v>
                </c:pt>
                <c:pt idx="6">
                  <c:v>0.0</c:v>
                </c:pt>
                <c:pt idx="7">
                  <c:v>23.80952380952381</c:v>
                </c:pt>
                <c:pt idx="8">
                  <c:v>40.95238095238095</c:v>
                </c:pt>
                <c:pt idx="9">
                  <c:v>57.14285714285714</c:v>
                </c:pt>
                <c:pt idx="10">
                  <c:v>73.33333333333333</c:v>
                </c:pt>
                <c:pt idx="11">
                  <c:v>100.0</c:v>
                </c:pt>
                <c:pt idx="12">
                  <c:v>0.0</c:v>
                </c:pt>
                <c:pt idx="13">
                  <c:v>28.57142857142857</c:v>
                </c:pt>
                <c:pt idx="14">
                  <c:v>42.85714285714285</c:v>
                </c:pt>
                <c:pt idx="15">
                  <c:v>57.14285714285714</c:v>
                </c:pt>
                <c:pt idx="16">
                  <c:v>71.42857142857143</c:v>
                </c:pt>
                <c:pt idx="17">
                  <c:v>85.7142857142857</c:v>
                </c:pt>
                <c:pt idx="18">
                  <c:v>100.0</c:v>
                </c:pt>
              </c:numCache>
            </c:numRef>
          </c:xVal>
          <c:yVal>
            <c:numRef>
              <c:f>Pumpkin!$P$5:$P$23</c:f>
              <c:numCache>
                <c:formatCode>0</c:formatCode>
                <c:ptCount val="19"/>
                <c:pt idx="0">
                  <c:v>0.0</c:v>
                </c:pt>
                <c:pt idx="1">
                  <c:v>3.465346534653466</c:v>
                </c:pt>
                <c:pt idx="2">
                  <c:v>12.29372937293729</c:v>
                </c:pt>
                <c:pt idx="3">
                  <c:v>39.76897689768977</c:v>
                </c:pt>
                <c:pt idx="4">
                  <c:v>68.89438943894388</c:v>
                </c:pt>
                <c:pt idx="5">
                  <c:v>100.0</c:v>
                </c:pt>
                <c:pt idx="6">
                  <c:v>0.0</c:v>
                </c:pt>
                <c:pt idx="7">
                  <c:v>2.370470707754825</c:v>
                </c:pt>
                <c:pt idx="8">
                  <c:v>8.940060954961057</c:v>
                </c:pt>
                <c:pt idx="9">
                  <c:v>44.59871317304436</c:v>
                </c:pt>
                <c:pt idx="10">
                  <c:v>76.76938706400271</c:v>
                </c:pt>
                <c:pt idx="11">
                  <c:v>100.0</c:v>
                </c:pt>
                <c:pt idx="12">
                  <c:v>0.0</c:v>
                </c:pt>
                <c:pt idx="13">
                  <c:v>0.0</c:v>
                </c:pt>
                <c:pt idx="14">
                  <c:v>6.224066390041494</c:v>
                </c:pt>
                <c:pt idx="15">
                  <c:v>25.72614107883817</c:v>
                </c:pt>
                <c:pt idx="16">
                  <c:v>66.39004149377593</c:v>
                </c:pt>
                <c:pt idx="17">
                  <c:v>100.0</c:v>
                </c:pt>
                <c:pt idx="18">
                  <c:v>89.62655601659752</c:v>
                </c:pt>
              </c:numCache>
            </c:numRef>
          </c:yVal>
          <c:smooth val="0"/>
          <c:extLst xmlns:c16r2="http://schemas.microsoft.com/office/drawing/2015/06/chart">
            <c:ext xmlns:c16="http://schemas.microsoft.com/office/drawing/2014/chart" uri="{C3380CC4-5D6E-409C-BE32-E72D297353CC}">
              <c16:uniqueId val="{00000001-F13D-4570-8C4E-82F4E639B31B}"/>
            </c:ext>
          </c:extLst>
        </c:ser>
        <c:ser>
          <c:idx val="1"/>
          <c:order val="1"/>
          <c:spPr>
            <a:ln w="28575">
              <a:noFill/>
            </a:ln>
          </c:spPr>
          <c:xVal>
            <c:numRef>
              <c:f>Pumpkin!$M$17:$M$23</c:f>
              <c:numCache>
                <c:formatCode>0</c:formatCode>
                <c:ptCount val="7"/>
                <c:pt idx="0">
                  <c:v>0.0</c:v>
                </c:pt>
                <c:pt idx="1">
                  <c:v>28.57142857142857</c:v>
                </c:pt>
                <c:pt idx="2">
                  <c:v>42.85714285714285</c:v>
                </c:pt>
                <c:pt idx="3">
                  <c:v>57.14285714285714</c:v>
                </c:pt>
                <c:pt idx="4">
                  <c:v>71.42857142857143</c:v>
                </c:pt>
                <c:pt idx="5">
                  <c:v>85.7142857142857</c:v>
                </c:pt>
                <c:pt idx="6">
                  <c:v>100.0</c:v>
                </c:pt>
              </c:numCache>
            </c:numRef>
          </c:xVal>
          <c:yVal>
            <c:numRef>
              <c:f>Pumpkin!$P$17:$P$23</c:f>
              <c:numCache>
                <c:formatCode>0</c:formatCode>
                <c:ptCount val="7"/>
                <c:pt idx="0">
                  <c:v>0.0</c:v>
                </c:pt>
                <c:pt idx="1">
                  <c:v>0.0</c:v>
                </c:pt>
                <c:pt idx="2">
                  <c:v>6.224066390041494</c:v>
                </c:pt>
                <c:pt idx="3">
                  <c:v>25.72614107883817</c:v>
                </c:pt>
                <c:pt idx="4">
                  <c:v>66.39004149377593</c:v>
                </c:pt>
                <c:pt idx="5">
                  <c:v>100.0</c:v>
                </c:pt>
                <c:pt idx="6">
                  <c:v>89.62655601659752</c:v>
                </c:pt>
              </c:numCache>
            </c:numRef>
          </c:yVal>
          <c:smooth val="0"/>
          <c:extLst xmlns:c16r2="http://schemas.microsoft.com/office/drawing/2015/06/chart">
            <c:ext xmlns:c16="http://schemas.microsoft.com/office/drawing/2014/chart" uri="{C3380CC4-5D6E-409C-BE32-E72D297353CC}">
              <c16:uniqueId val="{00000001-A1CE-4EC6-83C2-405B917F2E1D}"/>
            </c:ext>
          </c:extLst>
        </c:ser>
        <c:dLbls>
          <c:showLegendKey val="0"/>
          <c:showVal val="0"/>
          <c:showCatName val="0"/>
          <c:showSerName val="0"/>
          <c:showPercent val="0"/>
          <c:showBubbleSize val="0"/>
        </c:dLbls>
        <c:axId val="-2016717200"/>
        <c:axId val="-2014918912"/>
      </c:scatterChart>
      <c:valAx>
        <c:axId val="-2016717200"/>
        <c:scaling>
          <c:orientation val="minMax"/>
          <c:max val="100.0"/>
        </c:scaling>
        <c:delete val="0"/>
        <c:axPos val="b"/>
        <c:title>
          <c:tx>
            <c:rich>
              <a:bodyPr/>
              <a:lstStyle/>
              <a:p>
                <a:pPr>
                  <a:defRPr/>
                </a:pPr>
                <a:r>
                  <a:rPr lang="en-US"/>
                  <a:t>Proportion of season (%)</a:t>
                </a:r>
              </a:p>
            </c:rich>
          </c:tx>
          <c:layout/>
          <c:overlay val="0"/>
        </c:title>
        <c:numFmt formatCode="0" sourceLinked="1"/>
        <c:majorTickMark val="out"/>
        <c:minorTickMark val="none"/>
        <c:tickLblPos val="nextTo"/>
        <c:crossAx val="-2014918912"/>
        <c:crosses val="autoZero"/>
        <c:crossBetween val="midCat"/>
        <c:majorUnit val="10.0"/>
      </c:valAx>
      <c:valAx>
        <c:axId val="-2014918912"/>
        <c:scaling>
          <c:orientation val="minMax"/>
          <c:max val="100.0"/>
          <c:min val="0.0"/>
        </c:scaling>
        <c:delete val="0"/>
        <c:axPos val="l"/>
        <c:majorGridlines/>
        <c:title>
          <c:tx>
            <c:rich>
              <a:bodyPr rot="-5400000" vert="horz"/>
              <a:lstStyle/>
              <a:p>
                <a:pPr>
                  <a:defRPr/>
                </a:pPr>
                <a:r>
                  <a:rPr lang="en-US"/>
                  <a:t>Proportion of total uptake (%)</a:t>
                </a:r>
              </a:p>
            </c:rich>
          </c:tx>
          <c:layout/>
          <c:overlay val="0"/>
        </c:title>
        <c:numFmt formatCode="0" sourceLinked="1"/>
        <c:majorTickMark val="out"/>
        <c:minorTickMark val="none"/>
        <c:tickLblPos val="nextTo"/>
        <c:crossAx val="-2016717200"/>
        <c:crosses val="autoZero"/>
        <c:crossBetween val="midCat"/>
        <c:majorUnit val="20.0"/>
      </c:valAx>
    </c:plotArea>
    <c:plotVisOnly val="1"/>
    <c:dispBlanksAs val="gap"/>
    <c:showDLblsOverMax val="0"/>
  </c:chart>
  <c:txPr>
    <a:bodyPr/>
    <a:lstStyle/>
    <a:p>
      <a:pPr>
        <a:defRPr b="1">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userShapes r:id="rId1"/>
</c:chartSpace>
</file>

<file path=xl/charts/chart2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dLbls>
          <c:showLegendKey val="0"/>
          <c:showVal val="0"/>
          <c:showCatName val="0"/>
          <c:showSerName val="0"/>
          <c:showPercent val="0"/>
          <c:showBubbleSize val="0"/>
        </c:dLbls>
        <c:axId val="-2017361184"/>
        <c:axId val="-2016567680"/>
      </c:scatterChart>
      <c:valAx>
        <c:axId val="-2017361184"/>
        <c:scaling>
          <c:orientation val="minMax"/>
          <c:max val="100.0"/>
        </c:scaling>
        <c:delete val="0"/>
        <c:axPos val="b"/>
        <c:title>
          <c:tx>
            <c:rich>
              <a:bodyPr/>
              <a:lstStyle/>
              <a:p>
                <a:pPr>
                  <a:defRPr/>
                </a:pPr>
                <a:r>
                  <a:rPr lang="en-US"/>
                  <a:t>Proportion of season (%)</a:t>
                </a:r>
              </a:p>
            </c:rich>
          </c:tx>
          <c:layout/>
          <c:overlay val="0"/>
        </c:title>
        <c:numFmt formatCode="General" sourceLinked="1"/>
        <c:majorTickMark val="out"/>
        <c:minorTickMark val="none"/>
        <c:tickLblPos val="nextTo"/>
        <c:crossAx val="-2016567680"/>
        <c:crosses val="autoZero"/>
        <c:crossBetween val="midCat"/>
        <c:majorUnit val="10.0"/>
      </c:valAx>
      <c:valAx>
        <c:axId val="-2016567680"/>
        <c:scaling>
          <c:orientation val="minMax"/>
          <c:max val="100.0"/>
          <c:min val="0.0"/>
        </c:scaling>
        <c:delete val="0"/>
        <c:axPos val="l"/>
        <c:majorGridlines/>
        <c:title>
          <c:tx>
            <c:rich>
              <a:bodyPr rot="-5400000" vert="horz"/>
              <a:lstStyle/>
              <a:p>
                <a:pPr>
                  <a:defRPr/>
                </a:pPr>
                <a:r>
                  <a:rPr lang="en-US"/>
                  <a:t>Proportion of total uptake (%)</a:t>
                </a:r>
              </a:p>
            </c:rich>
          </c:tx>
          <c:layout/>
          <c:overlay val="0"/>
        </c:title>
        <c:numFmt formatCode="General" sourceLinked="1"/>
        <c:majorTickMark val="out"/>
        <c:minorTickMark val="none"/>
        <c:tickLblPos val="nextTo"/>
        <c:crossAx val="-2017361184"/>
        <c:crosses val="autoZero"/>
        <c:crossBetween val="midCat"/>
        <c:majorUnit val="20.0"/>
      </c:valAx>
    </c:plotArea>
    <c:plotVisOnly val="1"/>
    <c:dispBlanksAs val="gap"/>
    <c:showDLblsOverMax val="0"/>
  </c:chart>
  <c:spPr>
    <a:ln>
      <a:noFill/>
    </a:ln>
  </c:spPr>
  <c:txPr>
    <a:bodyPr/>
    <a:lstStyle/>
    <a:p>
      <a:pPr>
        <a:defRPr b="1">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userShapes r:id="rId1"/>
</c:chartSpace>
</file>

<file path=xl/charts/chart2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10864417101866"/>
          <c:y val="0.0686196923748573"/>
          <c:w val="0.787299238754238"/>
          <c:h val="0.772430956940701"/>
        </c:manualLayout>
      </c:layout>
      <c:scatterChart>
        <c:scatterStyle val="lineMarker"/>
        <c:varyColors val="0"/>
        <c:ser>
          <c:idx val="0"/>
          <c:order val="0"/>
          <c:spPr>
            <a:ln w="28575"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0"/>
            <c:dispEq val="0"/>
          </c:trendline>
          <c:xVal>
            <c:numRef>
              <c:f>'Zucchini&amp;Summer squash'!$M$5:$M$44</c:f>
              <c:numCache>
                <c:formatCode>0</c:formatCode>
                <c:ptCount val="40"/>
                <c:pt idx="0">
                  <c:v>0.0</c:v>
                </c:pt>
                <c:pt idx="1">
                  <c:v>10.0</c:v>
                </c:pt>
                <c:pt idx="2">
                  <c:v>20.0</c:v>
                </c:pt>
                <c:pt idx="3">
                  <c:v>30.0</c:v>
                </c:pt>
                <c:pt idx="4">
                  <c:v>40.0</c:v>
                </c:pt>
                <c:pt idx="5">
                  <c:v>50.0</c:v>
                </c:pt>
                <c:pt idx="6">
                  <c:v>60.0</c:v>
                </c:pt>
                <c:pt idx="7">
                  <c:v>70.0</c:v>
                </c:pt>
                <c:pt idx="8">
                  <c:v>80.0</c:v>
                </c:pt>
                <c:pt idx="9">
                  <c:v>90.0</c:v>
                </c:pt>
                <c:pt idx="10">
                  <c:v>100.0</c:v>
                </c:pt>
                <c:pt idx="11">
                  <c:v>0.0</c:v>
                </c:pt>
                <c:pt idx="12">
                  <c:v>10.0</c:v>
                </c:pt>
                <c:pt idx="13">
                  <c:v>20.0</c:v>
                </c:pt>
                <c:pt idx="14">
                  <c:v>30.0</c:v>
                </c:pt>
                <c:pt idx="15">
                  <c:v>40.0</c:v>
                </c:pt>
                <c:pt idx="16">
                  <c:v>50.0</c:v>
                </c:pt>
                <c:pt idx="17">
                  <c:v>60.0</c:v>
                </c:pt>
                <c:pt idx="18">
                  <c:v>70.0</c:v>
                </c:pt>
                <c:pt idx="19">
                  <c:v>80.0</c:v>
                </c:pt>
                <c:pt idx="20">
                  <c:v>90.0</c:v>
                </c:pt>
                <c:pt idx="21">
                  <c:v>100.0</c:v>
                </c:pt>
                <c:pt idx="22">
                  <c:v>0.0</c:v>
                </c:pt>
                <c:pt idx="23">
                  <c:v>10.0</c:v>
                </c:pt>
                <c:pt idx="24">
                  <c:v>20.0</c:v>
                </c:pt>
                <c:pt idx="25">
                  <c:v>30.0</c:v>
                </c:pt>
                <c:pt idx="26">
                  <c:v>40.0</c:v>
                </c:pt>
                <c:pt idx="27">
                  <c:v>50.0</c:v>
                </c:pt>
                <c:pt idx="28">
                  <c:v>60.0</c:v>
                </c:pt>
                <c:pt idx="29">
                  <c:v>70.0</c:v>
                </c:pt>
                <c:pt idx="30">
                  <c:v>80.0</c:v>
                </c:pt>
                <c:pt idx="31">
                  <c:v>90.0</c:v>
                </c:pt>
                <c:pt idx="32">
                  <c:v>100.0</c:v>
                </c:pt>
                <c:pt idx="33">
                  <c:v>0.0</c:v>
                </c:pt>
                <c:pt idx="34">
                  <c:v>16.66666666666666</c:v>
                </c:pt>
                <c:pt idx="35">
                  <c:v>33.33333333333333</c:v>
                </c:pt>
                <c:pt idx="36">
                  <c:v>50.0</c:v>
                </c:pt>
                <c:pt idx="37">
                  <c:v>66.66666666666665</c:v>
                </c:pt>
                <c:pt idx="38">
                  <c:v>83.33333333333334</c:v>
                </c:pt>
                <c:pt idx="39">
                  <c:v>100.0</c:v>
                </c:pt>
              </c:numCache>
            </c:numRef>
          </c:xVal>
          <c:yVal>
            <c:numRef>
              <c:f>'Zucchini&amp;Summer squash'!$P$5:$P$44</c:f>
              <c:numCache>
                <c:formatCode>0</c:formatCode>
                <c:ptCount val="40"/>
                <c:pt idx="0">
                  <c:v>0.0</c:v>
                </c:pt>
                <c:pt idx="1">
                  <c:v>0.0</c:v>
                </c:pt>
                <c:pt idx="2">
                  <c:v>0.0</c:v>
                </c:pt>
                <c:pt idx="3">
                  <c:v>2.659574468085107</c:v>
                </c:pt>
                <c:pt idx="4">
                  <c:v>11.43617021276596</c:v>
                </c:pt>
                <c:pt idx="5">
                  <c:v>27.65957446808511</c:v>
                </c:pt>
                <c:pt idx="6">
                  <c:v>47.3404255319149</c:v>
                </c:pt>
                <c:pt idx="7">
                  <c:v>66.48936170212767</c:v>
                </c:pt>
                <c:pt idx="8">
                  <c:v>81.38297872340426</c:v>
                </c:pt>
                <c:pt idx="9">
                  <c:v>92.5531914893617</c:v>
                </c:pt>
                <c:pt idx="10">
                  <c:v>100.0</c:v>
                </c:pt>
                <c:pt idx="11">
                  <c:v>0.0</c:v>
                </c:pt>
                <c:pt idx="12">
                  <c:v>0.0</c:v>
                </c:pt>
                <c:pt idx="13">
                  <c:v>0.0</c:v>
                </c:pt>
                <c:pt idx="14">
                  <c:v>2.736842105263158</c:v>
                </c:pt>
                <c:pt idx="15">
                  <c:v>9.052631578947368</c:v>
                </c:pt>
                <c:pt idx="16">
                  <c:v>22.94736842105264</c:v>
                </c:pt>
                <c:pt idx="17">
                  <c:v>41.05263157894737</c:v>
                </c:pt>
                <c:pt idx="18">
                  <c:v>60.0</c:v>
                </c:pt>
                <c:pt idx="19">
                  <c:v>77.26315789473685</c:v>
                </c:pt>
                <c:pt idx="20">
                  <c:v>90.94736842105264</c:v>
                </c:pt>
                <c:pt idx="21">
                  <c:v>100.0</c:v>
                </c:pt>
                <c:pt idx="22">
                  <c:v>0.0</c:v>
                </c:pt>
                <c:pt idx="23">
                  <c:v>0.0</c:v>
                </c:pt>
                <c:pt idx="24">
                  <c:v>0.0</c:v>
                </c:pt>
                <c:pt idx="25">
                  <c:v>1.607142857142857</c:v>
                </c:pt>
                <c:pt idx="26">
                  <c:v>7.678571428571428</c:v>
                </c:pt>
                <c:pt idx="27">
                  <c:v>20.89285714285714</c:v>
                </c:pt>
                <c:pt idx="28">
                  <c:v>38.57142857142858</c:v>
                </c:pt>
                <c:pt idx="29">
                  <c:v>56.42857142857143</c:v>
                </c:pt>
                <c:pt idx="30">
                  <c:v>71.42857142857143</c:v>
                </c:pt>
                <c:pt idx="31">
                  <c:v>100.0</c:v>
                </c:pt>
                <c:pt idx="32">
                  <c:v>90.89285714285712</c:v>
                </c:pt>
                <c:pt idx="33">
                  <c:v>0.0</c:v>
                </c:pt>
                <c:pt idx="34">
                  <c:v>0.0</c:v>
                </c:pt>
                <c:pt idx="35">
                  <c:v>3.762376237623762</c:v>
                </c:pt>
                <c:pt idx="36">
                  <c:v>19.40594059405941</c:v>
                </c:pt>
                <c:pt idx="37">
                  <c:v>30.69306930693069</c:v>
                </c:pt>
                <c:pt idx="38">
                  <c:v>54.85148514851485</c:v>
                </c:pt>
                <c:pt idx="39">
                  <c:v>100.0</c:v>
                </c:pt>
              </c:numCache>
            </c:numRef>
          </c:yVal>
          <c:smooth val="0"/>
          <c:extLst xmlns:c16r2="http://schemas.microsoft.com/office/drawing/2015/06/chart">
            <c:ext xmlns:c16="http://schemas.microsoft.com/office/drawing/2014/chart" uri="{C3380CC4-5D6E-409C-BE32-E72D297353CC}">
              <c16:uniqueId val="{00000000-CB47-4651-B906-F7F2AF0DEADC}"/>
            </c:ext>
          </c:extLst>
        </c:ser>
        <c:dLbls>
          <c:showLegendKey val="0"/>
          <c:showVal val="0"/>
          <c:showCatName val="0"/>
          <c:showSerName val="0"/>
          <c:showPercent val="0"/>
          <c:showBubbleSize val="0"/>
        </c:dLbls>
        <c:axId val="-2005465200"/>
        <c:axId val="-2005188896"/>
      </c:scatterChart>
      <c:valAx>
        <c:axId val="-2005465200"/>
        <c:scaling>
          <c:orientation val="minMax"/>
          <c:max val="100.0"/>
          <c:min val="0.0"/>
        </c:scaling>
        <c:delete val="0"/>
        <c:axPos val="b"/>
        <c:majorGridlines>
          <c:spPr>
            <a:ln w="9525" cap="flat" cmpd="sng" algn="ctr">
              <a:solidFill>
                <a:schemeClr val="tx1">
                  <a:lumMod val="15000"/>
                  <a:lumOff val="85000"/>
                </a:schemeClr>
              </a:solidFill>
              <a:round/>
            </a:ln>
            <a:effectLst/>
          </c:spPr>
        </c:majorGridlines>
        <c:title>
          <c:tx>
            <c:rich>
              <a:bodyPr/>
              <a:lstStyle/>
              <a:p>
                <a:pPr>
                  <a:defRPr/>
                </a:pPr>
                <a:r>
                  <a:rPr lang="en-US"/>
                  <a:t>Proportion of season (%)</a:t>
                </a:r>
              </a:p>
            </c:rich>
          </c:tx>
          <c:layout/>
          <c:overlay val="0"/>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5188896"/>
        <c:crosses val="autoZero"/>
        <c:crossBetween val="midCat"/>
        <c:majorUnit val="10.0"/>
      </c:valAx>
      <c:valAx>
        <c:axId val="-2005188896"/>
        <c:scaling>
          <c:orientation val="minMax"/>
          <c:max val="100.0"/>
          <c:min val="0.0"/>
        </c:scaling>
        <c:delete val="0"/>
        <c:axPos val="l"/>
        <c:majorGridlines>
          <c:spPr>
            <a:ln w="9525" cap="flat" cmpd="sng" algn="ctr">
              <a:solidFill>
                <a:schemeClr val="tx1">
                  <a:lumMod val="15000"/>
                  <a:lumOff val="85000"/>
                </a:schemeClr>
              </a:solidFill>
              <a:round/>
            </a:ln>
            <a:effectLst/>
          </c:spPr>
        </c:majorGridlines>
        <c:title>
          <c:tx>
            <c:rich>
              <a:bodyPr rot="-5400000" vert="horz"/>
              <a:lstStyle/>
              <a:p>
                <a:pPr>
                  <a:defRPr/>
                </a:pPr>
                <a:r>
                  <a:rPr lang="en-US"/>
                  <a:t>Proportion of total N uptake (%)</a:t>
                </a:r>
              </a:p>
            </c:rich>
          </c:tx>
          <c:layout/>
          <c:overlay val="0"/>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5465200"/>
        <c:crosses val="autoZero"/>
        <c:crossBetween val="midCat"/>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dLbls>
          <c:showLegendKey val="0"/>
          <c:showVal val="0"/>
          <c:showCatName val="0"/>
          <c:showSerName val="0"/>
          <c:showPercent val="0"/>
          <c:showBubbleSize val="0"/>
        </c:dLbls>
        <c:axId val="-1994953744"/>
        <c:axId val="-1994849856"/>
      </c:scatterChart>
      <c:valAx>
        <c:axId val="-1994953744"/>
        <c:scaling>
          <c:orientation val="minMax"/>
          <c:max val="100.0"/>
        </c:scaling>
        <c:delete val="0"/>
        <c:axPos val="b"/>
        <c:title>
          <c:tx>
            <c:rich>
              <a:bodyPr/>
              <a:lstStyle/>
              <a:p>
                <a:pPr>
                  <a:defRPr/>
                </a:pPr>
                <a:r>
                  <a:rPr lang="en-US"/>
                  <a:t>Proportion of season (%)</a:t>
                </a:r>
              </a:p>
            </c:rich>
          </c:tx>
          <c:layout/>
          <c:overlay val="0"/>
        </c:title>
        <c:numFmt formatCode="General" sourceLinked="1"/>
        <c:majorTickMark val="out"/>
        <c:minorTickMark val="none"/>
        <c:tickLblPos val="nextTo"/>
        <c:crossAx val="-1994849856"/>
        <c:crosses val="autoZero"/>
        <c:crossBetween val="midCat"/>
      </c:valAx>
      <c:valAx>
        <c:axId val="-1994849856"/>
        <c:scaling>
          <c:orientation val="minMax"/>
          <c:max val="100.0"/>
        </c:scaling>
        <c:delete val="0"/>
        <c:axPos val="l"/>
        <c:majorGridlines/>
        <c:title>
          <c:tx>
            <c:rich>
              <a:bodyPr rot="-5400000" vert="horz"/>
              <a:lstStyle/>
              <a:p>
                <a:pPr>
                  <a:defRPr/>
                </a:pPr>
                <a:r>
                  <a:rPr lang="en-US"/>
                  <a:t>Proportion of total N uptake (%)</a:t>
                </a:r>
              </a:p>
            </c:rich>
          </c:tx>
          <c:layout/>
          <c:overlay val="0"/>
        </c:title>
        <c:numFmt formatCode="General" sourceLinked="1"/>
        <c:majorTickMark val="out"/>
        <c:minorTickMark val="none"/>
        <c:tickLblPos val="nextTo"/>
        <c:crossAx val="-1994953744"/>
        <c:crosses val="autoZero"/>
        <c:crossBetween val="midCat"/>
        <c:majorUnit val="20.0"/>
      </c:valAx>
    </c:plotArea>
    <c:plotVisOnly val="1"/>
    <c:dispBlanksAs val="gap"/>
    <c:showDLblsOverMax val="0"/>
  </c:chart>
  <c:spPr>
    <a:ln>
      <a:noFill/>
    </a:ln>
  </c:spPr>
  <c:printSettings>
    <c:headerFooter/>
    <c:pageMargins b="0.75" l="0.7" r="0.7" t="0.75" header="0.3" footer="0.3"/>
    <c:pageSetup/>
  </c:printSettings>
  <c:userShapes r:id="rId1"/>
</c:chartSpace>
</file>

<file path=xl/charts/chart2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scatterChart>
        <c:scatterStyle val="lineMarker"/>
        <c:varyColors val="0"/>
        <c:ser>
          <c:idx val="1"/>
          <c:order val="0"/>
          <c:spPr>
            <a:ln w="28575">
              <a:noFill/>
            </a:ln>
          </c:spPr>
          <c:marker>
            <c:symbol val="square"/>
            <c:size val="5"/>
            <c:spPr>
              <a:solidFill>
                <a:srgbClr val="FF0000"/>
              </a:solidFill>
              <a:ln>
                <a:noFill/>
              </a:ln>
            </c:spPr>
          </c:marker>
          <c:trendline>
            <c:trendlineType val="log"/>
            <c:dispRSqr val="0"/>
            <c:dispEq val="0"/>
          </c:trendline>
          <c:trendline>
            <c:trendlineType val="poly"/>
            <c:order val="4"/>
            <c:dispRSqr val="0"/>
            <c:dispEq val="0"/>
          </c:trendline>
          <c:xVal>
            <c:numRef>
              <c:f>Watermelon!$M$5:$M$28</c:f>
              <c:numCache>
                <c:formatCode>0</c:formatCode>
                <c:ptCount val="24"/>
                <c:pt idx="0">
                  <c:v>0.0</c:v>
                </c:pt>
                <c:pt idx="1">
                  <c:v>23.07692307692308</c:v>
                </c:pt>
                <c:pt idx="2">
                  <c:v>42.30769230769231</c:v>
                </c:pt>
                <c:pt idx="3">
                  <c:v>61.53846153846154</c:v>
                </c:pt>
                <c:pt idx="4">
                  <c:v>80.76923076923077</c:v>
                </c:pt>
                <c:pt idx="5">
                  <c:v>100.0</c:v>
                </c:pt>
                <c:pt idx="6">
                  <c:v>0.0</c:v>
                </c:pt>
                <c:pt idx="7">
                  <c:v>20.0</c:v>
                </c:pt>
                <c:pt idx="8">
                  <c:v>40.0</c:v>
                </c:pt>
                <c:pt idx="9">
                  <c:v>60.0</c:v>
                </c:pt>
                <c:pt idx="10">
                  <c:v>80.0</c:v>
                </c:pt>
                <c:pt idx="11">
                  <c:v>100.0</c:v>
                </c:pt>
                <c:pt idx="12">
                  <c:v>0.0</c:v>
                </c:pt>
                <c:pt idx="13">
                  <c:v>21.42857142857143</c:v>
                </c:pt>
                <c:pt idx="14">
                  <c:v>42.85714285714285</c:v>
                </c:pt>
                <c:pt idx="15">
                  <c:v>64.2857142857143</c:v>
                </c:pt>
                <c:pt idx="16">
                  <c:v>85.7142857142857</c:v>
                </c:pt>
                <c:pt idx="17">
                  <c:v>100.0</c:v>
                </c:pt>
                <c:pt idx="18">
                  <c:v>0.0</c:v>
                </c:pt>
                <c:pt idx="19">
                  <c:v>19.23076923076923</c:v>
                </c:pt>
                <c:pt idx="20">
                  <c:v>38.46153846153847</c:v>
                </c:pt>
                <c:pt idx="21">
                  <c:v>57.69230769230769</c:v>
                </c:pt>
                <c:pt idx="22">
                  <c:v>76.92307692307693</c:v>
                </c:pt>
                <c:pt idx="23">
                  <c:v>100.0</c:v>
                </c:pt>
              </c:numCache>
            </c:numRef>
          </c:xVal>
          <c:yVal>
            <c:numRef>
              <c:f>Watermelon!$P$5:$P$28</c:f>
              <c:numCache>
                <c:formatCode>0</c:formatCode>
                <c:ptCount val="24"/>
                <c:pt idx="0">
                  <c:v>0.0</c:v>
                </c:pt>
                <c:pt idx="1">
                  <c:v>5.353319057815845</c:v>
                </c:pt>
                <c:pt idx="2">
                  <c:v>25.69593147751606</c:v>
                </c:pt>
                <c:pt idx="3">
                  <c:v>35.11777301927194</c:v>
                </c:pt>
                <c:pt idx="4">
                  <c:v>97.85867237687367</c:v>
                </c:pt>
                <c:pt idx="5">
                  <c:v>100.0</c:v>
                </c:pt>
                <c:pt idx="6">
                  <c:v>0.0</c:v>
                </c:pt>
                <c:pt idx="7">
                  <c:v>0.0</c:v>
                </c:pt>
                <c:pt idx="8">
                  <c:v>1.706484641638225</c:v>
                </c:pt>
                <c:pt idx="9">
                  <c:v>12.62798634812287</c:v>
                </c:pt>
                <c:pt idx="10">
                  <c:v>69.28327645051195</c:v>
                </c:pt>
                <c:pt idx="11">
                  <c:v>100.0</c:v>
                </c:pt>
                <c:pt idx="12">
                  <c:v>0.0</c:v>
                </c:pt>
                <c:pt idx="13">
                  <c:v>0.0</c:v>
                </c:pt>
                <c:pt idx="14">
                  <c:v>1.474926253687316</c:v>
                </c:pt>
                <c:pt idx="15">
                  <c:v>20.0589970501475</c:v>
                </c:pt>
                <c:pt idx="16">
                  <c:v>67.25663716814158</c:v>
                </c:pt>
                <c:pt idx="17">
                  <c:v>100.0</c:v>
                </c:pt>
                <c:pt idx="18">
                  <c:v>0.0</c:v>
                </c:pt>
                <c:pt idx="19">
                  <c:v>0.0</c:v>
                </c:pt>
                <c:pt idx="20">
                  <c:v>7.446808510638298</c:v>
                </c:pt>
                <c:pt idx="21">
                  <c:v>53.54609929078013</c:v>
                </c:pt>
                <c:pt idx="22">
                  <c:v>82.9787234042553</c:v>
                </c:pt>
                <c:pt idx="23">
                  <c:v>100.0</c:v>
                </c:pt>
              </c:numCache>
            </c:numRef>
          </c:yVal>
          <c:smooth val="0"/>
          <c:extLst xmlns:c16r2="http://schemas.microsoft.com/office/drawing/2015/06/chart">
            <c:ext xmlns:c16="http://schemas.microsoft.com/office/drawing/2014/chart" uri="{C3380CC4-5D6E-409C-BE32-E72D297353CC}">
              <c16:uniqueId val="{00000002-A6BF-403E-98CB-8C29BA8CA7CC}"/>
            </c:ext>
          </c:extLst>
        </c:ser>
        <c:dLbls>
          <c:showLegendKey val="0"/>
          <c:showVal val="0"/>
          <c:showCatName val="0"/>
          <c:showSerName val="0"/>
          <c:showPercent val="0"/>
          <c:showBubbleSize val="0"/>
        </c:dLbls>
        <c:axId val="-2006041312"/>
        <c:axId val="-2006036272"/>
      </c:scatterChart>
      <c:valAx>
        <c:axId val="-2006041312"/>
        <c:scaling>
          <c:orientation val="minMax"/>
          <c:max val="102.0"/>
          <c:min val="0.0"/>
        </c:scaling>
        <c:delete val="0"/>
        <c:axPos val="b"/>
        <c:title>
          <c:tx>
            <c:rich>
              <a:bodyPr/>
              <a:lstStyle/>
              <a:p>
                <a:pPr>
                  <a:defRPr>
                    <a:latin typeface="Arial" panose="020B0604020202020204" pitchFamily="34" charset="0"/>
                    <a:cs typeface="Arial" panose="020B0604020202020204" pitchFamily="34" charset="0"/>
                  </a:defRPr>
                </a:pPr>
                <a:r>
                  <a:rPr lang="en-US"/>
                  <a:t>Proportion of season (%)</a:t>
                </a:r>
              </a:p>
            </c:rich>
          </c:tx>
          <c:layout/>
          <c:overlay val="0"/>
        </c:title>
        <c:numFmt formatCode="0" sourceLinked="1"/>
        <c:majorTickMark val="out"/>
        <c:minorTickMark val="none"/>
        <c:tickLblPos val="nextTo"/>
        <c:crossAx val="-2006036272"/>
        <c:crosses val="autoZero"/>
        <c:crossBetween val="midCat"/>
        <c:majorUnit val="10.0"/>
      </c:valAx>
      <c:valAx>
        <c:axId val="-2006036272"/>
        <c:scaling>
          <c:orientation val="minMax"/>
          <c:max val="102.0"/>
          <c:min val="0.0"/>
        </c:scaling>
        <c:delete val="0"/>
        <c:axPos val="l"/>
        <c:majorGridlines/>
        <c:title>
          <c:tx>
            <c:rich>
              <a:bodyPr rot="-5400000" vert="horz"/>
              <a:lstStyle/>
              <a:p>
                <a:pPr>
                  <a:defRPr>
                    <a:latin typeface="Arial" panose="020B0604020202020204" pitchFamily="34" charset="0"/>
                    <a:cs typeface="Arial" panose="020B0604020202020204" pitchFamily="34" charset="0"/>
                  </a:defRPr>
                </a:pPr>
                <a:r>
                  <a:rPr lang="en-US"/>
                  <a:t>Proportion</a:t>
                </a:r>
                <a:r>
                  <a:rPr lang="en-US" baseline="0"/>
                  <a:t> of N uptake (%)</a:t>
                </a:r>
                <a:endParaRPr lang="en-US"/>
              </a:p>
            </c:rich>
          </c:tx>
          <c:layout/>
          <c:overlay val="0"/>
        </c:title>
        <c:numFmt formatCode="0" sourceLinked="1"/>
        <c:majorTickMark val="out"/>
        <c:minorTickMark val="none"/>
        <c:tickLblPos val="nextTo"/>
        <c:crossAx val="-2006041312"/>
        <c:crosses val="autoZero"/>
        <c:crossBetween val="midCat"/>
      </c:valAx>
    </c:plotArea>
    <c:plotVisOnly val="1"/>
    <c:dispBlanksAs val="gap"/>
    <c:showDLblsOverMax val="0"/>
  </c:chart>
  <c:spPr>
    <a:ln>
      <a:noFill/>
    </a:ln>
  </c:spPr>
  <c:printSettings>
    <c:headerFooter/>
    <c:pageMargins b="0.75" l="0.7" r="0.7" t="0.75" header="0.3" footer="0.3"/>
    <c:pageSetup/>
  </c:printSettings>
  <c:userShapes r:id="rId2"/>
</c:chartSpace>
</file>

<file path=xl/charts/chart2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scatterChart>
        <c:scatterStyle val="lineMarker"/>
        <c:varyColors val="0"/>
        <c:dLbls>
          <c:showLegendKey val="0"/>
          <c:showVal val="0"/>
          <c:showCatName val="0"/>
          <c:showSerName val="0"/>
          <c:showPercent val="0"/>
          <c:showBubbleSize val="0"/>
        </c:dLbls>
        <c:axId val="-2006018592"/>
        <c:axId val="-2006019520"/>
      </c:scatterChart>
      <c:valAx>
        <c:axId val="-2006018592"/>
        <c:scaling>
          <c:orientation val="minMax"/>
          <c:max val="102.0"/>
          <c:min val="0.0"/>
        </c:scaling>
        <c:delete val="0"/>
        <c:axPos val="b"/>
        <c:title>
          <c:tx>
            <c:rich>
              <a:bodyPr/>
              <a:lstStyle/>
              <a:p>
                <a:pPr>
                  <a:defRPr>
                    <a:latin typeface="Arial" panose="020B0604020202020204" pitchFamily="34" charset="0"/>
                    <a:cs typeface="Arial" panose="020B0604020202020204" pitchFamily="34" charset="0"/>
                  </a:defRPr>
                </a:pPr>
                <a:r>
                  <a:rPr lang="en-US"/>
                  <a:t>Proportion of season (%)</a:t>
                </a:r>
              </a:p>
            </c:rich>
          </c:tx>
          <c:layout/>
          <c:overlay val="0"/>
        </c:title>
        <c:numFmt formatCode="General" sourceLinked="1"/>
        <c:majorTickMark val="out"/>
        <c:minorTickMark val="none"/>
        <c:tickLblPos val="nextTo"/>
        <c:crossAx val="-2006019520"/>
        <c:crosses val="autoZero"/>
        <c:crossBetween val="midCat"/>
        <c:majorUnit val="10.0"/>
      </c:valAx>
      <c:valAx>
        <c:axId val="-2006019520"/>
        <c:scaling>
          <c:orientation val="minMax"/>
          <c:max val="102.0"/>
          <c:min val="0.0"/>
        </c:scaling>
        <c:delete val="0"/>
        <c:axPos val="l"/>
        <c:majorGridlines/>
        <c:title>
          <c:tx>
            <c:rich>
              <a:bodyPr rot="-5400000" vert="horz"/>
              <a:lstStyle/>
              <a:p>
                <a:pPr>
                  <a:defRPr>
                    <a:latin typeface="Arial" panose="020B0604020202020204" pitchFamily="34" charset="0"/>
                    <a:cs typeface="Arial" panose="020B0604020202020204" pitchFamily="34" charset="0"/>
                  </a:defRPr>
                </a:pPr>
                <a:r>
                  <a:rPr lang="en-US"/>
                  <a:t>Proportion</a:t>
                </a:r>
                <a:r>
                  <a:rPr lang="en-US" baseline="0"/>
                  <a:t> of N uptake (%)</a:t>
                </a:r>
                <a:endParaRPr lang="en-US"/>
              </a:p>
            </c:rich>
          </c:tx>
          <c:layout/>
          <c:overlay val="0"/>
        </c:title>
        <c:numFmt formatCode="General" sourceLinked="1"/>
        <c:majorTickMark val="out"/>
        <c:minorTickMark val="none"/>
        <c:tickLblPos val="nextTo"/>
        <c:crossAx val="-2006018592"/>
        <c:crosses val="autoZero"/>
        <c:crossBetween val="midCat"/>
      </c:valAx>
    </c:plotArea>
    <c:plotVisOnly val="1"/>
    <c:dispBlanksAs val="gap"/>
    <c:showDLblsOverMax val="0"/>
  </c:chart>
  <c:spPr>
    <a:ln>
      <a:noFill/>
    </a:ln>
  </c:spPr>
  <c:printSettings>
    <c:headerFooter/>
    <c:pageMargins b="0.75" l="0.7" r="0.7" t="0.75" header="0.3" footer="0.3"/>
    <c:pageSetup/>
  </c:printSettings>
  <c:userShapes r:id="rId2"/>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1"/>
          <c:order val="0"/>
          <c:tx>
            <c:v>Fall</c:v>
          </c:tx>
          <c:spPr>
            <a:ln w="28575">
              <a:noFill/>
            </a:ln>
          </c:spPr>
          <c:marker>
            <c:symbol val="square"/>
            <c:size val="5"/>
            <c:spPr>
              <a:solidFill>
                <a:srgbClr val="FF0000"/>
              </a:solidFill>
              <a:ln>
                <a:noFill/>
              </a:ln>
            </c:spPr>
          </c:marker>
          <c:trendline>
            <c:trendlineType val="log"/>
            <c:dispRSqr val="0"/>
            <c:dispEq val="0"/>
          </c:trendline>
          <c:xVal>
            <c:numRef>
              <c:f>(Cucumber!$M$20:$M$34,Cucumber!$M$50:$M$64,Cucumber!$M$72:$M$78)</c:f>
              <c:numCache>
                <c:formatCode>0</c:formatCode>
                <c:ptCount val="37"/>
                <c:pt idx="0">
                  <c:v>0.0</c:v>
                </c:pt>
                <c:pt idx="1">
                  <c:v>33.33333333333334</c:v>
                </c:pt>
                <c:pt idx="2">
                  <c:v>50.45045045045045</c:v>
                </c:pt>
                <c:pt idx="3">
                  <c:v>66.96696696696696</c:v>
                </c:pt>
                <c:pt idx="4">
                  <c:v>100.0</c:v>
                </c:pt>
                <c:pt idx="5">
                  <c:v>0.0</c:v>
                </c:pt>
                <c:pt idx="6">
                  <c:v>33.33333333333334</c:v>
                </c:pt>
                <c:pt idx="7">
                  <c:v>50.45045045045045</c:v>
                </c:pt>
                <c:pt idx="8">
                  <c:v>66.96696696696696</c:v>
                </c:pt>
                <c:pt idx="9">
                  <c:v>100.0</c:v>
                </c:pt>
                <c:pt idx="10">
                  <c:v>0.0</c:v>
                </c:pt>
                <c:pt idx="11">
                  <c:v>33.33333333333334</c:v>
                </c:pt>
                <c:pt idx="12">
                  <c:v>50.45045045045045</c:v>
                </c:pt>
                <c:pt idx="13">
                  <c:v>66.96696696696696</c:v>
                </c:pt>
                <c:pt idx="14">
                  <c:v>100.0</c:v>
                </c:pt>
                <c:pt idx="15">
                  <c:v>0.0</c:v>
                </c:pt>
                <c:pt idx="16">
                  <c:v>26.88524590163934</c:v>
                </c:pt>
                <c:pt idx="17">
                  <c:v>42.62295081967213</c:v>
                </c:pt>
                <c:pt idx="18">
                  <c:v>61.63934426229508</c:v>
                </c:pt>
                <c:pt idx="19">
                  <c:v>100.0</c:v>
                </c:pt>
                <c:pt idx="20">
                  <c:v>0.0</c:v>
                </c:pt>
                <c:pt idx="21">
                  <c:v>26.88524590163934</c:v>
                </c:pt>
                <c:pt idx="22">
                  <c:v>42.62295081967213</c:v>
                </c:pt>
                <c:pt idx="23">
                  <c:v>61.63934426229508</c:v>
                </c:pt>
                <c:pt idx="24">
                  <c:v>100.0</c:v>
                </c:pt>
                <c:pt idx="25">
                  <c:v>0.0</c:v>
                </c:pt>
                <c:pt idx="26">
                  <c:v>26.88524590163934</c:v>
                </c:pt>
                <c:pt idx="27">
                  <c:v>42.62295081967213</c:v>
                </c:pt>
                <c:pt idx="28">
                  <c:v>61.63934426229508</c:v>
                </c:pt>
                <c:pt idx="29">
                  <c:v>100.0</c:v>
                </c:pt>
                <c:pt idx="30">
                  <c:v>0.0</c:v>
                </c:pt>
                <c:pt idx="31">
                  <c:v>18.99563318777292</c:v>
                </c:pt>
                <c:pt idx="32">
                  <c:v>37.99126637554585</c:v>
                </c:pt>
                <c:pt idx="33">
                  <c:v>55.24017467248908</c:v>
                </c:pt>
                <c:pt idx="34">
                  <c:v>72.0524017467249</c:v>
                </c:pt>
                <c:pt idx="35">
                  <c:v>91.04803493449782</c:v>
                </c:pt>
                <c:pt idx="36">
                  <c:v>100.0</c:v>
                </c:pt>
              </c:numCache>
            </c:numRef>
          </c:xVal>
          <c:yVal>
            <c:numRef>
              <c:f>(Cucumber!$P$20:$P$34,Cucumber!$P$50:$P$64,Cucumber!$P$72:$P$78)</c:f>
              <c:numCache>
                <c:formatCode>0</c:formatCode>
                <c:ptCount val="37"/>
                <c:pt idx="0">
                  <c:v>0.0</c:v>
                </c:pt>
                <c:pt idx="1">
                  <c:v>33.87096774193548</c:v>
                </c:pt>
                <c:pt idx="2">
                  <c:v>64.51612903225807</c:v>
                </c:pt>
                <c:pt idx="3">
                  <c:v>100.0</c:v>
                </c:pt>
                <c:pt idx="4">
                  <c:v>96.7741935483871</c:v>
                </c:pt>
                <c:pt idx="5">
                  <c:v>0.0</c:v>
                </c:pt>
                <c:pt idx="6">
                  <c:v>24.13793103448276</c:v>
                </c:pt>
                <c:pt idx="7">
                  <c:v>81.60919540229884</c:v>
                </c:pt>
                <c:pt idx="8">
                  <c:v>91.95402298850575</c:v>
                </c:pt>
                <c:pt idx="9">
                  <c:v>100.0</c:v>
                </c:pt>
                <c:pt idx="10">
                  <c:v>0.0</c:v>
                </c:pt>
                <c:pt idx="11">
                  <c:v>26.92307692307692</c:v>
                </c:pt>
                <c:pt idx="12">
                  <c:v>75.64102564102563</c:v>
                </c:pt>
                <c:pt idx="13">
                  <c:v>96.15384615384615</c:v>
                </c:pt>
                <c:pt idx="14">
                  <c:v>100.0</c:v>
                </c:pt>
                <c:pt idx="15">
                  <c:v>0.0</c:v>
                </c:pt>
                <c:pt idx="16">
                  <c:v>21.83908045977012</c:v>
                </c:pt>
                <c:pt idx="17">
                  <c:v>51.72413793103448</c:v>
                </c:pt>
                <c:pt idx="18">
                  <c:v>74.7126436781609</c:v>
                </c:pt>
                <c:pt idx="19">
                  <c:v>100.0</c:v>
                </c:pt>
                <c:pt idx="20">
                  <c:v>0.0</c:v>
                </c:pt>
                <c:pt idx="21">
                  <c:v>26.61290322580645</c:v>
                </c:pt>
                <c:pt idx="22">
                  <c:v>54.03225806451614</c:v>
                </c:pt>
                <c:pt idx="23">
                  <c:v>80.6451612903226</c:v>
                </c:pt>
                <c:pt idx="24">
                  <c:v>100.0</c:v>
                </c:pt>
                <c:pt idx="25">
                  <c:v>0.0</c:v>
                </c:pt>
                <c:pt idx="26">
                  <c:v>26.61290322580645</c:v>
                </c:pt>
                <c:pt idx="27">
                  <c:v>54.03225806451613</c:v>
                </c:pt>
                <c:pt idx="28">
                  <c:v>81.4516129032258</c:v>
                </c:pt>
                <c:pt idx="29">
                  <c:v>100.0</c:v>
                </c:pt>
                <c:pt idx="30">
                  <c:v>0.0</c:v>
                </c:pt>
                <c:pt idx="31">
                  <c:v>1.592356687898089</c:v>
                </c:pt>
                <c:pt idx="32">
                  <c:v>25.79617834394904</c:v>
                </c:pt>
                <c:pt idx="33">
                  <c:v>49.04458598726114</c:v>
                </c:pt>
                <c:pt idx="34">
                  <c:v>75.79617834394902</c:v>
                </c:pt>
                <c:pt idx="35">
                  <c:v>86.62420382165605</c:v>
                </c:pt>
                <c:pt idx="36">
                  <c:v>100.0</c:v>
                </c:pt>
              </c:numCache>
            </c:numRef>
          </c:yVal>
          <c:smooth val="0"/>
          <c:extLst xmlns:c16r2="http://schemas.microsoft.com/office/drawing/2015/06/chart">
            <c:ext xmlns:c16="http://schemas.microsoft.com/office/drawing/2014/chart" uri="{C3380CC4-5D6E-409C-BE32-E72D297353CC}">
              <c16:uniqueId val="{00000001-AEB0-4F57-B4B0-56FDFE9125C5}"/>
            </c:ext>
          </c:extLst>
        </c:ser>
        <c:dLbls>
          <c:showLegendKey val="0"/>
          <c:showVal val="0"/>
          <c:showCatName val="0"/>
          <c:showSerName val="0"/>
          <c:showPercent val="0"/>
          <c:showBubbleSize val="0"/>
        </c:dLbls>
        <c:axId val="-2012921168"/>
        <c:axId val="1804942192"/>
      </c:scatterChart>
      <c:valAx>
        <c:axId val="-2012921168"/>
        <c:scaling>
          <c:orientation val="minMax"/>
          <c:max val="102.0"/>
          <c:min val="0.0"/>
        </c:scaling>
        <c:delete val="0"/>
        <c:axPos val="b"/>
        <c:title>
          <c:tx>
            <c:rich>
              <a:bodyPr/>
              <a:lstStyle/>
              <a:p>
                <a:pPr>
                  <a:defRPr>
                    <a:latin typeface="Arial" panose="020B0604020202020204" pitchFamily="34" charset="0"/>
                    <a:cs typeface="Arial" panose="020B0604020202020204" pitchFamily="34" charset="0"/>
                  </a:defRPr>
                </a:pPr>
                <a:r>
                  <a:rPr lang="en-US">
                    <a:latin typeface="Arial" panose="020B0604020202020204" pitchFamily="34" charset="0"/>
                    <a:cs typeface="Arial" panose="020B0604020202020204" pitchFamily="34" charset="0"/>
                  </a:rPr>
                  <a:t>Proportion of season (% of total)</a:t>
                </a:r>
              </a:p>
            </c:rich>
          </c:tx>
          <c:layout/>
          <c:overlay val="0"/>
        </c:title>
        <c:numFmt formatCode="0" sourceLinked="1"/>
        <c:majorTickMark val="out"/>
        <c:minorTickMark val="none"/>
        <c:tickLblPos val="nextTo"/>
        <c:crossAx val="1804942192"/>
        <c:crosses val="autoZero"/>
        <c:crossBetween val="midCat"/>
        <c:majorUnit val="10.0"/>
      </c:valAx>
      <c:valAx>
        <c:axId val="1804942192"/>
        <c:scaling>
          <c:orientation val="minMax"/>
          <c:max val="102.0"/>
          <c:min val="0.0"/>
        </c:scaling>
        <c:delete val="0"/>
        <c:axPos val="l"/>
        <c:majorGridlines/>
        <c:title>
          <c:tx>
            <c:rich>
              <a:bodyPr rot="-5400000" vert="horz"/>
              <a:lstStyle/>
              <a:p>
                <a:pPr>
                  <a:defRPr>
                    <a:latin typeface="Arial" panose="020B0604020202020204" pitchFamily="34" charset="0"/>
                    <a:cs typeface="Arial" panose="020B0604020202020204" pitchFamily="34" charset="0"/>
                  </a:defRPr>
                </a:pPr>
                <a:r>
                  <a:rPr lang="en-US">
                    <a:latin typeface="Arial" panose="020B0604020202020204" pitchFamily="34" charset="0"/>
                    <a:cs typeface="Arial" panose="020B0604020202020204" pitchFamily="34" charset="0"/>
                  </a:rPr>
                  <a:t>Aboveground N uptake (% of total)</a:t>
                </a:r>
              </a:p>
            </c:rich>
          </c:tx>
          <c:layout/>
          <c:overlay val="0"/>
        </c:title>
        <c:numFmt formatCode="0" sourceLinked="1"/>
        <c:majorTickMark val="out"/>
        <c:minorTickMark val="none"/>
        <c:tickLblPos val="nextTo"/>
        <c:crossAx val="-2012921168"/>
        <c:crosses val="autoZero"/>
        <c:crossBetween val="midCat"/>
      </c:valAx>
    </c:plotArea>
    <c:plotVisOnly val="1"/>
    <c:dispBlanksAs val="gap"/>
    <c:showDLblsOverMax val="0"/>
  </c:chart>
  <c:spPr>
    <a:ln>
      <a:noFill/>
    </a:ln>
  </c:spPr>
  <c:printSettings>
    <c:headerFooter/>
    <c:pageMargins b="0.75" l="0.7" r="0.7" t="0.75" header="0.3" footer="0.3"/>
    <c:pageSetup/>
  </c:printSettings>
  <c:userShapes r:id="rId1"/>
</c:chartSpace>
</file>

<file path=xl/charts/chart3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scatterChart>
        <c:scatterStyle val="lineMarker"/>
        <c:varyColors val="0"/>
        <c:ser>
          <c:idx val="1"/>
          <c:order val="0"/>
          <c:spPr>
            <a:ln w="28575">
              <a:noFill/>
            </a:ln>
          </c:spPr>
          <c:marker>
            <c:symbol val="square"/>
            <c:size val="5"/>
            <c:spPr>
              <a:solidFill>
                <a:srgbClr val="FF0000"/>
              </a:solidFill>
              <a:ln>
                <a:noFill/>
              </a:ln>
            </c:spPr>
          </c:marker>
          <c:trendline>
            <c:trendlineType val="log"/>
            <c:dispRSqr val="0"/>
            <c:dispEq val="0"/>
          </c:trendline>
          <c:trendline>
            <c:trendlineType val="poly"/>
            <c:order val="2"/>
            <c:dispRSqr val="0"/>
            <c:dispEq val="0"/>
          </c:trendline>
          <c:xVal>
            <c:numRef>
              <c:f>Corn_Sweet!$M$5:$M$34</c:f>
              <c:numCache>
                <c:formatCode>0</c:formatCode>
                <c:ptCount val="30"/>
                <c:pt idx="0">
                  <c:v>0.0</c:v>
                </c:pt>
                <c:pt idx="1">
                  <c:v>21.29032258064517</c:v>
                </c:pt>
                <c:pt idx="2">
                  <c:v>42.54032258064516</c:v>
                </c:pt>
                <c:pt idx="3">
                  <c:v>53.0241935483871</c:v>
                </c:pt>
                <c:pt idx="4">
                  <c:v>63.70967741935485</c:v>
                </c:pt>
                <c:pt idx="5">
                  <c:v>74.5967741935484</c:v>
                </c:pt>
                <c:pt idx="6">
                  <c:v>85.08064516129032</c:v>
                </c:pt>
                <c:pt idx="7">
                  <c:v>100.0</c:v>
                </c:pt>
                <c:pt idx="8">
                  <c:v>0.0</c:v>
                </c:pt>
                <c:pt idx="9">
                  <c:v>21.29032258064517</c:v>
                </c:pt>
                <c:pt idx="10">
                  <c:v>42.54032258064516</c:v>
                </c:pt>
                <c:pt idx="11">
                  <c:v>53.0241935483871</c:v>
                </c:pt>
                <c:pt idx="12">
                  <c:v>63.70967741935485</c:v>
                </c:pt>
                <c:pt idx="13">
                  <c:v>74.5967741935484</c:v>
                </c:pt>
                <c:pt idx="14">
                  <c:v>85.08064516129032</c:v>
                </c:pt>
                <c:pt idx="15">
                  <c:v>100.0</c:v>
                </c:pt>
                <c:pt idx="16">
                  <c:v>0.0</c:v>
                </c:pt>
                <c:pt idx="17">
                  <c:v>27.72277227722773</c:v>
                </c:pt>
                <c:pt idx="18">
                  <c:v>42.57425742574257</c:v>
                </c:pt>
                <c:pt idx="19">
                  <c:v>49.50495049504951</c:v>
                </c:pt>
                <c:pt idx="20">
                  <c:v>63.36633663366337</c:v>
                </c:pt>
                <c:pt idx="21">
                  <c:v>69.25563022623505</c:v>
                </c:pt>
                <c:pt idx="22">
                  <c:v>76.77969869525811</c:v>
                </c:pt>
                <c:pt idx="23">
                  <c:v>100.0</c:v>
                </c:pt>
                <c:pt idx="24">
                  <c:v>0.0</c:v>
                </c:pt>
                <c:pt idx="25">
                  <c:v>42.69662921348314</c:v>
                </c:pt>
                <c:pt idx="26">
                  <c:v>50.561797752809</c:v>
                </c:pt>
                <c:pt idx="27">
                  <c:v>71.91011235955057</c:v>
                </c:pt>
                <c:pt idx="28">
                  <c:v>80.89887640449437</c:v>
                </c:pt>
                <c:pt idx="29">
                  <c:v>100.0</c:v>
                </c:pt>
              </c:numCache>
            </c:numRef>
          </c:xVal>
          <c:yVal>
            <c:numRef>
              <c:f>Corn_Sweet!$P$5:$P$34</c:f>
              <c:numCache>
                <c:formatCode>0</c:formatCode>
                <c:ptCount val="30"/>
                <c:pt idx="0">
                  <c:v>0.0</c:v>
                </c:pt>
                <c:pt idx="1">
                  <c:v>0.0</c:v>
                </c:pt>
                <c:pt idx="2">
                  <c:v>3.52112676056338</c:v>
                </c:pt>
                <c:pt idx="3">
                  <c:v>22.53521126760564</c:v>
                </c:pt>
                <c:pt idx="4">
                  <c:v>50.0</c:v>
                </c:pt>
                <c:pt idx="5">
                  <c:v>80.28169014084507</c:v>
                </c:pt>
                <c:pt idx="6">
                  <c:v>88.02816901408451</c:v>
                </c:pt>
                <c:pt idx="7">
                  <c:v>100.0</c:v>
                </c:pt>
                <c:pt idx="8">
                  <c:v>0.0</c:v>
                </c:pt>
                <c:pt idx="9">
                  <c:v>0.0</c:v>
                </c:pt>
                <c:pt idx="10">
                  <c:v>2.127659574468085</c:v>
                </c:pt>
                <c:pt idx="11">
                  <c:v>13.61702127659574</c:v>
                </c:pt>
                <c:pt idx="12">
                  <c:v>34.89361702127659</c:v>
                </c:pt>
                <c:pt idx="13">
                  <c:v>61.70212765957446</c:v>
                </c:pt>
                <c:pt idx="14">
                  <c:v>72.34042553191487</c:v>
                </c:pt>
                <c:pt idx="15">
                  <c:v>100.0</c:v>
                </c:pt>
                <c:pt idx="16">
                  <c:v>0.0</c:v>
                </c:pt>
                <c:pt idx="17">
                  <c:v>0.0</c:v>
                </c:pt>
                <c:pt idx="18">
                  <c:v>4.178272980501392</c:v>
                </c:pt>
                <c:pt idx="19">
                  <c:v>8.07799442896936</c:v>
                </c:pt>
                <c:pt idx="20">
                  <c:v>47.07520891364903</c:v>
                </c:pt>
                <c:pt idx="21">
                  <c:v>65.73816155988858</c:v>
                </c:pt>
                <c:pt idx="22">
                  <c:v>87.18662952646238</c:v>
                </c:pt>
                <c:pt idx="23">
                  <c:v>100.0</c:v>
                </c:pt>
                <c:pt idx="24">
                  <c:v>0.0</c:v>
                </c:pt>
                <c:pt idx="25">
                  <c:v>0.0</c:v>
                </c:pt>
                <c:pt idx="26">
                  <c:v>36.63101604278075</c:v>
                </c:pt>
                <c:pt idx="27">
                  <c:v>59.35828877005348</c:v>
                </c:pt>
                <c:pt idx="28">
                  <c:v>65.50802139037434</c:v>
                </c:pt>
                <c:pt idx="29">
                  <c:v>100.0</c:v>
                </c:pt>
              </c:numCache>
            </c:numRef>
          </c:yVal>
          <c:smooth val="0"/>
          <c:extLst xmlns:c16r2="http://schemas.microsoft.com/office/drawing/2015/06/chart">
            <c:ext xmlns:c16="http://schemas.microsoft.com/office/drawing/2014/chart" uri="{C3380CC4-5D6E-409C-BE32-E72D297353CC}">
              <c16:uniqueId val="{00000002-A655-4F68-A4FA-505549EFB508}"/>
            </c:ext>
          </c:extLst>
        </c:ser>
        <c:dLbls>
          <c:showLegendKey val="0"/>
          <c:showVal val="0"/>
          <c:showCatName val="0"/>
          <c:showSerName val="0"/>
          <c:showPercent val="0"/>
          <c:showBubbleSize val="0"/>
        </c:dLbls>
        <c:axId val="1804931520"/>
        <c:axId val="-2008476112"/>
      </c:scatterChart>
      <c:valAx>
        <c:axId val="1804931520"/>
        <c:scaling>
          <c:orientation val="minMax"/>
          <c:max val="102.0"/>
          <c:min val="0.0"/>
        </c:scaling>
        <c:delete val="0"/>
        <c:axPos val="b"/>
        <c:title>
          <c:tx>
            <c:rich>
              <a:bodyPr/>
              <a:lstStyle/>
              <a:p>
                <a:pPr>
                  <a:defRPr>
                    <a:latin typeface="Arial" panose="020B0604020202020204" pitchFamily="34" charset="0"/>
                    <a:cs typeface="Arial" panose="020B0604020202020204" pitchFamily="34" charset="0"/>
                  </a:defRPr>
                </a:pPr>
                <a:r>
                  <a:rPr lang="en-US"/>
                  <a:t>Proportion of season (%)</a:t>
                </a:r>
              </a:p>
            </c:rich>
          </c:tx>
          <c:layout/>
          <c:overlay val="0"/>
        </c:title>
        <c:numFmt formatCode="0" sourceLinked="1"/>
        <c:majorTickMark val="out"/>
        <c:minorTickMark val="none"/>
        <c:tickLblPos val="nextTo"/>
        <c:crossAx val="-2008476112"/>
        <c:crosses val="autoZero"/>
        <c:crossBetween val="midCat"/>
        <c:majorUnit val="10.0"/>
      </c:valAx>
      <c:valAx>
        <c:axId val="-2008476112"/>
        <c:scaling>
          <c:orientation val="minMax"/>
          <c:max val="102.0"/>
          <c:min val="0.0"/>
        </c:scaling>
        <c:delete val="0"/>
        <c:axPos val="l"/>
        <c:majorGridlines/>
        <c:title>
          <c:tx>
            <c:rich>
              <a:bodyPr rot="-5400000" vert="horz"/>
              <a:lstStyle/>
              <a:p>
                <a:pPr>
                  <a:defRPr>
                    <a:latin typeface="Arial" panose="020B0604020202020204" pitchFamily="34" charset="0"/>
                    <a:cs typeface="Arial" panose="020B0604020202020204" pitchFamily="34" charset="0"/>
                  </a:defRPr>
                </a:pPr>
                <a:r>
                  <a:rPr lang="en-US"/>
                  <a:t>Proportion of N uptake (%)</a:t>
                </a:r>
              </a:p>
            </c:rich>
          </c:tx>
          <c:layout/>
          <c:overlay val="0"/>
        </c:title>
        <c:numFmt formatCode="0" sourceLinked="1"/>
        <c:majorTickMark val="out"/>
        <c:minorTickMark val="none"/>
        <c:tickLblPos val="nextTo"/>
        <c:crossAx val="1804931520"/>
        <c:crosses val="autoZero"/>
        <c:crossBetween val="midCat"/>
      </c:valAx>
    </c:plotArea>
    <c:plotVisOnly val="1"/>
    <c:dispBlanksAs val="gap"/>
    <c:showDLblsOverMax val="0"/>
  </c:chart>
  <c:spPr>
    <a:ln>
      <a:noFill/>
    </a:ln>
  </c:sp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scatterChart>
        <c:scatterStyle val="lineMarker"/>
        <c:varyColors val="0"/>
        <c:dLbls>
          <c:showLegendKey val="0"/>
          <c:showVal val="0"/>
          <c:showCatName val="0"/>
          <c:showSerName val="0"/>
          <c:showPercent val="0"/>
          <c:showBubbleSize val="0"/>
        </c:dLbls>
        <c:axId val="-2012959632"/>
        <c:axId val="-2013206384"/>
      </c:scatterChart>
      <c:valAx>
        <c:axId val="-2012959632"/>
        <c:scaling>
          <c:orientation val="minMax"/>
          <c:max val="102.0"/>
          <c:min val="0.0"/>
        </c:scaling>
        <c:delete val="0"/>
        <c:axPos val="b"/>
        <c:title>
          <c:tx>
            <c:rich>
              <a:bodyPr/>
              <a:lstStyle/>
              <a:p>
                <a:pPr>
                  <a:defRPr>
                    <a:latin typeface="Arial" panose="020B0604020202020204" pitchFamily="34" charset="0"/>
                    <a:cs typeface="Arial" panose="020B0604020202020204" pitchFamily="34" charset="0"/>
                  </a:defRPr>
                </a:pPr>
                <a:r>
                  <a:rPr lang="en-US"/>
                  <a:t>Proportion of season (%)</a:t>
                </a:r>
              </a:p>
            </c:rich>
          </c:tx>
          <c:layout/>
          <c:overlay val="0"/>
        </c:title>
        <c:numFmt formatCode="General" sourceLinked="1"/>
        <c:majorTickMark val="out"/>
        <c:minorTickMark val="none"/>
        <c:tickLblPos val="nextTo"/>
        <c:crossAx val="-2013206384"/>
        <c:crosses val="autoZero"/>
        <c:crossBetween val="midCat"/>
        <c:majorUnit val="10.0"/>
      </c:valAx>
      <c:valAx>
        <c:axId val="-2013206384"/>
        <c:scaling>
          <c:orientation val="minMax"/>
          <c:max val="102.0"/>
          <c:min val="0.0"/>
        </c:scaling>
        <c:delete val="0"/>
        <c:axPos val="l"/>
        <c:majorGridlines/>
        <c:title>
          <c:tx>
            <c:rich>
              <a:bodyPr rot="-5400000" vert="horz"/>
              <a:lstStyle/>
              <a:p>
                <a:pPr>
                  <a:defRPr>
                    <a:latin typeface="Arial" panose="020B0604020202020204" pitchFamily="34" charset="0"/>
                    <a:cs typeface="Arial" panose="020B0604020202020204" pitchFamily="34" charset="0"/>
                  </a:defRPr>
                </a:pPr>
                <a:r>
                  <a:rPr lang="en-US"/>
                  <a:t>Proportion of N uptake (%)</a:t>
                </a:r>
              </a:p>
            </c:rich>
          </c:tx>
          <c:layout/>
          <c:overlay val="0"/>
        </c:title>
        <c:numFmt formatCode="General" sourceLinked="1"/>
        <c:majorTickMark val="out"/>
        <c:minorTickMark val="none"/>
        <c:tickLblPos val="nextTo"/>
        <c:crossAx val="-2012959632"/>
        <c:crosses val="autoZero"/>
        <c:crossBetween val="midCat"/>
      </c:valAx>
    </c:plotArea>
    <c:plotVisOnly val="1"/>
    <c:dispBlanksAs val="gap"/>
    <c:showDLblsOverMax val="0"/>
  </c:chart>
  <c:spPr>
    <a:ln>
      <a:noFill/>
    </a:ln>
  </c:sp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scatterChart>
        <c:scatterStyle val="lineMarker"/>
        <c:varyColors val="0"/>
        <c:ser>
          <c:idx val="1"/>
          <c:order val="0"/>
          <c:spPr>
            <a:ln w="28575">
              <a:noFill/>
            </a:ln>
          </c:spPr>
          <c:marker>
            <c:symbol val="square"/>
            <c:size val="5"/>
            <c:spPr>
              <a:solidFill>
                <a:srgbClr val="FF0000"/>
              </a:solidFill>
              <a:ln>
                <a:noFill/>
              </a:ln>
            </c:spPr>
          </c:marker>
          <c:trendline>
            <c:trendlineType val="log"/>
            <c:dispRSqr val="0"/>
            <c:dispEq val="0"/>
          </c:trendline>
          <c:trendline>
            <c:trendlineType val="poly"/>
            <c:order val="3"/>
            <c:dispRSqr val="0"/>
            <c:dispEq val="0"/>
          </c:trendline>
          <c:xVal>
            <c:numRef>
              <c:f>Sweetpotato!$M$5:$M$19</c:f>
              <c:numCache>
                <c:formatCode>0</c:formatCode>
                <c:ptCount val="15"/>
                <c:pt idx="0">
                  <c:v>0.0</c:v>
                </c:pt>
                <c:pt idx="1">
                  <c:v>33.43023255813954</c:v>
                </c:pt>
                <c:pt idx="2">
                  <c:v>51.74418604651163</c:v>
                </c:pt>
                <c:pt idx="3">
                  <c:v>65.11627906976744</c:v>
                </c:pt>
                <c:pt idx="4">
                  <c:v>80.81395348837207</c:v>
                </c:pt>
                <c:pt idx="5">
                  <c:v>100.0</c:v>
                </c:pt>
                <c:pt idx="6">
                  <c:v>0.0</c:v>
                </c:pt>
                <c:pt idx="7">
                  <c:v>63.46153846153846</c:v>
                </c:pt>
                <c:pt idx="8">
                  <c:v>80.24475524475523</c:v>
                </c:pt>
                <c:pt idx="9">
                  <c:v>100.0</c:v>
                </c:pt>
                <c:pt idx="10">
                  <c:v>0.0</c:v>
                </c:pt>
                <c:pt idx="11">
                  <c:v>41.43356643356644</c:v>
                </c:pt>
                <c:pt idx="12">
                  <c:v>63.46153846153846</c:v>
                </c:pt>
                <c:pt idx="13">
                  <c:v>82.86713286713288</c:v>
                </c:pt>
                <c:pt idx="14">
                  <c:v>100.0</c:v>
                </c:pt>
              </c:numCache>
            </c:numRef>
          </c:xVal>
          <c:yVal>
            <c:numRef>
              <c:f>Sweetpotato!$P$5:$P$19</c:f>
              <c:numCache>
                <c:formatCode>0</c:formatCode>
                <c:ptCount val="15"/>
                <c:pt idx="0">
                  <c:v>0.0</c:v>
                </c:pt>
                <c:pt idx="1">
                  <c:v>19.79320531757755</c:v>
                </c:pt>
                <c:pt idx="2">
                  <c:v>41.94977843426884</c:v>
                </c:pt>
                <c:pt idx="3">
                  <c:v>47.85819793205318</c:v>
                </c:pt>
                <c:pt idx="4">
                  <c:v>100.0</c:v>
                </c:pt>
                <c:pt idx="5">
                  <c:v>78.43426883308714</c:v>
                </c:pt>
                <c:pt idx="6">
                  <c:v>0.0</c:v>
                </c:pt>
                <c:pt idx="7">
                  <c:v>41.33333333333334</c:v>
                </c:pt>
                <c:pt idx="8">
                  <c:v>47.55555555555556</c:v>
                </c:pt>
                <c:pt idx="9">
                  <c:v>100.0</c:v>
                </c:pt>
                <c:pt idx="10">
                  <c:v>0.0</c:v>
                </c:pt>
                <c:pt idx="11">
                  <c:v>49.23076923076923</c:v>
                </c:pt>
                <c:pt idx="12">
                  <c:v>100.0</c:v>
                </c:pt>
                <c:pt idx="13">
                  <c:v>88.07692307692308</c:v>
                </c:pt>
                <c:pt idx="14">
                  <c:v>80.76923076923077</c:v>
                </c:pt>
              </c:numCache>
            </c:numRef>
          </c:yVal>
          <c:smooth val="0"/>
          <c:extLst xmlns:c16r2="http://schemas.microsoft.com/office/drawing/2015/06/chart">
            <c:ext xmlns:c16="http://schemas.microsoft.com/office/drawing/2014/chart" uri="{C3380CC4-5D6E-409C-BE32-E72D297353CC}">
              <c16:uniqueId val="{00000002-81F9-422F-B017-DB3D46C72844}"/>
            </c:ext>
          </c:extLst>
        </c:ser>
        <c:dLbls>
          <c:showLegendKey val="0"/>
          <c:showVal val="0"/>
          <c:showCatName val="0"/>
          <c:showSerName val="0"/>
          <c:showPercent val="0"/>
          <c:showBubbleSize val="0"/>
        </c:dLbls>
        <c:axId val="-2010465168"/>
        <c:axId val="-2016648144"/>
      </c:scatterChart>
      <c:valAx>
        <c:axId val="-2010465168"/>
        <c:scaling>
          <c:orientation val="minMax"/>
          <c:max val="102.0"/>
          <c:min val="0.0"/>
        </c:scaling>
        <c:delete val="0"/>
        <c:axPos val="b"/>
        <c:title>
          <c:tx>
            <c:rich>
              <a:bodyPr/>
              <a:lstStyle/>
              <a:p>
                <a:pPr>
                  <a:defRPr>
                    <a:latin typeface="Arial" panose="020B0604020202020204" pitchFamily="34" charset="0"/>
                    <a:cs typeface="Arial" panose="020B0604020202020204" pitchFamily="34" charset="0"/>
                  </a:defRPr>
                </a:pPr>
                <a:r>
                  <a:rPr lang="en-US"/>
                  <a:t>Proportion of season (%)</a:t>
                </a:r>
              </a:p>
            </c:rich>
          </c:tx>
          <c:layout/>
          <c:overlay val="0"/>
        </c:title>
        <c:numFmt formatCode="0" sourceLinked="1"/>
        <c:majorTickMark val="out"/>
        <c:minorTickMark val="none"/>
        <c:tickLblPos val="nextTo"/>
        <c:crossAx val="-2016648144"/>
        <c:crosses val="autoZero"/>
        <c:crossBetween val="midCat"/>
        <c:majorUnit val="10.0"/>
      </c:valAx>
      <c:valAx>
        <c:axId val="-2016648144"/>
        <c:scaling>
          <c:orientation val="minMax"/>
          <c:max val="102.0"/>
          <c:min val="0.0"/>
        </c:scaling>
        <c:delete val="0"/>
        <c:axPos val="l"/>
        <c:majorGridlines/>
        <c:title>
          <c:tx>
            <c:rich>
              <a:bodyPr rot="-5400000" vert="horz"/>
              <a:lstStyle/>
              <a:p>
                <a:pPr>
                  <a:defRPr>
                    <a:latin typeface="Arial" panose="020B0604020202020204" pitchFamily="34" charset="0"/>
                    <a:cs typeface="Arial" panose="020B0604020202020204" pitchFamily="34" charset="0"/>
                  </a:defRPr>
                </a:pPr>
                <a:r>
                  <a:rPr lang="en-US"/>
                  <a:t>Proportion of N uptake (%)</a:t>
                </a:r>
              </a:p>
            </c:rich>
          </c:tx>
          <c:layout/>
          <c:overlay val="0"/>
        </c:title>
        <c:numFmt formatCode="0" sourceLinked="1"/>
        <c:majorTickMark val="out"/>
        <c:minorTickMark val="none"/>
        <c:tickLblPos val="nextTo"/>
        <c:crossAx val="-2010465168"/>
        <c:crosses val="autoZero"/>
        <c:crossBetween val="midCat"/>
      </c:valAx>
    </c:plotArea>
    <c:plotVisOnly val="1"/>
    <c:dispBlanksAs val="gap"/>
    <c:showDLblsOverMax val="0"/>
  </c:chart>
  <c:spPr>
    <a:ln>
      <a:noFill/>
    </a:ln>
  </c:spPr>
  <c:printSettings>
    <c:headerFooter/>
    <c:pageMargins b="0.75" l="0.7" r="0.7" t="0.75" header="0.3" footer="0.3"/>
    <c:pageSetup/>
  </c:printSettings>
  <c:userShapes r:id="rId2"/>
</c:chartSpace>
</file>

<file path=xl/charts/chart3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scatterChart>
        <c:scatterStyle val="lineMarker"/>
        <c:varyColors val="0"/>
        <c:dLbls>
          <c:showLegendKey val="0"/>
          <c:showVal val="0"/>
          <c:showCatName val="0"/>
          <c:showSerName val="0"/>
          <c:showPercent val="0"/>
          <c:showBubbleSize val="0"/>
        </c:dLbls>
        <c:axId val="-2011122816"/>
        <c:axId val="-2019628832"/>
      </c:scatterChart>
      <c:valAx>
        <c:axId val="-2011122816"/>
        <c:scaling>
          <c:orientation val="minMax"/>
          <c:max val="102.0"/>
          <c:min val="0.0"/>
        </c:scaling>
        <c:delete val="0"/>
        <c:axPos val="b"/>
        <c:title>
          <c:tx>
            <c:rich>
              <a:bodyPr/>
              <a:lstStyle/>
              <a:p>
                <a:pPr>
                  <a:defRPr>
                    <a:latin typeface="Arial" panose="020B0604020202020204" pitchFamily="34" charset="0"/>
                    <a:cs typeface="Arial" panose="020B0604020202020204" pitchFamily="34" charset="0"/>
                  </a:defRPr>
                </a:pPr>
                <a:r>
                  <a:rPr lang="en-US"/>
                  <a:t>Proportion of season (%)</a:t>
                </a:r>
              </a:p>
            </c:rich>
          </c:tx>
          <c:layout/>
          <c:overlay val="0"/>
        </c:title>
        <c:numFmt formatCode="0" sourceLinked="1"/>
        <c:majorTickMark val="out"/>
        <c:minorTickMark val="none"/>
        <c:tickLblPos val="nextTo"/>
        <c:crossAx val="-2019628832"/>
        <c:crosses val="autoZero"/>
        <c:crossBetween val="midCat"/>
        <c:majorUnit val="10.0"/>
      </c:valAx>
      <c:valAx>
        <c:axId val="-2019628832"/>
        <c:scaling>
          <c:orientation val="minMax"/>
          <c:max val="102.0"/>
          <c:min val="0.0"/>
        </c:scaling>
        <c:delete val="0"/>
        <c:axPos val="l"/>
        <c:majorGridlines/>
        <c:title>
          <c:tx>
            <c:rich>
              <a:bodyPr rot="-5400000" vert="horz"/>
              <a:lstStyle/>
              <a:p>
                <a:pPr>
                  <a:defRPr>
                    <a:latin typeface="Arial" panose="020B0604020202020204" pitchFamily="34" charset="0"/>
                    <a:cs typeface="Arial" panose="020B0604020202020204" pitchFamily="34" charset="0"/>
                  </a:defRPr>
                </a:pPr>
                <a:r>
                  <a:rPr lang="en-US"/>
                  <a:t>Proportion of N uptake (%)</a:t>
                </a:r>
              </a:p>
            </c:rich>
          </c:tx>
          <c:layout/>
          <c:overlay val="0"/>
        </c:title>
        <c:numFmt formatCode="0" sourceLinked="1"/>
        <c:majorTickMark val="out"/>
        <c:minorTickMark val="none"/>
        <c:tickLblPos val="nextTo"/>
        <c:crossAx val="-2011122816"/>
        <c:crosses val="autoZero"/>
        <c:crossBetween val="midCat"/>
      </c:valAx>
    </c:plotArea>
    <c:plotVisOnly val="1"/>
    <c:dispBlanksAs val="gap"/>
    <c:showDLblsOverMax val="0"/>
  </c:chart>
  <c:spPr>
    <a:ln>
      <a:noFill/>
    </a:ln>
  </c:spPr>
  <c:printSettings>
    <c:headerFooter/>
    <c:pageMargins b="0.75" l="0.7" r="0.7" t="0.75" header="0.3" footer="0.3"/>
    <c:pageSetup/>
  </c:printSettings>
  <c:userShapes r:id="rId2"/>
</c:chartSpace>
</file>

<file path=xl/charts/chart3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scatterChart>
        <c:scatterStyle val="lineMarker"/>
        <c:varyColors val="0"/>
        <c:ser>
          <c:idx val="1"/>
          <c:order val="0"/>
          <c:spPr>
            <a:ln w="28575">
              <a:noFill/>
            </a:ln>
          </c:spPr>
          <c:marker>
            <c:symbol val="square"/>
            <c:size val="5"/>
            <c:spPr>
              <a:solidFill>
                <a:srgbClr val="FF0000"/>
              </a:solidFill>
              <a:ln>
                <a:noFill/>
              </a:ln>
            </c:spPr>
          </c:marker>
          <c:trendline>
            <c:trendlineType val="log"/>
            <c:dispRSqr val="0"/>
            <c:dispEq val="0"/>
          </c:trendline>
          <c:trendline>
            <c:trendlineType val="poly"/>
            <c:order val="3"/>
            <c:dispRSqr val="0"/>
            <c:dispEq val="0"/>
          </c:trendline>
          <c:xVal>
            <c:numRef>
              <c:f>Oat_Grain!$M$5:$M$91</c:f>
              <c:numCache>
                <c:formatCode>0</c:formatCode>
                <c:ptCount val="87"/>
                <c:pt idx="0">
                  <c:v>0.0</c:v>
                </c:pt>
                <c:pt idx="1">
                  <c:v>23.17616341575795</c:v>
                </c:pt>
                <c:pt idx="2">
                  <c:v>39.10305636614959</c:v>
                </c:pt>
                <c:pt idx="3">
                  <c:v>46.73190424995063</c:v>
                </c:pt>
                <c:pt idx="4">
                  <c:v>54.49459157030958</c:v>
                </c:pt>
                <c:pt idx="5">
                  <c:v>62.65879720034228</c:v>
                </c:pt>
                <c:pt idx="6">
                  <c:v>70.1538056475854</c:v>
                </c:pt>
                <c:pt idx="7">
                  <c:v>100.0</c:v>
                </c:pt>
                <c:pt idx="8">
                  <c:v>0.0</c:v>
                </c:pt>
                <c:pt idx="9">
                  <c:v>23.28407954671703</c:v>
                </c:pt>
                <c:pt idx="10">
                  <c:v>41.17542495278303</c:v>
                </c:pt>
                <c:pt idx="11">
                  <c:v>49.17231418731253</c:v>
                </c:pt>
                <c:pt idx="12">
                  <c:v>56.76258193534052</c:v>
                </c:pt>
                <c:pt idx="13">
                  <c:v>63.67514720586603</c:v>
                </c:pt>
                <c:pt idx="14">
                  <c:v>71.536495944895</c:v>
                </c:pt>
                <c:pt idx="15">
                  <c:v>79.66892567492502</c:v>
                </c:pt>
                <c:pt idx="16">
                  <c:v>100.0</c:v>
                </c:pt>
                <c:pt idx="17">
                  <c:v>0.0</c:v>
                </c:pt>
                <c:pt idx="18">
                  <c:v>16.66666666666666</c:v>
                </c:pt>
                <c:pt idx="19">
                  <c:v>34.375</c:v>
                </c:pt>
                <c:pt idx="20">
                  <c:v>53.125</c:v>
                </c:pt>
                <c:pt idx="21">
                  <c:v>71.875</c:v>
                </c:pt>
                <c:pt idx="22">
                  <c:v>100.0</c:v>
                </c:pt>
                <c:pt idx="23">
                  <c:v>0.0</c:v>
                </c:pt>
                <c:pt idx="24">
                  <c:v>28.57142857142857</c:v>
                </c:pt>
                <c:pt idx="25">
                  <c:v>45.91836734693877</c:v>
                </c:pt>
                <c:pt idx="26">
                  <c:v>60.20408163265306</c:v>
                </c:pt>
                <c:pt idx="27">
                  <c:v>72.44897959183673</c:v>
                </c:pt>
                <c:pt idx="28">
                  <c:v>100.0</c:v>
                </c:pt>
                <c:pt idx="29">
                  <c:v>0.0</c:v>
                </c:pt>
                <c:pt idx="30">
                  <c:v>26.04166666666667</c:v>
                </c:pt>
                <c:pt idx="31">
                  <c:v>34.375</c:v>
                </c:pt>
                <c:pt idx="32">
                  <c:v>41.66666666666667</c:v>
                </c:pt>
                <c:pt idx="33">
                  <c:v>58.33333333333334</c:v>
                </c:pt>
                <c:pt idx="34">
                  <c:v>65.625</c:v>
                </c:pt>
                <c:pt idx="35">
                  <c:v>71.875</c:v>
                </c:pt>
                <c:pt idx="36">
                  <c:v>80.20833333333334</c:v>
                </c:pt>
                <c:pt idx="37">
                  <c:v>87.5</c:v>
                </c:pt>
                <c:pt idx="38">
                  <c:v>100.0</c:v>
                </c:pt>
                <c:pt idx="39">
                  <c:v>0.0</c:v>
                </c:pt>
                <c:pt idx="40">
                  <c:v>27.55102040816326</c:v>
                </c:pt>
                <c:pt idx="41">
                  <c:v>36.73469387755102</c:v>
                </c:pt>
                <c:pt idx="42">
                  <c:v>43.87755102040816</c:v>
                </c:pt>
                <c:pt idx="43">
                  <c:v>52.04081632653062</c:v>
                </c:pt>
                <c:pt idx="44">
                  <c:v>65.3061224489796</c:v>
                </c:pt>
                <c:pt idx="45">
                  <c:v>76.53061224489795</c:v>
                </c:pt>
                <c:pt idx="46">
                  <c:v>83.67346938775511</c:v>
                </c:pt>
                <c:pt idx="47">
                  <c:v>100.0</c:v>
                </c:pt>
                <c:pt idx="48">
                  <c:v>0.0</c:v>
                </c:pt>
                <c:pt idx="49">
                  <c:v>32.35294117647059</c:v>
                </c:pt>
                <c:pt idx="50">
                  <c:v>41.17647058823529</c:v>
                </c:pt>
                <c:pt idx="51">
                  <c:v>52.94117647058824</c:v>
                </c:pt>
                <c:pt idx="52">
                  <c:v>59.80392156862745</c:v>
                </c:pt>
                <c:pt idx="53">
                  <c:v>67.64705882352942</c:v>
                </c:pt>
                <c:pt idx="54">
                  <c:v>73.52941176470588</c:v>
                </c:pt>
                <c:pt idx="55">
                  <c:v>79.41176470588234</c:v>
                </c:pt>
                <c:pt idx="56">
                  <c:v>86.27450980392157</c:v>
                </c:pt>
                <c:pt idx="57">
                  <c:v>100.0</c:v>
                </c:pt>
                <c:pt idx="58">
                  <c:v>0.0</c:v>
                </c:pt>
                <c:pt idx="59">
                  <c:v>26.04166666666667</c:v>
                </c:pt>
                <c:pt idx="60">
                  <c:v>34.375</c:v>
                </c:pt>
                <c:pt idx="61">
                  <c:v>41.66666666666667</c:v>
                </c:pt>
                <c:pt idx="62">
                  <c:v>58.33333333333334</c:v>
                </c:pt>
                <c:pt idx="63">
                  <c:v>65.625</c:v>
                </c:pt>
                <c:pt idx="64">
                  <c:v>71.875</c:v>
                </c:pt>
                <c:pt idx="65">
                  <c:v>80.20833333333334</c:v>
                </c:pt>
                <c:pt idx="66">
                  <c:v>87.5</c:v>
                </c:pt>
                <c:pt idx="67">
                  <c:v>100.0</c:v>
                </c:pt>
                <c:pt idx="68">
                  <c:v>0.0</c:v>
                </c:pt>
                <c:pt idx="69">
                  <c:v>27.55102040816326</c:v>
                </c:pt>
                <c:pt idx="70">
                  <c:v>36.73469387755102</c:v>
                </c:pt>
                <c:pt idx="71">
                  <c:v>43.87755102040816</c:v>
                </c:pt>
                <c:pt idx="72">
                  <c:v>52.04081632653062</c:v>
                </c:pt>
                <c:pt idx="73">
                  <c:v>65.3061224489796</c:v>
                </c:pt>
                <c:pt idx="74">
                  <c:v>76.53061224489795</c:v>
                </c:pt>
                <c:pt idx="75">
                  <c:v>83.67346938775511</c:v>
                </c:pt>
                <c:pt idx="76">
                  <c:v>100.0</c:v>
                </c:pt>
                <c:pt idx="77">
                  <c:v>0.0</c:v>
                </c:pt>
                <c:pt idx="78">
                  <c:v>32.35294117647059</c:v>
                </c:pt>
                <c:pt idx="79">
                  <c:v>41.17647058823529</c:v>
                </c:pt>
                <c:pt idx="80">
                  <c:v>52.94117647058824</c:v>
                </c:pt>
                <c:pt idx="81">
                  <c:v>59.80392156862745</c:v>
                </c:pt>
                <c:pt idx="82">
                  <c:v>67.64705882352942</c:v>
                </c:pt>
                <c:pt idx="83">
                  <c:v>73.52941176470588</c:v>
                </c:pt>
                <c:pt idx="84">
                  <c:v>79.41176470588234</c:v>
                </c:pt>
                <c:pt idx="85">
                  <c:v>86.27450980392157</c:v>
                </c:pt>
                <c:pt idx="86">
                  <c:v>100.0</c:v>
                </c:pt>
              </c:numCache>
            </c:numRef>
          </c:xVal>
          <c:yVal>
            <c:numRef>
              <c:f>Oat_Grain!$P$5:$P$91</c:f>
              <c:numCache>
                <c:formatCode>0</c:formatCode>
                <c:ptCount val="87"/>
                <c:pt idx="0">
                  <c:v>0.0</c:v>
                </c:pt>
                <c:pt idx="1">
                  <c:v>19.63696369636964</c:v>
                </c:pt>
                <c:pt idx="2">
                  <c:v>46.6996699669967</c:v>
                </c:pt>
                <c:pt idx="3">
                  <c:v>73.5973597359736</c:v>
                </c:pt>
                <c:pt idx="4">
                  <c:v>82.50825082508251</c:v>
                </c:pt>
                <c:pt idx="5">
                  <c:v>100.0</c:v>
                </c:pt>
                <c:pt idx="6">
                  <c:v>79.2079207920792</c:v>
                </c:pt>
                <c:pt idx="7">
                  <c:v>73.76237623762377</c:v>
                </c:pt>
                <c:pt idx="8">
                  <c:v>0.0</c:v>
                </c:pt>
                <c:pt idx="9">
                  <c:v>11.54639175257732</c:v>
                </c:pt>
                <c:pt idx="10">
                  <c:v>61.85567010309278</c:v>
                </c:pt>
                <c:pt idx="11">
                  <c:v>87.83505154639175</c:v>
                </c:pt>
                <c:pt idx="12">
                  <c:v>91.54639175257732</c:v>
                </c:pt>
                <c:pt idx="13">
                  <c:v>100.0</c:v>
                </c:pt>
                <c:pt idx="14">
                  <c:v>77.73195876288661</c:v>
                </c:pt>
                <c:pt idx="15">
                  <c:v>70.72164948453608</c:v>
                </c:pt>
                <c:pt idx="16">
                  <c:v>61.64948453608249</c:v>
                </c:pt>
                <c:pt idx="17">
                  <c:v>0.0</c:v>
                </c:pt>
                <c:pt idx="18">
                  <c:v>6.989247311827956</c:v>
                </c:pt>
                <c:pt idx="19">
                  <c:v>40.86021505376344</c:v>
                </c:pt>
                <c:pt idx="20">
                  <c:v>67.20430107526883</c:v>
                </c:pt>
                <c:pt idx="21">
                  <c:v>76.34408602150537</c:v>
                </c:pt>
                <c:pt idx="22">
                  <c:v>100.0</c:v>
                </c:pt>
                <c:pt idx="23">
                  <c:v>0.0</c:v>
                </c:pt>
                <c:pt idx="24">
                  <c:v>30.57851239669421</c:v>
                </c:pt>
                <c:pt idx="25">
                  <c:v>54.54545454545454</c:v>
                </c:pt>
                <c:pt idx="26">
                  <c:v>100.0</c:v>
                </c:pt>
                <c:pt idx="27">
                  <c:v>98.3471074380165</c:v>
                </c:pt>
                <c:pt idx="28">
                  <c:v>80.16528925619835</c:v>
                </c:pt>
                <c:pt idx="29">
                  <c:v>0.0</c:v>
                </c:pt>
                <c:pt idx="30">
                  <c:v>17.72629310344828</c:v>
                </c:pt>
                <c:pt idx="31">
                  <c:v>42.78017241379311</c:v>
                </c:pt>
                <c:pt idx="32">
                  <c:v>61.04525862068966</c:v>
                </c:pt>
                <c:pt idx="33">
                  <c:v>97.84482758620688</c:v>
                </c:pt>
                <c:pt idx="34">
                  <c:v>100.1616379310345</c:v>
                </c:pt>
                <c:pt idx="35">
                  <c:v>100.0</c:v>
                </c:pt>
                <c:pt idx="36">
                  <c:v>71.76724137931034</c:v>
                </c:pt>
                <c:pt idx="37">
                  <c:v>73.4375</c:v>
                </c:pt>
                <c:pt idx="38">
                  <c:v>88.41594827586206</c:v>
                </c:pt>
                <c:pt idx="39">
                  <c:v>0.0</c:v>
                </c:pt>
                <c:pt idx="40">
                  <c:v>10.07832898172324</c:v>
                </c:pt>
                <c:pt idx="41">
                  <c:v>27.62402088772846</c:v>
                </c:pt>
                <c:pt idx="42">
                  <c:v>34.62140992167102</c:v>
                </c:pt>
                <c:pt idx="43">
                  <c:v>42.66318537859007</c:v>
                </c:pt>
                <c:pt idx="44">
                  <c:v>60.26109660574412</c:v>
                </c:pt>
                <c:pt idx="45">
                  <c:v>81.09660574412532</c:v>
                </c:pt>
                <c:pt idx="46">
                  <c:v>93.36814621409923</c:v>
                </c:pt>
                <c:pt idx="47">
                  <c:v>100.0</c:v>
                </c:pt>
                <c:pt idx="48">
                  <c:v>0.0</c:v>
                </c:pt>
                <c:pt idx="49">
                  <c:v>22.10526315789474</c:v>
                </c:pt>
                <c:pt idx="50">
                  <c:v>64.77732793522267</c:v>
                </c:pt>
                <c:pt idx="51">
                  <c:v>84.8582995951417</c:v>
                </c:pt>
                <c:pt idx="52">
                  <c:v>100.0</c:v>
                </c:pt>
                <c:pt idx="53">
                  <c:v>90.20242914979758</c:v>
                </c:pt>
                <c:pt idx="54">
                  <c:v>62.18623481781377</c:v>
                </c:pt>
                <c:pt idx="55">
                  <c:v>57.40890688259109</c:v>
                </c:pt>
                <c:pt idx="56">
                  <c:v>64.77732793522267</c:v>
                </c:pt>
                <c:pt idx="57">
                  <c:v>51.65991902834007</c:v>
                </c:pt>
                <c:pt idx="58">
                  <c:v>0.0</c:v>
                </c:pt>
                <c:pt idx="59">
                  <c:v>11.16997792494481</c:v>
                </c:pt>
                <c:pt idx="60">
                  <c:v>39.42604856512141</c:v>
                </c:pt>
                <c:pt idx="61">
                  <c:v>59.07284768211921</c:v>
                </c:pt>
                <c:pt idx="62">
                  <c:v>81.72185430463575</c:v>
                </c:pt>
                <c:pt idx="63">
                  <c:v>100.0</c:v>
                </c:pt>
                <c:pt idx="64">
                  <c:v>81.72185430463575</c:v>
                </c:pt>
                <c:pt idx="65">
                  <c:v>65.16556291390728</c:v>
                </c:pt>
                <c:pt idx="66">
                  <c:v>59.73509933774835</c:v>
                </c:pt>
                <c:pt idx="67">
                  <c:v>77.57174392935981</c:v>
                </c:pt>
                <c:pt idx="68">
                  <c:v>0.0</c:v>
                </c:pt>
                <c:pt idx="69">
                  <c:v>7.741935483870967</c:v>
                </c:pt>
                <c:pt idx="70">
                  <c:v>27.88018433179723</c:v>
                </c:pt>
                <c:pt idx="71">
                  <c:v>39.86175115207373</c:v>
                </c:pt>
                <c:pt idx="72">
                  <c:v>52.71889400921659</c:v>
                </c:pt>
                <c:pt idx="73">
                  <c:v>56.58986175115207</c:v>
                </c:pt>
                <c:pt idx="74">
                  <c:v>100.0</c:v>
                </c:pt>
                <c:pt idx="75">
                  <c:v>91.93548387096774</c:v>
                </c:pt>
                <c:pt idx="76">
                  <c:v>96.08294930875576</c:v>
                </c:pt>
                <c:pt idx="77">
                  <c:v>0.0</c:v>
                </c:pt>
                <c:pt idx="78">
                  <c:v>14.93428912783751</c:v>
                </c:pt>
                <c:pt idx="79">
                  <c:v>46.59498207885305</c:v>
                </c:pt>
                <c:pt idx="80">
                  <c:v>78.85304659498208</c:v>
                </c:pt>
                <c:pt idx="81">
                  <c:v>100.0</c:v>
                </c:pt>
                <c:pt idx="82">
                  <c:v>92.41338112305854</c:v>
                </c:pt>
                <c:pt idx="83">
                  <c:v>57.82556750298685</c:v>
                </c:pt>
                <c:pt idx="84">
                  <c:v>38.41099163679809</c:v>
                </c:pt>
                <c:pt idx="85">
                  <c:v>63.85902031063322</c:v>
                </c:pt>
                <c:pt idx="86">
                  <c:v>27.89725209080048</c:v>
                </c:pt>
              </c:numCache>
            </c:numRef>
          </c:yVal>
          <c:smooth val="0"/>
          <c:extLst xmlns:c16r2="http://schemas.microsoft.com/office/drawing/2015/06/chart">
            <c:ext xmlns:c16="http://schemas.microsoft.com/office/drawing/2014/chart" uri="{C3380CC4-5D6E-409C-BE32-E72D297353CC}">
              <c16:uniqueId val="{00000002-52C5-40F7-8B13-4F2B33600981}"/>
            </c:ext>
          </c:extLst>
        </c:ser>
        <c:dLbls>
          <c:showLegendKey val="0"/>
          <c:showVal val="0"/>
          <c:showCatName val="0"/>
          <c:showSerName val="0"/>
          <c:showPercent val="0"/>
          <c:showBubbleSize val="0"/>
        </c:dLbls>
        <c:axId val="-2016606256"/>
        <c:axId val="-2017048096"/>
      </c:scatterChart>
      <c:valAx>
        <c:axId val="-2016606256"/>
        <c:scaling>
          <c:orientation val="minMax"/>
          <c:max val="102.0"/>
          <c:min val="0.0"/>
        </c:scaling>
        <c:delete val="0"/>
        <c:axPos val="b"/>
        <c:title>
          <c:tx>
            <c:rich>
              <a:bodyPr/>
              <a:lstStyle/>
              <a:p>
                <a:pPr>
                  <a:defRPr>
                    <a:latin typeface="Arial" panose="020B0604020202020204" pitchFamily="34" charset="0"/>
                    <a:cs typeface="Arial" panose="020B0604020202020204" pitchFamily="34" charset="0"/>
                  </a:defRPr>
                </a:pPr>
                <a:r>
                  <a:rPr lang="en-US"/>
                  <a:t>Proportion of</a:t>
                </a:r>
                <a:r>
                  <a:rPr lang="en-US" baseline="0"/>
                  <a:t> season (%)</a:t>
                </a:r>
                <a:endParaRPr lang="en-US"/>
              </a:p>
            </c:rich>
          </c:tx>
          <c:layout/>
          <c:overlay val="0"/>
        </c:title>
        <c:numFmt formatCode="0" sourceLinked="1"/>
        <c:majorTickMark val="out"/>
        <c:minorTickMark val="none"/>
        <c:tickLblPos val="nextTo"/>
        <c:crossAx val="-2017048096"/>
        <c:crosses val="autoZero"/>
        <c:crossBetween val="midCat"/>
        <c:majorUnit val="10.0"/>
      </c:valAx>
      <c:valAx>
        <c:axId val="-2017048096"/>
        <c:scaling>
          <c:orientation val="minMax"/>
          <c:max val="102.0"/>
          <c:min val="0.0"/>
        </c:scaling>
        <c:delete val="0"/>
        <c:axPos val="l"/>
        <c:majorGridlines/>
        <c:title>
          <c:tx>
            <c:rich>
              <a:bodyPr rot="-5400000" vert="horz"/>
              <a:lstStyle/>
              <a:p>
                <a:pPr>
                  <a:defRPr>
                    <a:latin typeface="Arial" panose="020B0604020202020204" pitchFamily="34" charset="0"/>
                    <a:cs typeface="Arial" panose="020B0604020202020204" pitchFamily="34" charset="0"/>
                  </a:defRPr>
                </a:pPr>
                <a:r>
                  <a:rPr lang="en-US"/>
                  <a:t>Proportion N uptake (%)</a:t>
                </a:r>
              </a:p>
            </c:rich>
          </c:tx>
          <c:layout/>
          <c:overlay val="0"/>
        </c:title>
        <c:numFmt formatCode="0" sourceLinked="1"/>
        <c:majorTickMark val="out"/>
        <c:minorTickMark val="none"/>
        <c:tickLblPos val="nextTo"/>
        <c:crossAx val="-2016606256"/>
        <c:crosses val="autoZero"/>
        <c:crossBetween val="midCat"/>
      </c:valAx>
    </c:plotArea>
    <c:plotVisOnly val="1"/>
    <c:dispBlanksAs val="gap"/>
    <c:showDLblsOverMax val="0"/>
  </c:chart>
  <c:spPr>
    <a:ln>
      <a:noFill/>
    </a:ln>
  </c:spPr>
  <c:printSettings>
    <c:headerFooter/>
    <c:pageMargins b="0.75" l="0.7" r="0.7" t="0.75" header="0.3" footer="0.3"/>
    <c:pageSetup/>
  </c:printSettings>
  <c:userShapes r:id="rId2"/>
</c:chartSpace>
</file>

<file path=xl/charts/chart3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scatterChart>
        <c:scatterStyle val="lineMarker"/>
        <c:varyColors val="0"/>
        <c:ser>
          <c:idx val="1"/>
          <c:order val="0"/>
          <c:spPr>
            <a:ln w="28575">
              <a:noFill/>
            </a:ln>
          </c:spPr>
          <c:marker>
            <c:symbol val="square"/>
            <c:size val="5"/>
            <c:spPr>
              <a:solidFill>
                <a:srgbClr val="FF0000"/>
              </a:solidFill>
              <a:ln>
                <a:noFill/>
              </a:ln>
            </c:spPr>
          </c:marker>
          <c:trendline>
            <c:trendlineType val="log"/>
            <c:dispRSqr val="0"/>
            <c:dispEq val="0"/>
          </c:trendline>
          <c:xVal>
            <c:numRef>
              <c:f>Oat_Grain!$AB$21:$AB$31</c:f>
              <c:numCache>
                <c:formatCode>General</c:formatCode>
                <c:ptCount val="11"/>
                <c:pt idx="0">
                  <c:v>0.0</c:v>
                </c:pt>
                <c:pt idx="1">
                  <c:v>10.0</c:v>
                </c:pt>
                <c:pt idx="2">
                  <c:v>20.0</c:v>
                </c:pt>
                <c:pt idx="3">
                  <c:v>30.0</c:v>
                </c:pt>
                <c:pt idx="4">
                  <c:v>40.0</c:v>
                </c:pt>
                <c:pt idx="5">
                  <c:v>50.0</c:v>
                </c:pt>
                <c:pt idx="6">
                  <c:v>60.0</c:v>
                </c:pt>
                <c:pt idx="7">
                  <c:v>70.0</c:v>
                </c:pt>
                <c:pt idx="8">
                  <c:v>80.0</c:v>
                </c:pt>
                <c:pt idx="9">
                  <c:v>90.0</c:v>
                </c:pt>
                <c:pt idx="10">
                  <c:v>100.0</c:v>
                </c:pt>
              </c:numCache>
            </c:numRef>
          </c:xVal>
          <c:yVal>
            <c:numRef>
              <c:f>Oat_Grain!$AC$21:$AC$31</c:f>
              <c:numCache>
                <c:formatCode>0</c:formatCode>
                <c:ptCount val="11"/>
                <c:pt idx="0" formatCode="General">
                  <c:v>0.0</c:v>
                </c:pt>
                <c:pt idx="2">
                  <c:v>9.216589861751153</c:v>
                </c:pt>
                <c:pt idx="3">
                  <c:v>30.87557603686636</c:v>
                </c:pt>
                <c:pt idx="4">
                  <c:v>52.99539170506912</c:v>
                </c:pt>
                <c:pt idx="5">
                  <c:v>70.96774193548389</c:v>
                </c:pt>
                <c:pt idx="6">
                  <c:v>87.55760368663594</c:v>
                </c:pt>
                <c:pt idx="7">
                  <c:v>97.23502304147466</c:v>
                </c:pt>
                <c:pt idx="8">
                  <c:v>97.69585253456222</c:v>
                </c:pt>
                <c:pt idx="9">
                  <c:v>90.3225806451613</c:v>
                </c:pt>
                <c:pt idx="10">
                  <c:v>79.26267281105991</c:v>
                </c:pt>
              </c:numCache>
            </c:numRef>
          </c:yVal>
          <c:smooth val="0"/>
          <c:extLst xmlns:c16r2="http://schemas.microsoft.com/office/drawing/2015/06/chart">
            <c:ext xmlns:c16="http://schemas.microsoft.com/office/drawing/2014/chart" uri="{C3380CC4-5D6E-409C-BE32-E72D297353CC}">
              <c16:uniqueId val="{00000001-4DA6-4456-B89D-AD62694E23FB}"/>
            </c:ext>
          </c:extLst>
        </c:ser>
        <c:dLbls>
          <c:showLegendKey val="0"/>
          <c:showVal val="0"/>
          <c:showCatName val="0"/>
          <c:showSerName val="0"/>
          <c:showPercent val="0"/>
          <c:showBubbleSize val="0"/>
        </c:dLbls>
        <c:axId val="-2011131600"/>
        <c:axId val="-2020534480"/>
      </c:scatterChart>
      <c:valAx>
        <c:axId val="-2011131600"/>
        <c:scaling>
          <c:orientation val="minMax"/>
          <c:max val="102.0"/>
          <c:min val="0.0"/>
        </c:scaling>
        <c:delete val="0"/>
        <c:axPos val="b"/>
        <c:title>
          <c:tx>
            <c:rich>
              <a:bodyPr/>
              <a:lstStyle/>
              <a:p>
                <a:pPr>
                  <a:defRPr>
                    <a:latin typeface="Arial" panose="020B0604020202020204" pitchFamily="34" charset="0"/>
                    <a:cs typeface="Arial" panose="020B0604020202020204" pitchFamily="34" charset="0"/>
                  </a:defRPr>
                </a:pPr>
                <a:r>
                  <a:rPr lang="en-US"/>
                  <a:t>Proportion of</a:t>
                </a:r>
                <a:r>
                  <a:rPr lang="en-US" baseline="0"/>
                  <a:t> season (%)</a:t>
                </a:r>
                <a:endParaRPr lang="en-US"/>
              </a:p>
            </c:rich>
          </c:tx>
          <c:layout/>
          <c:overlay val="0"/>
        </c:title>
        <c:numFmt formatCode="General" sourceLinked="1"/>
        <c:majorTickMark val="out"/>
        <c:minorTickMark val="none"/>
        <c:tickLblPos val="nextTo"/>
        <c:crossAx val="-2020534480"/>
        <c:crosses val="autoZero"/>
        <c:crossBetween val="midCat"/>
        <c:majorUnit val="10.0"/>
      </c:valAx>
      <c:valAx>
        <c:axId val="-2020534480"/>
        <c:scaling>
          <c:orientation val="minMax"/>
          <c:max val="102.0"/>
          <c:min val="0.0"/>
        </c:scaling>
        <c:delete val="0"/>
        <c:axPos val="l"/>
        <c:majorGridlines/>
        <c:title>
          <c:tx>
            <c:rich>
              <a:bodyPr rot="-5400000" vert="horz"/>
              <a:lstStyle/>
              <a:p>
                <a:pPr>
                  <a:defRPr>
                    <a:latin typeface="Arial" panose="020B0604020202020204" pitchFamily="34" charset="0"/>
                    <a:cs typeface="Arial" panose="020B0604020202020204" pitchFamily="34" charset="0"/>
                  </a:defRPr>
                </a:pPr>
                <a:r>
                  <a:rPr lang="en-US"/>
                  <a:t>Proportion N uptake (%)</a:t>
                </a:r>
              </a:p>
            </c:rich>
          </c:tx>
          <c:layout/>
          <c:overlay val="0"/>
        </c:title>
        <c:numFmt formatCode="General" sourceLinked="1"/>
        <c:majorTickMark val="out"/>
        <c:minorTickMark val="none"/>
        <c:tickLblPos val="nextTo"/>
        <c:crossAx val="-2011131600"/>
        <c:crosses val="autoZero"/>
        <c:crossBetween val="midCat"/>
      </c:valAx>
    </c:plotArea>
    <c:plotVisOnly val="1"/>
    <c:dispBlanksAs val="gap"/>
    <c:showDLblsOverMax val="0"/>
  </c:chart>
  <c:spPr>
    <a:ln>
      <a:noFill/>
    </a:ln>
  </c:spPr>
  <c:printSettings>
    <c:headerFooter/>
    <c:pageMargins b="0.75" l="0.7" r="0.7" t="0.75" header="0.3" footer="0.3"/>
    <c:pageSetup/>
  </c:printSettings>
  <c:userShapes r:id="rId2"/>
</c:chartSpace>
</file>

<file path=xl/charts/chart3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scatterChart>
        <c:scatterStyle val="lineMarker"/>
        <c:varyColors val="0"/>
        <c:ser>
          <c:idx val="1"/>
          <c:order val="0"/>
          <c:spPr>
            <a:ln w="28575">
              <a:noFill/>
            </a:ln>
          </c:spPr>
          <c:marker>
            <c:symbol val="square"/>
            <c:size val="5"/>
            <c:spPr>
              <a:solidFill>
                <a:srgbClr val="FF0000"/>
              </a:solidFill>
              <a:ln>
                <a:noFill/>
              </a:ln>
            </c:spPr>
          </c:marker>
          <c:trendline>
            <c:trendlineType val="log"/>
            <c:dispRSqr val="0"/>
            <c:dispEq val="0"/>
          </c:trendline>
          <c:xVal>
            <c:numRef>
              <c:f>Rye_Grain!$P$15:$P$41</c:f>
              <c:numCache>
                <c:formatCode>0</c:formatCode>
                <c:ptCount val="27"/>
                <c:pt idx="0">
                  <c:v>0.0</c:v>
                </c:pt>
                <c:pt idx="1">
                  <c:v>37.26415094339622</c:v>
                </c:pt>
                <c:pt idx="2">
                  <c:v>64.62264150943396</c:v>
                </c:pt>
                <c:pt idx="3">
                  <c:v>69.33962264150943</c:v>
                </c:pt>
                <c:pt idx="4">
                  <c:v>71.22641509433963</c:v>
                </c:pt>
                <c:pt idx="5">
                  <c:v>75.94339622641508</c:v>
                </c:pt>
                <c:pt idx="6">
                  <c:v>78.77358490566037</c:v>
                </c:pt>
                <c:pt idx="7">
                  <c:v>93.39622641509434</c:v>
                </c:pt>
                <c:pt idx="8">
                  <c:v>100.0</c:v>
                </c:pt>
                <c:pt idx="9">
                  <c:v>0.0</c:v>
                </c:pt>
                <c:pt idx="10">
                  <c:v>37.26415094339622</c:v>
                </c:pt>
                <c:pt idx="11">
                  <c:v>64.62264150943396</c:v>
                </c:pt>
                <c:pt idx="12">
                  <c:v>69.33962264150943</c:v>
                </c:pt>
                <c:pt idx="13">
                  <c:v>71.22641509433963</c:v>
                </c:pt>
                <c:pt idx="14">
                  <c:v>75.94339622641508</c:v>
                </c:pt>
                <c:pt idx="15">
                  <c:v>78.77358490566037</c:v>
                </c:pt>
                <c:pt idx="16">
                  <c:v>93.39622641509434</c:v>
                </c:pt>
                <c:pt idx="17">
                  <c:v>100.0</c:v>
                </c:pt>
                <c:pt idx="18">
                  <c:v>0.0</c:v>
                </c:pt>
                <c:pt idx="19">
                  <c:v>37.26415094339622</c:v>
                </c:pt>
                <c:pt idx="20">
                  <c:v>64.62264150943396</c:v>
                </c:pt>
                <c:pt idx="21">
                  <c:v>69.33962264150943</c:v>
                </c:pt>
                <c:pt idx="22">
                  <c:v>71.22641509433963</c:v>
                </c:pt>
                <c:pt idx="23">
                  <c:v>75.94339622641508</c:v>
                </c:pt>
                <c:pt idx="24">
                  <c:v>78.77358490566037</c:v>
                </c:pt>
                <c:pt idx="25">
                  <c:v>93.39622641509434</c:v>
                </c:pt>
                <c:pt idx="26">
                  <c:v>100.0</c:v>
                </c:pt>
              </c:numCache>
            </c:numRef>
          </c:xVal>
          <c:yVal>
            <c:numRef>
              <c:f>Rye_Grain!$S$15:$S$41</c:f>
              <c:numCache>
                <c:formatCode>0</c:formatCode>
                <c:ptCount val="27"/>
                <c:pt idx="0">
                  <c:v>0.0</c:v>
                </c:pt>
                <c:pt idx="1">
                  <c:v>11.40776699029126</c:v>
                </c:pt>
                <c:pt idx="2">
                  <c:v>29.12621359223301</c:v>
                </c:pt>
                <c:pt idx="3">
                  <c:v>37.13592233009708</c:v>
                </c:pt>
                <c:pt idx="4">
                  <c:v>38.34951456310679</c:v>
                </c:pt>
                <c:pt idx="5">
                  <c:v>78.64077669902912</c:v>
                </c:pt>
                <c:pt idx="6">
                  <c:v>100.0</c:v>
                </c:pt>
                <c:pt idx="7">
                  <c:v>78.64077669902912</c:v>
                </c:pt>
                <c:pt idx="8">
                  <c:v>65.0485436893204</c:v>
                </c:pt>
                <c:pt idx="9">
                  <c:v>0.0</c:v>
                </c:pt>
                <c:pt idx="10">
                  <c:v>13.81381381381382</c:v>
                </c:pt>
                <c:pt idx="11">
                  <c:v>27.92792792792793</c:v>
                </c:pt>
                <c:pt idx="12">
                  <c:v>28.22822822822823</c:v>
                </c:pt>
                <c:pt idx="13">
                  <c:v>61.56156156156156</c:v>
                </c:pt>
                <c:pt idx="14">
                  <c:v>83.78378378378379</c:v>
                </c:pt>
                <c:pt idx="15">
                  <c:v>100.0</c:v>
                </c:pt>
                <c:pt idx="16">
                  <c:v>94.5945945945946</c:v>
                </c:pt>
                <c:pt idx="17">
                  <c:v>91.59159159159159</c:v>
                </c:pt>
                <c:pt idx="18">
                  <c:v>0.0</c:v>
                </c:pt>
                <c:pt idx="19">
                  <c:v>10.69767441860465</c:v>
                </c:pt>
                <c:pt idx="20">
                  <c:v>13.95348837209302</c:v>
                </c:pt>
                <c:pt idx="21">
                  <c:v>19.06976744186047</c:v>
                </c:pt>
                <c:pt idx="22">
                  <c:v>22.55813953488372</c:v>
                </c:pt>
                <c:pt idx="23">
                  <c:v>53.48837209302326</c:v>
                </c:pt>
                <c:pt idx="24">
                  <c:v>60.46511627906977</c:v>
                </c:pt>
                <c:pt idx="25">
                  <c:v>100.0</c:v>
                </c:pt>
                <c:pt idx="26">
                  <c:v>66.27906976744187</c:v>
                </c:pt>
              </c:numCache>
            </c:numRef>
          </c:yVal>
          <c:smooth val="0"/>
          <c:extLst xmlns:c16r2="http://schemas.microsoft.com/office/drawing/2015/06/chart">
            <c:ext xmlns:c16="http://schemas.microsoft.com/office/drawing/2014/chart" uri="{C3380CC4-5D6E-409C-BE32-E72D297353CC}">
              <c16:uniqueId val="{00000001-66FC-4B30-97EB-00F76E286EDE}"/>
            </c:ext>
          </c:extLst>
        </c:ser>
        <c:dLbls>
          <c:showLegendKey val="0"/>
          <c:showVal val="0"/>
          <c:showCatName val="0"/>
          <c:showSerName val="0"/>
          <c:showPercent val="0"/>
          <c:showBubbleSize val="0"/>
        </c:dLbls>
        <c:axId val="-2016914512"/>
        <c:axId val="-2020094400"/>
      </c:scatterChart>
      <c:valAx>
        <c:axId val="-2016914512"/>
        <c:scaling>
          <c:orientation val="minMax"/>
          <c:max val="102.0"/>
          <c:min val="0.0"/>
        </c:scaling>
        <c:delete val="0"/>
        <c:axPos val="b"/>
        <c:title>
          <c:tx>
            <c:rich>
              <a:bodyPr/>
              <a:lstStyle/>
              <a:p>
                <a:pPr>
                  <a:defRPr>
                    <a:latin typeface="Arial" panose="020B0604020202020204" pitchFamily="34" charset="0"/>
                    <a:cs typeface="Arial" panose="020B0604020202020204" pitchFamily="34" charset="0"/>
                  </a:defRPr>
                </a:pPr>
                <a:r>
                  <a:rPr lang="en-US"/>
                  <a:t>Proportion of season (%)</a:t>
                </a:r>
              </a:p>
            </c:rich>
          </c:tx>
          <c:overlay val="0"/>
        </c:title>
        <c:numFmt formatCode="0" sourceLinked="1"/>
        <c:majorTickMark val="out"/>
        <c:minorTickMark val="none"/>
        <c:tickLblPos val="nextTo"/>
        <c:crossAx val="-2020094400"/>
        <c:crosses val="autoZero"/>
        <c:crossBetween val="midCat"/>
        <c:majorUnit val="10.0"/>
      </c:valAx>
      <c:valAx>
        <c:axId val="-2020094400"/>
        <c:scaling>
          <c:orientation val="minMax"/>
          <c:max val="102.0"/>
          <c:min val="0.0"/>
        </c:scaling>
        <c:delete val="0"/>
        <c:axPos val="l"/>
        <c:majorGridlines/>
        <c:title>
          <c:tx>
            <c:rich>
              <a:bodyPr rot="-5400000" vert="horz"/>
              <a:lstStyle/>
              <a:p>
                <a:pPr>
                  <a:defRPr>
                    <a:latin typeface="Arial" panose="020B0604020202020204" pitchFamily="34" charset="0"/>
                    <a:cs typeface="Arial" panose="020B0604020202020204" pitchFamily="34" charset="0"/>
                  </a:defRPr>
                </a:pPr>
                <a:r>
                  <a:rPr lang="en-US"/>
                  <a:t>Proportion of N uptake (%)</a:t>
                </a:r>
              </a:p>
            </c:rich>
          </c:tx>
          <c:overlay val="0"/>
        </c:title>
        <c:numFmt formatCode="0" sourceLinked="1"/>
        <c:majorTickMark val="out"/>
        <c:minorTickMark val="none"/>
        <c:tickLblPos val="nextTo"/>
        <c:crossAx val="-2016914512"/>
        <c:crosses val="autoZero"/>
        <c:crossBetween val="midCat"/>
      </c:valAx>
      <c:spPr>
        <a:noFill/>
        <a:ln w="25400">
          <a:noFill/>
        </a:ln>
      </c:spPr>
    </c:plotArea>
    <c:plotVisOnly val="1"/>
    <c:dispBlanksAs val="gap"/>
    <c:showDLblsOverMax val="0"/>
  </c:chart>
  <c:spPr>
    <a:ln>
      <a:noFill/>
    </a:ln>
  </c:spPr>
  <c:printSettings>
    <c:headerFooter/>
    <c:pageMargins b="0.75" l="0.7" r="0.7" t="0.75" header="0.3" footer="0.3"/>
    <c:pageSetup/>
  </c:printSettings>
  <c:userShapes r:id="rId2"/>
</c:chartSpace>
</file>

<file path=xl/charts/chart3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scatterChart>
        <c:scatterStyle val="lineMarker"/>
        <c:varyColors val="0"/>
        <c:dLbls>
          <c:showLegendKey val="0"/>
          <c:showVal val="0"/>
          <c:showCatName val="0"/>
          <c:showSerName val="0"/>
          <c:showPercent val="0"/>
          <c:showBubbleSize val="0"/>
        </c:dLbls>
        <c:axId val="-2016576960"/>
        <c:axId val="-2019736080"/>
      </c:scatterChart>
      <c:valAx>
        <c:axId val="-2016576960"/>
        <c:scaling>
          <c:orientation val="minMax"/>
          <c:max val="102.0"/>
          <c:min val="0.0"/>
        </c:scaling>
        <c:delete val="0"/>
        <c:axPos val="b"/>
        <c:title>
          <c:tx>
            <c:rich>
              <a:bodyPr/>
              <a:lstStyle/>
              <a:p>
                <a:pPr>
                  <a:defRPr>
                    <a:latin typeface="Arial" panose="020B0604020202020204" pitchFamily="34" charset="0"/>
                    <a:cs typeface="Arial" panose="020B0604020202020204" pitchFamily="34" charset="0"/>
                  </a:defRPr>
                </a:pPr>
                <a:r>
                  <a:rPr lang="en-US"/>
                  <a:t>Proportion of season (%)</a:t>
                </a:r>
              </a:p>
            </c:rich>
          </c:tx>
          <c:layout/>
          <c:overlay val="0"/>
        </c:title>
        <c:numFmt formatCode="General" sourceLinked="1"/>
        <c:majorTickMark val="out"/>
        <c:minorTickMark val="none"/>
        <c:tickLblPos val="nextTo"/>
        <c:crossAx val="-2019736080"/>
        <c:crosses val="autoZero"/>
        <c:crossBetween val="midCat"/>
        <c:majorUnit val="10.0"/>
      </c:valAx>
      <c:valAx>
        <c:axId val="-2019736080"/>
        <c:scaling>
          <c:orientation val="minMax"/>
          <c:max val="102.0"/>
          <c:min val="0.0"/>
        </c:scaling>
        <c:delete val="0"/>
        <c:axPos val="l"/>
        <c:majorGridlines/>
        <c:title>
          <c:tx>
            <c:rich>
              <a:bodyPr rot="-5400000" vert="horz"/>
              <a:lstStyle/>
              <a:p>
                <a:pPr>
                  <a:defRPr>
                    <a:latin typeface="Arial" panose="020B0604020202020204" pitchFamily="34" charset="0"/>
                    <a:cs typeface="Arial" panose="020B0604020202020204" pitchFamily="34" charset="0"/>
                  </a:defRPr>
                </a:pPr>
                <a:r>
                  <a:rPr lang="en-US"/>
                  <a:t>Proportion of N uptake (%)</a:t>
                </a:r>
              </a:p>
            </c:rich>
          </c:tx>
          <c:layout/>
          <c:overlay val="0"/>
        </c:title>
        <c:numFmt formatCode="General" sourceLinked="1"/>
        <c:majorTickMark val="out"/>
        <c:minorTickMark val="none"/>
        <c:tickLblPos val="nextTo"/>
        <c:crossAx val="-2016576960"/>
        <c:crosses val="autoZero"/>
        <c:crossBetween val="midCat"/>
      </c:valAx>
    </c:plotArea>
    <c:plotVisOnly val="1"/>
    <c:dispBlanksAs val="gap"/>
    <c:showDLblsOverMax val="0"/>
  </c:chart>
  <c:spPr>
    <a:ln>
      <a:noFill/>
    </a:ln>
  </c:spPr>
  <c:printSettings>
    <c:headerFooter/>
    <c:pageMargins b="0.75" l="0.7" r="0.7" t="0.75" header="0.3" footer="0.3"/>
    <c:pageSetup/>
  </c:printSettings>
  <c:userShapes r:id="rId2"/>
</c:chartSpace>
</file>

<file path=xl/charts/chart3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scatterChart>
        <c:scatterStyle val="lineMarker"/>
        <c:varyColors val="0"/>
        <c:ser>
          <c:idx val="1"/>
          <c:order val="0"/>
          <c:spPr>
            <a:ln w="28575">
              <a:noFill/>
            </a:ln>
          </c:spPr>
          <c:marker>
            <c:symbol val="square"/>
            <c:size val="5"/>
            <c:spPr>
              <a:solidFill>
                <a:srgbClr val="FF0000"/>
              </a:solidFill>
              <a:ln>
                <a:noFill/>
              </a:ln>
            </c:spPr>
          </c:marker>
          <c:trendline>
            <c:trendlineType val="log"/>
            <c:dispRSqr val="0"/>
            <c:dispEq val="0"/>
          </c:trendline>
          <c:xVal>
            <c:numRef>
              <c:f>Triticale_Grain!$P$5:$P$31</c:f>
              <c:numCache>
                <c:formatCode>0</c:formatCode>
                <c:ptCount val="27"/>
                <c:pt idx="0">
                  <c:v>0.0</c:v>
                </c:pt>
                <c:pt idx="1">
                  <c:v>22.16981132075472</c:v>
                </c:pt>
                <c:pt idx="2">
                  <c:v>43.39622641509434</c:v>
                </c:pt>
                <c:pt idx="3">
                  <c:v>50.9433962264151</c:v>
                </c:pt>
                <c:pt idx="4">
                  <c:v>66.50943396226415</c:v>
                </c:pt>
                <c:pt idx="5">
                  <c:v>71.22641509433963</c:v>
                </c:pt>
                <c:pt idx="6">
                  <c:v>78.77358490566037</c:v>
                </c:pt>
                <c:pt idx="7">
                  <c:v>93.39622641509434</c:v>
                </c:pt>
                <c:pt idx="8">
                  <c:v>100.0</c:v>
                </c:pt>
                <c:pt idx="9">
                  <c:v>0.0</c:v>
                </c:pt>
                <c:pt idx="10">
                  <c:v>22.16981132075472</c:v>
                </c:pt>
                <c:pt idx="11">
                  <c:v>43.39622641509434</c:v>
                </c:pt>
                <c:pt idx="12">
                  <c:v>50.9433962264151</c:v>
                </c:pt>
                <c:pt idx="13">
                  <c:v>66.50943396226415</c:v>
                </c:pt>
                <c:pt idx="14">
                  <c:v>71.22641509433963</c:v>
                </c:pt>
                <c:pt idx="15">
                  <c:v>78.77358490566037</c:v>
                </c:pt>
                <c:pt idx="16">
                  <c:v>93.39622641509434</c:v>
                </c:pt>
                <c:pt idx="17">
                  <c:v>100.0</c:v>
                </c:pt>
                <c:pt idx="18">
                  <c:v>0.0</c:v>
                </c:pt>
                <c:pt idx="19">
                  <c:v>22.16981132075472</c:v>
                </c:pt>
                <c:pt idx="20">
                  <c:v>43.39622641509434</c:v>
                </c:pt>
                <c:pt idx="21">
                  <c:v>50.9433962264151</c:v>
                </c:pt>
                <c:pt idx="22">
                  <c:v>66.50943396226415</c:v>
                </c:pt>
                <c:pt idx="23">
                  <c:v>71.22641509433963</c:v>
                </c:pt>
                <c:pt idx="24">
                  <c:v>78.77358490566037</c:v>
                </c:pt>
                <c:pt idx="25">
                  <c:v>93.39622641509434</c:v>
                </c:pt>
                <c:pt idx="26">
                  <c:v>100.0</c:v>
                </c:pt>
              </c:numCache>
            </c:numRef>
          </c:xVal>
          <c:yVal>
            <c:numRef>
              <c:f>Triticale_Grain!$S$5:$S$31</c:f>
              <c:numCache>
                <c:formatCode>0</c:formatCode>
                <c:ptCount val="27"/>
                <c:pt idx="0">
                  <c:v>0.0</c:v>
                </c:pt>
                <c:pt idx="1">
                  <c:v>11.99226305609285</c:v>
                </c:pt>
                <c:pt idx="2">
                  <c:v>34.81624758220503</c:v>
                </c:pt>
                <c:pt idx="3">
                  <c:v>34.42940038684721</c:v>
                </c:pt>
                <c:pt idx="4">
                  <c:v>41.58607350096712</c:v>
                </c:pt>
                <c:pt idx="5">
                  <c:v>86.84719535783367</c:v>
                </c:pt>
                <c:pt idx="6">
                  <c:v>100.0</c:v>
                </c:pt>
                <c:pt idx="7">
                  <c:v>68.27852998065763</c:v>
                </c:pt>
                <c:pt idx="8">
                  <c:v>69.24564796905224</c:v>
                </c:pt>
                <c:pt idx="9">
                  <c:v>0.0</c:v>
                </c:pt>
                <c:pt idx="10">
                  <c:v>15.0</c:v>
                </c:pt>
                <c:pt idx="11">
                  <c:v>26.0</c:v>
                </c:pt>
                <c:pt idx="12">
                  <c:v>29</c:v>
                </c:pt>
                <c:pt idx="13">
                  <c:v>49.5</c:v>
                </c:pt>
                <c:pt idx="15">
                  <c:v>100.0</c:v>
                </c:pt>
                <c:pt idx="17">
                  <c:v>85.25</c:v>
                </c:pt>
                <c:pt idx="18">
                  <c:v>0.0</c:v>
                </c:pt>
                <c:pt idx="19">
                  <c:v>18.09523809523809</c:v>
                </c:pt>
                <c:pt idx="20">
                  <c:v>26.66666666666667</c:v>
                </c:pt>
                <c:pt idx="21">
                  <c:v>32.06349206349206</c:v>
                </c:pt>
                <c:pt idx="22">
                  <c:v>42.22222222222222</c:v>
                </c:pt>
                <c:pt idx="23">
                  <c:v>54.28571428571428</c:v>
                </c:pt>
                <c:pt idx="24">
                  <c:v>76.82539682539684</c:v>
                </c:pt>
                <c:pt idx="25">
                  <c:v>100.0</c:v>
                </c:pt>
                <c:pt idx="26">
                  <c:v>92.06349206349206</c:v>
                </c:pt>
              </c:numCache>
            </c:numRef>
          </c:yVal>
          <c:smooth val="0"/>
          <c:extLst xmlns:c16r2="http://schemas.microsoft.com/office/drawing/2015/06/chart">
            <c:ext xmlns:c16="http://schemas.microsoft.com/office/drawing/2014/chart" uri="{C3380CC4-5D6E-409C-BE32-E72D297353CC}">
              <c16:uniqueId val="{00000001-9BC5-4D5E-B0A8-3FFDA7A5DE2B}"/>
            </c:ext>
          </c:extLst>
        </c:ser>
        <c:ser>
          <c:idx val="0"/>
          <c:order val="1"/>
          <c:spPr>
            <a:ln w="28575">
              <a:noFill/>
            </a:ln>
          </c:spPr>
          <c:xVal>
            <c:numRef>
              <c:f>Triticale_Grain!$P$5:$P$13</c:f>
              <c:numCache>
                <c:formatCode>0</c:formatCode>
                <c:ptCount val="9"/>
                <c:pt idx="0">
                  <c:v>0.0</c:v>
                </c:pt>
                <c:pt idx="1">
                  <c:v>22.16981132075472</c:v>
                </c:pt>
                <c:pt idx="2">
                  <c:v>43.39622641509434</c:v>
                </c:pt>
                <c:pt idx="3">
                  <c:v>50.9433962264151</c:v>
                </c:pt>
                <c:pt idx="4">
                  <c:v>66.50943396226415</c:v>
                </c:pt>
                <c:pt idx="5">
                  <c:v>71.22641509433963</c:v>
                </c:pt>
                <c:pt idx="6">
                  <c:v>78.77358490566037</c:v>
                </c:pt>
                <c:pt idx="7">
                  <c:v>93.39622641509434</c:v>
                </c:pt>
                <c:pt idx="8">
                  <c:v>100.0</c:v>
                </c:pt>
              </c:numCache>
            </c:numRef>
          </c:xVal>
          <c:yVal>
            <c:numRef>
              <c:f>Triticale_Grain!$S$5:$S$13</c:f>
              <c:numCache>
                <c:formatCode>0</c:formatCode>
                <c:ptCount val="9"/>
                <c:pt idx="0">
                  <c:v>0.0</c:v>
                </c:pt>
                <c:pt idx="1">
                  <c:v>11.99226305609285</c:v>
                </c:pt>
                <c:pt idx="2">
                  <c:v>34.81624758220503</c:v>
                </c:pt>
                <c:pt idx="3">
                  <c:v>34.42940038684721</c:v>
                </c:pt>
                <c:pt idx="4">
                  <c:v>41.58607350096712</c:v>
                </c:pt>
                <c:pt idx="5">
                  <c:v>86.84719535783367</c:v>
                </c:pt>
                <c:pt idx="6">
                  <c:v>100.0</c:v>
                </c:pt>
                <c:pt idx="7">
                  <c:v>68.27852998065763</c:v>
                </c:pt>
                <c:pt idx="8">
                  <c:v>69.24564796905224</c:v>
                </c:pt>
              </c:numCache>
            </c:numRef>
          </c:yVal>
          <c:smooth val="0"/>
          <c:extLst xmlns:c16r2="http://schemas.microsoft.com/office/drawing/2015/06/chart">
            <c:ext xmlns:c16="http://schemas.microsoft.com/office/drawing/2014/chart" uri="{C3380CC4-5D6E-409C-BE32-E72D297353CC}">
              <c16:uniqueId val="{00000002-9BC5-4D5E-B0A8-3FFDA7A5DE2B}"/>
            </c:ext>
          </c:extLst>
        </c:ser>
        <c:ser>
          <c:idx val="2"/>
          <c:order val="2"/>
          <c:spPr>
            <a:ln w="28575">
              <a:noFill/>
            </a:ln>
          </c:spPr>
          <c:xVal>
            <c:numRef>
              <c:f>Triticale_Grain!$P$14:$P$22</c:f>
              <c:numCache>
                <c:formatCode>0</c:formatCode>
                <c:ptCount val="9"/>
                <c:pt idx="0">
                  <c:v>0.0</c:v>
                </c:pt>
                <c:pt idx="1">
                  <c:v>22.16981132075472</c:v>
                </c:pt>
                <c:pt idx="2">
                  <c:v>43.39622641509434</c:v>
                </c:pt>
                <c:pt idx="3">
                  <c:v>50.9433962264151</c:v>
                </c:pt>
                <c:pt idx="4">
                  <c:v>66.50943396226415</c:v>
                </c:pt>
                <c:pt idx="5">
                  <c:v>71.22641509433963</c:v>
                </c:pt>
                <c:pt idx="6">
                  <c:v>78.77358490566037</c:v>
                </c:pt>
                <c:pt idx="7">
                  <c:v>93.39622641509434</c:v>
                </c:pt>
                <c:pt idx="8">
                  <c:v>100.0</c:v>
                </c:pt>
              </c:numCache>
            </c:numRef>
          </c:xVal>
          <c:yVal>
            <c:numRef>
              <c:f>Triticale_Grain!$S$14:$S$22</c:f>
              <c:numCache>
                <c:formatCode>0</c:formatCode>
                <c:ptCount val="9"/>
                <c:pt idx="0">
                  <c:v>0.0</c:v>
                </c:pt>
                <c:pt idx="1">
                  <c:v>15.0</c:v>
                </c:pt>
                <c:pt idx="2">
                  <c:v>26.0</c:v>
                </c:pt>
                <c:pt idx="3">
                  <c:v>29</c:v>
                </c:pt>
                <c:pt idx="4">
                  <c:v>49.5</c:v>
                </c:pt>
                <c:pt idx="6">
                  <c:v>100.0</c:v>
                </c:pt>
                <c:pt idx="8">
                  <c:v>85.25</c:v>
                </c:pt>
              </c:numCache>
            </c:numRef>
          </c:yVal>
          <c:smooth val="0"/>
          <c:extLst xmlns:c16r2="http://schemas.microsoft.com/office/drawing/2015/06/chart">
            <c:ext xmlns:c16="http://schemas.microsoft.com/office/drawing/2014/chart" uri="{C3380CC4-5D6E-409C-BE32-E72D297353CC}">
              <c16:uniqueId val="{00000003-9BC5-4D5E-B0A8-3FFDA7A5DE2B}"/>
            </c:ext>
          </c:extLst>
        </c:ser>
        <c:ser>
          <c:idx val="3"/>
          <c:order val="3"/>
          <c:spPr>
            <a:ln w="28575">
              <a:noFill/>
            </a:ln>
          </c:spPr>
          <c:xVal>
            <c:numRef>
              <c:f>Triticale_Grain!$P$23:$P$31</c:f>
              <c:numCache>
                <c:formatCode>0</c:formatCode>
                <c:ptCount val="9"/>
                <c:pt idx="0">
                  <c:v>0.0</c:v>
                </c:pt>
                <c:pt idx="1">
                  <c:v>22.16981132075472</c:v>
                </c:pt>
                <c:pt idx="2">
                  <c:v>43.39622641509434</c:v>
                </c:pt>
                <c:pt idx="3">
                  <c:v>50.9433962264151</c:v>
                </c:pt>
                <c:pt idx="4">
                  <c:v>66.50943396226415</c:v>
                </c:pt>
                <c:pt idx="5">
                  <c:v>71.22641509433963</c:v>
                </c:pt>
                <c:pt idx="6">
                  <c:v>78.77358490566037</c:v>
                </c:pt>
                <c:pt idx="7">
                  <c:v>93.39622641509434</c:v>
                </c:pt>
                <c:pt idx="8">
                  <c:v>100.0</c:v>
                </c:pt>
              </c:numCache>
            </c:numRef>
          </c:xVal>
          <c:yVal>
            <c:numRef>
              <c:f>Triticale_Grain!$S$23:$S$31</c:f>
              <c:numCache>
                <c:formatCode>0</c:formatCode>
                <c:ptCount val="9"/>
                <c:pt idx="0">
                  <c:v>0.0</c:v>
                </c:pt>
                <c:pt idx="1">
                  <c:v>18.09523809523809</c:v>
                </c:pt>
                <c:pt idx="2">
                  <c:v>26.66666666666667</c:v>
                </c:pt>
                <c:pt idx="3">
                  <c:v>32.06349206349206</c:v>
                </c:pt>
                <c:pt idx="4">
                  <c:v>42.22222222222222</c:v>
                </c:pt>
                <c:pt idx="5">
                  <c:v>54.28571428571428</c:v>
                </c:pt>
                <c:pt idx="6">
                  <c:v>76.82539682539684</c:v>
                </c:pt>
                <c:pt idx="7">
                  <c:v>100.0</c:v>
                </c:pt>
                <c:pt idx="8">
                  <c:v>92.06349206349206</c:v>
                </c:pt>
              </c:numCache>
            </c:numRef>
          </c:yVal>
          <c:smooth val="0"/>
          <c:extLst xmlns:c16r2="http://schemas.microsoft.com/office/drawing/2015/06/chart">
            <c:ext xmlns:c16="http://schemas.microsoft.com/office/drawing/2014/chart" uri="{C3380CC4-5D6E-409C-BE32-E72D297353CC}">
              <c16:uniqueId val="{00000004-9BC5-4D5E-B0A8-3FFDA7A5DE2B}"/>
            </c:ext>
          </c:extLst>
        </c:ser>
        <c:dLbls>
          <c:showLegendKey val="0"/>
          <c:showVal val="0"/>
          <c:showCatName val="0"/>
          <c:showSerName val="0"/>
          <c:showPercent val="0"/>
          <c:showBubbleSize val="0"/>
        </c:dLbls>
        <c:axId val="-2012527776"/>
        <c:axId val="1805127632"/>
      </c:scatterChart>
      <c:valAx>
        <c:axId val="-2012527776"/>
        <c:scaling>
          <c:orientation val="minMax"/>
          <c:max val="102.0"/>
          <c:min val="0.0"/>
        </c:scaling>
        <c:delete val="0"/>
        <c:axPos val="b"/>
        <c:title>
          <c:tx>
            <c:rich>
              <a:bodyPr/>
              <a:lstStyle/>
              <a:p>
                <a:pPr>
                  <a:defRPr>
                    <a:latin typeface="Arial" panose="020B0604020202020204" pitchFamily="34" charset="0"/>
                    <a:cs typeface="Arial" panose="020B0604020202020204" pitchFamily="34" charset="0"/>
                  </a:defRPr>
                </a:pPr>
                <a:r>
                  <a:rPr lang="en-US"/>
                  <a:t>Proportion of season (%)</a:t>
                </a:r>
              </a:p>
            </c:rich>
          </c:tx>
          <c:layout/>
          <c:overlay val="0"/>
        </c:title>
        <c:numFmt formatCode="0" sourceLinked="1"/>
        <c:majorTickMark val="out"/>
        <c:minorTickMark val="none"/>
        <c:tickLblPos val="nextTo"/>
        <c:crossAx val="1805127632"/>
        <c:crosses val="autoZero"/>
        <c:crossBetween val="midCat"/>
        <c:majorUnit val="10.0"/>
      </c:valAx>
      <c:valAx>
        <c:axId val="1805127632"/>
        <c:scaling>
          <c:orientation val="minMax"/>
          <c:max val="102.0"/>
          <c:min val="0.0"/>
        </c:scaling>
        <c:delete val="0"/>
        <c:axPos val="l"/>
        <c:majorGridlines/>
        <c:title>
          <c:tx>
            <c:rich>
              <a:bodyPr rot="-5400000" vert="horz"/>
              <a:lstStyle/>
              <a:p>
                <a:pPr>
                  <a:defRPr>
                    <a:latin typeface="Arial" panose="020B0604020202020204" pitchFamily="34" charset="0"/>
                    <a:cs typeface="Arial" panose="020B0604020202020204" pitchFamily="34" charset="0"/>
                  </a:defRPr>
                </a:pPr>
                <a:r>
                  <a:rPr lang="en-US"/>
                  <a:t>Proportion</a:t>
                </a:r>
                <a:r>
                  <a:rPr lang="en-US" baseline="0"/>
                  <a:t> of N uptake (%)</a:t>
                </a:r>
                <a:endParaRPr lang="en-US"/>
              </a:p>
            </c:rich>
          </c:tx>
          <c:layout/>
          <c:overlay val="0"/>
        </c:title>
        <c:numFmt formatCode="0" sourceLinked="1"/>
        <c:majorTickMark val="out"/>
        <c:minorTickMark val="none"/>
        <c:tickLblPos val="nextTo"/>
        <c:crossAx val="-2012527776"/>
        <c:crosses val="autoZero"/>
        <c:crossBetween val="midCat"/>
      </c:valAx>
    </c:plotArea>
    <c:plotVisOnly val="1"/>
    <c:dispBlanksAs val="gap"/>
    <c:showDLblsOverMax val="0"/>
  </c:chart>
  <c:spPr>
    <a:ln>
      <a:noFill/>
    </a:ln>
  </c:spPr>
  <c:printSettings>
    <c:headerFooter/>
    <c:pageMargins b="0.75" l="0.7" r="0.7" t="0.75" header="0.3" footer="0.3"/>
    <c:pageSetup/>
  </c:printSettings>
  <c:userShapes r:id="rId2"/>
</c:chartSpace>
</file>

<file path=xl/charts/chart3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scatterChart>
        <c:scatterStyle val="lineMarker"/>
        <c:varyColors val="0"/>
        <c:dLbls>
          <c:showLegendKey val="0"/>
          <c:showVal val="0"/>
          <c:showCatName val="0"/>
          <c:showSerName val="0"/>
          <c:showPercent val="0"/>
          <c:showBubbleSize val="0"/>
        </c:dLbls>
        <c:axId val="1805324128"/>
        <c:axId val="1805329328"/>
      </c:scatterChart>
      <c:valAx>
        <c:axId val="1805324128"/>
        <c:scaling>
          <c:orientation val="minMax"/>
          <c:max val="102.0"/>
          <c:min val="0.0"/>
        </c:scaling>
        <c:delete val="0"/>
        <c:axPos val="b"/>
        <c:title>
          <c:tx>
            <c:rich>
              <a:bodyPr/>
              <a:lstStyle/>
              <a:p>
                <a:pPr>
                  <a:defRPr>
                    <a:latin typeface="Arial" panose="020B0604020202020204" pitchFamily="34" charset="0"/>
                    <a:cs typeface="Arial" panose="020B0604020202020204" pitchFamily="34" charset="0"/>
                  </a:defRPr>
                </a:pPr>
                <a:r>
                  <a:rPr lang="en-US"/>
                  <a:t>Proportion of season (%)</a:t>
                </a:r>
              </a:p>
            </c:rich>
          </c:tx>
          <c:layout/>
          <c:overlay val="0"/>
        </c:title>
        <c:numFmt formatCode="General" sourceLinked="1"/>
        <c:majorTickMark val="out"/>
        <c:minorTickMark val="none"/>
        <c:tickLblPos val="nextTo"/>
        <c:crossAx val="1805329328"/>
        <c:crosses val="autoZero"/>
        <c:crossBetween val="midCat"/>
        <c:majorUnit val="10.0"/>
      </c:valAx>
      <c:valAx>
        <c:axId val="1805329328"/>
        <c:scaling>
          <c:orientation val="minMax"/>
          <c:max val="102.0"/>
          <c:min val="0.0"/>
        </c:scaling>
        <c:delete val="0"/>
        <c:axPos val="l"/>
        <c:majorGridlines/>
        <c:title>
          <c:tx>
            <c:rich>
              <a:bodyPr rot="-5400000" vert="horz"/>
              <a:lstStyle/>
              <a:p>
                <a:pPr>
                  <a:defRPr>
                    <a:latin typeface="Arial" panose="020B0604020202020204" pitchFamily="34" charset="0"/>
                    <a:cs typeface="Arial" panose="020B0604020202020204" pitchFamily="34" charset="0"/>
                  </a:defRPr>
                </a:pPr>
                <a:r>
                  <a:rPr lang="en-US"/>
                  <a:t>Proportion of N uptake (%)</a:t>
                </a:r>
              </a:p>
            </c:rich>
          </c:tx>
          <c:layout/>
          <c:overlay val="0"/>
        </c:title>
        <c:numFmt formatCode="General" sourceLinked="1"/>
        <c:majorTickMark val="out"/>
        <c:minorTickMark val="none"/>
        <c:tickLblPos val="nextTo"/>
        <c:crossAx val="1805324128"/>
        <c:crosses val="autoZero"/>
        <c:crossBetween val="midCat"/>
      </c:valAx>
    </c:plotArea>
    <c:plotVisOnly val="1"/>
    <c:dispBlanksAs val="gap"/>
    <c:showDLblsOverMax val="0"/>
  </c:chart>
  <c:spPr>
    <a:ln>
      <a:noFill/>
    </a:ln>
  </c:spPr>
  <c:printSettings>
    <c:headerFooter/>
    <c:pageMargins b="0.75" l="0.7" r="0.7" t="0.75" header="0.3" footer="0.3"/>
    <c:pageSetup/>
  </c:printSettings>
  <c:userShapes r:id="rId2"/>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Spring</c:v>
          </c:tx>
          <c:spPr>
            <a:ln w="28575">
              <a:noFill/>
            </a:ln>
          </c:spPr>
          <c:xVal>
            <c:numRef>
              <c:f>(Cucumber!$M$5:$M$19,Cucumber!$M$35:$M$49,Cucumber!$M$65:$M$71)</c:f>
              <c:numCache>
                <c:formatCode>0</c:formatCode>
                <c:ptCount val="37"/>
                <c:pt idx="0">
                  <c:v>0.0</c:v>
                </c:pt>
                <c:pt idx="1">
                  <c:v>41.00719424460431</c:v>
                </c:pt>
                <c:pt idx="2">
                  <c:v>69.06474820143885</c:v>
                </c:pt>
                <c:pt idx="3">
                  <c:v>84.89208633093524</c:v>
                </c:pt>
                <c:pt idx="4">
                  <c:v>100.0</c:v>
                </c:pt>
                <c:pt idx="5">
                  <c:v>0.0</c:v>
                </c:pt>
                <c:pt idx="6">
                  <c:v>41.00719424460431</c:v>
                </c:pt>
                <c:pt idx="7">
                  <c:v>69.06474820143885</c:v>
                </c:pt>
                <c:pt idx="8">
                  <c:v>84.89208633093524</c:v>
                </c:pt>
                <c:pt idx="9">
                  <c:v>100.0</c:v>
                </c:pt>
                <c:pt idx="10">
                  <c:v>0.0</c:v>
                </c:pt>
                <c:pt idx="11">
                  <c:v>41.00719424460431</c:v>
                </c:pt>
                <c:pt idx="12">
                  <c:v>69.06474820143885</c:v>
                </c:pt>
                <c:pt idx="13">
                  <c:v>84.89208633093524</c:v>
                </c:pt>
                <c:pt idx="14">
                  <c:v>100.0</c:v>
                </c:pt>
                <c:pt idx="15">
                  <c:v>0.0</c:v>
                </c:pt>
                <c:pt idx="16">
                  <c:v>36.52173913043478</c:v>
                </c:pt>
                <c:pt idx="17">
                  <c:v>62.02898550724637</c:v>
                </c:pt>
                <c:pt idx="18">
                  <c:v>81.15942028985506</c:v>
                </c:pt>
                <c:pt idx="19">
                  <c:v>100.0</c:v>
                </c:pt>
                <c:pt idx="20">
                  <c:v>0.0</c:v>
                </c:pt>
                <c:pt idx="21">
                  <c:v>36.52173913043478</c:v>
                </c:pt>
                <c:pt idx="22">
                  <c:v>62.02898550724637</c:v>
                </c:pt>
                <c:pt idx="23">
                  <c:v>81.15942028985506</c:v>
                </c:pt>
                <c:pt idx="24">
                  <c:v>100.0</c:v>
                </c:pt>
                <c:pt idx="25">
                  <c:v>0.0</c:v>
                </c:pt>
                <c:pt idx="26">
                  <c:v>36.52173913043478</c:v>
                </c:pt>
                <c:pt idx="27">
                  <c:v>62.02898550724637</c:v>
                </c:pt>
                <c:pt idx="28">
                  <c:v>81.15942028985506</c:v>
                </c:pt>
                <c:pt idx="29">
                  <c:v>100.0</c:v>
                </c:pt>
                <c:pt idx="30">
                  <c:v>0.0</c:v>
                </c:pt>
                <c:pt idx="31">
                  <c:v>17.64705882352941</c:v>
                </c:pt>
                <c:pt idx="32">
                  <c:v>33.87423935091277</c:v>
                </c:pt>
                <c:pt idx="33">
                  <c:v>50.30425963488844</c:v>
                </c:pt>
                <c:pt idx="34">
                  <c:v>66.53144016227179</c:v>
                </c:pt>
                <c:pt idx="35">
                  <c:v>83.36713995943205</c:v>
                </c:pt>
                <c:pt idx="36">
                  <c:v>100.0</c:v>
                </c:pt>
              </c:numCache>
            </c:numRef>
          </c:xVal>
          <c:yVal>
            <c:numRef>
              <c:f>(Cucumber!$P$5:$P$19,Cucumber!$P$35:$P$49,Cucumber!$P$65:$P$71)</c:f>
              <c:numCache>
                <c:formatCode>0</c:formatCode>
                <c:ptCount val="37"/>
                <c:pt idx="0">
                  <c:v>0.0</c:v>
                </c:pt>
                <c:pt idx="1">
                  <c:v>15.8273381294964</c:v>
                </c:pt>
                <c:pt idx="2">
                  <c:v>49.64028776978417</c:v>
                </c:pt>
                <c:pt idx="3">
                  <c:v>84.89208633093526</c:v>
                </c:pt>
                <c:pt idx="4">
                  <c:v>100.0</c:v>
                </c:pt>
                <c:pt idx="5">
                  <c:v>0.0</c:v>
                </c:pt>
                <c:pt idx="6">
                  <c:v>12.15469613259669</c:v>
                </c:pt>
                <c:pt idx="7">
                  <c:v>48.61878453038674</c:v>
                </c:pt>
                <c:pt idx="8">
                  <c:v>76.24309392265192</c:v>
                </c:pt>
                <c:pt idx="9">
                  <c:v>100.0</c:v>
                </c:pt>
                <c:pt idx="10">
                  <c:v>0.0</c:v>
                </c:pt>
                <c:pt idx="11">
                  <c:v>13.58024691358025</c:v>
                </c:pt>
                <c:pt idx="12">
                  <c:v>51.23456790123456</c:v>
                </c:pt>
                <c:pt idx="13">
                  <c:v>88.27160493827157</c:v>
                </c:pt>
                <c:pt idx="14">
                  <c:v>100.0</c:v>
                </c:pt>
                <c:pt idx="15">
                  <c:v>0.0</c:v>
                </c:pt>
                <c:pt idx="16">
                  <c:v>23.59550561797753</c:v>
                </c:pt>
                <c:pt idx="17">
                  <c:v>59.55056179775281</c:v>
                </c:pt>
                <c:pt idx="18">
                  <c:v>75.28089887640449</c:v>
                </c:pt>
                <c:pt idx="19">
                  <c:v>100.0</c:v>
                </c:pt>
                <c:pt idx="20">
                  <c:v>0.0</c:v>
                </c:pt>
                <c:pt idx="21">
                  <c:v>20.91503267973856</c:v>
                </c:pt>
                <c:pt idx="22">
                  <c:v>69.9346405228758</c:v>
                </c:pt>
                <c:pt idx="23">
                  <c:v>85.62091503267973</c:v>
                </c:pt>
                <c:pt idx="24">
                  <c:v>100.0</c:v>
                </c:pt>
                <c:pt idx="25">
                  <c:v>0.0</c:v>
                </c:pt>
                <c:pt idx="26">
                  <c:v>13.20754716981132</c:v>
                </c:pt>
                <c:pt idx="27">
                  <c:v>70.44025157232704</c:v>
                </c:pt>
                <c:pt idx="28">
                  <c:v>82.38993710691823</c:v>
                </c:pt>
                <c:pt idx="29">
                  <c:v>100.0</c:v>
                </c:pt>
                <c:pt idx="30">
                  <c:v>0.0</c:v>
                </c:pt>
                <c:pt idx="31">
                  <c:v>1.160092807424594</c:v>
                </c:pt>
                <c:pt idx="32">
                  <c:v>3.712296983758701</c:v>
                </c:pt>
                <c:pt idx="33">
                  <c:v>20.88167053364269</c:v>
                </c:pt>
                <c:pt idx="34">
                  <c:v>47.09976798143851</c:v>
                </c:pt>
                <c:pt idx="35">
                  <c:v>79.35034802784223</c:v>
                </c:pt>
                <c:pt idx="36">
                  <c:v>100.0</c:v>
                </c:pt>
              </c:numCache>
            </c:numRef>
          </c:yVal>
          <c:smooth val="0"/>
          <c:extLst xmlns:c16r2="http://schemas.microsoft.com/office/drawing/2015/06/chart">
            <c:ext xmlns:c16="http://schemas.microsoft.com/office/drawing/2014/chart" uri="{C3380CC4-5D6E-409C-BE32-E72D297353CC}">
              <c16:uniqueId val="{00000000-5CF3-4D03-9EA7-128F52A7974C}"/>
            </c:ext>
          </c:extLst>
        </c:ser>
        <c:dLbls>
          <c:showLegendKey val="0"/>
          <c:showVal val="0"/>
          <c:showCatName val="0"/>
          <c:showSerName val="0"/>
          <c:showPercent val="0"/>
          <c:showBubbleSize val="0"/>
        </c:dLbls>
        <c:axId val="-2008069744"/>
        <c:axId val="-2012957232"/>
      </c:scatterChart>
      <c:valAx>
        <c:axId val="-2008069744"/>
        <c:scaling>
          <c:orientation val="minMax"/>
          <c:max val="102.0"/>
          <c:min val="0.0"/>
        </c:scaling>
        <c:delete val="0"/>
        <c:axPos val="b"/>
        <c:title>
          <c:tx>
            <c:rich>
              <a:bodyPr/>
              <a:lstStyle/>
              <a:p>
                <a:pPr>
                  <a:defRPr>
                    <a:latin typeface="Arial" panose="020B0604020202020204" pitchFamily="34" charset="0"/>
                    <a:cs typeface="Arial" panose="020B0604020202020204" pitchFamily="34" charset="0"/>
                  </a:defRPr>
                </a:pPr>
                <a:r>
                  <a:rPr lang="en-US">
                    <a:latin typeface="Arial" panose="020B0604020202020204" pitchFamily="34" charset="0"/>
                    <a:cs typeface="Arial" panose="020B0604020202020204" pitchFamily="34" charset="0"/>
                  </a:rPr>
                  <a:t>Proportion of season (% of total)</a:t>
                </a:r>
              </a:p>
            </c:rich>
          </c:tx>
          <c:layout/>
          <c:overlay val="0"/>
        </c:title>
        <c:numFmt formatCode="0" sourceLinked="1"/>
        <c:majorTickMark val="out"/>
        <c:minorTickMark val="none"/>
        <c:tickLblPos val="nextTo"/>
        <c:crossAx val="-2012957232"/>
        <c:crosses val="autoZero"/>
        <c:crossBetween val="midCat"/>
        <c:majorUnit val="10.0"/>
      </c:valAx>
      <c:valAx>
        <c:axId val="-2012957232"/>
        <c:scaling>
          <c:orientation val="minMax"/>
          <c:max val="102.0"/>
          <c:min val="0.0"/>
        </c:scaling>
        <c:delete val="0"/>
        <c:axPos val="l"/>
        <c:majorGridlines/>
        <c:title>
          <c:tx>
            <c:rich>
              <a:bodyPr rot="-5400000" vert="horz"/>
              <a:lstStyle/>
              <a:p>
                <a:pPr>
                  <a:defRPr>
                    <a:latin typeface="Arial" panose="020B0604020202020204" pitchFamily="34" charset="0"/>
                    <a:cs typeface="Arial" panose="020B0604020202020204" pitchFamily="34" charset="0"/>
                  </a:defRPr>
                </a:pPr>
                <a:r>
                  <a:rPr lang="en-US">
                    <a:latin typeface="Arial" panose="020B0604020202020204" pitchFamily="34" charset="0"/>
                    <a:cs typeface="Arial" panose="020B0604020202020204" pitchFamily="34" charset="0"/>
                  </a:rPr>
                  <a:t>Aboveground N uptake (% of total)</a:t>
                </a:r>
              </a:p>
            </c:rich>
          </c:tx>
          <c:layout/>
          <c:overlay val="0"/>
        </c:title>
        <c:numFmt formatCode="0" sourceLinked="1"/>
        <c:majorTickMark val="out"/>
        <c:minorTickMark val="none"/>
        <c:tickLblPos val="nextTo"/>
        <c:crossAx val="-2008069744"/>
        <c:crosses val="autoZero"/>
        <c:crossBetween val="midCat"/>
      </c:valAx>
    </c:plotArea>
    <c:plotVisOnly val="1"/>
    <c:dispBlanksAs val="gap"/>
    <c:showDLblsOverMax val="0"/>
  </c:chart>
  <c:spPr>
    <a:ln>
      <a:noFill/>
    </a:ln>
  </c:spPr>
  <c:printSettings>
    <c:headerFooter/>
    <c:pageMargins b="0.75" l="0.7" r="0.7" t="0.75" header="0.3" footer="0.3"/>
    <c:pageSetup/>
  </c:printSettings>
  <c:userShapes r:id="rId1"/>
</c:chartSpace>
</file>

<file path=xl/charts/chart4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scatterChart>
        <c:scatterStyle val="lineMarker"/>
        <c:varyColors val="0"/>
        <c:ser>
          <c:idx val="1"/>
          <c:order val="0"/>
          <c:spPr>
            <a:ln w="28575">
              <a:noFill/>
            </a:ln>
          </c:spPr>
          <c:marker>
            <c:symbol val="square"/>
            <c:size val="5"/>
            <c:spPr>
              <a:solidFill>
                <a:srgbClr val="FF0000"/>
              </a:solidFill>
              <a:ln>
                <a:noFill/>
              </a:ln>
            </c:spPr>
          </c:marker>
          <c:trendline>
            <c:trendlineType val="log"/>
            <c:dispRSqr val="0"/>
            <c:dispEq val="0"/>
          </c:trendline>
          <c:trendline>
            <c:trendlineType val="poly"/>
            <c:order val="3"/>
            <c:dispRSqr val="0"/>
            <c:dispEq val="0"/>
          </c:trendline>
          <c:xVal>
            <c:numRef>
              <c:f>Sorghum_Grain!$M$5:$M$50</c:f>
              <c:numCache>
                <c:formatCode>0</c:formatCode>
                <c:ptCount val="46"/>
                <c:pt idx="0">
                  <c:v>0.0</c:v>
                </c:pt>
                <c:pt idx="1">
                  <c:v>14.09774436090225</c:v>
                </c:pt>
                <c:pt idx="2">
                  <c:v>17.10526315789473</c:v>
                </c:pt>
                <c:pt idx="3">
                  <c:v>24.24812030075188</c:v>
                </c:pt>
                <c:pt idx="4">
                  <c:v>31.39097744360902</c:v>
                </c:pt>
                <c:pt idx="5">
                  <c:v>45.48872180451127</c:v>
                </c:pt>
                <c:pt idx="6">
                  <c:v>59.58646616541353</c:v>
                </c:pt>
                <c:pt idx="7">
                  <c:v>73.68421052631578</c:v>
                </c:pt>
                <c:pt idx="8">
                  <c:v>87.96992481203005</c:v>
                </c:pt>
                <c:pt idx="9">
                  <c:v>100.0</c:v>
                </c:pt>
                <c:pt idx="10">
                  <c:v>0.0</c:v>
                </c:pt>
                <c:pt idx="11">
                  <c:v>6.859205776173284</c:v>
                </c:pt>
                <c:pt idx="12">
                  <c:v>12.99638989169675</c:v>
                </c:pt>
                <c:pt idx="13">
                  <c:v>18.23104693140794</c:v>
                </c:pt>
                <c:pt idx="14">
                  <c:v>23.64620938628159</c:v>
                </c:pt>
                <c:pt idx="15">
                  <c:v>34.47653429602887</c:v>
                </c:pt>
                <c:pt idx="16">
                  <c:v>45.30685920577617</c:v>
                </c:pt>
                <c:pt idx="17">
                  <c:v>56.13718411552345</c:v>
                </c:pt>
                <c:pt idx="18">
                  <c:v>67.32851985559567</c:v>
                </c:pt>
                <c:pt idx="19">
                  <c:v>79.06137184115522</c:v>
                </c:pt>
                <c:pt idx="20">
                  <c:v>88.98916967509023</c:v>
                </c:pt>
                <c:pt idx="21">
                  <c:v>100.0</c:v>
                </c:pt>
                <c:pt idx="22">
                  <c:v>0.0</c:v>
                </c:pt>
                <c:pt idx="23">
                  <c:v>31.42857142857143</c:v>
                </c:pt>
                <c:pt idx="24">
                  <c:v>42.85714285714285</c:v>
                </c:pt>
                <c:pt idx="25">
                  <c:v>62.85714285714285</c:v>
                </c:pt>
                <c:pt idx="26">
                  <c:v>80.95238095238095</c:v>
                </c:pt>
                <c:pt idx="27">
                  <c:v>100.0</c:v>
                </c:pt>
                <c:pt idx="28">
                  <c:v>0.0</c:v>
                </c:pt>
                <c:pt idx="29">
                  <c:v>31.42857142857143</c:v>
                </c:pt>
                <c:pt idx="30">
                  <c:v>42.85714285714285</c:v>
                </c:pt>
                <c:pt idx="31">
                  <c:v>62.85714285714285</c:v>
                </c:pt>
                <c:pt idx="32">
                  <c:v>80.95238095238095</c:v>
                </c:pt>
                <c:pt idx="33">
                  <c:v>100.0</c:v>
                </c:pt>
                <c:pt idx="34">
                  <c:v>0.0</c:v>
                </c:pt>
                <c:pt idx="35">
                  <c:v>22.5</c:v>
                </c:pt>
                <c:pt idx="36">
                  <c:v>34.16666666666666</c:v>
                </c:pt>
                <c:pt idx="37">
                  <c:v>58.33333333333333</c:v>
                </c:pt>
                <c:pt idx="38">
                  <c:v>77.50000000000001</c:v>
                </c:pt>
                <c:pt idx="39">
                  <c:v>100.0</c:v>
                </c:pt>
                <c:pt idx="40">
                  <c:v>0.0</c:v>
                </c:pt>
                <c:pt idx="41">
                  <c:v>22.5</c:v>
                </c:pt>
                <c:pt idx="42">
                  <c:v>34.16666666666666</c:v>
                </c:pt>
                <c:pt idx="43">
                  <c:v>58.33333333333333</c:v>
                </c:pt>
                <c:pt idx="44">
                  <c:v>77.50000000000001</c:v>
                </c:pt>
                <c:pt idx="45">
                  <c:v>100.0</c:v>
                </c:pt>
              </c:numCache>
            </c:numRef>
          </c:xVal>
          <c:yVal>
            <c:numRef>
              <c:f>Sorghum_Grain!$P$5:$P$50</c:f>
              <c:numCache>
                <c:formatCode>0</c:formatCode>
                <c:ptCount val="46"/>
                <c:pt idx="0">
                  <c:v>0.0</c:v>
                </c:pt>
                <c:pt idx="1">
                  <c:v>0.0</c:v>
                </c:pt>
                <c:pt idx="2">
                  <c:v>0.827814569536424</c:v>
                </c:pt>
                <c:pt idx="3">
                  <c:v>5.298013245033113</c:v>
                </c:pt>
                <c:pt idx="4">
                  <c:v>23.17880794701986</c:v>
                </c:pt>
                <c:pt idx="5">
                  <c:v>54.63576158940398</c:v>
                </c:pt>
                <c:pt idx="6">
                  <c:v>68.87417218543047</c:v>
                </c:pt>
                <c:pt idx="7">
                  <c:v>88.41059602649007</c:v>
                </c:pt>
                <c:pt idx="8">
                  <c:v>100.0</c:v>
                </c:pt>
                <c:pt idx="9">
                  <c:v>92.38410596026488</c:v>
                </c:pt>
                <c:pt idx="10">
                  <c:v>0.0</c:v>
                </c:pt>
                <c:pt idx="11">
                  <c:v>0.0</c:v>
                </c:pt>
                <c:pt idx="12">
                  <c:v>0.932835820895522</c:v>
                </c:pt>
                <c:pt idx="13">
                  <c:v>3.731343283582089</c:v>
                </c:pt>
                <c:pt idx="14">
                  <c:v>4.850746268656716</c:v>
                </c:pt>
                <c:pt idx="15">
                  <c:v>21.64179104477612</c:v>
                </c:pt>
                <c:pt idx="16">
                  <c:v>48.13432835820895</c:v>
                </c:pt>
                <c:pt idx="17">
                  <c:v>47.38805970149254</c:v>
                </c:pt>
                <c:pt idx="18">
                  <c:v>77.23880597014924</c:v>
                </c:pt>
                <c:pt idx="19">
                  <c:v>86.94029850746267</c:v>
                </c:pt>
                <c:pt idx="20">
                  <c:v>98.50746268656716</c:v>
                </c:pt>
                <c:pt idx="21">
                  <c:v>100.0</c:v>
                </c:pt>
                <c:pt idx="22">
                  <c:v>0.0</c:v>
                </c:pt>
                <c:pt idx="23">
                  <c:v>10.15625</c:v>
                </c:pt>
                <c:pt idx="24">
                  <c:v>45.3125</c:v>
                </c:pt>
                <c:pt idx="25">
                  <c:v>89.06249999999998</c:v>
                </c:pt>
                <c:pt idx="26">
                  <c:v>92.18749999999998</c:v>
                </c:pt>
                <c:pt idx="27">
                  <c:v>100.0</c:v>
                </c:pt>
                <c:pt idx="28">
                  <c:v>0.0</c:v>
                </c:pt>
                <c:pt idx="29">
                  <c:v>9.523809523809523</c:v>
                </c:pt>
                <c:pt idx="30">
                  <c:v>40.74074074074074</c:v>
                </c:pt>
                <c:pt idx="31">
                  <c:v>78.30687830687832</c:v>
                </c:pt>
                <c:pt idx="32">
                  <c:v>85.18518518518519</c:v>
                </c:pt>
                <c:pt idx="33">
                  <c:v>100.0</c:v>
                </c:pt>
                <c:pt idx="34">
                  <c:v>0.0</c:v>
                </c:pt>
                <c:pt idx="35">
                  <c:v>8.88888888888889</c:v>
                </c:pt>
                <c:pt idx="36">
                  <c:v>46.66666666666666</c:v>
                </c:pt>
                <c:pt idx="37">
                  <c:v>57.03703703703704</c:v>
                </c:pt>
                <c:pt idx="38">
                  <c:v>100.0</c:v>
                </c:pt>
                <c:pt idx="39">
                  <c:v>76.2962962962963</c:v>
                </c:pt>
                <c:pt idx="40">
                  <c:v>0.0</c:v>
                </c:pt>
                <c:pt idx="41">
                  <c:v>15.31531531531532</c:v>
                </c:pt>
                <c:pt idx="42">
                  <c:v>40.54054054054054</c:v>
                </c:pt>
                <c:pt idx="43">
                  <c:v>75.67567567567566</c:v>
                </c:pt>
                <c:pt idx="44">
                  <c:v>100.0</c:v>
                </c:pt>
                <c:pt idx="45">
                  <c:v>78.37837837837837</c:v>
                </c:pt>
              </c:numCache>
            </c:numRef>
          </c:yVal>
          <c:smooth val="0"/>
          <c:extLst xmlns:c16r2="http://schemas.microsoft.com/office/drawing/2015/06/chart">
            <c:ext xmlns:c16="http://schemas.microsoft.com/office/drawing/2014/chart" uri="{C3380CC4-5D6E-409C-BE32-E72D297353CC}">
              <c16:uniqueId val="{00000002-A9E7-4D8B-8B0B-1DABD2B35649}"/>
            </c:ext>
          </c:extLst>
        </c:ser>
        <c:ser>
          <c:idx val="0"/>
          <c:order val="1"/>
          <c:spPr>
            <a:ln w="28575">
              <a:noFill/>
            </a:ln>
          </c:spPr>
          <c:xVal>
            <c:numRef>
              <c:f>Sorghum_Grain!$M$27:$M$38</c:f>
              <c:numCache>
                <c:formatCode>0</c:formatCode>
                <c:ptCount val="12"/>
                <c:pt idx="0">
                  <c:v>0.0</c:v>
                </c:pt>
                <c:pt idx="1">
                  <c:v>31.42857142857143</c:v>
                </c:pt>
                <c:pt idx="2">
                  <c:v>42.85714285714285</c:v>
                </c:pt>
                <c:pt idx="3">
                  <c:v>62.85714285714285</c:v>
                </c:pt>
                <c:pt idx="4">
                  <c:v>80.95238095238095</c:v>
                </c:pt>
                <c:pt idx="5">
                  <c:v>100.0</c:v>
                </c:pt>
                <c:pt idx="6">
                  <c:v>0.0</c:v>
                </c:pt>
                <c:pt idx="7">
                  <c:v>31.42857142857143</c:v>
                </c:pt>
                <c:pt idx="8">
                  <c:v>42.85714285714285</c:v>
                </c:pt>
                <c:pt idx="9">
                  <c:v>62.85714285714285</c:v>
                </c:pt>
                <c:pt idx="10">
                  <c:v>80.95238095238095</c:v>
                </c:pt>
                <c:pt idx="11">
                  <c:v>100.0</c:v>
                </c:pt>
              </c:numCache>
            </c:numRef>
          </c:xVal>
          <c:yVal>
            <c:numRef>
              <c:f>Sorghum_Grain!$P$27:$P$38</c:f>
              <c:numCache>
                <c:formatCode>0</c:formatCode>
                <c:ptCount val="12"/>
                <c:pt idx="0">
                  <c:v>0.0</c:v>
                </c:pt>
                <c:pt idx="1">
                  <c:v>10.15625</c:v>
                </c:pt>
                <c:pt idx="2">
                  <c:v>45.3125</c:v>
                </c:pt>
                <c:pt idx="3">
                  <c:v>89.06249999999998</c:v>
                </c:pt>
                <c:pt idx="4">
                  <c:v>92.18749999999998</c:v>
                </c:pt>
                <c:pt idx="5">
                  <c:v>100.0</c:v>
                </c:pt>
                <c:pt idx="6">
                  <c:v>0.0</c:v>
                </c:pt>
                <c:pt idx="7">
                  <c:v>9.523809523809523</c:v>
                </c:pt>
                <c:pt idx="8">
                  <c:v>40.74074074074074</c:v>
                </c:pt>
                <c:pt idx="9">
                  <c:v>78.30687830687832</c:v>
                </c:pt>
                <c:pt idx="10">
                  <c:v>85.18518518518519</c:v>
                </c:pt>
                <c:pt idx="11">
                  <c:v>100.0</c:v>
                </c:pt>
              </c:numCache>
            </c:numRef>
          </c:yVal>
          <c:smooth val="0"/>
          <c:extLst xmlns:c16r2="http://schemas.microsoft.com/office/drawing/2015/06/chart">
            <c:ext xmlns:c16="http://schemas.microsoft.com/office/drawing/2014/chart" uri="{C3380CC4-5D6E-409C-BE32-E72D297353CC}">
              <c16:uniqueId val="{00000003-A9E7-4D8B-8B0B-1DABD2B35649}"/>
            </c:ext>
          </c:extLst>
        </c:ser>
        <c:ser>
          <c:idx val="2"/>
          <c:order val="2"/>
          <c:spPr>
            <a:ln w="28575">
              <a:noFill/>
            </a:ln>
          </c:spPr>
          <c:xVal>
            <c:numRef>
              <c:f>Sorghum_Grain!$M$39:$M$50</c:f>
              <c:numCache>
                <c:formatCode>0</c:formatCode>
                <c:ptCount val="12"/>
                <c:pt idx="0">
                  <c:v>0.0</c:v>
                </c:pt>
                <c:pt idx="1">
                  <c:v>22.5</c:v>
                </c:pt>
                <c:pt idx="2">
                  <c:v>34.16666666666666</c:v>
                </c:pt>
                <c:pt idx="3">
                  <c:v>58.33333333333333</c:v>
                </c:pt>
                <c:pt idx="4">
                  <c:v>77.50000000000001</c:v>
                </c:pt>
                <c:pt idx="5">
                  <c:v>100.0</c:v>
                </c:pt>
                <c:pt idx="6">
                  <c:v>0.0</c:v>
                </c:pt>
                <c:pt idx="7">
                  <c:v>22.5</c:v>
                </c:pt>
                <c:pt idx="8">
                  <c:v>34.16666666666666</c:v>
                </c:pt>
                <c:pt idx="9">
                  <c:v>58.33333333333333</c:v>
                </c:pt>
                <c:pt idx="10">
                  <c:v>77.50000000000001</c:v>
                </c:pt>
                <c:pt idx="11">
                  <c:v>100.0</c:v>
                </c:pt>
              </c:numCache>
            </c:numRef>
          </c:xVal>
          <c:yVal>
            <c:numRef>
              <c:f>Sorghum_Grain!$P$39:$P$50</c:f>
              <c:numCache>
                <c:formatCode>0</c:formatCode>
                <c:ptCount val="12"/>
                <c:pt idx="0">
                  <c:v>0.0</c:v>
                </c:pt>
                <c:pt idx="1">
                  <c:v>8.88888888888889</c:v>
                </c:pt>
                <c:pt idx="2">
                  <c:v>46.66666666666666</c:v>
                </c:pt>
                <c:pt idx="3">
                  <c:v>57.03703703703704</c:v>
                </c:pt>
                <c:pt idx="4">
                  <c:v>100.0</c:v>
                </c:pt>
                <c:pt idx="5">
                  <c:v>76.2962962962963</c:v>
                </c:pt>
                <c:pt idx="6">
                  <c:v>0.0</c:v>
                </c:pt>
                <c:pt idx="7">
                  <c:v>15.31531531531532</c:v>
                </c:pt>
                <c:pt idx="8">
                  <c:v>40.54054054054054</c:v>
                </c:pt>
                <c:pt idx="9">
                  <c:v>75.67567567567566</c:v>
                </c:pt>
                <c:pt idx="10">
                  <c:v>100.0</c:v>
                </c:pt>
                <c:pt idx="11">
                  <c:v>78.37837837837837</c:v>
                </c:pt>
              </c:numCache>
            </c:numRef>
          </c:yVal>
          <c:smooth val="0"/>
          <c:extLst xmlns:c16r2="http://schemas.microsoft.com/office/drawing/2015/06/chart">
            <c:ext xmlns:c16="http://schemas.microsoft.com/office/drawing/2014/chart" uri="{C3380CC4-5D6E-409C-BE32-E72D297353CC}">
              <c16:uniqueId val="{00000004-A9E7-4D8B-8B0B-1DABD2B35649}"/>
            </c:ext>
          </c:extLst>
        </c:ser>
        <c:dLbls>
          <c:showLegendKey val="0"/>
          <c:showVal val="0"/>
          <c:showCatName val="0"/>
          <c:showSerName val="0"/>
          <c:showPercent val="0"/>
          <c:showBubbleSize val="0"/>
        </c:dLbls>
        <c:axId val="1805461088"/>
        <c:axId val="1805466320"/>
      </c:scatterChart>
      <c:valAx>
        <c:axId val="1805461088"/>
        <c:scaling>
          <c:orientation val="minMax"/>
          <c:max val="102.0"/>
          <c:min val="0.0"/>
        </c:scaling>
        <c:delete val="0"/>
        <c:axPos val="b"/>
        <c:title>
          <c:tx>
            <c:rich>
              <a:bodyPr/>
              <a:lstStyle/>
              <a:p>
                <a:pPr>
                  <a:defRPr>
                    <a:latin typeface="Arial" panose="020B0604020202020204" pitchFamily="34" charset="0"/>
                    <a:cs typeface="Arial" panose="020B0604020202020204" pitchFamily="34" charset="0"/>
                  </a:defRPr>
                </a:pPr>
                <a:r>
                  <a:rPr lang="en-US"/>
                  <a:t>Proportion of season (%)</a:t>
                </a:r>
              </a:p>
            </c:rich>
          </c:tx>
          <c:layout/>
          <c:overlay val="0"/>
        </c:title>
        <c:numFmt formatCode="0" sourceLinked="1"/>
        <c:majorTickMark val="out"/>
        <c:minorTickMark val="none"/>
        <c:tickLblPos val="nextTo"/>
        <c:crossAx val="1805466320"/>
        <c:crosses val="autoZero"/>
        <c:crossBetween val="midCat"/>
        <c:majorUnit val="10.0"/>
      </c:valAx>
      <c:valAx>
        <c:axId val="1805466320"/>
        <c:scaling>
          <c:orientation val="minMax"/>
          <c:max val="102.0"/>
          <c:min val="0.0"/>
        </c:scaling>
        <c:delete val="0"/>
        <c:axPos val="l"/>
        <c:majorGridlines/>
        <c:title>
          <c:tx>
            <c:rich>
              <a:bodyPr rot="-5400000" vert="horz"/>
              <a:lstStyle/>
              <a:p>
                <a:pPr>
                  <a:defRPr>
                    <a:latin typeface="Arial" panose="020B0604020202020204" pitchFamily="34" charset="0"/>
                    <a:cs typeface="Arial" panose="020B0604020202020204" pitchFamily="34" charset="0"/>
                  </a:defRPr>
                </a:pPr>
                <a:r>
                  <a:rPr lang="en-US"/>
                  <a:t>Proportion of uptake (%)</a:t>
                </a:r>
              </a:p>
            </c:rich>
          </c:tx>
          <c:layout/>
          <c:overlay val="0"/>
        </c:title>
        <c:numFmt formatCode="0" sourceLinked="1"/>
        <c:majorTickMark val="out"/>
        <c:minorTickMark val="none"/>
        <c:tickLblPos val="nextTo"/>
        <c:crossAx val="1805461088"/>
        <c:crosses val="autoZero"/>
        <c:crossBetween val="midCat"/>
      </c:valAx>
    </c:plotArea>
    <c:plotVisOnly val="1"/>
    <c:dispBlanksAs val="gap"/>
    <c:showDLblsOverMax val="0"/>
  </c:chart>
  <c:spPr>
    <a:ln>
      <a:noFill/>
    </a:ln>
  </c:spPr>
  <c:printSettings>
    <c:headerFooter/>
    <c:pageMargins b="0.75" l="0.7" r="0.7" t="0.75" header="0.3" footer="0.3"/>
    <c:pageSetup/>
  </c:printSettings>
  <c:userShapes r:id="rId2"/>
</c:chartSpace>
</file>

<file path=xl/charts/chart4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scatterChart>
        <c:scatterStyle val="lineMarker"/>
        <c:varyColors val="0"/>
        <c:dLbls>
          <c:showLegendKey val="0"/>
          <c:showVal val="0"/>
          <c:showCatName val="0"/>
          <c:showSerName val="0"/>
          <c:showPercent val="0"/>
          <c:showBubbleSize val="0"/>
        </c:dLbls>
        <c:axId val="1805521408"/>
        <c:axId val="1805526672"/>
      </c:scatterChart>
      <c:valAx>
        <c:axId val="1805521408"/>
        <c:scaling>
          <c:orientation val="minMax"/>
          <c:max val="102.0"/>
          <c:min val="0.0"/>
        </c:scaling>
        <c:delete val="0"/>
        <c:axPos val="b"/>
        <c:title>
          <c:tx>
            <c:rich>
              <a:bodyPr/>
              <a:lstStyle/>
              <a:p>
                <a:pPr>
                  <a:defRPr>
                    <a:latin typeface="Arial" panose="020B0604020202020204" pitchFamily="34" charset="0"/>
                    <a:cs typeface="Arial" panose="020B0604020202020204" pitchFamily="34" charset="0"/>
                  </a:defRPr>
                </a:pPr>
                <a:r>
                  <a:rPr lang="en-US"/>
                  <a:t>Proportion of season (%)</a:t>
                </a:r>
              </a:p>
            </c:rich>
          </c:tx>
          <c:layout/>
          <c:overlay val="0"/>
        </c:title>
        <c:numFmt formatCode="General" sourceLinked="1"/>
        <c:majorTickMark val="out"/>
        <c:minorTickMark val="none"/>
        <c:tickLblPos val="nextTo"/>
        <c:crossAx val="1805526672"/>
        <c:crosses val="autoZero"/>
        <c:crossBetween val="midCat"/>
        <c:majorUnit val="10.0"/>
      </c:valAx>
      <c:valAx>
        <c:axId val="1805526672"/>
        <c:scaling>
          <c:orientation val="minMax"/>
          <c:max val="102.0"/>
          <c:min val="0.0"/>
        </c:scaling>
        <c:delete val="0"/>
        <c:axPos val="l"/>
        <c:majorGridlines/>
        <c:title>
          <c:tx>
            <c:rich>
              <a:bodyPr rot="-5400000" vert="horz"/>
              <a:lstStyle/>
              <a:p>
                <a:pPr>
                  <a:defRPr>
                    <a:latin typeface="Arial" panose="020B0604020202020204" pitchFamily="34" charset="0"/>
                    <a:cs typeface="Arial" panose="020B0604020202020204" pitchFamily="34" charset="0"/>
                  </a:defRPr>
                </a:pPr>
                <a:r>
                  <a:rPr lang="en-US"/>
                  <a:t>Proportion of uptake (%)</a:t>
                </a:r>
              </a:p>
            </c:rich>
          </c:tx>
          <c:layout/>
          <c:overlay val="0"/>
        </c:title>
        <c:numFmt formatCode="General" sourceLinked="1"/>
        <c:majorTickMark val="out"/>
        <c:minorTickMark val="none"/>
        <c:tickLblPos val="nextTo"/>
        <c:crossAx val="1805521408"/>
        <c:crosses val="autoZero"/>
        <c:crossBetween val="midCat"/>
      </c:valAx>
    </c:plotArea>
    <c:plotVisOnly val="1"/>
    <c:dispBlanksAs val="gap"/>
    <c:showDLblsOverMax val="0"/>
  </c:chart>
  <c:spPr>
    <a:ln>
      <a:noFill/>
    </a:ln>
  </c:spPr>
  <c:printSettings>
    <c:headerFooter/>
    <c:pageMargins b="0.75" l="0.7" r="0.7" t="0.75" header="0.3" footer="0.3"/>
    <c:pageSetup/>
  </c:printSettings>
  <c:userShapes r:id="rId2"/>
</c:chartSpace>
</file>

<file path=xl/charts/chart4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scatterChart>
        <c:scatterStyle val="lineMarker"/>
        <c:varyColors val="0"/>
        <c:ser>
          <c:idx val="1"/>
          <c:order val="0"/>
          <c:spPr>
            <a:ln w="28575">
              <a:noFill/>
            </a:ln>
          </c:spPr>
          <c:marker>
            <c:symbol val="square"/>
            <c:size val="5"/>
            <c:spPr>
              <a:solidFill>
                <a:srgbClr val="FF0000"/>
              </a:solidFill>
              <a:ln>
                <a:noFill/>
              </a:ln>
            </c:spPr>
          </c:marker>
          <c:trendline>
            <c:trendlineType val="log"/>
            <c:dispRSqr val="0"/>
            <c:dispEq val="0"/>
          </c:trendline>
          <c:trendline>
            <c:trendlineType val="poly"/>
            <c:order val="3"/>
            <c:dispRSqr val="0"/>
            <c:dispEq val="0"/>
          </c:trendline>
          <c:xVal>
            <c:numRef>
              <c:f>Hay_SmallGrain!$K$17:$K$205</c:f>
              <c:numCache>
                <c:formatCode>0</c:formatCode>
                <c:ptCount val="189"/>
                <c:pt idx="0">
                  <c:v>0.0</c:v>
                </c:pt>
                <c:pt idx="1">
                  <c:v>20.0</c:v>
                </c:pt>
                <c:pt idx="2">
                  <c:v>40.0</c:v>
                </c:pt>
                <c:pt idx="3">
                  <c:v>50.0</c:v>
                </c:pt>
                <c:pt idx="4">
                  <c:v>60.0</c:v>
                </c:pt>
                <c:pt idx="5">
                  <c:v>80.0</c:v>
                </c:pt>
                <c:pt idx="6">
                  <c:v>100.0</c:v>
                </c:pt>
                <c:pt idx="7">
                  <c:v>0.0</c:v>
                </c:pt>
                <c:pt idx="8">
                  <c:v>20.0</c:v>
                </c:pt>
                <c:pt idx="9">
                  <c:v>40.0</c:v>
                </c:pt>
                <c:pt idx="10">
                  <c:v>50.0</c:v>
                </c:pt>
                <c:pt idx="11">
                  <c:v>60.0</c:v>
                </c:pt>
                <c:pt idx="12">
                  <c:v>80.0</c:v>
                </c:pt>
                <c:pt idx="13">
                  <c:v>100.0</c:v>
                </c:pt>
                <c:pt idx="14">
                  <c:v>0.0</c:v>
                </c:pt>
                <c:pt idx="15">
                  <c:v>20.0</c:v>
                </c:pt>
                <c:pt idx="16">
                  <c:v>40.0</c:v>
                </c:pt>
                <c:pt idx="17">
                  <c:v>50.0</c:v>
                </c:pt>
                <c:pt idx="18">
                  <c:v>60.0</c:v>
                </c:pt>
                <c:pt idx="19">
                  <c:v>80.0</c:v>
                </c:pt>
                <c:pt idx="20">
                  <c:v>100.0</c:v>
                </c:pt>
                <c:pt idx="21">
                  <c:v>0.0</c:v>
                </c:pt>
                <c:pt idx="22">
                  <c:v>20.0</c:v>
                </c:pt>
                <c:pt idx="23">
                  <c:v>40.0</c:v>
                </c:pt>
                <c:pt idx="24">
                  <c:v>50.0</c:v>
                </c:pt>
                <c:pt idx="25">
                  <c:v>60.0</c:v>
                </c:pt>
                <c:pt idx="26">
                  <c:v>80.0</c:v>
                </c:pt>
                <c:pt idx="27">
                  <c:v>100.0</c:v>
                </c:pt>
                <c:pt idx="28">
                  <c:v>0.0</c:v>
                </c:pt>
                <c:pt idx="29">
                  <c:v>20.0</c:v>
                </c:pt>
                <c:pt idx="30">
                  <c:v>40.0</c:v>
                </c:pt>
                <c:pt idx="31">
                  <c:v>50.0</c:v>
                </c:pt>
                <c:pt idx="32">
                  <c:v>60.0</c:v>
                </c:pt>
                <c:pt idx="33">
                  <c:v>80.0</c:v>
                </c:pt>
                <c:pt idx="34">
                  <c:v>100.0</c:v>
                </c:pt>
                <c:pt idx="35">
                  <c:v>0.0</c:v>
                </c:pt>
                <c:pt idx="36">
                  <c:v>20.0</c:v>
                </c:pt>
                <c:pt idx="37">
                  <c:v>40.0</c:v>
                </c:pt>
                <c:pt idx="38">
                  <c:v>50.0</c:v>
                </c:pt>
                <c:pt idx="39">
                  <c:v>60.0</c:v>
                </c:pt>
                <c:pt idx="40">
                  <c:v>80.0</c:v>
                </c:pt>
                <c:pt idx="41">
                  <c:v>100.0</c:v>
                </c:pt>
                <c:pt idx="42">
                  <c:v>0.0</c:v>
                </c:pt>
                <c:pt idx="43">
                  <c:v>20.0</c:v>
                </c:pt>
                <c:pt idx="44">
                  <c:v>40.0</c:v>
                </c:pt>
                <c:pt idx="45">
                  <c:v>50.0</c:v>
                </c:pt>
                <c:pt idx="46">
                  <c:v>60.0</c:v>
                </c:pt>
                <c:pt idx="47">
                  <c:v>80.0</c:v>
                </c:pt>
                <c:pt idx="48">
                  <c:v>100.0</c:v>
                </c:pt>
                <c:pt idx="49">
                  <c:v>0.0</c:v>
                </c:pt>
                <c:pt idx="50">
                  <c:v>20.0</c:v>
                </c:pt>
                <c:pt idx="51">
                  <c:v>40.0</c:v>
                </c:pt>
                <c:pt idx="52">
                  <c:v>50.0</c:v>
                </c:pt>
                <c:pt idx="53">
                  <c:v>60.0</c:v>
                </c:pt>
                <c:pt idx="54">
                  <c:v>80.0</c:v>
                </c:pt>
                <c:pt idx="55">
                  <c:v>100.0</c:v>
                </c:pt>
                <c:pt idx="56">
                  <c:v>0.0</c:v>
                </c:pt>
                <c:pt idx="57">
                  <c:v>20.0</c:v>
                </c:pt>
                <c:pt idx="58">
                  <c:v>40.0</c:v>
                </c:pt>
                <c:pt idx="59">
                  <c:v>50.0</c:v>
                </c:pt>
                <c:pt idx="60">
                  <c:v>60.0</c:v>
                </c:pt>
                <c:pt idx="61">
                  <c:v>80.0</c:v>
                </c:pt>
                <c:pt idx="62">
                  <c:v>100.0</c:v>
                </c:pt>
                <c:pt idx="63">
                  <c:v>0.0</c:v>
                </c:pt>
                <c:pt idx="64">
                  <c:v>20.0</c:v>
                </c:pt>
                <c:pt idx="65">
                  <c:v>40.0</c:v>
                </c:pt>
                <c:pt idx="66">
                  <c:v>50.0</c:v>
                </c:pt>
                <c:pt idx="67">
                  <c:v>60.0</c:v>
                </c:pt>
                <c:pt idx="68">
                  <c:v>80.0</c:v>
                </c:pt>
                <c:pt idx="69">
                  <c:v>100.0</c:v>
                </c:pt>
                <c:pt idx="70">
                  <c:v>0.0</c:v>
                </c:pt>
                <c:pt idx="71">
                  <c:v>20.0</c:v>
                </c:pt>
                <c:pt idx="72">
                  <c:v>40.0</c:v>
                </c:pt>
                <c:pt idx="73">
                  <c:v>50.0</c:v>
                </c:pt>
                <c:pt idx="74">
                  <c:v>60.0</c:v>
                </c:pt>
                <c:pt idx="75">
                  <c:v>80.0</c:v>
                </c:pt>
                <c:pt idx="76">
                  <c:v>100.0</c:v>
                </c:pt>
                <c:pt idx="77">
                  <c:v>0.0</c:v>
                </c:pt>
                <c:pt idx="78">
                  <c:v>20.0</c:v>
                </c:pt>
                <c:pt idx="79">
                  <c:v>40.0</c:v>
                </c:pt>
                <c:pt idx="80">
                  <c:v>50.0</c:v>
                </c:pt>
                <c:pt idx="81">
                  <c:v>60.0</c:v>
                </c:pt>
                <c:pt idx="82">
                  <c:v>80.0</c:v>
                </c:pt>
                <c:pt idx="83">
                  <c:v>100.0</c:v>
                </c:pt>
                <c:pt idx="84">
                  <c:v>0.0</c:v>
                </c:pt>
                <c:pt idx="85">
                  <c:v>20.0</c:v>
                </c:pt>
                <c:pt idx="86">
                  <c:v>40.0</c:v>
                </c:pt>
                <c:pt idx="87">
                  <c:v>50.0</c:v>
                </c:pt>
                <c:pt idx="88">
                  <c:v>60.0</c:v>
                </c:pt>
                <c:pt idx="89">
                  <c:v>80.0</c:v>
                </c:pt>
                <c:pt idx="90">
                  <c:v>100.0</c:v>
                </c:pt>
                <c:pt idx="91">
                  <c:v>0.0</c:v>
                </c:pt>
                <c:pt idx="92">
                  <c:v>20.0</c:v>
                </c:pt>
                <c:pt idx="93">
                  <c:v>40.0</c:v>
                </c:pt>
                <c:pt idx="94">
                  <c:v>50.0</c:v>
                </c:pt>
                <c:pt idx="95">
                  <c:v>60.0</c:v>
                </c:pt>
                <c:pt idx="96">
                  <c:v>80.0</c:v>
                </c:pt>
                <c:pt idx="97">
                  <c:v>100.0</c:v>
                </c:pt>
                <c:pt idx="98">
                  <c:v>0.0</c:v>
                </c:pt>
                <c:pt idx="99">
                  <c:v>20.0</c:v>
                </c:pt>
                <c:pt idx="100">
                  <c:v>40.0</c:v>
                </c:pt>
                <c:pt idx="101">
                  <c:v>50.0</c:v>
                </c:pt>
                <c:pt idx="102">
                  <c:v>60.0</c:v>
                </c:pt>
                <c:pt idx="103">
                  <c:v>80.0</c:v>
                </c:pt>
                <c:pt idx="104">
                  <c:v>100.0</c:v>
                </c:pt>
                <c:pt idx="105">
                  <c:v>0.0</c:v>
                </c:pt>
                <c:pt idx="106">
                  <c:v>20.0</c:v>
                </c:pt>
                <c:pt idx="107">
                  <c:v>40.0</c:v>
                </c:pt>
                <c:pt idx="108">
                  <c:v>50.0</c:v>
                </c:pt>
                <c:pt idx="109">
                  <c:v>60.0</c:v>
                </c:pt>
                <c:pt idx="110">
                  <c:v>80.0</c:v>
                </c:pt>
                <c:pt idx="111">
                  <c:v>100.0</c:v>
                </c:pt>
                <c:pt idx="112">
                  <c:v>0.0</c:v>
                </c:pt>
                <c:pt idx="113">
                  <c:v>20.0</c:v>
                </c:pt>
                <c:pt idx="114">
                  <c:v>40.0</c:v>
                </c:pt>
                <c:pt idx="115">
                  <c:v>50.0</c:v>
                </c:pt>
                <c:pt idx="116">
                  <c:v>60.0</c:v>
                </c:pt>
                <c:pt idx="117">
                  <c:v>80.0</c:v>
                </c:pt>
                <c:pt idx="118">
                  <c:v>100.0</c:v>
                </c:pt>
                <c:pt idx="119">
                  <c:v>0.0</c:v>
                </c:pt>
                <c:pt idx="120">
                  <c:v>20.0</c:v>
                </c:pt>
                <c:pt idx="121">
                  <c:v>40.0</c:v>
                </c:pt>
                <c:pt idx="122">
                  <c:v>50.0</c:v>
                </c:pt>
                <c:pt idx="123">
                  <c:v>60.0</c:v>
                </c:pt>
                <c:pt idx="124">
                  <c:v>80.0</c:v>
                </c:pt>
                <c:pt idx="125">
                  <c:v>100.0</c:v>
                </c:pt>
                <c:pt idx="126">
                  <c:v>0.0</c:v>
                </c:pt>
                <c:pt idx="127">
                  <c:v>20.0</c:v>
                </c:pt>
                <c:pt idx="128">
                  <c:v>40.0</c:v>
                </c:pt>
                <c:pt idx="129">
                  <c:v>50.0</c:v>
                </c:pt>
                <c:pt idx="130">
                  <c:v>60.0</c:v>
                </c:pt>
                <c:pt idx="131">
                  <c:v>80.0</c:v>
                </c:pt>
                <c:pt idx="132">
                  <c:v>100.0</c:v>
                </c:pt>
                <c:pt idx="133">
                  <c:v>0.0</c:v>
                </c:pt>
                <c:pt idx="134">
                  <c:v>20.0</c:v>
                </c:pt>
                <c:pt idx="135">
                  <c:v>40.0</c:v>
                </c:pt>
                <c:pt idx="136">
                  <c:v>50.0</c:v>
                </c:pt>
                <c:pt idx="137">
                  <c:v>60.0</c:v>
                </c:pt>
                <c:pt idx="138">
                  <c:v>80.0</c:v>
                </c:pt>
                <c:pt idx="139">
                  <c:v>100.0</c:v>
                </c:pt>
                <c:pt idx="140">
                  <c:v>0.0</c:v>
                </c:pt>
                <c:pt idx="141">
                  <c:v>20.0</c:v>
                </c:pt>
                <c:pt idx="142">
                  <c:v>40.0</c:v>
                </c:pt>
                <c:pt idx="143">
                  <c:v>50.0</c:v>
                </c:pt>
                <c:pt idx="144">
                  <c:v>60.0</c:v>
                </c:pt>
                <c:pt idx="145">
                  <c:v>80.0</c:v>
                </c:pt>
                <c:pt idx="146">
                  <c:v>100.0</c:v>
                </c:pt>
                <c:pt idx="147">
                  <c:v>0.0</c:v>
                </c:pt>
                <c:pt idx="148">
                  <c:v>20.0</c:v>
                </c:pt>
                <c:pt idx="149">
                  <c:v>40.0</c:v>
                </c:pt>
                <c:pt idx="150">
                  <c:v>50.0</c:v>
                </c:pt>
                <c:pt idx="151">
                  <c:v>60.0</c:v>
                </c:pt>
                <c:pt idx="152">
                  <c:v>80.0</c:v>
                </c:pt>
                <c:pt idx="153">
                  <c:v>100.0</c:v>
                </c:pt>
                <c:pt idx="154">
                  <c:v>0.0</c:v>
                </c:pt>
                <c:pt idx="155">
                  <c:v>20.0</c:v>
                </c:pt>
                <c:pt idx="156">
                  <c:v>40.0</c:v>
                </c:pt>
                <c:pt idx="157">
                  <c:v>50.0</c:v>
                </c:pt>
                <c:pt idx="158">
                  <c:v>60.0</c:v>
                </c:pt>
                <c:pt idx="159">
                  <c:v>80.0</c:v>
                </c:pt>
                <c:pt idx="160">
                  <c:v>100.0</c:v>
                </c:pt>
                <c:pt idx="161">
                  <c:v>0.0</c:v>
                </c:pt>
                <c:pt idx="162">
                  <c:v>20.0</c:v>
                </c:pt>
                <c:pt idx="163">
                  <c:v>40.0</c:v>
                </c:pt>
                <c:pt idx="164">
                  <c:v>50.0</c:v>
                </c:pt>
                <c:pt idx="165">
                  <c:v>60.0</c:v>
                </c:pt>
                <c:pt idx="166">
                  <c:v>80.0</c:v>
                </c:pt>
                <c:pt idx="167">
                  <c:v>100.0</c:v>
                </c:pt>
                <c:pt idx="168">
                  <c:v>0.0</c:v>
                </c:pt>
                <c:pt idx="169">
                  <c:v>20.0</c:v>
                </c:pt>
                <c:pt idx="170">
                  <c:v>40.0</c:v>
                </c:pt>
                <c:pt idx="171">
                  <c:v>50.0</c:v>
                </c:pt>
                <c:pt idx="172">
                  <c:v>60.0</c:v>
                </c:pt>
                <c:pt idx="173">
                  <c:v>80.0</c:v>
                </c:pt>
                <c:pt idx="174">
                  <c:v>100.0</c:v>
                </c:pt>
                <c:pt idx="175">
                  <c:v>0.0</c:v>
                </c:pt>
                <c:pt idx="176">
                  <c:v>20.0</c:v>
                </c:pt>
                <c:pt idx="177">
                  <c:v>40.0</c:v>
                </c:pt>
                <c:pt idx="178">
                  <c:v>50.0</c:v>
                </c:pt>
                <c:pt idx="179">
                  <c:v>60.0</c:v>
                </c:pt>
                <c:pt idx="180">
                  <c:v>80.0</c:v>
                </c:pt>
                <c:pt idx="181">
                  <c:v>100.0</c:v>
                </c:pt>
                <c:pt idx="182">
                  <c:v>0.0</c:v>
                </c:pt>
                <c:pt idx="183">
                  <c:v>20.0</c:v>
                </c:pt>
                <c:pt idx="184">
                  <c:v>40.0</c:v>
                </c:pt>
                <c:pt idx="185">
                  <c:v>50.0</c:v>
                </c:pt>
                <c:pt idx="186">
                  <c:v>60.0</c:v>
                </c:pt>
                <c:pt idx="187">
                  <c:v>80.0</c:v>
                </c:pt>
                <c:pt idx="188">
                  <c:v>100.0</c:v>
                </c:pt>
              </c:numCache>
            </c:numRef>
          </c:xVal>
          <c:yVal>
            <c:numRef>
              <c:f>Hay_SmallGrain!$N$17:$N$205</c:f>
              <c:numCache>
                <c:formatCode>0</c:formatCode>
                <c:ptCount val="189"/>
                <c:pt idx="0">
                  <c:v>0.0</c:v>
                </c:pt>
                <c:pt idx="1">
                  <c:v>5.509965923600044</c:v>
                </c:pt>
                <c:pt idx="2">
                  <c:v>19.99714727331587</c:v>
                </c:pt>
                <c:pt idx="3">
                  <c:v>31.58028544103162</c:v>
                </c:pt>
                <c:pt idx="4">
                  <c:v>45.24920635672605</c:v>
                </c:pt>
                <c:pt idx="5">
                  <c:v>74.13887769152812</c:v>
                </c:pt>
                <c:pt idx="6">
                  <c:v>100.0</c:v>
                </c:pt>
                <c:pt idx="7">
                  <c:v>0.0</c:v>
                </c:pt>
                <c:pt idx="8">
                  <c:v>5.509965923600044</c:v>
                </c:pt>
                <c:pt idx="9">
                  <c:v>19.99714727331587</c:v>
                </c:pt>
                <c:pt idx="10">
                  <c:v>31.58028544103162</c:v>
                </c:pt>
                <c:pt idx="11">
                  <c:v>45.24920635672606</c:v>
                </c:pt>
                <c:pt idx="12">
                  <c:v>74.13887769152812</c:v>
                </c:pt>
                <c:pt idx="13">
                  <c:v>100.0</c:v>
                </c:pt>
                <c:pt idx="14">
                  <c:v>0.0</c:v>
                </c:pt>
                <c:pt idx="15">
                  <c:v>8.821635605371268</c:v>
                </c:pt>
                <c:pt idx="16">
                  <c:v>35.01646679741123</c:v>
                </c:pt>
                <c:pt idx="17">
                  <c:v>50.40100792801061</c:v>
                </c:pt>
                <c:pt idx="18">
                  <c:v>64.19827332490607</c:v>
                </c:pt>
                <c:pt idx="19">
                  <c:v>85.53971000379653</c:v>
                </c:pt>
                <c:pt idx="20">
                  <c:v>100.0</c:v>
                </c:pt>
                <c:pt idx="21">
                  <c:v>0.0</c:v>
                </c:pt>
                <c:pt idx="22">
                  <c:v>7.54023902485535</c:v>
                </c:pt>
                <c:pt idx="23">
                  <c:v>30.16393560639473</c:v>
                </c:pt>
                <c:pt idx="24">
                  <c:v>45.05718308058484</c:v>
                </c:pt>
                <c:pt idx="25">
                  <c:v>59.38152735529345</c:v>
                </c:pt>
                <c:pt idx="26">
                  <c:v>83.01549333846006</c:v>
                </c:pt>
                <c:pt idx="27">
                  <c:v>100.0</c:v>
                </c:pt>
                <c:pt idx="28">
                  <c:v>0.0</c:v>
                </c:pt>
                <c:pt idx="29">
                  <c:v>7.114848514140674</c:v>
                </c:pt>
                <c:pt idx="30">
                  <c:v>28.34760893007214</c:v>
                </c:pt>
                <c:pt idx="31">
                  <c:v>42.91324374285148</c:v>
                </c:pt>
                <c:pt idx="32">
                  <c:v>57.35541364146469</c:v>
                </c:pt>
                <c:pt idx="33">
                  <c:v>81.9026141552106</c:v>
                </c:pt>
                <c:pt idx="34">
                  <c:v>100.0</c:v>
                </c:pt>
                <c:pt idx="35">
                  <c:v>0.0</c:v>
                </c:pt>
                <c:pt idx="36">
                  <c:v>5.509965923600044</c:v>
                </c:pt>
                <c:pt idx="37">
                  <c:v>19.99714727331588</c:v>
                </c:pt>
                <c:pt idx="38">
                  <c:v>31.58028544103162</c:v>
                </c:pt>
                <c:pt idx="39">
                  <c:v>45.24920635672605</c:v>
                </c:pt>
                <c:pt idx="40">
                  <c:v>74.13887769152812</c:v>
                </c:pt>
                <c:pt idx="41">
                  <c:v>100.0</c:v>
                </c:pt>
                <c:pt idx="42">
                  <c:v>0.0</c:v>
                </c:pt>
                <c:pt idx="43">
                  <c:v>8.82163560537127</c:v>
                </c:pt>
                <c:pt idx="44">
                  <c:v>35.01646679741123</c:v>
                </c:pt>
                <c:pt idx="45">
                  <c:v>50.40100792801061</c:v>
                </c:pt>
                <c:pt idx="46">
                  <c:v>64.1982733249061</c:v>
                </c:pt>
                <c:pt idx="47">
                  <c:v>85.53971000379656</c:v>
                </c:pt>
                <c:pt idx="48">
                  <c:v>100.0</c:v>
                </c:pt>
                <c:pt idx="49">
                  <c:v>0.0</c:v>
                </c:pt>
                <c:pt idx="50">
                  <c:v>7.616749827971097</c:v>
                </c:pt>
                <c:pt idx="51">
                  <c:v>30.47857374302981</c:v>
                </c:pt>
                <c:pt idx="52">
                  <c:v>45.41976884076293</c:v>
                </c:pt>
                <c:pt idx="53">
                  <c:v>59.71827978370355</c:v>
                </c:pt>
                <c:pt idx="54">
                  <c:v>83.19717737042758</c:v>
                </c:pt>
                <c:pt idx="55">
                  <c:v>100.0</c:v>
                </c:pt>
                <c:pt idx="56">
                  <c:v>0.0</c:v>
                </c:pt>
                <c:pt idx="57">
                  <c:v>7.114848514140676</c:v>
                </c:pt>
                <c:pt idx="58">
                  <c:v>28.34760893007214</c:v>
                </c:pt>
                <c:pt idx="59">
                  <c:v>42.91324374285148</c:v>
                </c:pt>
                <c:pt idx="60">
                  <c:v>57.3554136414647</c:v>
                </c:pt>
                <c:pt idx="61">
                  <c:v>81.9026141552106</c:v>
                </c:pt>
                <c:pt idx="62">
                  <c:v>100.0</c:v>
                </c:pt>
                <c:pt idx="63">
                  <c:v>0.0</c:v>
                </c:pt>
                <c:pt idx="64">
                  <c:v>5.509965923600044</c:v>
                </c:pt>
                <c:pt idx="65">
                  <c:v>19.99714727331587</c:v>
                </c:pt>
                <c:pt idx="66">
                  <c:v>31.58028544103162</c:v>
                </c:pt>
                <c:pt idx="67">
                  <c:v>45.24920635672605</c:v>
                </c:pt>
                <c:pt idx="68">
                  <c:v>74.13887769152812</c:v>
                </c:pt>
                <c:pt idx="69">
                  <c:v>100.0</c:v>
                </c:pt>
                <c:pt idx="70">
                  <c:v>0.0</c:v>
                </c:pt>
                <c:pt idx="71">
                  <c:v>5.955452806204907</c:v>
                </c:pt>
                <c:pt idx="72">
                  <c:v>22.67204306802871</c:v>
                </c:pt>
                <c:pt idx="73">
                  <c:v>35.53437913486995</c:v>
                </c:pt>
                <c:pt idx="74">
                  <c:v>49.80471922601906</c:v>
                </c:pt>
                <c:pt idx="75">
                  <c:v>77.35403935026244</c:v>
                </c:pt>
                <c:pt idx="76">
                  <c:v>100.0</c:v>
                </c:pt>
                <c:pt idx="77">
                  <c:v>0.0</c:v>
                </c:pt>
                <c:pt idx="78">
                  <c:v>7.015083618997553</c:v>
                </c:pt>
                <c:pt idx="79">
                  <c:v>27.90413553321901</c:v>
                </c:pt>
                <c:pt idx="80">
                  <c:v>42.37579626140542</c:v>
                </c:pt>
                <c:pt idx="81">
                  <c:v>56.83746720343103</c:v>
                </c:pt>
                <c:pt idx="82">
                  <c:v>81.61223459860881</c:v>
                </c:pt>
                <c:pt idx="83">
                  <c:v>100.0</c:v>
                </c:pt>
                <c:pt idx="84">
                  <c:v>0.0</c:v>
                </c:pt>
                <c:pt idx="85">
                  <c:v>6.510116634975881</c:v>
                </c:pt>
                <c:pt idx="86">
                  <c:v>25.54347973797311</c:v>
                </c:pt>
                <c:pt idx="87">
                  <c:v>39.41162276726622</c:v>
                </c:pt>
                <c:pt idx="88">
                  <c:v>53.89863122900503</c:v>
                </c:pt>
                <c:pt idx="89">
                  <c:v>79.9115594393063</c:v>
                </c:pt>
                <c:pt idx="90">
                  <c:v>100.0</c:v>
                </c:pt>
                <c:pt idx="91">
                  <c:v>0.0</c:v>
                </c:pt>
                <c:pt idx="92">
                  <c:v>5.955452806204907</c:v>
                </c:pt>
                <c:pt idx="93">
                  <c:v>22.6720430680287</c:v>
                </c:pt>
                <c:pt idx="94">
                  <c:v>35.53437913486995</c:v>
                </c:pt>
                <c:pt idx="95">
                  <c:v>49.80471922601907</c:v>
                </c:pt>
                <c:pt idx="96">
                  <c:v>77.35403935026243</c:v>
                </c:pt>
                <c:pt idx="97">
                  <c:v>100.0</c:v>
                </c:pt>
                <c:pt idx="98">
                  <c:v>0.0</c:v>
                </c:pt>
                <c:pt idx="99">
                  <c:v>7.879294400365171</c:v>
                </c:pt>
                <c:pt idx="100">
                  <c:v>31.53227968278179</c:v>
                </c:pt>
                <c:pt idx="101">
                  <c:v>46.61648155304258</c:v>
                </c:pt>
                <c:pt idx="102">
                  <c:v>60.81858494262021</c:v>
                </c:pt>
                <c:pt idx="103">
                  <c:v>83.78487531773816</c:v>
                </c:pt>
                <c:pt idx="104">
                  <c:v>100.0</c:v>
                </c:pt>
                <c:pt idx="105">
                  <c:v>0.0</c:v>
                </c:pt>
                <c:pt idx="106">
                  <c:v>7.540239024855351</c:v>
                </c:pt>
                <c:pt idx="107">
                  <c:v>30.16393560639473</c:v>
                </c:pt>
                <c:pt idx="108">
                  <c:v>45.05718308058483</c:v>
                </c:pt>
                <c:pt idx="109">
                  <c:v>59.38152735529346</c:v>
                </c:pt>
                <c:pt idx="110">
                  <c:v>83.01549333846006</c:v>
                </c:pt>
                <c:pt idx="111">
                  <c:v>100.0</c:v>
                </c:pt>
                <c:pt idx="112">
                  <c:v>0.0</c:v>
                </c:pt>
                <c:pt idx="113">
                  <c:v>7.114848514140674</c:v>
                </c:pt>
                <c:pt idx="114">
                  <c:v>28.34760893007214</c:v>
                </c:pt>
                <c:pt idx="115">
                  <c:v>42.91324374285148</c:v>
                </c:pt>
                <c:pt idx="116">
                  <c:v>57.3554136414647</c:v>
                </c:pt>
                <c:pt idx="117">
                  <c:v>81.9026141552106</c:v>
                </c:pt>
                <c:pt idx="118">
                  <c:v>100.0</c:v>
                </c:pt>
                <c:pt idx="119">
                  <c:v>0.0</c:v>
                </c:pt>
                <c:pt idx="120">
                  <c:v>5.509965923600044</c:v>
                </c:pt>
                <c:pt idx="121">
                  <c:v>19.99714727331587</c:v>
                </c:pt>
                <c:pt idx="122">
                  <c:v>31.58028544103162</c:v>
                </c:pt>
                <c:pt idx="123">
                  <c:v>45.24920635672605</c:v>
                </c:pt>
                <c:pt idx="124">
                  <c:v>74.13887769152812</c:v>
                </c:pt>
                <c:pt idx="125">
                  <c:v>100.0</c:v>
                </c:pt>
                <c:pt idx="126">
                  <c:v>0.0</c:v>
                </c:pt>
                <c:pt idx="127">
                  <c:v>6.687114587062649</c:v>
                </c:pt>
                <c:pt idx="128">
                  <c:v>26.39437672443741</c:v>
                </c:pt>
                <c:pt idx="129">
                  <c:v>40.50107889452511</c:v>
                </c:pt>
                <c:pt idx="130">
                  <c:v>54.99585711105481</c:v>
                </c:pt>
                <c:pt idx="131">
                  <c:v>80.55779511870753</c:v>
                </c:pt>
                <c:pt idx="132">
                  <c:v>100.0</c:v>
                </c:pt>
                <c:pt idx="133">
                  <c:v>0.0</c:v>
                </c:pt>
                <c:pt idx="134">
                  <c:v>5.652745589249171</c:v>
                </c:pt>
                <c:pt idx="135">
                  <c:v>20.91360053192744</c:v>
                </c:pt>
                <c:pt idx="136">
                  <c:v>32.97926833199649</c:v>
                </c:pt>
                <c:pt idx="137">
                  <c:v>46.91285806806173</c:v>
                </c:pt>
                <c:pt idx="138">
                  <c:v>75.36895403111222</c:v>
                </c:pt>
                <c:pt idx="139">
                  <c:v>100.0</c:v>
                </c:pt>
                <c:pt idx="140">
                  <c:v>0.0</c:v>
                </c:pt>
                <c:pt idx="141">
                  <c:v>5.264075780085564</c:v>
                </c:pt>
                <c:pt idx="142">
                  <c:v>18.00572325785927</c:v>
                </c:pt>
                <c:pt idx="143">
                  <c:v>28.31833991853068</c:v>
                </c:pt>
                <c:pt idx="144">
                  <c:v>41.0834272527452</c:v>
                </c:pt>
                <c:pt idx="145">
                  <c:v>70.66594479171784</c:v>
                </c:pt>
                <c:pt idx="146">
                  <c:v>100.0</c:v>
                </c:pt>
                <c:pt idx="147">
                  <c:v>0.0</c:v>
                </c:pt>
                <c:pt idx="148">
                  <c:v>5.955452806204907</c:v>
                </c:pt>
                <c:pt idx="149">
                  <c:v>22.67204306802871</c:v>
                </c:pt>
                <c:pt idx="150">
                  <c:v>35.53437913486995</c:v>
                </c:pt>
                <c:pt idx="151">
                  <c:v>49.80471922601907</c:v>
                </c:pt>
                <c:pt idx="152">
                  <c:v>77.35403935026245</c:v>
                </c:pt>
                <c:pt idx="153">
                  <c:v>100.0</c:v>
                </c:pt>
                <c:pt idx="154">
                  <c:v>0.0</c:v>
                </c:pt>
                <c:pt idx="155">
                  <c:v>5.230079572629654</c:v>
                </c:pt>
                <c:pt idx="156">
                  <c:v>17.05103918589505</c:v>
                </c:pt>
                <c:pt idx="157">
                  <c:v>26.55054928743477</c:v>
                </c:pt>
                <c:pt idx="158">
                  <c:v>38.57450407005737</c:v>
                </c:pt>
                <c:pt idx="159">
                  <c:v>68.1642813826009</c:v>
                </c:pt>
                <c:pt idx="160">
                  <c:v>100.0</c:v>
                </c:pt>
                <c:pt idx="161">
                  <c:v>0.0</c:v>
                </c:pt>
                <c:pt idx="162">
                  <c:v>8.821635605371268</c:v>
                </c:pt>
                <c:pt idx="163">
                  <c:v>35.01646679741123</c:v>
                </c:pt>
                <c:pt idx="164">
                  <c:v>50.40100792801061</c:v>
                </c:pt>
                <c:pt idx="165">
                  <c:v>64.19827332490608</c:v>
                </c:pt>
                <c:pt idx="166">
                  <c:v>85.53971000379653</c:v>
                </c:pt>
                <c:pt idx="167">
                  <c:v>100.0</c:v>
                </c:pt>
                <c:pt idx="168">
                  <c:v>0.0</c:v>
                </c:pt>
                <c:pt idx="169">
                  <c:v>7.540239024855351</c:v>
                </c:pt>
                <c:pt idx="170">
                  <c:v>30.16393560639473</c:v>
                </c:pt>
                <c:pt idx="171">
                  <c:v>45.05718308058483</c:v>
                </c:pt>
                <c:pt idx="172">
                  <c:v>59.38152735529346</c:v>
                </c:pt>
                <c:pt idx="173">
                  <c:v>83.01549333846005</c:v>
                </c:pt>
                <c:pt idx="174">
                  <c:v>100.0</c:v>
                </c:pt>
                <c:pt idx="175">
                  <c:v>0.0</c:v>
                </c:pt>
                <c:pt idx="176">
                  <c:v>7.114848514140674</c:v>
                </c:pt>
                <c:pt idx="177">
                  <c:v>28.34760893007214</c:v>
                </c:pt>
                <c:pt idx="178">
                  <c:v>42.91324374285148</c:v>
                </c:pt>
                <c:pt idx="179">
                  <c:v>57.3554136414647</c:v>
                </c:pt>
                <c:pt idx="180">
                  <c:v>81.9026141552106</c:v>
                </c:pt>
                <c:pt idx="181">
                  <c:v>100.0</c:v>
                </c:pt>
                <c:pt idx="182">
                  <c:v>0.0</c:v>
                </c:pt>
                <c:pt idx="183">
                  <c:v>5.509965923600044</c:v>
                </c:pt>
                <c:pt idx="184">
                  <c:v>19.99714727331587</c:v>
                </c:pt>
                <c:pt idx="185">
                  <c:v>31.58028544103161</c:v>
                </c:pt>
                <c:pt idx="186">
                  <c:v>45.24920635672605</c:v>
                </c:pt>
                <c:pt idx="187">
                  <c:v>74.13887769152811</c:v>
                </c:pt>
                <c:pt idx="188">
                  <c:v>100.0</c:v>
                </c:pt>
              </c:numCache>
            </c:numRef>
          </c:yVal>
          <c:smooth val="0"/>
          <c:extLst xmlns:c16r2="http://schemas.microsoft.com/office/drawing/2015/06/chart">
            <c:ext xmlns:c16="http://schemas.microsoft.com/office/drawing/2014/chart" uri="{C3380CC4-5D6E-409C-BE32-E72D297353CC}">
              <c16:uniqueId val="{00000002-9EA8-488B-9910-7E98A6B9555B}"/>
            </c:ext>
          </c:extLst>
        </c:ser>
        <c:dLbls>
          <c:showLegendKey val="0"/>
          <c:showVal val="0"/>
          <c:showCatName val="0"/>
          <c:showSerName val="0"/>
          <c:showPercent val="0"/>
          <c:showBubbleSize val="0"/>
        </c:dLbls>
        <c:axId val="1805613312"/>
        <c:axId val="1805618384"/>
      </c:scatterChart>
      <c:valAx>
        <c:axId val="1805613312"/>
        <c:scaling>
          <c:orientation val="minMax"/>
          <c:max val="102.0"/>
          <c:min val="0.0"/>
        </c:scaling>
        <c:delete val="0"/>
        <c:axPos val="b"/>
        <c:title>
          <c:tx>
            <c:rich>
              <a:bodyPr/>
              <a:lstStyle/>
              <a:p>
                <a:pPr>
                  <a:defRPr>
                    <a:latin typeface="Arial" panose="020B0604020202020204" pitchFamily="34" charset="0"/>
                    <a:cs typeface="Arial" panose="020B0604020202020204" pitchFamily="34" charset="0"/>
                  </a:defRPr>
                </a:pPr>
                <a:r>
                  <a:rPr lang="en-US"/>
                  <a:t>Proportion of season (%)</a:t>
                </a:r>
              </a:p>
            </c:rich>
          </c:tx>
          <c:layout/>
          <c:overlay val="0"/>
        </c:title>
        <c:numFmt formatCode="0" sourceLinked="1"/>
        <c:majorTickMark val="out"/>
        <c:minorTickMark val="none"/>
        <c:tickLblPos val="nextTo"/>
        <c:crossAx val="1805618384"/>
        <c:crosses val="autoZero"/>
        <c:crossBetween val="midCat"/>
        <c:majorUnit val="10.0"/>
      </c:valAx>
      <c:valAx>
        <c:axId val="1805618384"/>
        <c:scaling>
          <c:orientation val="minMax"/>
          <c:max val="102.0"/>
          <c:min val="0.0"/>
        </c:scaling>
        <c:delete val="0"/>
        <c:axPos val="l"/>
        <c:majorGridlines/>
        <c:title>
          <c:tx>
            <c:rich>
              <a:bodyPr rot="-5400000" vert="horz"/>
              <a:lstStyle/>
              <a:p>
                <a:pPr>
                  <a:defRPr>
                    <a:latin typeface="Arial" panose="020B0604020202020204" pitchFamily="34" charset="0"/>
                    <a:cs typeface="Arial" panose="020B0604020202020204" pitchFamily="34" charset="0"/>
                  </a:defRPr>
                </a:pPr>
                <a:r>
                  <a:rPr lang="en-US"/>
                  <a:t>Proportion of N uptake (%)</a:t>
                </a:r>
              </a:p>
            </c:rich>
          </c:tx>
          <c:layout/>
          <c:overlay val="0"/>
        </c:title>
        <c:numFmt formatCode="0" sourceLinked="1"/>
        <c:majorTickMark val="out"/>
        <c:minorTickMark val="none"/>
        <c:tickLblPos val="nextTo"/>
        <c:crossAx val="1805613312"/>
        <c:crosses val="autoZero"/>
        <c:crossBetween val="midCat"/>
      </c:valAx>
    </c:plotArea>
    <c:plotVisOnly val="1"/>
    <c:dispBlanksAs val="gap"/>
    <c:showDLblsOverMax val="0"/>
  </c:chart>
  <c:spPr>
    <a:ln>
      <a:noFill/>
    </a:ln>
  </c:spPr>
  <c:printSettings>
    <c:headerFooter/>
    <c:pageMargins b="0.75" l="0.7" r="0.7" t="0.75" header="0.3" footer="0.3"/>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scatterChart>
        <c:scatterStyle val="lineMarker"/>
        <c:varyColors val="0"/>
        <c:dLbls>
          <c:showLegendKey val="0"/>
          <c:showVal val="0"/>
          <c:showCatName val="0"/>
          <c:showSerName val="0"/>
          <c:showPercent val="0"/>
          <c:showBubbleSize val="0"/>
        </c:dLbls>
        <c:axId val="1804776064"/>
        <c:axId val="1804770800"/>
      </c:scatterChart>
      <c:valAx>
        <c:axId val="1804776064"/>
        <c:scaling>
          <c:orientation val="minMax"/>
          <c:max val="102.0"/>
          <c:min val="0.0"/>
        </c:scaling>
        <c:delete val="0"/>
        <c:axPos val="b"/>
        <c:title>
          <c:tx>
            <c:rich>
              <a:bodyPr/>
              <a:lstStyle/>
              <a:p>
                <a:pPr>
                  <a:defRPr>
                    <a:latin typeface="Arial" panose="020B0604020202020204" pitchFamily="34" charset="0"/>
                    <a:cs typeface="Arial" panose="020B0604020202020204" pitchFamily="34" charset="0"/>
                  </a:defRPr>
                </a:pPr>
                <a:r>
                  <a:rPr lang="en-US"/>
                  <a:t>Proportion of season (%)</a:t>
                </a:r>
              </a:p>
            </c:rich>
          </c:tx>
          <c:layout/>
          <c:overlay val="0"/>
        </c:title>
        <c:numFmt formatCode="0" sourceLinked="1"/>
        <c:majorTickMark val="out"/>
        <c:minorTickMark val="none"/>
        <c:tickLblPos val="nextTo"/>
        <c:crossAx val="1804770800"/>
        <c:crosses val="autoZero"/>
        <c:crossBetween val="midCat"/>
        <c:majorUnit val="10.0"/>
      </c:valAx>
      <c:valAx>
        <c:axId val="1804770800"/>
        <c:scaling>
          <c:orientation val="minMax"/>
          <c:max val="102.0"/>
          <c:min val="0.0"/>
        </c:scaling>
        <c:delete val="0"/>
        <c:axPos val="l"/>
        <c:majorGridlines/>
        <c:title>
          <c:tx>
            <c:rich>
              <a:bodyPr rot="-5400000" vert="horz"/>
              <a:lstStyle/>
              <a:p>
                <a:pPr>
                  <a:defRPr>
                    <a:latin typeface="Arial" panose="020B0604020202020204" pitchFamily="34" charset="0"/>
                    <a:cs typeface="Arial" panose="020B0604020202020204" pitchFamily="34" charset="0"/>
                  </a:defRPr>
                </a:pPr>
                <a:r>
                  <a:rPr lang="en-US"/>
                  <a:t>Proportion of N uptake (%)</a:t>
                </a:r>
              </a:p>
            </c:rich>
          </c:tx>
          <c:layout/>
          <c:overlay val="0"/>
        </c:title>
        <c:numFmt formatCode="0" sourceLinked="1"/>
        <c:majorTickMark val="out"/>
        <c:minorTickMark val="none"/>
        <c:tickLblPos val="nextTo"/>
        <c:crossAx val="1804776064"/>
        <c:crosses val="autoZero"/>
        <c:crossBetween val="midCat"/>
      </c:valAx>
    </c:plotArea>
    <c:plotVisOnly val="1"/>
    <c:dispBlanksAs val="gap"/>
    <c:showDLblsOverMax val="0"/>
  </c:chart>
  <c:spPr>
    <a:ln>
      <a:noFill/>
    </a:ln>
  </c:spPr>
  <c:printSettings>
    <c:headerFooter/>
    <c:pageMargins b="0.75" l="0.7" r="0.7" t="0.75" header="0.3" footer="0.3"/>
    <c:pageSetup/>
  </c:printSettings>
  <c:userShapes r:id="rId2"/>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scatterChart>
        <c:scatterStyle val="lineMarker"/>
        <c:varyColors val="0"/>
        <c:dLbls>
          <c:showLegendKey val="0"/>
          <c:showVal val="0"/>
          <c:showCatName val="0"/>
          <c:showSerName val="0"/>
          <c:showPercent val="0"/>
          <c:showBubbleSize val="0"/>
        </c:dLbls>
        <c:axId val="-1995575648"/>
        <c:axId val="-2006712368"/>
      </c:scatterChart>
      <c:valAx>
        <c:axId val="-1995575648"/>
        <c:scaling>
          <c:orientation val="minMax"/>
          <c:max val="102.0"/>
          <c:min val="0.0"/>
        </c:scaling>
        <c:delete val="1"/>
        <c:axPos val="b"/>
        <c:title>
          <c:tx>
            <c:rich>
              <a:bodyPr/>
              <a:lstStyle/>
              <a:p>
                <a:pPr>
                  <a:defRPr>
                    <a:latin typeface="Arial" panose="020B0604020202020204" pitchFamily="34" charset="0"/>
                    <a:cs typeface="Arial" panose="020B0604020202020204" pitchFamily="34" charset="0"/>
                  </a:defRPr>
                </a:pPr>
                <a:r>
                  <a:rPr lang="en-US" sz="1000" b="1" i="0" baseline="0">
                    <a:effectLst/>
                    <a:latin typeface="Arial" panose="020B0604020202020204" pitchFamily="34" charset="0"/>
                    <a:cs typeface="Arial" panose="020B0604020202020204" pitchFamily="34" charset="0"/>
                  </a:rPr>
                  <a:t>Days after planting</a:t>
                </a:r>
                <a:endParaRPr lang="en-US" sz="1000" b="0">
                  <a:effectLst/>
                  <a:latin typeface="Arial" panose="020B0604020202020204" pitchFamily="34" charset="0"/>
                  <a:cs typeface="Arial" panose="020B0604020202020204" pitchFamily="34" charset="0"/>
                </a:endParaRPr>
              </a:p>
            </c:rich>
          </c:tx>
          <c:layout>
            <c:manualLayout>
              <c:xMode val="edge"/>
              <c:yMode val="edge"/>
              <c:x val="0.34630482189634"/>
              <c:y val="0.942708333333334"/>
            </c:manualLayout>
          </c:layout>
          <c:overlay val="0"/>
        </c:title>
        <c:numFmt formatCode="General" sourceLinked="1"/>
        <c:majorTickMark val="out"/>
        <c:minorTickMark val="none"/>
        <c:tickLblPos val="nextTo"/>
        <c:crossAx val="-2006712368"/>
        <c:crosses val="autoZero"/>
        <c:crossBetween val="midCat"/>
        <c:majorUnit val="10.0"/>
      </c:valAx>
      <c:valAx>
        <c:axId val="-2006712368"/>
        <c:scaling>
          <c:orientation val="minMax"/>
          <c:max val="102.0"/>
          <c:min val="0.0"/>
        </c:scaling>
        <c:delete val="1"/>
        <c:axPos val="l"/>
        <c:majorGridlines>
          <c:spPr>
            <a:ln>
              <a:noFill/>
            </a:ln>
          </c:spPr>
        </c:majorGridlines>
        <c:title>
          <c:tx>
            <c:rich>
              <a:bodyPr rot="-5400000" vert="horz"/>
              <a:lstStyle/>
              <a:p>
                <a:pPr>
                  <a:defRPr>
                    <a:latin typeface="Arial" panose="020B0604020202020204" pitchFamily="34" charset="0"/>
                    <a:cs typeface="Arial" panose="020B0604020202020204" pitchFamily="34" charset="0"/>
                  </a:defRPr>
                </a:pPr>
                <a:r>
                  <a:rPr lang="en-US" sz="1000" b="1" i="0" u="none" strike="noStrike" baseline="0">
                    <a:effectLst/>
                  </a:rPr>
                  <a:t>Total N uptake</a:t>
                </a:r>
                <a:r>
                  <a:rPr lang="en-US" sz="1000" b="0" i="0" u="none" strike="noStrike" baseline="0">
                    <a:effectLst/>
                  </a:rPr>
                  <a:t> lbs/acre)</a:t>
                </a:r>
                <a:endParaRPr lang="en-US" b="0"/>
              </a:p>
            </c:rich>
          </c:tx>
          <c:layout>
            <c:manualLayout>
              <c:xMode val="edge"/>
              <c:yMode val="edge"/>
              <c:x val="0.0128794841986307"/>
              <c:y val="0.276875"/>
            </c:manualLayout>
          </c:layout>
          <c:overlay val="0"/>
        </c:title>
        <c:numFmt formatCode="General" sourceLinked="1"/>
        <c:majorTickMark val="out"/>
        <c:minorTickMark val="none"/>
        <c:tickLblPos val="nextTo"/>
        <c:crossAx val="-1995575648"/>
        <c:crosses val="autoZero"/>
        <c:crossBetween val="midCat"/>
      </c:valAx>
    </c:plotArea>
    <c:plotVisOnly val="1"/>
    <c:dispBlanksAs val="gap"/>
    <c:showDLblsOverMax val="0"/>
  </c:chart>
  <c:spPr>
    <a:ln>
      <a:noFill/>
    </a:ln>
  </c:sp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scatterChart>
        <c:scatterStyle val="lineMarker"/>
        <c:varyColors val="0"/>
        <c:dLbls>
          <c:showLegendKey val="0"/>
          <c:showVal val="0"/>
          <c:showCatName val="0"/>
          <c:showSerName val="0"/>
          <c:showPercent val="0"/>
          <c:showBubbleSize val="0"/>
        </c:dLbls>
        <c:axId val="1776846368"/>
        <c:axId val="-2009095168"/>
      </c:scatterChart>
      <c:valAx>
        <c:axId val="1776846368"/>
        <c:scaling>
          <c:orientation val="minMax"/>
          <c:max val="102.0"/>
          <c:min val="0.0"/>
        </c:scaling>
        <c:delete val="1"/>
        <c:axPos val="b"/>
        <c:title>
          <c:layout/>
          <c:overlay val="0"/>
        </c:title>
        <c:numFmt formatCode="General" sourceLinked="1"/>
        <c:majorTickMark val="out"/>
        <c:minorTickMark val="none"/>
        <c:tickLblPos val="nextTo"/>
        <c:crossAx val="-2009095168"/>
        <c:crosses val="autoZero"/>
        <c:crossBetween val="midCat"/>
        <c:majorUnit val="10.0"/>
      </c:valAx>
      <c:valAx>
        <c:axId val="-2009095168"/>
        <c:scaling>
          <c:orientation val="minMax"/>
          <c:max val="102.0"/>
          <c:min val="0.0"/>
        </c:scaling>
        <c:delete val="1"/>
        <c:axPos val="l"/>
        <c:title>
          <c:layout/>
          <c:overlay val="0"/>
          <c:txPr>
            <a:bodyPr rot="-5400000" vert="horz"/>
            <a:lstStyle/>
            <a:p>
              <a:pPr>
                <a:defRPr/>
              </a:pPr>
              <a:endParaRPr lang="en-US"/>
            </a:p>
          </c:txPr>
        </c:title>
        <c:numFmt formatCode="General" sourceLinked="1"/>
        <c:majorTickMark val="out"/>
        <c:minorTickMark val="none"/>
        <c:tickLblPos val="nextTo"/>
        <c:crossAx val="1776846368"/>
        <c:crosses val="autoZero"/>
        <c:crossBetween val="midCat"/>
      </c:valAx>
      <c:spPr>
        <a:noFill/>
        <a:ln w="25400">
          <a:noFill/>
        </a:ln>
      </c:spPr>
    </c:plotArea>
    <c:plotVisOnly val="1"/>
    <c:dispBlanksAs val="gap"/>
    <c:showDLblsOverMax val="0"/>
  </c:chart>
  <c:spPr>
    <a:ln>
      <a:noFill/>
    </a:ln>
  </c:spPr>
  <c:printSettings>
    <c:headerFooter/>
    <c:pageMargins b="0.75" l="0.7" r="0.7" t="0.75" header="0.3" footer="0.3"/>
    <c:pageSetup/>
  </c:printSettings>
  <c:userShapes r:id="rId2"/>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28575">
              <a:noFill/>
            </a:ln>
          </c:spPr>
          <c:xVal>
            <c:numRef>
              <c:f>Eggplant!$M$5:$M$53</c:f>
              <c:numCache>
                <c:formatCode>0</c:formatCode>
                <c:ptCount val="49"/>
                <c:pt idx="0">
                  <c:v>0.0</c:v>
                </c:pt>
                <c:pt idx="1">
                  <c:v>18.69918699186992</c:v>
                </c:pt>
                <c:pt idx="2">
                  <c:v>30.08130081300813</c:v>
                </c:pt>
                <c:pt idx="3">
                  <c:v>44.71544715447155</c:v>
                </c:pt>
                <c:pt idx="4">
                  <c:v>57.72357723577236</c:v>
                </c:pt>
                <c:pt idx="5">
                  <c:v>71.54471544715447</c:v>
                </c:pt>
                <c:pt idx="6">
                  <c:v>86.17886178861789</c:v>
                </c:pt>
                <c:pt idx="7">
                  <c:v>100.0</c:v>
                </c:pt>
                <c:pt idx="8">
                  <c:v>0.0</c:v>
                </c:pt>
                <c:pt idx="9">
                  <c:v>18.69918699186992</c:v>
                </c:pt>
                <c:pt idx="10">
                  <c:v>30.08130081300813</c:v>
                </c:pt>
                <c:pt idx="11">
                  <c:v>44.71544715447155</c:v>
                </c:pt>
                <c:pt idx="12">
                  <c:v>57.72357723577236</c:v>
                </c:pt>
                <c:pt idx="13">
                  <c:v>71.54471544715447</c:v>
                </c:pt>
                <c:pt idx="14">
                  <c:v>86.17886178861789</c:v>
                </c:pt>
                <c:pt idx="15">
                  <c:v>100.0</c:v>
                </c:pt>
                <c:pt idx="16">
                  <c:v>0.0</c:v>
                </c:pt>
                <c:pt idx="17">
                  <c:v>18.69918699186992</c:v>
                </c:pt>
                <c:pt idx="18">
                  <c:v>30.08130081300813</c:v>
                </c:pt>
                <c:pt idx="19">
                  <c:v>44.71544715447155</c:v>
                </c:pt>
                <c:pt idx="20">
                  <c:v>57.72357723577236</c:v>
                </c:pt>
                <c:pt idx="21">
                  <c:v>71.54471544715447</c:v>
                </c:pt>
                <c:pt idx="22">
                  <c:v>86.17886178861789</c:v>
                </c:pt>
                <c:pt idx="23">
                  <c:v>100.0</c:v>
                </c:pt>
                <c:pt idx="24">
                  <c:v>0.0</c:v>
                </c:pt>
                <c:pt idx="25">
                  <c:v>7.964601769911505</c:v>
                </c:pt>
                <c:pt idx="26">
                  <c:v>17.6991150442478</c:v>
                </c:pt>
                <c:pt idx="27">
                  <c:v>33.6283185840708</c:v>
                </c:pt>
                <c:pt idx="28">
                  <c:v>54.86725663716815</c:v>
                </c:pt>
                <c:pt idx="29">
                  <c:v>72.56637168141593</c:v>
                </c:pt>
                <c:pt idx="30">
                  <c:v>100.0</c:v>
                </c:pt>
                <c:pt idx="31">
                  <c:v>0.0</c:v>
                </c:pt>
                <c:pt idx="32">
                  <c:v>7.964601769911505</c:v>
                </c:pt>
                <c:pt idx="33">
                  <c:v>17.6991150442478</c:v>
                </c:pt>
                <c:pt idx="34">
                  <c:v>33.6283185840708</c:v>
                </c:pt>
                <c:pt idx="35">
                  <c:v>54.86725663716815</c:v>
                </c:pt>
                <c:pt idx="36">
                  <c:v>72.56637168141593</c:v>
                </c:pt>
                <c:pt idx="37">
                  <c:v>100.0</c:v>
                </c:pt>
                <c:pt idx="38">
                  <c:v>0.0</c:v>
                </c:pt>
                <c:pt idx="39">
                  <c:v>7.964601769911505</c:v>
                </c:pt>
                <c:pt idx="40">
                  <c:v>17.6991150442478</c:v>
                </c:pt>
                <c:pt idx="41">
                  <c:v>33.6283185840708</c:v>
                </c:pt>
                <c:pt idx="42">
                  <c:v>54.86725663716815</c:v>
                </c:pt>
                <c:pt idx="43">
                  <c:v>72.56637168141593</c:v>
                </c:pt>
                <c:pt idx="44">
                  <c:v>100.0</c:v>
                </c:pt>
                <c:pt idx="45">
                  <c:v>0.0</c:v>
                </c:pt>
                <c:pt idx="46">
                  <c:v>33.33333333333333</c:v>
                </c:pt>
                <c:pt idx="47">
                  <c:v>66.66666666666665</c:v>
                </c:pt>
                <c:pt idx="48">
                  <c:v>100.0</c:v>
                </c:pt>
              </c:numCache>
            </c:numRef>
          </c:xVal>
          <c:yVal>
            <c:numRef>
              <c:f>Eggplant!$P$5:$P$53</c:f>
              <c:numCache>
                <c:formatCode>0</c:formatCode>
                <c:ptCount val="49"/>
                <c:pt idx="0">
                  <c:v>0.0</c:v>
                </c:pt>
                <c:pt idx="1">
                  <c:v>2.631578947368422</c:v>
                </c:pt>
                <c:pt idx="2">
                  <c:v>4.210526315789474</c:v>
                </c:pt>
                <c:pt idx="3">
                  <c:v>15.78947368421053</c:v>
                </c:pt>
                <c:pt idx="4">
                  <c:v>45.26315789473684</c:v>
                </c:pt>
                <c:pt idx="5">
                  <c:v>70.5263157894737</c:v>
                </c:pt>
                <c:pt idx="6">
                  <c:v>86.31578947368422</c:v>
                </c:pt>
                <c:pt idx="7">
                  <c:v>100.0</c:v>
                </c:pt>
                <c:pt idx="8">
                  <c:v>0.0</c:v>
                </c:pt>
                <c:pt idx="9">
                  <c:v>1.923076923076924</c:v>
                </c:pt>
                <c:pt idx="10">
                  <c:v>3.076923076923078</c:v>
                </c:pt>
                <c:pt idx="11">
                  <c:v>11.53846153846154</c:v>
                </c:pt>
                <c:pt idx="12">
                  <c:v>40.76923076923078</c:v>
                </c:pt>
                <c:pt idx="13">
                  <c:v>76.15384615384616</c:v>
                </c:pt>
                <c:pt idx="14">
                  <c:v>86.92307692307692</c:v>
                </c:pt>
                <c:pt idx="15">
                  <c:v>100.0</c:v>
                </c:pt>
                <c:pt idx="16">
                  <c:v>0.0</c:v>
                </c:pt>
                <c:pt idx="17">
                  <c:v>1.344086021505376</c:v>
                </c:pt>
                <c:pt idx="18">
                  <c:v>2.150537634408602</c:v>
                </c:pt>
                <c:pt idx="19">
                  <c:v>15.05376344086021</c:v>
                </c:pt>
                <c:pt idx="20">
                  <c:v>34.94623655913978</c:v>
                </c:pt>
                <c:pt idx="21">
                  <c:v>68.27956989247312</c:v>
                </c:pt>
                <c:pt idx="22">
                  <c:v>76.34408602150537</c:v>
                </c:pt>
                <c:pt idx="23">
                  <c:v>100.0</c:v>
                </c:pt>
                <c:pt idx="24">
                  <c:v>0.0</c:v>
                </c:pt>
                <c:pt idx="25">
                  <c:v>1.123595505617978</c:v>
                </c:pt>
                <c:pt idx="26">
                  <c:v>2.808988764044944</c:v>
                </c:pt>
                <c:pt idx="27">
                  <c:v>7.865168539325842</c:v>
                </c:pt>
                <c:pt idx="28">
                  <c:v>44.9438202247191</c:v>
                </c:pt>
                <c:pt idx="29">
                  <c:v>80.89887640449437</c:v>
                </c:pt>
                <c:pt idx="30">
                  <c:v>100.0</c:v>
                </c:pt>
                <c:pt idx="31">
                  <c:v>0.0</c:v>
                </c:pt>
                <c:pt idx="32">
                  <c:v>0.78125</c:v>
                </c:pt>
                <c:pt idx="33">
                  <c:v>1.953125</c:v>
                </c:pt>
                <c:pt idx="34">
                  <c:v>7.8125</c:v>
                </c:pt>
                <c:pt idx="35">
                  <c:v>45.31249999999999</c:v>
                </c:pt>
                <c:pt idx="36">
                  <c:v>80.46875</c:v>
                </c:pt>
                <c:pt idx="37">
                  <c:v>100.0</c:v>
                </c:pt>
                <c:pt idx="38">
                  <c:v>0.0</c:v>
                </c:pt>
                <c:pt idx="39">
                  <c:v>0.606060606060606</c:v>
                </c:pt>
                <c:pt idx="40">
                  <c:v>1.515151515151515</c:v>
                </c:pt>
                <c:pt idx="41">
                  <c:v>7.272727272727272</c:v>
                </c:pt>
                <c:pt idx="42">
                  <c:v>30.90909090909091</c:v>
                </c:pt>
                <c:pt idx="43">
                  <c:v>73.33333333333333</c:v>
                </c:pt>
                <c:pt idx="44">
                  <c:v>100.0</c:v>
                </c:pt>
                <c:pt idx="45">
                  <c:v>0.0</c:v>
                </c:pt>
                <c:pt idx="46">
                  <c:v>9.15684496826836</c:v>
                </c:pt>
                <c:pt idx="47">
                  <c:v>40.43517679057116</c:v>
                </c:pt>
                <c:pt idx="48">
                  <c:v>100.0</c:v>
                </c:pt>
              </c:numCache>
            </c:numRef>
          </c:yVal>
          <c:smooth val="0"/>
          <c:extLst xmlns:c16r2="http://schemas.microsoft.com/office/drawing/2015/06/chart">
            <c:ext xmlns:c16="http://schemas.microsoft.com/office/drawing/2014/chart" uri="{C3380CC4-5D6E-409C-BE32-E72D297353CC}">
              <c16:uniqueId val="{00000000-47D0-4465-8D55-2630391A0264}"/>
            </c:ext>
          </c:extLst>
        </c:ser>
        <c:dLbls>
          <c:showLegendKey val="0"/>
          <c:showVal val="0"/>
          <c:showCatName val="0"/>
          <c:showSerName val="0"/>
          <c:showPercent val="0"/>
          <c:showBubbleSize val="0"/>
        </c:dLbls>
        <c:axId val="-2012281584"/>
        <c:axId val="-2012276528"/>
      </c:scatterChart>
      <c:valAx>
        <c:axId val="-2012281584"/>
        <c:scaling>
          <c:orientation val="minMax"/>
          <c:max val="102.0"/>
          <c:min val="0.0"/>
        </c:scaling>
        <c:delete val="0"/>
        <c:axPos val="b"/>
        <c:title>
          <c:tx>
            <c:rich>
              <a:bodyPr/>
              <a:lstStyle/>
              <a:p>
                <a:pPr>
                  <a:defRPr>
                    <a:latin typeface="Arial" panose="020B0604020202020204" pitchFamily="34" charset="0"/>
                    <a:cs typeface="Arial" panose="020B0604020202020204" pitchFamily="34" charset="0"/>
                  </a:defRPr>
                </a:pPr>
                <a:r>
                  <a:rPr lang="en-US">
                    <a:latin typeface="Arial" panose="020B0604020202020204" pitchFamily="34" charset="0"/>
                    <a:cs typeface="Arial" panose="020B0604020202020204" pitchFamily="34" charset="0"/>
                  </a:rPr>
                  <a:t>% of season</a:t>
                </a:r>
              </a:p>
            </c:rich>
          </c:tx>
          <c:layout/>
          <c:overlay val="0"/>
        </c:title>
        <c:numFmt formatCode="0" sourceLinked="1"/>
        <c:majorTickMark val="out"/>
        <c:minorTickMark val="none"/>
        <c:tickLblPos val="nextTo"/>
        <c:crossAx val="-2012276528"/>
        <c:crosses val="autoZero"/>
        <c:crossBetween val="midCat"/>
        <c:majorUnit val="10.0"/>
      </c:valAx>
      <c:valAx>
        <c:axId val="-2012276528"/>
        <c:scaling>
          <c:orientation val="minMax"/>
          <c:max val="102.0"/>
          <c:min val="0.0"/>
        </c:scaling>
        <c:delete val="0"/>
        <c:axPos val="l"/>
        <c:majorGridlines/>
        <c:title>
          <c:tx>
            <c:rich>
              <a:bodyPr rot="-5400000" vert="horz"/>
              <a:lstStyle/>
              <a:p>
                <a:pPr>
                  <a:defRPr>
                    <a:latin typeface="Arial" panose="020B0604020202020204" pitchFamily="34" charset="0"/>
                    <a:cs typeface="Arial" panose="020B0604020202020204" pitchFamily="34" charset="0"/>
                  </a:defRPr>
                </a:pPr>
                <a:r>
                  <a:rPr lang="en-US">
                    <a:latin typeface="Arial" panose="020B0604020202020204" pitchFamily="34" charset="0"/>
                    <a:cs typeface="Arial" panose="020B0604020202020204" pitchFamily="34" charset="0"/>
                  </a:rPr>
                  <a:t>Plant N uptake (% of maximum)</a:t>
                </a:r>
              </a:p>
            </c:rich>
          </c:tx>
          <c:layout/>
          <c:overlay val="0"/>
        </c:title>
        <c:numFmt formatCode="0" sourceLinked="1"/>
        <c:majorTickMark val="out"/>
        <c:minorTickMark val="none"/>
        <c:tickLblPos val="nextTo"/>
        <c:crossAx val="-2012281584"/>
        <c:crosses val="autoZero"/>
        <c:crossBetween val="midCat"/>
      </c:valAx>
    </c:plotArea>
    <c:plotVisOnly val="1"/>
    <c:dispBlanksAs val="gap"/>
    <c:showDLblsOverMax val="0"/>
  </c:chart>
  <c:spPr>
    <a:ln>
      <a:noFill/>
    </a:ln>
  </c:spPr>
  <c:printSettings>
    <c:headerFooter/>
    <c:pageMargins b="0.75" l="0.7" r="0.7" t="0.75" header="0.3" footer="0.3"/>
    <c:pageSetup/>
  </c:printSettings>
  <c:userShapes r:id="rId1"/>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scatterChart>
        <c:scatterStyle val="lineMarker"/>
        <c:varyColors val="0"/>
        <c:dLbls>
          <c:showLegendKey val="0"/>
          <c:showVal val="0"/>
          <c:showCatName val="0"/>
          <c:showSerName val="0"/>
          <c:showPercent val="0"/>
          <c:showBubbleSize val="0"/>
        </c:dLbls>
        <c:axId val="1776693712"/>
        <c:axId val="-2009775232"/>
      </c:scatterChart>
      <c:valAx>
        <c:axId val="1776693712"/>
        <c:scaling>
          <c:orientation val="minMax"/>
          <c:max val="102.0"/>
          <c:min val="0.0"/>
        </c:scaling>
        <c:delete val="1"/>
        <c:axPos val="b"/>
        <c:title>
          <c:tx>
            <c:rich>
              <a:bodyPr/>
              <a:lstStyle/>
              <a:p>
                <a:pPr>
                  <a:defRPr>
                    <a:latin typeface="Arial" panose="020B0604020202020204" pitchFamily="34" charset="0"/>
                    <a:cs typeface="Arial" panose="020B0604020202020204" pitchFamily="34" charset="0"/>
                  </a:defRPr>
                </a:pPr>
                <a:r>
                  <a:rPr lang="en-US" sz="1000" b="1" i="0" baseline="0">
                    <a:effectLst/>
                    <a:latin typeface="Arial" panose="020B0604020202020204" pitchFamily="34" charset="0"/>
                    <a:cs typeface="Arial" panose="020B0604020202020204" pitchFamily="34" charset="0"/>
                  </a:rPr>
                  <a:t>Proportion of season </a:t>
                </a:r>
                <a:r>
                  <a:rPr lang="en-US" sz="1000" b="0" i="0" baseline="0">
                    <a:effectLst/>
                    <a:latin typeface="Arial" panose="020B0604020202020204" pitchFamily="34" charset="0"/>
                    <a:cs typeface="Arial" panose="020B0604020202020204" pitchFamily="34" charset="0"/>
                  </a:rPr>
                  <a:t>(% of total)</a:t>
                </a:r>
                <a:endParaRPr lang="en-US" sz="1000">
                  <a:effectLst/>
                  <a:latin typeface="Arial" panose="020B0604020202020204" pitchFamily="34" charset="0"/>
                  <a:cs typeface="Arial" panose="020B0604020202020204" pitchFamily="34" charset="0"/>
                </a:endParaRPr>
              </a:p>
            </c:rich>
          </c:tx>
          <c:layout>
            <c:manualLayout>
              <c:xMode val="edge"/>
              <c:yMode val="edge"/>
              <c:x val="0.361965811965812"/>
              <c:y val="0.942708333333334"/>
            </c:manualLayout>
          </c:layout>
          <c:overlay val="0"/>
        </c:title>
        <c:numFmt formatCode="General" sourceLinked="1"/>
        <c:majorTickMark val="out"/>
        <c:minorTickMark val="none"/>
        <c:tickLblPos val="nextTo"/>
        <c:crossAx val="-2009775232"/>
        <c:crosses val="autoZero"/>
        <c:crossBetween val="midCat"/>
        <c:majorUnit val="10.0"/>
      </c:valAx>
      <c:valAx>
        <c:axId val="-2009775232"/>
        <c:scaling>
          <c:orientation val="minMax"/>
          <c:max val="102.0"/>
          <c:min val="0.0"/>
        </c:scaling>
        <c:delete val="1"/>
        <c:axPos val="l"/>
        <c:title>
          <c:tx>
            <c:rich>
              <a:bodyPr rot="-5400000" vert="horz"/>
              <a:lstStyle/>
              <a:p>
                <a:pPr>
                  <a:defRPr>
                    <a:latin typeface="Arial" panose="020B0604020202020204" pitchFamily="34" charset="0"/>
                    <a:cs typeface="Arial" panose="020B0604020202020204" pitchFamily="34" charset="0"/>
                  </a:defRPr>
                </a:pPr>
                <a:r>
                  <a:rPr lang="en-US" sz="1000" b="1" i="0" u="none" strike="noStrike" baseline="0">
                    <a:effectLst/>
                  </a:rPr>
                  <a:t>Plant N uptake</a:t>
                </a:r>
                <a:r>
                  <a:rPr lang="en-US" sz="1000" b="0" i="0" u="none" strike="noStrike" baseline="0">
                    <a:effectLst/>
                  </a:rPr>
                  <a:t> (% of total)</a:t>
                </a:r>
                <a:endParaRPr lang="en-US"/>
              </a:p>
            </c:rich>
          </c:tx>
          <c:layout>
            <c:manualLayout>
              <c:xMode val="edge"/>
              <c:yMode val="edge"/>
              <c:x val="0.00213675213675214"/>
              <c:y val="0.244635279965004"/>
            </c:manualLayout>
          </c:layout>
          <c:overlay val="0"/>
        </c:title>
        <c:numFmt formatCode="0" sourceLinked="1"/>
        <c:majorTickMark val="out"/>
        <c:minorTickMark val="none"/>
        <c:tickLblPos val="nextTo"/>
        <c:crossAx val="1776693712"/>
        <c:crosses val="autoZero"/>
        <c:crossBetween val="midCat"/>
      </c:valAx>
    </c:plotArea>
    <c:plotVisOnly val="1"/>
    <c:dispBlanksAs val="gap"/>
    <c:showDLblsOverMax val="0"/>
  </c:chart>
  <c:spPr>
    <a:ln>
      <a:noFill/>
    </a:ln>
  </c:spPr>
  <c:printSettings>
    <c:headerFooter/>
    <c:pageMargins b="0.75" l="0.7" r="0.7" t="0.75" header="0.3" footer="0.3"/>
    <c:pageSetup/>
  </c:printSettings>
  <c:userShapes r:id="rId2"/>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tx>
            <c:v>Sum-W</c:v>
          </c:tx>
          <c:spPr>
            <a:ln w="28575">
              <a:noFill/>
            </a:ln>
          </c:spPr>
          <c:xVal>
            <c:numRef>
              <c:f>Peppers_Bell!$M$13:$M$51</c:f>
              <c:numCache>
                <c:formatCode>0</c:formatCode>
                <c:ptCount val="39"/>
                <c:pt idx="0">
                  <c:v>0.0</c:v>
                </c:pt>
                <c:pt idx="1">
                  <c:v>14.95297682288592</c:v>
                </c:pt>
                <c:pt idx="2">
                  <c:v>23.87229633127402</c:v>
                </c:pt>
                <c:pt idx="3">
                  <c:v>34.1032804732486</c:v>
                </c:pt>
                <c:pt idx="4">
                  <c:v>45.12126339537507</c:v>
                </c:pt>
                <c:pt idx="5">
                  <c:v>56.66391217093613</c:v>
                </c:pt>
                <c:pt idx="6">
                  <c:v>100.0</c:v>
                </c:pt>
                <c:pt idx="7">
                  <c:v>0.0</c:v>
                </c:pt>
                <c:pt idx="8">
                  <c:v>13.92857142857143</c:v>
                </c:pt>
                <c:pt idx="9">
                  <c:v>31.78571428571429</c:v>
                </c:pt>
                <c:pt idx="10">
                  <c:v>46.07142857142857</c:v>
                </c:pt>
                <c:pt idx="11">
                  <c:v>61.42857142857143</c:v>
                </c:pt>
                <c:pt idx="12">
                  <c:v>76.07142857142857</c:v>
                </c:pt>
                <c:pt idx="13">
                  <c:v>100.0</c:v>
                </c:pt>
                <c:pt idx="14">
                  <c:v>0.0</c:v>
                </c:pt>
                <c:pt idx="15">
                  <c:v>36.12903225806451</c:v>
                </c:pt>
                <c:pt idx="16">
                  <c:v>54.19354838709678</c:v>
                </c:pt>
                <c:pt idx="17">
                  <c:v>72.90322580645162</c:v>
                </c:pt>
                <c:pt idx="18">
                  <c:v>100.0</c:v>
                </c:pt>
                <c:pt idx="19">
                  <c:v>0.0</c:v>
                </c:pt>
                <c:pt idx="20">
                  <c:v>36.12903225806451</c:v>
                </c:pt>
                <c:pt idx="21">
                  <c:v>54.19354838709678</c:v>
                </c:pt>
                <c:pt idx="22">
                  <c:v>72.90322580645162</c:v>
                </c:pt>
                <c:pt idx="23">
                  <c:v>100.0</c:v>
                </c:pt>
                <c:pt idx="24">
                  <c:v>0.0</c:v>
                </c:pt>
                <c:pt idx="25">
                  <c:v>36.12903225806451</c:v>
                </c:pt>
                <c:pt idx="26">
                  <c:v>54.19354838709678</c:v>
                </c:pt>
                <c:pt idx="27">
                  <c:v>72.90322580645162</c:v>
                </c:pt>
                <c:pt idx="28">
                  <c:v>100.0</c:v>
                </c:pt>
                <c:pt idx="29">
                  <c:v>0.0</c:v>
                </c:pt>
                <c:pt idx="30">
                  <c:v>36.12903225806451</c:v>
                </c:pt>
                <c:pt idx="31">
                  <c:v>54.19354838709678</c:v>
                </c:pt>
                <c:pt idx="32">
                  <c:v>72.90322580645162</c:v>
                </c:pt>
                <c:pt idx="33">
                  <c:v>100.0</c:v>
                </c:pt>
                <c:pt idx="34">
                  <c:v>0.0</c:v>
                </c:pt>
                <c:pt idx="35">
                  <c:v>36.12903225806451</c:v>
                </c:pt>
                <c:pt idx="36">
                  <c:v>54.19354838709678</c:v>
                </c:pt>
                <c:pt idx="37">
                  <c:v>72.90322580645162</c:v>
                </c:pt>
                <c:pt idx="38">
                  <c:v>100.0</c:v>
                </c:pt>
              </c:numCache>
            </c:numRef>
          </c:xVal>
          <c:yVal>
            <c:numRef>
              <c:f>Peppers_Bell!$P$13:$P$51</c:f>
              <c:numCache>
                <c:formatCode>0</c:formatCode>
                <c:ptCount val="39"/>
                <c:pt idx="0">
                  <c:v>0.0</c:v>
                </c:pt>
                <c:pt idx="1">
                  <c:v>2.892561983471074</c:v>
                </c:pt>
                <c:pt idx="2">
                  <c:v>12.39669421487603</c:v>
                </c:pt>
                <c:pt idx="3">
                  <c:v>27.27272727272727</c:v>
                </c:pt>
                <c:pt idx="4">
                  <c:v>51.65289256198346</c:v>
                </c:pt>
                <c:pt idx="5">
                  <c:v>66.52892561983469</c:v>
                </c:pt>
                <c:pt idx="6">
                  <c:v>100.0</c:v>
                </c:pt>
                <c:pt idx="7">
                  <c:v>0.0</c:v>
                </c:pt>
                <c:pt idx="8">
                  <c:v>2.293577981651376</c:v>
                </c:pt>
                <c:pt idx="9">
                  <c:v>19.26605504587156</c:v>
                </c:pt>
                <c:pt idx="10">
                  <c:v>43.57798165137614</c:v>
                </c:pt>
                <c:pt idx="11">
                  <c:v>60.55045871559633</c:v>
                </c:pt>
                <c:pt idx="12">
                  <c:v>80.27522935779817</c:v>
                </c:pt>
                <c:pt idx="13">
                  <c:v>100.0</c:v>
                </c:pt>
                <c:pt idx="14">
                  <c:v>0.0</c:v>
                </c:pt>
                <c:pt idx="15">
                  <c:v>16.23824451410658</c:v>
                </c:pt>
                <c:pt idx="16">
                  <c:v>35.67398119122257</c:v>
                </c:pt>
                <c:pt idx="17">
                  <c:v>40.94043887147335</c:v>
                </c:pt>
                <c:pt idx="18">
                  <c:v>100.0</c:v>
                </c:pt>
                <c:pt idx="19">
                  <c:v>0.0</c:v>
                </c:pt>
                <c:pt idx="20">
                  <c:v>16.23831775700934</c:v>
                </c:pt>
                <c:pt idx="21">
                  <c:v>35.98130841121495</c:v>
                </c:pt>
                <c:pt idx="22">
                  <c:v>43.28271028037383</c:v>
                </c:pt>
                <c:pt idx="23">
                  <c:v>100.0</c:v>
                </c:pt>
                <c:pt idx="24">
                  <c:v>0.0</c:v>
                </c:pt>
                <c:pt idx="25">
                  <c:v>14.48058761804827</c:v>
                </c:pt>
                <c:pt idx="26">
                  <c:v>32.79118572927597</c:v>
                </c:pt>
                <c:pt idx="27">
                  <c:v>38.09024134312697</c:v>
                </c:pt>
                <c:pt idx="28">
                  <c:v>100.0</c:v>
                </c:pt>
                <c:pt idx="29">
                  <c:v>0.0</c:v>
                </c:pt>
                <c:pt idx="30">
                  <c:v>14.24815983175605</c:v>
                </c:pt>
                <c:pt idx="31">
                  <c:v>35.2260778128286</c:v>
                </c:pt>
                <c:pt idx="32">
                  <c:v>39.01156677181914</c:v>
                </c:pt>
                <c:pt idx="33">
                  <c:v>100.0</c:v>
                </c:pt>
                <c:pt idx="34">
                  <c:v>0.0</c:v>
                </c:pt>
                <c:pt idx="35">
                  <c:v>14.15719696969697</c:v>
                </c:pt>
                <c:pt idx="36">
                  <c:v>28.50378787878788</c:v>
                </c:pt>
                <c:pt idx="37">
                  <c:v>35.60606060606061</c:v>
                </c:pt>
                <c:pt idx="38">
                  <c:v>100.0</c:v>
                </c:pt>
              </c:numCache>
            </c:numRef>
          </c:yVal>
          <c:smooth val="0"/>
          <c:extLst xmlns:c16r2="http://schemas.microsoft.com/office/drawing/2015/06/chart">
            <c:ext xmlns:c16="http://schemas.microsoft.com/office/drawing/2014/chart" uri="{C3380CC4-5D6E-409C-BE32-E72D297353CC}">
              <c16:uniqueId val="{00000000-4D80-40F6-B9F1-7D4725878FCD}"/>
            </c:ext>
          </c:extLst>
        </c:ser>
        <c:ser>
          <c:idx val="1"/>
          <c:order val="1"/>
          <c:tx>
            <c:v>W-Spr</c:v>
          </c:tx>
          <c:spPr>
            <a:ln w="28575">
              <a:noFill/>
            </a:ln>
          </c:spPr>
          <c:marker>
            <c:symbol val="square"/>
            <c:size val="5"/>
          </c:marker>
          <c:trendline>
            <c:trendlineType val="power"/>
            <c:dispRSqr val="0"/>
            <c:dispEq val="0"/>
          </c:trendline>
          <c:xVal>
            <c:numRef>
              <c:f>Peppers_Bell!$M$5:$M$12</c:f>
              <c:numCache>
                <c:formatCode>0</c:formatCode>
                <c:ptCount val="8"/>
                <c:pt idx="0">
                  <c:v>0.0</c:v>
                </c:pt>
                <c:pt idx="1">
                  <c:v>14.28571428571428</c:v>
                </c:pt>
                <c:pt idx="2">
                  <c:v>28.57142857142857</c:v>
                </c:pt>
                <c:pt idx="3">
                  <c:v>42.85714285714285</c:v>
                </c:pt>
                <c:pt idx="4">
                  <c:v>57.14285714285714</c:v>
                </c:pt>
                <c:pt idx="5">
                  <c:v>71.42857142857143</c:v>
                </c:pt>
                <c:pt idx="6">
                  <c:v>85.7142857142857</c:v>
                </c:pt>
                <c:pt idx="7">
                  <c:v>100.0</c:v>
                </c:pt>
              </c:numCache>
            </c:numRef>
          </c:xVal>
          <c:yVal>
            <c:numRef>
              <c:f>Peppers_Bell!$P$5:$P$12</c:f>
              <c:numCache>
                <c:formatCode>0</c:formatCode>
                <c:ptCount val="8"/>
                <c:pt idx="0">
                  <c:v>0.0330280738627834</c:v>
                </c:pt>
                <c:pt idx="1">
                  <c:v>0.315267977781114</c:v>
                </c:pt>
                <c:pt idx="2">
                  <c:v>2.432067257168593</c:v>
                </c:pt>
                <c:pt idx="3">
                  <c:v>6.83080618525747</c:v>
                </c:pt>
                <c:pt idx="4">
                  <c:v>16.66416453985888</c:v>
                </c:pt>
                <c:pt idx="5">
                  <c:v>30.02552169343942</c:v>
                </c:pt>
                <c:pt idx="6">
                  <c:v>45.473652604714</c:v>
                </c:pt>
                <c:pt idx="7">
                  <c:v>100.0</c:v>
                </c:pt>
              </c:numCache>
            </c:numRef>
          </c:yVal>
          <c:smooth val="0"/>
          <c:extLst xmlns:c16r2="http://schemas.microsoft.com/office/drawing/2015/06/chart">
            <c:ext xmlns:c16="http://schemas.microsoft.com/office/drawing/2014/chart" uri="{C3380CC4-5D6E-409C-BE32-E72D297353CC}">
              <c16:uniqueId val="{00000002-4D80-40F6-B9F1-7D4725878FCD}"/>
            </c:ext>
          </c:extLst>
        </c:ser>
        <c:dLbls>
          <c:showLegendKey val="0"/>
          <c:showVal val="0"/>
          <c:showCatName val="0"/>
          <c:showSerName val="0"/>
          <c:showPercent val="0"/>
          <c:showBubbleSize val="0"/>
        </c:dLbls>
        <c:axId val="1805102608"/>
        <c:axId val="-2012493152"/>
      </c:scatterChart>
      <c:valAx>
        <c:axId val="1805102608"/>
        <c:scaling>
          <c:orientation val="minMax"/>
          <c:max val="102.0"/>
          <c:min val="0.0"/>
        </c:scaling>
        <c:delete val="0"/>
        <c:axPos val="b"/>
        <c:title>
          <c:tx>
            <c:rich>
              <a:bodyPr/>
              <a:lstStyle/>
              <a:p>
                <a:pPr>
                  <a:defRPr>
                    <a:latin typeface="Arial" panose="020B0604020202020204" pitchFamily="34" charset="0"/>
                    <a:cs typeface="Arial" panose="020B0604020202020204" pitchFamily="34" charset="0"/>
                  </a:defRPr>
                </a:pPr>
                <a:r>
                  <a:rPr lang="en-US">
                    <a:latin typeface="Arial" panose="020B0604020202020204" pitchFamily="34" charset="0"/>
                    <a:cs typeface="Arial" panose="020B0604020202020204" pitchFamily="34" charset="0"/>
                  </a:rPr>
                  <a:t>% of season</a:t>
                </a:r>
              </a:p>
            </c:rich>
          </c:tx>
          <c:layout/>
          <c:overlay val="0"/>
        </c:title>
        <c:numFmt formatCode="0" sourceLinked="1"/>
        <c:majorTickMark val="out"/>
        <c:minorTickMark val="none"/>
        <c:tickLblPos val="nextTo"/>
        <c:crossAx val="-2012493152"/>
        <c:crosses val="autoZero"/>
        <c:crossBetween val="midCat"/>
        <c:majorUnit val="10.0"/>
      </c:valAx>
      <c:valAx>
        <c:axId val="-2012493152"/>
        <c:scaling>
          <c:orientation val="minMax"/>
          <c:max val="102.0"/>
          <c:min val="0.0"/>
        </c:scaling>
        <c:delete val="0"/>
        <c:axPos val="l"/>
        <c:majorGridlines/>
        <c:title>
          <c:tx>
            <c:rich>
              <a:bodyPr rot="-5400000" vert="horz"/>
              <a:lstStyle/>
              <a:p>
                <a:pPr>
                  <a:defRPr>
                    <a:latin typeface="Arial" panose="020B0604020202020204" pitchFamily="34" charset="0"/>
                    <a:cs typeface="Arial" panose="020B0604020202020204" pitchFamily="34" charset="0"/>
                  </a:defRPr>
                </a:pPr>
                <a:r>
                  <a:rPr lang="en-US">
                    <a:latin typeface="Arial" panose="020B0604020202020204" pitchFamily="34" charset="0"/>
                    <a:cs typeface="Arial" panose="020B0604020202020204" pitchFamily="34" charset="0"/>
                  </a:rPr>
                  <a:t>N uptake (% of total)</a:t>
                </a:r>
              </a:p>
            </c:rich>
          </c:tx>
          <c:layout/>
          <c:overlay val="0"/>
        </c:title>
        <c:numFmt formatCode="0" sourceLinked="1"/>
        <c:majorTickMark val="out"/>
        <c:minorTickMark val="none"/>
        <c:tickLblPos val="nextTo"/>
        <c:crossAx val="1805102608"/>
        <c:crosses val="autoZero"/>
        <c:crossBetween val="midCat"/>
      </c:valAx>
    </c:plotArea>
    <c:legend>
      <c:legendPos val="r"/>
      <c:legendEntry>
        <c:idx val="2"/>
        <c:delete val="1"/>
      </c:legendEntry>
      <c:layout/>
      <c:overlay val="0"/>
      <c:txPr>
        <a:bodyPr/>
        <a:lstStyle/>
        <a:p>
          <a:pPr>
            <a:defRPr>
              <a:latin typeface="Arial" panose="020B0604020202020204" pitchFamily="34" charset="0"/>
              <a:cs typeface="Arial" panose="020B0604020202020204" pitchFamily="34" charset="0"/>
            </a:defRPr>
          </a:pPr>
          <a:endParaRPr lang="en-US"/>
        </a:p>
      </c:txPr>
    </c:legend>
    <c:plotVisOnly val="1"/>
    <c:dispBlanksAs val="gap"/>
    <c:showDLblsOverMax val="0"/>
  </c:chart>
  <c:spPr>
    <a:ln>
      <a:noFill/>
    </a:ln>
  </c:spPr>
  <c:printSettings>
    <c:headerFooter/>
    <c:pageMargins b="0.75" l="0.7" r="0.7" t="0.75" header="0.3" footer="0.3"/>
    <c:pageSetup/>
  </c:printSettings>
  <c:userShapes r:id="rId1"/>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image" Target="../media/image1.png"/><Relationship Id="rId3" Type="http://schemas.openxmlformats.org/officeDocument/2006/relationships/chart" Target="../charts/chart2.xml"/></Relationships>
</file>

<file path=xl/drawings/_rels/drawing11.xml.rels><?xml version="1.0" encoding="UTF-8" standalone="yes"?>
<Relationships xmlns="http://schemas.openxmlformats.org/package/2006/relationships"><Relationship Id="rId3" Type="http://schemas.openxmlformats.org/officeDocument/2006/relationships/image" Target="../media/image11.png"/><Relationship Id="rId4" Type="http://schemas.openxmlformats.org/officeDocument/2006/relationships/image" Target="../media/image12.png"/><Relationship Id="rId5" Type="http://schemas.openxmlformats.org/officeDocument/2006/relationships/image" Target="../media/image13.png"/><Relationship Id="rId6" Type="http://schemas.openxmlformats.org/officeDocument/2006/relationships/chart" Target="../charts/chart9.xml"/><Relationship Id="rId7" Type="http://schemas.openxmlformats.org/officeDocument/2006/relationships/chart" Target="../charts/chart10.xml"/><Relationship Id="rId8" Type="http://schemas.openxmlformats.org/officeDocument/2006/relationships/chart" Target="../charts/chart11.xml"/><Relationship Id="rId1" Type="http://schemas.openxmlformats.org/officeDocument/2006/relationships/image" Target="../media/image9.png"/><Relationship Id="rId2" Type="http://schemas.openxmlformats.org/officeDocument/2006/relationships/image" Target="../media/image10.png"/></Relationships>
</file>

<file path=xl/drawings/_rels/drawing15.xml.rels><?xml version="1.0" encoding="UTF-8" standalone="yes"?>
<Relationships xmlns="http://schemas.openxmlformats.org/package/2006/relationships"><Relationship Id="rId3" Type="http://schemas.openxmlformats.org/officeDocument/2006/relationships/chart" Target="../charts/chart12.xml"/><Relationship Id="rId4" Type="http://schemas.openxmlformats.org/officeDocument/2006/relationships/chart" Target="../charts/chart13.xml"/><Relationship Id="rId5" Type="http://schemas.openxmlformats.org/officeDocument/2006/relationships/chart" Target="../charts/chart14.xml"/><Relationship Id="rId6" Type="http://schemas.openxmlformats.org/officeDocument/2006/relationships/chart" Target="../charts/chart15.xml"/><Relationship Id="rId1" Type="http://schemas.openxmlformats.org/officeDocument/2006/relationships/image" Target="../media/image14.png"/><Relationship Id="rId2" Type="http://schemas.openxmlformats.org/officeDocument/2006/relationships/image" Target="../media/image15.png"/></Relationships>
</file>

<file path=xl/drawings/_rels/drawing19.xml.rels><?xml version="1.0" encoding="UTF-8" standalone="yes"?>
<Relationships xmlns="http://schemas.openxmlformats.org/package/2006/relationships"><Relationship Id="rId1" Type="http://schemas.openxmlformats.org/officeDocument/2006/relationships/chart" Target="../charts/chart16.xml"/><Relationship Id="rId2" Type="http://schemas.openxmlformats.org/officeDocument/2006/relationships/chart" Target="../charts/chart17.xml"/></Relationships>
</file>

<file path=xl/drawings/_rels/drawing22.xml.rels><?xml version="1.0" encoding="UTF-8" standalone="yes"?>
<Relationships xmlns="http://schemas.openxmlformats.org/package/2006/relationships"><Relationship Id="rId3" Type="http://schemas.openxmlformats.org/officeDocument/2006/relationships/chart" Target="../charts/chart19.xml"/><Relationship Id="rId4" Type="http://schemas.openxmlformats.org/officeDocument/2006/relationships/image" Target="../media/image17.png"/><Relationship Id="rId1" Type="http://schemas.openxmlformats.org/officeDocument/2006/relationships/chart" Target="../charts/chart18.xml"/><Relationship Id="rId2" Type="http://schemas.openxmlformats.org/officeDocument/2006/relationships/image" Target="../media/image16.png"/></Relationships>
</file>

<file path=xl/drawings/_rels/drawing24.xml.rels><?xml version="1.0" encoding="UTF-8" standalone="yes"?>
<Relationships xmlns="http://schemas.openxmlformats.org/package/2006/relationships"><Relationship Id="rId3" Type="http://schemas.openxmlformats.org/officeDocument/2006/relationships/image" Target="../media/image20.png"/><Relationship Id="rId4" Type="http://schemas.openxmlformats.org/officeDocument/2006/relationships/image" Target="../media/image21.png"/><Relationship Id="rId5" Type="http://schemas.openxmlformats.org/officeDocument/2006/relationships/chart" Target="../charts/chart20.xml"/><Relationship Id="rId6" Type="http://schemas.openxmlformats.org/officeDocument/2006/relationships/chart" Target="../charts/chart21.xml"/><Relationship Id="rId7" Type="http://schemas.openxmlformats.org/officeDocument/2006/relationships/image" Target="../media/image22.png"/><Relationship Id="rId8" Type="http://schemas.openxmlformats.org/officeDocument/2006/relationships/image" Target="../media/image23.jpeg"/><Relationship Id="rId1" Type="http://schemas.openxmlformats.org/officeDocument/2006/relationships/image" Target="../media/image18.png"/><Relationship Id="rId2" Type="http://schemas.openxmlformats.org/officeDocument/2006/relationships/image" Target="../media/image19.png"/></Relationships>
</file>

<file path=xl/drawings/_rels/drawing27.xml.rels><?xml version="1.0" encoding="UTF-8" standalone="yes"?>
<Relationships xmlns="http://schemas.openxmlformats.org/package/2006/relationships"><Relationship Id="rId1" Type="http://schemas.openxmlformats.org/officeDocument/2006/relationships/image" Target="../media/image24.png"/><Relationship Id="rId2" Type="http://schemas.openxmlformats.org/officeDocument/2006/relationships/chart" Target="../charts/chart22.xml"/><Relationship Id="rId3" Type="http://schemas.openxmlformats.org/officeDocument/2006/relationships/chart" Target="../charts/chart23.xml"/></Relationships>
</file>

<file path=xl/drawings/_rels/drawing30.xml.rels><?xml version="1.0" encoding="UTF-8" standalone="yes"?>
<Relationships xmlns="http://schemas.openxmlformats.org/package/2006/relationships"><Relationship Id="rId1" Type="http://schemas.openxmlformats.org/officeDocument/2006/relationships/chart" Target="../charts/chart24.xml"/><Relationship Id="rId2" Type="http://schemas.openxmlformats.org/officeDocument/2006/relationships/chart" Target="../charts/chart25.xml"/><Relationship Id="rId3" Type="http://schemas.openxmlformats.org/officeDocument/2006/relationships/image" Target="../media/image25.png"/></Relationships>
</file>

<file path=xl/drawings/_rels/drawing33.xml.rels><?xml version="1.0" encoding="UTF-8" standalone="yes"?>
<Relationships xmlns="http://schemas.openxmlformats.org/package/2006/relationships"><Relationship Id="rId1" Type="http://schemas.openxmlformats.org/officeDocument/2006/relationships/image" Target="../media/image26.png"/><Relationship Id="rId2" Type="http://schemas.openxmlformats.org/officeDocument/2006/relationships/chart" Target="../charts/chart26.xml"/><Relationship Id="rId3" Type="http://schemas.openxmlformats.org/officeDocument/2006/relationships/chart" Target="../charts/chart27.xml"/></Relationships>
</file>

<file path=xl/drawings/_rels/drawing35.xml.rels><?xml version="1.0" encoding="UTF-8" standalone="yes"?>
<Relationships xmlns="http://schemas.openxmlformats.org/package/2006/relationships"><Relationship Id="rId3" Type="http://schemas.openxmlformats.org/officeDocument/2006/relationships/chart" Target="../charts/chart28.xml"/><Relationship Id="rId4" Type="http://schemas.openxmlformats.org/officeDocument/2006/relationships/image" Target="../media/image29.png"/><Relationship Id="rId5" Type="http://schemas.openxmlformats.org/officeDocument/2006/relationships/chart" Target="../charts/chart29.xml"/><Relationship Id="rId6" Type="http://schemas.openxmlformats.org/officeDocument/2006/relationships/image" Target="../media/image30.png"/><Relationship Id="rId1" Type="http://schemas.openxmlformats.org/officeDocument/2006/relationships/image" Target="../media/image27.png"/><Relationship Id="rId2" Type="http://schemas.openxmlformats.org/officeDocument/2006/relationships/image" Target="../media/image28.png"/></Relationships>
</file>

<file path=xl/drawings/_rels/drawing38.xml.rels><?xml version="1.0" encoding="UTF-8" standalone="yes"?>
<Relationships xmlns="http://schemas.openxmlformats.org/package/2006/relationships"><Relationship Id="rId3" Type="http://schemas.openxmlformats.org/officeDocument/2006/relationships/image" Target="../media/image33.png"/><Relationship Id="rId4" Type="http://schemas.openxmlformats.org/officeDocument/2006/relationships/chart" Target="../charts/chart30.xml"/><Relationship Id="rId5" Type="http://schemas.openxmlformats.org/officeDocument/2006/relationships/chart" Target="../charts/chart31.xml"/><Relationship Id="rId1" Type="http://schemas.openxmlformats.org/officeDocument/2006/relationships/image" Target="../media/image31.png"/><Relationship Id="rId2" Type="http://schemas.openxmlformats.org/officeDocument/2006/relationships/image" Target="../media/image32.png"/></Relationships>
</file>

<file path=xl/drawings/_rels/drawing39.xml.rels><?xml version="1.0" encoding="UTF-8" standalone="yes"?>
<Relationships xmlns="http://schemas.openxmlformats.org/package/2006/relationships"><Relationship Id="rId3" Type="http://schemas.openxmlformats.org/officeDocument/2006/relationships/chart" Target="../charts/chart32.xml"/><Relationship Id="rId4" Type="http://schemas.openxmlformats.org/officeDocument/2006/relationships/image" Target="../media/image36.png"/><Relationship Id="rId5" Type="http://schemas.openxmlformats.org/officeDocument/2006/relationships/chart" Target="../charts/chart33.xml"/><Relationship Id="rId1" Type="http://schemas.openxmlformats.org/officeDocument/2006/relationships/image" Target="../media/image34.png"/><Relationship Id="rId2" Type="http://schemas.openxmlformats.org/officeDocument/2006/relationships/image" Target="../media/image35.png"/></Relationships>
</file>

<file path=xl/drawings/_rels/drawing4.xml.rels><?xml version="1.0" encoding="UTF-8" standalone="yes"?>
<Relationships xmlns="http://schemas.openxmlformats.org/package/2006/relationships"><Relationship Id="rId3" Type="http://schemas.openxmlformats.org/officeDocument/2006/relationships/image" Target="../media/image2.png"/><Relationship Id="rId4" Type="http://schemas.openxmlformats.org/officeDocument/2006/relationships/image" Target="../media/image3.png"/><Relationship Id="rId5" Type="http://schemas.openxmlformats.org/officeDocument/2006/relationships/image" Target="../media/image4.png"/><Relationship Id="rId6" Type="http://schemas.openxmlformats.org/officeDocument/2006/relationships/chart" Target="../charts/chart5.xml"/><Relationship Id="rId7" Type="http://schemas.openxmlformats.org/officeDocument/2006/relationships/chart" Target="../charts/chart6.xml"/><Relationship Id="rId1" Type="http://schemas.openxmlformats.org/officeDocument/2006/relationships/chart" Target="../charts/chart3.xml"/><Relationship Id="rId2" Type="http://schemas.openxmlformats.org/officeDocument/2006/relationships/chart" Target="../charts/chart4.xml"/></Relationships>
</file>

<file path=xl/drawings/_rels/drawing42.xml.rels><?xml version="1.0" encoding="UTF-8" standalone="yes"?>
<Relationships xmlns="http://schemas.openxmlformats.org/package/2006/relationships"><Relationship Id="rId3" Type="http://schemas.openxmlformats.org/officeDocument/2006/relationships/image" Target="../media/image38.png"/><Relationship Id="rId4" Type="http://schemas.openxmlformats.org/officeDocument/2006/relationships/chart" Target="../charts/chart35.xml"/><Relationship Id="rId1" Type="http://schemas.openxmlformats.org/officeDocument/2006/relationships/chart" Target="../charts/chart34.xml"/><Relationship Id="rId2" Type="http://schemas.openxmlformats.org/officeDocument/2006/relationships/image" Target="../media/image37.png"/></Relationships>
</file>

<file path=xl/drawings/_rels/drawing45.xml.rels><?xml version="1.0" encoding="UTF-8" standalone="yes"?>
<Relationships xmlns="http://schemas.openxmlformats.org/package/2006/relationships"><Relationship Id="rId3" Type="http://schemas.openxmlformats.org/officeDocument/2006/relationships/chart" Target="../charts/chart36.xml"/><Relationship Id="rId4" Type="http://schemas.openxmlformats.org/officeDocument/2006/relationships/chart" Target="../charts/chart37.xml"/><Relationship Id="rId5" Type="http://schemas.openxmlformats.org/officeDocument/2006/relationships/image" Target="../media/image41.png"/><Relationship Id="rId6" Type="http://schemas.openxmlformats.org/officeDocument/2006/relationships/image" Target="../media/image42.png"/><Relationship Id="rId7" Type="http://schemas.openxmlformats.org/officeDocument/2006/relationships/image" Target="../media/image43.jpeg"/><Relationship Id="rId1" Type="http://schemas.openxmlformats.org/officeDocument/2006/relationships/image" Target="../media/image39.png"/><Relationship Id="rId2" Type="http://schemas.openxmlformats.org/officeDocument/2006/relationships/image" Target="../media/image40.png"/></Relationships>
</file>

<file path=xl/drawings/_rels/drawing48.xml.rels><?xml version="1.0" encoding="UTF-8" standalone="yes"?>
<Relationships xmlns="http://schemas.openxmlformats.org/package/2006/relationships"><Relationship Id="rId3" Type="http://schemas.openxmlformats.org/officeDocument/2006/relationships/image" Target="../media/image42.png"/><Relationship Id="rId4" Type="http://schemas.openxmlformats.org/officeDocument/2006/relationships/image" Target="../media/image43.jpeg"/><Relationship Id="rId5" Type="http://schemas.openxmlformats.org/officeDocument/2006/relationships/chart" Target="../charts/chart39.xml"/><Relationship Id="rId1" Type="http://schemas.openxmlformats.org/officeDocument/2006/relationships/image" Target="../media/image40.png"/><Relationship Id="rId2" Type="http://schemas.openxmlformats.org/officeDocument/2006/relationships/chart" Target="../charts/chart38.xml"/></Relationships>
</file>

<file path=xl/drawings/_rels/drawing51.xml.rels><?xml version="1.0" encoding="UTF-8" standalone="yes"?>
<Relationships xmlns="http://schemas.openxmlformats.org/package/2006/relationships"><Relationship Id="rId3" Type="http://schemas.openxmlformats.org/officeDocument/2006/relationships/chart" Target="../charts/chart40.xml"/><Relationship Id="rId4" Type="http://schemas.openxmlformats.org/officeDocument/2006/relationships/image" Target="../media/image46.png"/><Relationship Id="rId5" Type="http://schemas.openxmlformats.org/officeDocument/2006/relationships/chart" Target="../charts/chart41.xml"/><Relationship Id="rId1" Type="http://schemas.openxmlformats.org/officeDocument/2006/relationships/image" Target="../media/image44.png"/><Relationship Id="rId2" Type="http://schemas.openxmlformats.org/officeDocument/2006/relationships/image" Target="../media/image45.png"/></Relationships>
</file>

<file path=xl/drawings/_rels/drawing54.xml.rels><?xml version="1.0" encoding="UTF-8" standalone="yes"?>
<Relationships xmlns="http://schemas.openxmlformats.org/package/2006/relationships"><Relationship Id="rId3" Type="http://schemas.openxmlformats.org/officeDocument/2006/relationships/chart" Target="../charts/chart43.xml"/><Relationship Id="rId4" Type="http://schemas.openxmlformats.org/officeDocument/2006/relationships/image" Target="../media/image48.png"/><Relationship Id="rId1" Type="http://schemas.openxmlformats.org/officeDocument/2006/relationships/image" Target="../media/image47.png"/><Relationship Id="rId2" Type="http://schemas.openxmlformats.org/officeDocument/2006/relationships/chart" Target="../charts/chart42.xml"/></Relationships>
</file>

<file path=xl/drawings/_rels/drawing8.xml.rels><?xml version="1.0" encoding="UTF-8" standalone="yes"?>
<Relationships xmlns="http://schemas.openxmlformats.org/package/2006/relationships"><Relationship Id="rId3" Type="http://schemas.openxmlformats.org/officeDocument/2006/relationships/chart" Target="../charts/chart7.xml"/><Relationship Id="rId4" Type="http://schemas.openxmlformats.org/officeDocument/2006/relationships/image" Target="../media/image7.png"/><Relationship Id="rId5" Type="http://schemas.openxmlformats.org/officeDocument/2006/relationships/image" Target="../media/image8.png"/><Relationship Id="rId6" Type="http://schemas.openxmlformats.org/officeDocument/2006/relationships/chart" Target="../charts/chart8.xml"/><Relationship Id="rId1" Type="http://schemas.openxmlformats.org/officeDocument/2006/relationships/image" Target="../media/image5.png"/><Relationship Id="rId2"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xdr:from>
      <xdr:col>17</xdr:col>
      <xdr:colOff>571501</xdr:colOff>
      <xdr:row>11</xdr:row>
      <xdr:rowOff>90767</xdr:rowOff>
    </xdr:from>
    <xdr:to>
      <xdr:col>25</xdr:col>
      <xdr:colOff>302560</xdr:colOff>
      <xdr:row>25</xdr:row>
      <xdr:rowOff>166967</xdr:rowOff>
    </xdr:to>
    <xdr:graphicFrame macro="">
      <xdr:nvGraphicFramePr>
        <xdr:cNvPr id="5" name="Chart 4">
          <a:extLst>
            <a:ext uri="{FF2B5EF4-FFF2-40B4-BE49-F238E27FC236}">
              <a16:creationId xmlns:a16="http://schemas.microsoft.com/office/drawing/2014/main" xmlns="" id="{00000000-0008-0000-00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16</xdr:col>
      <xdr:colOff>2577353</xdr:colOff>
      <xdr:row>29</xdr:row>
      <xdr:rowOff>156883</xdr:rowOff>
    </xdr:from>
    <xdr:to>
      <xdr:col>33</xdr:col>
      <xdr:colOff>176919</xdr:colOff>
      <xdr:row>62</xdr:row>
      <xdr:rowOff>156098</xdr:rowOff>
    </xdr:to>
    <xdr:pic>
      <xdr:nvPicPr>
        <xdr:cNvPr id="2" name="Picture 1">
          <a:extLst>
            <a:ext uri="{FF2B5EF4-FFF2-40B4-BE49-F238E27FC236}">
              <a16:creationId xmlns:a16="http://schemas.microsoft.com/office/drawing/2014/main" xmlns="" id="{00000000-0008-0000-0000-000002000000}"/>
            </a:ext>
          </a:extLst>
        </xdr:cNvPr>
        <xdr:cNvPicPr>
          <a:picLocks noChangeAspect="1"/>
        </xdr:cNvPicPr>
      </xdr:nvPicPr>
      <xdr:blipFill>
        <a:blip xmlns:r="http://schemas.openxmlformats.org/officeDocument/2006/relationships" r:embed="rId2"/>
        <a:stretch>
          <a:fillRect/>
        </a:stretch>
      </xdr:blipFill>
      <xdr:spPr>
        <a:xfrm>
          <a:off x="16752794" y="6062383"/>
          <a:ext cx="10038096" cy="6285715"/>
        </a:xfrm>
        <a:prstGeom prst="rect">
          <a:avLst/>
        </a:prstGeom>
      </xdr:spPr>
    </xdr:pic>
    <xdr:clientData/>
  </xdr:twoCellAnchor>
  <xdr:twoCellAnchor>
    <xdr:from>
      <xdr:col>27</xdr:col>
      <xdr:colOff>0</xdr:colOff>
      <xdr:row>11</xdr:row>
      <xdr:rowOff>0</xdr:rowOff>
    </xdr:from>
    <xdr:to>
      <xdr:col>34</xdr:col>
      <xdr:colOff>336177</xdr:colOff>
      <xdr:row>25</xdr:row>
      <xdr:rowOff>76200</xdr:rowOff>
    </xdr:to>
    <xdr:graphicFrame macro="">
      <xdr:nvGraphicFramePr>
        <xdr:cNvPr id="4" name="Chart 3">
          <a:extLst>
            <a:ext uri="{FF2B5EF4-FFF2-40B4-BE49-F238E27FC236}">
              <a16:creationId xmlns:a16="http://schemas.microsoft.com/office/drawing/2014/main" xmlns="" id="{00000000-0008-0000-00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576514</xdr:colOff>
      <xdr:row>12</xdr:row>
      <xdr:rowOff>135356</xdr:rowOff>
    </xdr:from>
    <xdr:to>
      <xdr:col>25</xdr:col>
      <xdr:colOff>80212</xdr:colOff>
      <xdr:row>22</xdr:row>
      <xdr:rowOff>165434</xdr:rowOff>
    </xdr:to>
    <xdr:sp macro="" textlink="">
      <xdr:nvSpPr>
        <xdr:cNvPr id="3" name="Freeform 2">
          <a:extLst>
            <a:ext uri="{FF2B5EF4-FFF2-40B4-BE49-F238E27FC236}">
              <a16:creationId xmlns:a16="http://schemas.microsoft.com/office/drawing/2014/main" xmlns="" id="{00000000-0008-0000-0000-000003000000}"/>
            </a:ext>
          </a:extLst>
        </xdr:cNvPr>
        <xdr:cNvSpPr/>
      </xdr:nvSpPr>
      <xdr:spPr>
        <a:xfrm>
          <a:off x="18152646" y="2802356"/>
          <a:ext cx="3784934" cy="1935078"/>
        </a:xfrm>
        <a:custGeom>
          <a:avLst/>
          <a:gdLst>
            <a:gd name="connsiteX0" fmla="*/ 0 w 3769894"/>
            <a:gd name="connsiteY0" fmla="*/ 2040355 h 2040355"/>
            <a:gd name="connsiteX1" fmla="*/ 762000 w 3769894"/>
            <a:gd name="connsiteY1" fmla="*/ 2010276 h 2040355"/>
            <a:gd name="connsiteX2" fmla="*/ 1524000 w 3769894"/>
            <a:gd name="connsiteY2" fmla="*/ 1734553 h 2040355"/>
            <a:gd name="connsiteX3" fmla="*/ 3022934 w 3769894"/>
            <a:gd name="connsiteY3" fmla="*/ 350921 h 2040355"/>
            <a:gd name="connsiteX4" fmla="*/ 3418973 w 3769894"/>
            <a:gd name="connsiteY4" fmla="*/ 170447 h 2040355"/>
            <a:gd name="connsiteX5" fmla="*/ 3769894 w 3769894"/>
            <a:gd name="connsiteY5" fmla="*/ 0 h 2040355"/>
            <a:gd name="connsiteX0" fmla="*/ 0 w 3769894"/>
            <a:gd name="connsiteY0" fmla="*/ 2040355 h 2040355"/>
            <a:gd name="connsiteX1" fmla="*/ 762000 w 3769894"/>
            <a:gd name="connsiteY1" fmla="*/ 2010276 h 2040355"/>
            <a:gd name="connsiteX2" fmla="*/ 1524000 w 3769894"/>
            <a:gd name="connsiteY2" fmla="*/ 1734553 h 2040355"/>
            <a:gd name="connsiteX3" fmla="*/ 3022934 w 3769894"/>
            <a:gd name="connsiteY3" fmla="*/ 350921 h 2040355"/>
            <a:gd name="connsiteX4" fmla="*/ 3769894 w 3769894"/>
            <a:gd name="connsiteY4" fmla="*/ 0 h 2040355"/>
            <a:gd name="connsiteX0" fmla="*/ 0 w 3800093"/>
            <a:gd name="connsiteY0" fmla="*/ 2019428 h 2019428"/>
            <a:gd name="connsiteX1" fmla="*/ 762000 w 3800093"/>
            <a:gd name="connsiteY1" fmla="*/ 1989349 h 2019428"/>
            <a:gd name="connsiteX2" fmla="*/ 1524000 w 3800093"/>
            <a:gd name="connsiteY2" fmla="*/ 1713626 h 2019428"/>
            <a:gd name="connsiteX3" fmla="*/ 3022934 w 3800093"/>
            <a:gd name="connsiteY3" fmla="*/ 329994 h 2019428"/>
            <a:gd name="connsiteX4" fmla="*/ 3800093 w 3800093"/>
            <a:gd name="connsiteY4" fmla="*/ 0 h 2019428"/>
            <a:gd name="connsiteX0" fmla="*/ 0 w 3800093"/>
            <a:gd name="connsiteY0" fmla="*/ 2019428 h 2019428"/>
            <a:gd name="connsiteX1" fmla="*/ 762000 w 3800093"/>
            <a:gd name="connsiteY1" fmla="*/ 1989349 h 2019428"/>
            <a:gd name="connsiteX2" fmla="*/ 1524000 w 3800093"/>
            <a:gd name="connsiteY2" fmla="*/ 1713626 h 2019428"/>
            <a:gd name="connsiteX3" fmla="*/ 3022934 w 3800093"/>
            <a:gd name="connsiteY3" fmla="*/ 329994 h 2019428"/>
            <a:gd name="connsiteX4" fmla="*/ 3800093 w 3800093"/>
            <a:gd name="connsiteY4" fmla="*/ 0 h 2019428"/>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3800093" h="2019428">
              <a:moveTo>
                <a:pt x="0" y="2019428"/>
              </a:moveTo>
              <a:lnTo>
                <a:pt x="762000" y="1989349"/>
              </a:lnTo>
              <a:cubicBezTo>
                <a:pt x="1016000" y="1938382"/>
                <a:pt x="1152211" y="1864624"/>
                <a:pt x="1524000" y="1713626"/>
              </a:cubicBezTo>
              <a:cubicBezTo>
                <a:pt x="1895789" y="1562628"/>
                <a:pt x="2643585" y="615598"/>
                <a:pt x="3022934" y="329994"/>
              </a:cubicBezTo>
              <a:cubicBezTo>
                <a:pt x="3402283" y="44390"/>
                <a:pt x="3644476" y="73109"/>
                <a:pt x="3800093" y="0"/>
              </a:cubicBezTo>
            </a:path>
          </a:pathLst>
        </a:cu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10.xml><?xml version="1.0" encoding="utf-8"?>
<c:userShapes xmlns:c="http://schemas.openxmlformats.org/drawingml/2006/chart">
  <cdr:relSizeAnchor xmlns:cdr="http://schemas.openxmlformats.org/drawingml/2006/chartDrawing">
    <cdr:from>
      <cdr:x>0.05369</cdr:x>
      <cdr:y>0.05469</cdr:y>
    </cdr:from>
    <cdr:to>
      <cdr:x>0.95913</cdr:x>
      <cdr:y>0.91016</cdr:y>
    </cdr:to>
    <cdr:sp macro="" textlink="">
      <cdr:nvSpPr>
        <cdr:cNvPr id="3" name="Freeform 2"/>
        <cdr:cNvSpPr/>
      </cdr:nvSpPr>
      <cdr:spPr>
        <a:xfrm xmlns:a="http://schemas.openxmlformats.org/drawingml/2006/main">
          <a:off x="319088" y="200026"/>
          <a:ext cx="5381625" cy="3128962"/>
        </a:xfrm>
        <a:custGeom xmlns:a="http://schemas.openxmlformats.org/drawingml/2006/main">
          <a:avLst/>
          <a:gdLst>
            <a:gd name="connsiteX0" fmla="*/ 0 w 5381625"/>
            <a:gd name="connsiteY0" fmla="*/ 3128962 h 3128962"/>
            <a:gd name="connsiteX1" fmla="*/ 552450 w 5381625"/>
            <a:gd name="connsiteY1" fmla="*/ 3105150 h 3128962"/>
            <a:gd name="connsiteX2" fmla="*/ 1071562 w 5381625"/>
            <a:gd name="connsiteY2" fmla="*/ 3081337 h 3128962"/>
            <a:gd name="connsiteX3" fmla="*/ 1619250 w 5381625"/>
            <a:gd name="connsiteY3" fmla="*/ 3028950 h 3128962"/>
            <a:gd name="connsiteX4" fmla="*/ 2157412 w 5381625"/>
            <a:gd name="connsiteY4" fmla="*/ 2628900 h 3128962"/>
            <a:gd name="connsiteX5" fmla="*/ 3771900 w 5381625"/>
            <a:gd name="connsiteY5" fmla="*/ 1114425 h 3128962"/>
            <a:gd name="connsiteX6" fmla="*/ 4295775 w 5381625"/>
            <a:gd name="connsiteY6" fmla="*/ 681037 h 3128962"/>
            <a:gd name="connsiteX7" fmla="*/ 4848225 w 5381625"/>
            <a:gd name="connsiteY7" fmla="*/ 304800 h 3128962"/>
            <a:gd name="connsiteX8" fmla="*/ 5381625 w 5381625"/>
            <a:gd name="connsiteY8" fmla="*/ 0 h 3128962"/>
            <a:gd name="connsiteX9" fmla="*/ 5381625 w 5381625"/>
            <a:gd name="connsiteY9" fmla="*/ 0 h 312896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Lst>
          <a:rect l="l" t="t" r="r" b="b"/>
          <a:pathLst>
            <a:path w="5381625" h="3128962">
              <a:moveTo>
                <a:pt x="0" y="3128962"/>
              </a:moveTo>
              <a:lnTo>
                <a:pt x="552450" y="3105150"/>
              </a:lnTo>
              <a:cubicBezTo>
                <a:pt x="731044" y="3097213"/>
                <a:pt x="893762" y="3094037"/>
                <a:pt x="1071562" y="3081337"/>
              </a:cubicBezTo>
              <a:cubicBezTo>
                <a:pt x="1249362" y="3068637"/>
                <a:pt x="1438275" y="3104356"/>
                <a:pt x="1619250" y="3028950"/>
              </a:cubicBezTo>
              <a:cubicBezTo>
                <a:pt x="1800225" y="2953544"/>
                <a:pt x="1798637" y="2947987"/>
                <a:pt x="2157412" y="2628900"/>
              </a:cubicBezTo>
              <a:cubicBezTo>
                <a:pt x="2516187" y="2309813"/>
                <a:pt x="3415506" y="1439069"/>
                <a:pt x="3771900" y="1114425"/>
              </a:cubicBezTo>
              <a:cubicBezTo>
                <a:pt x="4128294" y="789781"/>
                <a:pt x="4116388" y="815974"/>
                <a:pt x="4295775" y="681037"/>
              </a:cubicBezTo>
              <a:cubicBezTo>
                <a:pt x="4475162" y="546100"/>
                <a:pt x="4667250" y="418306"/>
                <a:pt x="4848225" y="304800"/>
              </a:cubicBezTo>
              <a:cubicBezTo>
                <a:pt x="5029200" y="191294"/>
                <a:pt x="5381625" y="0"/>
                <a:pt x="5381625" y="0"/>
              </a:cubicBezTo>
              <a:lnTo>
                <a:pt x="5381625" y="0"/>
              </a:lnTo>
            </a:path>
          </a:pathLst>
        </a:custGeom>
        <a:noFill xmlns:a="http://schemas.openxmlformats.org/drawingml/2006/main"/>
        <a:ln xmlns:a="http://schemas.openxmlformats.org/drawingml/2006/main">
          <a:solidFill>
            <a:srgbClr val="FF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horzOverflow="clip" rtlCol="0" anchor="t"/>
        <a:lstStyle xmlns:a="http://schemas.openxmlformats.org/drawingml/2006/main"/>
        <a:p xmlns:a="http://schemas.openxmlformats.org/drawingml/2006/main">
          <a:endParaRPr lang="en-US"/>
        </a:p>
      </cdr:txBody>
    </cdr:sp>
  </cdr:relSizeAnchor>
</c:userShapes>
</file>

<file path=xl/drawings/drawing11.xml><?xml version="1.0" encoding="utf-8"?>
<xdr:wsDr xmlns:xdr="http://schemas.openxmlformats.org/drawingml/2006/spreadsheetDrawing" xmlns:a="http://schemas.openxmlformats.org/drawingml/2006/main">
  <xdr:twoCellAnchor editAs="oneCell">
    <xdr:from>
      <xdr:col>18</xdr:col>
      <xdr:colOff>294451</xdr:colOff>
      <xdr:row>79</xdr:row>
      <xdr:rowOff>15060</xdr:rowOff>
    </xdr:from>
    <xdr:to>
      <xdr:col>24</xdr:col>
      <xdr:colOff>94262</xdr:colOff>
      <xdr:row>93</xdr:row>
      <xdr:rowOff>118279</xdr:rowOff>
    </xdr:to>
    <xdr:pic>
      <xdr:nvPicPr>
        <xdr:cNvPr id="6" name="Picture 5">
          <a:extLst>
            <a:ext uri="{FF2B5EF4-FFF2-40B4-BE49-F238E27FC236}">
              <a16:creationId xmlns:a16="http://schemas.microsoft.com/office/drawing/2014/main" xmlns="" id="{00000000-0008-0000-0300-000006000000}"/>
            </a:ext>
          </a:extLst>
        </xdr:cNvPr>
        <xdr:cNvPicPr>
          <a:picLocks noChangeAspect="1"/>
        </xdr:cNvPicPr>
      </xdr:nvPicPr>
      <xdr:blipFill>
        <a:blip xmlns:r="http://schemas.openxmlformats.org/officeDocument/2006/relationships" r:embed="rId1"/>
        <a:stretch>
          <a:fillRect/>
        </a:stretch>
      </xdr:blipFill>
      <xdr:spPr>
        <a:xfrm>
          <a:off x="16261815" y="14683560"/>
          <a:ext cx="3436629" cy="2770219"/>
        </a:xfrm>
        <a:prstGeom prst="rect">
          <a:avLst/>
        </a:prstGeom>
      </xdr:spPr>
    </xdr:pic>
    <xdr:clientData/>
  </xdr:twoCellAnchor>
  <xdr:twoCellAnchor editAs="oneCell">
    <xdr:from>
      <xdr:col>1</xdr:col>
      <xdr:colOff>336742</xdr:colOff>
      <xdr:row>75</xdr:row>
      <xdr:rowOff>114396</xdr:rowOff>
    </xdr:from>
    <xdr:to>
      <xdr:col>8</xdr:col>
      <xdr:colOff>807580</xdr:colOff>
      <xdr:row>85</xdr:row>
      <xdr:rowOff>47491</xdr:rowOff>
    </xdr:to>
    <xdr:pic>
      <xdr:nvPicPr>
        <xdr:cNvPr id="2" name="Picture 1">
          <a:extLst>
            <a:ext uri="{FF2B5EF4-FFF2-40B4-BE49-F238E27FC236}">
              <a16:creationId xmlns:a16="http://schemas.microsoft.com/office/drawing/2014/main" xmlns="" id="{00000000-0008-0000-0300-000002000000}"/>
            </a:ext>
          </a:extLst>
        </xdr:cNvPr>
        <xdr:cNvPicPr>
          <a:picLocks noChangeAspect="1"/>
        </xdr:cNvPicPr>
      </xdr:nvPicPr>
      <xdr:blipFill>
        <a:blip xmlns:r="http://schemas.openxmlformats.org/officeDocument/2006/relationships" r:embed="rId2"/>
        <a:stretch>
          <a:fillRect/>
        </a:stretch>
      </xdr:blipFill>
      <xdr:spPr>
        <a:xfrm>
          <a:off x="1722197" y="14020896"/>
          <a:ext cx="6982474" cy="1838095"/>
        </a:xfrm>
        <a:prstGeom prst="rect">
          <a:avLst/>
        </a:prstGeom>
      </xdr:spPr>
    </xdr:pic>
    <xdr:clientData/>
  </xdr:twoCellAnchor>
  <xdr:twoCellAnchor editAs="oneCell">
    <xdr:from>
      <xdr:col>1</xdr:col>
      <xdr:colOff>431993</xdr:colOff>
      <xdr:row>84</xdr:row>
      <xdr:rowOff>126037</xdr:rowOff>
    </xdr:from>
    <xdr:to>
      <xdr:col>9</xdr:col>
      <xdr:colOff>104578</xdr:colOff>
      <xdr:row>94</xdr:row>
      <xdr:rowOff>163894</xdr:rowOff>
    </xdr:to>
    <xdr:pic>
      <xdr:nvPicPr>
        <xdr:cNvPr id="3" name="Picture 2">
          <a:extLst>
            <a:ext uri="{FF2B5EF4-FFF2-40B4-BE49-F238E27FC236}">
              <a16:creationId xmlns:a16="http://schemas.microsoft.com/office/drawing/2014/main" xmlns="" id="{00000000-0008-0000-0300-000003000000}"/>
            </a:ext>
          </a:extLst>
        </xdr:cNvPr>
        <xdr:cNvPicPr>
          <a:picLocks noChangeAspect="1"/>
        </xdr:cNvPicPr>
      </xdr:nvPicPr>
      <xdr:blipFill>
        <a:blip xmlns:r="http://schemas.openxmlformats.org/officeDocument/2006/relationships" r:embed="rId3"/>
        <a:stretch>
          <a:fillRect/>
        </a:stretch>
      </xdr:blipFill>
      <xdr:spPr>
        <a:xfrm>
          <a:off x="1817448" y="15747037"/>
          <a:ext cx="6998175" cy="1942857"/>
        </a:xfrm>
        <a:prstGeom prst="rect">
          <a:avLst/>
        </a:prstGeom>
      </xdr:spPr>
    </xdr:pic>
    <xdr:clientData/>
  </xdr:twoCellAnchor>
  <xdr:twoCellAnchor editAs="oneCell">
    <xdr:from>
      <xdr:col>11</xdr:col>
      <xdr:colOff>665031</xdr:colOff>
      <xdr:row>78</xdr:row>
      <xdr:rowOff>178069</xdr:rowOff>
    </xdr:from>
    <xdr:to>
      <xdr:col>16</xdr:col>
      <xdr:colOff>179338</xdr:colOff>
      <xdr:row>94</xdr:row>
      <xdr:rowOff>68933</xdr:rowOff>
    </xdr:to>
    <xdr:pic>
      <xdr:nvPicPr>
        <xdr:cNvPr id="4" name="Picture 3">
          <a:extLst>
            <a:ext uri="{FF2B5EF4-FFF2-40B4-BE49-F238E27FC236}">
              <a16:creationId xmlns:a16="http://schemas.microsoft.com/office/drawing/2014/main" xmlns="" id="{00000000-0008-0000-0300-000004000000}"/>
            </a:ext>
          </a:extLst>
        </xdr:cNvPr>
        <xdr:cNvPicPr>
          <a:picLocks noChangeAspect="1"/>
        </xdr:cNvPicPr>
      </xdr:nvPicPr>
      <xdr:blipFill>
        <a:blip xmlns:r="http://schemas.openxmlformats.org/officeDocument/2006/relationships" r:embed="rId4"/>
        <a:stretch>
          <a:fillRect/>
        </a:stretch>
      </xdr:blipFill>
      <xdr:spPr>
        <a:xfrm>
          <a:off x="10848122" y="14656069"/>
          <a:ext cx="3532125" cy="2938864"/>
        </a:xfrm>
        <a:prstGeom prst="rect">
          <a:avLst/>
        </a:prstGeom>
      </xdr:spPr>
    </xdr:pic>
    <xdr:clientData/>
  </xdr:twoCellAnchor>
  <xdr:twoCellAnchor editAs="oneCell">
    <xdr:from>
      <xdr:col>1</xdr:col>
      <xdr:colOff>467357</xdr:colOff>
      <xdr:row>2</xdr:row>
      <xdr:rowOff>333730</xdr:rowOff>
    </xdr:from>
    <xdr:to>
      <xdr:col>1</xdr:col>
      <xdr:colOff>786078</xdr:colOff>
      <xdr:row>3</xdr:row>
      <xdr:rowOff>187192</xdr:rowOff>
    </xdr:to>
    <xdr:pic>
      <xdr:nvPicPr>
        <xdr:cNvPr id="5" name="Picture 4">
          <a:extLst>
            <a:ext uri="{FF2B5EF4-FFF2-40B4-BE49-F238E27FC236}">
              <a16:creationId xmlns:a16="http://schemas.microsoft.com/office/drawing/2014/main" xmlns="" id="{00000000-0008-0000-0300-000005000000}"/>
            </a:ext>
          </a:extLst>
        </xdr:cNvPr>
        <xdr:cNvPicPr>
          <a:picLocks noChangeAspect="1"/>
        </xdr:cNvPicPr>
      </xdr:nvPicPr>
      <xdr:blipFill>
        <a:blip xmlns:r="http://schemas.openxmlformats.org/officeDocument/2006/relationships" r:embed="rId5"/>
        <a:stretch>
          <a:fillRect/>
        </a:stretch>
      </xdr:blipFill>
      <xdr:spPr>
        <a:xfrm rot="5400000">
          <a:off x="1894275" y="672600"/>
          <a:ext cx="234462" cy="318721"/>
        </a:xfrm>
        <a:prstGeom prst="rect">
          <a:avLst/>
        </a:prstGeom>
      </xdr:spPr>
    </xdr:pic>
    <xdr:clientData/>
  </xdr:twoCellAnchor>
  <xdr:twoCellAnchor>
    <xdr:from>
      <xdr:col>21</xdr:col>
      <xdr:colOff>529105</xdr:colOff>
      <xdr:row>11</xdr:row>
      <xdr:rowOff>109549</xdr:rowOff>
    </xdr:from>
    <xdr:to>
      <xdr:col>29</xdr:col>
      <xdr:colOff>396358</xdr:colOff>
      <xdr:row>25</xdr:row>
      <xdr:rowOff>185749</xdr:rowOff>
    </xdr:to>
    <xdr:grpSp>
      <xdr:nvGrpSpPr>
        <xdr:cNvPr id="17" name="Group 16">
          <a:extLst>
            <a:ext uri="{FF2B5EF4-FFF2-40B4-BE49-F238E27FC236}">
              <a16:creationId xmlns:a16="http://schemas.microsoft.com/office/drawing/2014/main" xmlns="" id="{00000000-0008-0000-0300-000011000000}"/>
            </a:ext>
          </a:extLst>
        </xdr:cNvPr>
        <xdr:cNvGrpSpPr/>
      </xdr:nvGrpSpPr>
      <xdr:grpSpPr>
        <a:xfrm>
          <a:off x="20817355" y="2395549"/>
          <a:ext cx="5074253" cy="2743200"/>
          <a:chOff x="16084161" y="2476145"/>
          <a:chExt cx="4593119" cy="2743200"/>
        </a:xfrm>
      </xdr:grpSpPr>
      <xdr:graphicFrame macro="">
        <xdr:nvGraphicFramePr>
          <xdr:cNvPr id="8" name="Chart 7">
            <a:extLst>
              <a:ext uri="{FF2B5EF4-FFF2-40B4-BE49-F238E27FC236}">
                <a16:creationId xmlns:a16="http://schemas.microsoft.com/office/drawing/2014/main" xmlns="" id="{00000000-0008-0000-0300-000008000000}"/>
              </a:ext>
            </a:extLst>
          </xdr:cNvPr>
          <xdr:cNvGraphicFramePr/>
        </xdr:nvGraphicFramePr>
        <xdr:xfrm>
          <a:off x="16084161" y="2476145"/>
          <a:ext cx="4593119" cy="2743200"/>
        </xdr:xfrm>
        <a:graphic>
          <a:graphicData uri="http://schemas.openxmlformats.org/drawingml/2006/chart">
            <c:chart xmlns:c="http://schemas.openxmlformats.org/drawingml/2006/chart" xmlns:r="http://schemas.openxmlformats.org/officeDocument/2006/relationships" r:id="rId6"/>
          </a:graphicData>
        </a:graphic>
      </xdr:graphicFrame>
      <xdr:sp macro="" textlink="">
        <xdr:nvSpPr>
          <xdr:cNvPr id="10" name="TextBox 9">
            <a:extLst>
              <a:ext uri="{FF2B5EF4-FFF2-40B4-BE49-F238E27FC236}">
                <a16:creationId xmlns:a16="http://schemas.microsoft.com/office/drawing/2014/main" xmlns="" id="{00000000-0008-0000-0300-00000A000000}"/>
              </a:ext>
            </a:extLst>
          </xdr:cNvPr>
          <xdr:cNvSpPr txBox="1"/>
        </xdr:nvSpPr>
        <xdr:spPr>
          <a:xfrm>
            <a:off x="18285253" y="4446985"/>
            <a:ext cx="1473170" cy="2321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a:latin typeface="Arial" panose="020B0604020202020204" pitchFamily="34" charset="0"/>
                <a:cs typeface="Arial" panose="020B0604020202020204" pitchFamily="34" charset="0"/>
              </a:rPr>
              <a:t>Fruiting</a:t>
            </a:r>
            <a:r>
              <a:rPr lang="en-US" sz="1000" baseline="0">
                <a:latin typeface="Arial" panose="020B0604020202020204" pitchFamily="34" charset="0"/>
                <a:cs typeface="Arial" panose="020B0604020202020204" pitchFamily="34" charset="0"/>
              </a:rPr>
              <a:t> begins</a:t>
            </a:r>
            <a:endParaRPr lang="en-US" sz="1000">
              <a:latin typeface="Arial" panose="020B0604020202020204" pitchFamily="34" charset="0"/>
              <a:cs typeface="Arial" panose="020B0604020202020204" pitchFamily="34" charset="0"/>
            </a:endParaRPr>
          </a:p>
        </xdr:txBody>
      </xdr:sp>
      <xdr:cxnSp macro="">
        <xdr:nvCxnSpPr>
          <xdr:cNvPr id="12" name="Straight Arrow Connector 11">
            <a:extLst>
              <a:ext uri="{FF2B5EF4-FFF2-40B4-BE49-F238E27FC236}">
                <a16:creationId xmlns:a16="http://schemas.microsoft.com/office/drawing/2014/main" xmlns="" id="{00000000-0008-0000-0300-00000C000000}"/>
              </a:ext>
            </a:extLst>
          </xdr:cNvPr>
          <xdr:cNvCxnSpPr/>
        </xdr:nvCxnSpPr>
        <xdr:spPr>
          <a:xfrm flipH="1" flipV="1">
            <a:off x="18088800" y="4524377"/>
            <a:ext cx="178593" cy="11904"/>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grpSp>
    <xdr:clientData/>
  </xdr:twoCellAnchor>
  <xdr:twoCellAnchor>
    <xdr:from>
      <xdr:col>30</xdr:col>
      <xdr:colOff>47625</xdr:colOff>
      <xdr:row>23</xdr:row>
      <xdr:rowOff>42862</xdr:rowOff>
    </xdr:from>
    <xdr:to>
      <xdr:col>38</xdr:col>
      <xdr:colOff>333375</xdr:colOff>
      <xdr:row>42</xdr:row>
      <xdr:rowOff>80962</xdr:rowOff>
    </xdr:to>
    <xdr:graphicFrame macro="">
      <xdr:nvGraphicFramePr>
        <xdr:cNvPr id="7" name="Chart 6">
          <a:extLst>
            <a:ext uri="{FF2B5EF4-FFF2-40B4-BE49-F238E27FC236}">
              <a16:creationId xmlns:a16="http://schemas.microsoft.com/office/drawing/2014/main" xmlns="" id="{00000000-0008-0000-03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30</xdr:col>
      <xdr:colOff>0</xdr:colOff>
      <xdr:row>44</xdr:row>
      <xdr:rowOff>0</xdr:rowOff>
    </xdr:from>
    <xdr:to>
      <xdr:col>38</xdr:col>
      <xdr:colOff>285750</xdr:colOff>
      <xdr:row>63</xdr:row>
      <xdr:rowOff>38100</xdr:rowOff>
    </xdr:to>
    <xdr:graphicFrame macro="">
      <xdr:nvGraphicFramePr>
        <xdr:cNvPr id="13" name="Chart 12">
          <a:extLst>
            <a:ext uri="{FF2B5EF4-FFF2-40B4-BE49-F238E27FC236}">
              <a16:creationId xmlns:a16="http://schemas.microsoft.com/office/drawing/2014/main" xmlns="" id="{00000000-0008-0000-03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12.xml><?xml version="1.0" encoding="utf-8"?>
<c:userShapes xmlns:c="http://schemas.openxmlformats.org/drawingml/2006/chart">
  <cdr:relSizeAnchor xmlns:cdr="http://schemas.openxmlformats.org/drawingml/2006/chartDrawing">
    <cdr:from>
      <cdr:x>0.14523</cdr:x>
      <cdr:y>0.06957</cdr:y>
    </cdr:from>
    <cdr:to>
      <cdr:x>0.78905</cdr:x>
      <cdr:y>0.78152</cdr:y>
    </cdr:to>
    <cdr:sp macro="" textlink="">
      <cdr:nvSpPr>
        <cdr:cNvPr id="2" name="Freeform 1"/>
        <cdr:cNvSpPr/>
      </cdr:nvSpPr>
      <cdr:spPr>
        <a:xfrm xmlns:a="http://schemas.openxmlformats.org/drawingml/2006/main">
          <a:off x="670582" y="190855"/>
          <a:ext cx="2972803" cy="1953012"/>
        </a:xfrm>
        <a:custGeom xmlns:a="http://schemas.openxmlformats.org/drawingml/2006/main">
          <a:avLst/>
          <a:gdLst>
            <a:gd name="connsiteX0" fmla="*/ 0 w 2441408"/>
            <a:gd name="connsiteY0" fmla="*/ 1960144 h 1963038"/>
            <a:gd name="connsiteX1" fmla="*/ 350922 w 2441408"/>
            <a:gd name="connsiteY1" fmla="*/ 1960144 h 1963038"/>
            <a:gd name="connsiteX2" fmla="*/ 691816 w 2441408"/>
            <a:gd name="connsiteY2" fmla="*/ 1930065 h 1963038"/>
            <a:gd name="connsiteX3" fmla="*/ 1047750 w 2441408"/>
            <a:gd name="connsiteY3" fmla="*/ 1849855 h 1963038"/>
            <a:gd name="connsiteX4" fmla="*/ 1383632 w 2441408"/>
            <a:gd name="connsiteY4" fmla="*/ 1664368 h 1963038"/>
            <a:gd name="connsiteX5" fmla="*/ 1749593 w 2441408"/>
            <a:gd name="connsiteY5" fmla="*/ 1378618 h 1963038"/>
            <a:gd name="connsiteX6" fmla="*/ 2085474 w 2441408"/>
            <a:gd name="connsiteY6" fmla="*/ 1072815 h 1963038"/>
            <a:gd name="connsiteX7" fmla="*/ 2441408 w 2441408"/>
            <a:gd name="connsiteY7" fmla="*/ 0 h 1963038"/>
            <a:gd name="connsiteX0" fmla="*/ 0 w 2441408"/>
            <a:gd name="connsiteY0" fmla="*/ 1960144 h 1963038"/>
            <a:gd name="connsiteX1" fmla="*/ 350922 w 2441408"/>
            <a:gd name="connsiteY1" fmla="*/ 1960144 h 1963038"/>
            <a:gd name="connsiteX2" fmla="*/ 691816 w 2441408"/>
            <a:gd name="connsiteY2" fmla="*/ 1930065 h 1963038"/>
            <a:gd name="connsiteX3" fmla="*/ 1047750 w 2441408"/>
            <a:gd name="connsiteY3" fmla="*/ 1849855 h 1963038"/>
            <a:gd name="connsiteX4" fmla="*/ 1383632 w 2441408"/>
            <a:gd name="connsiteY4" fmla="*/ 1664368 h 1963038"/>
            <a:gd name="connsiteX5" fmla="*/ 1749593 w 2441408"/>
            <a:gd name="connsiteY5" fmla="*/ 1378618 h 1963038"/>
            <a:gd name="connsiteX6" fmla="*/ 2085474 w 2441408"/>
            <a:gd name="connsiteY6" fmla="*/ 1072815 h 1963038"/>
            <a:gd name="connsiteX7" fmla="*/ 2441408 w 2441408"/>
            <a:gd name="connsiteY7" fmla="*/ 0 h 1963038"/>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Lst>
          <a:rect l="l" t="t" r="r" b="b"/>
          <a:pathLst>
            <a:path w="2441408" h="1963038">
              <a:moveTo>
                <a:pt x="0" y="1960144"/>
              </a:moveTo>
              <a:cubicBezTo>
                <a:pt x="117809" y="1962650"/>
                <a:pt x="235619" y="1965157"/>
                <a:pt x="350922" y="1960144"/>
              </a:cubicBezTo>
              <a:cubicBezTo>
                <a:pt x="466225" y="1955131"/>
                <a:pt x="575678" y="1948446"/>
                <a:pt x="691816" y="1930065"/>
              </a:cubicBezTo>
              <a:cubicBezTo>
                <a:pt x="807954" y="1911683"/>
                <a:pt x="932447" y="1894138"/>
                <a:pt x="1047750" y="1849855"/>
              </a:cubicBezTo>
              <a:cubicBezTo>
                <a:pt x="1163053" y="1805572"/>
                <a:pt x="1266658" y="1742907"/>
                <a:pt x="1383632" y="1664368"/>
              </a:cubicBezTo>
              <a:cubicBezTo>
                <a:pt x="1500606" y="1585829"/>
                <a:pt x="1632619" y="1477210"/>
                <a:pt x="1749593" y="1378618"/>
              </a:cubicBezTo>
              <a:cubicBezTo>
                <a:pt x="1866567" y="1280026"/>
                <a:pt x="2055395" y="1117098"/>
                <a:pt x="2085474" y="1072815"/>
              </a:cubicBezTo>
              <a:cubicBezTo>
                <a:pt x="2115553" y="1028532"/>
                <a:pt x="2321092" y="421522"/>
                <a:pt x="2441408" y="0"/>
              </a:cubicBezTo>
            </a:path>
          </a:pathLst>
        </a:custGeom>
        <a:noFill xmlns:a="http://schemas.openxmlformats.org/drawingml/2006/main"/>
        <a:ln xmlns:a="http://schemas.openxmlformats.org/drawingml/2006/main">
          <a:solidFill>
            <a:srgbClr val="FF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horzOverflow="clip" rtlCol="0" anchor="t"/>
        <a:lstStyle xmlns:a="http://schemas.openxmlformats.org/drawingml/2006/main"/>
        <a:p xmlns:a="http://schemas.openxmlformats.org/drawingml/2006/main">
          <a:endParaRPr lang="en-US"/>
        </a:p>
      </cdr:txBody>
    </cdr:sp>
  </cdr:relSizeAnchor>
  <cdr:relSizeAnchor xmlns:cdr="http://schemas.openxmlformats.org/drawingml/2006/chartDrawing">
    <cdr:from>
      <cdr:x>0.14197</cdr:x>
      <cdr:y>0.06226</cdr:y>
    </cdr:from>
    <cdr:to>
      <cdr:x>0.78797</cdr:x>
      <cdr:y>0.78047</cdr:y>
    </cdr:to>
    <cdr:sp macro="" textlink="">
      <cdr:nvSpPr>
        <cdr:cNvPr id="3" name="Freeform 2"/>
        <cdr:cNvSpPr/>
      </cdr:nvSpPr>
      <cdr:spPr>
        <a:xfrm xmlns:a="http://schemas.openxmlformats.org/drawingml/2006/main">
          <a:off x="652095" y="170802"/>
          <a:ext cx="2967135" cy="1970171"/>
        </a:xfrm>
        <a:custGeom xmlns:a="http://schemas.openxmlformats.org/drawingml/2006/main">
          <a:avLst/>
          <a:gdLst>
            <a:gd name="connsiteX0" fmla="*/ 0 w 2436395"/>
            <a:gd name="connsiteY0" fmla="*/ 1970171 h 1970171"/>
            <a:gd name="connsiteX1" fmla="*/ 421105 w 2436395"/>
            <a:gd name="connsiteY1" fmla="*/ 1864895 h 1970171"/>
            <a:gd name="connsiteX2" fmla="*/ 882316 w 2436395"/>
            <a:gd name="connsiteY2" fmla="*/ 1609224 h 1970171"/>
            <a:gd name="connsiteX3" fmla="*/ 1594184 w 2436395"/>
            <a:gd name="connsiteY3" fmla="*/ 1052764 h 1970171"/>
            <a:gd name="connsiteX4" fmla="*/ 2115553 w 2436395"/>
            <a:gd name="connsiteY4" fmla="*/ 496303 h 1970171"/>
            <a:gd name="connsiteX5" fmla="*/ 2436395 w 2436395"/>
            <a:gd name="connsiteY5" fmla="*/ 0 h 1970171"/>
            <a:gd name="connsiteX0" fmla="*/ 0 w 2436395"/>
            <a:gd name="connsiteY0" fmla="*/ 1970171 h 1970171"/>
            <a:gd name="connsiteX1" fmla="*/ 421105 w 2436395"/>
            <a:gd name="connsiteY1" fmla="*/ 1864895 h 1970171"/>
            <a:gd name="connsiteX2" fmla="*/ 894349 w 2436395"/>
            <a:gd name="connsiteY2" fmla="*/ 1653186 h 1970171"/>
            <a:gd name="connsiteX3" fmla="*/ 1594184 w 2436395"/>
            <a:gd name="connsiteY3" fmla="*/ 1052764 h 1970171"/>
            <a:gd name="connsiteX4" fmla="*/ 2115553 w 2436395"/>
            <a:gd name="connsiteY4" fmla="*/ 496303 h 1970171"/>
            <a:gd name="connsiteX5" fmla="*/ 2436395 w 2436395"/>
            <a:gd name="connsiteY5" fmla="*/ 0 h 1970171"/>
            <a:gd name="connsiteX0" fmla="*/ 0 w 2436395"/>
            <a:gd name="connsiteY0" fmla="*/ 1970171 h 1970171"/>
            <a:gd name="connsiteX1" fmla="*/ 421105 w 2436395"/>
            <a:gd name="connsiteY1" fmla="*/ 1864895 h 1970171"/>
            <a:gd name="connsiteX2" fmla="*/ 858251 w 2436395"/>
            <a:gd name="connsiteY2" fmla="*/ 1675166 h 1970171"/>
            <a:gd name="connsiteX3" fmla="*/ 1594184 w 2436395"/>
            <a:gd name="connsiteY3" fmla="*/ 1052764 h 1970171"/>
            <a:gd name="connsiteX4" fmla="*/ 2115553 w 2436395"/>
            <a:gd name="connsiteY4" fmla="*/ 496303 h 1970171"/>
            <a:gd name="connsiteX5" fmla="*/ 2436395 w 2436395"/>
            <a:gd name="connsiteY5" fmla="*/ 0 h 1970171"/>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Lst>
          <a:rect l="l" t="t" r="r" b="b"/>
          <a:pathLst>
            <a:path w="2436395" h="1970171">
              <a:moveTo>
                <a:pt x="0" y="1970171"/>
              </a:moveTo>
              <a:cubicBezTo>
                <a:pt x="137026" y="1947612"/>
                <a:pt x="278063" y="1914062"/>
                <a:pt x="421105" y="1864895"/>
              </a:cubicBezTo>
              <a:cubicBezTo>
                <a:pt x="564147" y="1815728"/>
                <a:pt x="662738" y="1810521"/>
                <a:pt x="858251" y="1675166"/>
              </a:cubicBezTo>
              <a:cubicBezTo>
                <a:pt x="1053764" y="1539811"/>
                <a:pt x="1384634" y="1249241"/>
                <a:pt x="1594184" y="1052764"/>
              </a:cubicBezTo>
              <a:cubicBezTo>
                <a:pt x="1803734" y="856287"/>
                <a:pt x="1975185" y="671764"/>
                <a:pt x="2115553" y="496303"/>
              </a:cubicBezTo>
              <a:cubicBezTo>
                <a:pt x="2255921" y="320842"/>
                <a:pt x="2346158" y="160421"/>
                <a:pt x="2436395" y="0"/>
              </a:cubicBezTo>
            </a:path>
          </a:pathLst>
        </a:custGeom>
        <a:noFill xmlns:a="http://schemas.openxmlformats.org/drawingml/2006/main"/>
        <a:ln xmlns:a="http://schemas.openxmlformats.org/drawingml/2006/main">
          <a:solidFill>
            <a:srgbClr val="0070C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horzOverflow="clip" rtlCol="0" anchor="t"/>
        <a:lstStyle xmlns:a="http://schemas.openxmlformats.org/drawingml/2006/main"/>
        <a:p xmlns:a="http://schemas.openxmlformats.org/drawingml/2006/main">
          <a:endParaRPr lang="en-US"/>
        </a:p>
      </cdr:txBody>
    </cdr:sp>
  </cdr:relSizeAnchor>
  <cdr:relSizeAnchor xmlns:cdr="http://schemas.openxmlformats.org/drawingml/2006/chartDrawing">
    <cdr:from>
      <cdr:x>0.31415</cdr:x>
      <cdr:y>0.19213</cdr:y>
    </cdr:from>
    <cdr:to>
      <cdr:x>0.63488</cdr:x>
      <cdr:y>0.27676</cdr:y>
    </cdr:to>
    <cdr:sp macro="" textlink="">
      <cdr:nvSpPr>
        <cdr:cNvPr id="4" name="TextBox 9"/>
        <cdr:cNvSpPr txBox="1"/>
      </cdr:nvSpPr>
      <cdr:spPr>
        <a:xfrm xmlns:a="http://schemas.openxmlformats.org/drawingml/2006/main">
          <a:off x="1442916" y="527049"/>
          <a:ext cx="1473170" cy="232171"/>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000">
              <a:latin typeface="Arial" panose="020B0604020202020204" pitchFamily="34" charset="0"/>
              <a:cs typeface="Arial" panose="020B0604020202020204" pitchFamily="34" charset="0"/>
            </a:rPr>
            <a:t>Fruiting</a:t>
          </a:r>
          <a:r>
            <a:rPr lang="en-US" sz="1000" baseline="0">
              <a:latin typeface="Arial" panose="020B0604020202020204" pitchFamily="34" charset="0"/>
              <a:cs typeface="Arial" panose="020B0604020202020204" pitchFamily="34" charset="0"/>
            </a:rPr>
            <a:t> begins</a:t>
          </a:r>
          <a:endParaRPr lang="en-US" sz="10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0.40005</cdr:x>
      <cdr:y>0.26055</cdr:y>
    </cdr:from>
    <cdr:to>
      <cdr:x>0.47184</cdr:x>
      <cdr:y>0.35002</cdr:y>
    </cdr:to>
    <cdr:sp macro="" textlink="">
      <cdr:nvSpPr>
        <cdr:cNvPr id="5" name="Left Brace 4"/>
        <cdr:cNvSpPr/>
      </cdr:nvSpPr>
      <cdr:spPr>
        <a:xfrm xmlns:a="http://schemas.openxmlformats.org/drawingml/2006/main" rot="5400000">
          <a:off x="1879619" y="672598"/>
          <a:ext cx="245453" cy="329713"/>
        </a:xfrm>
        <a:prstGeom xmlns:a="http://schemas.openxmlformats.org/drawingml/2006/main" prst="leftBrace">
          <a:avLst/>
        </a:prstGeom>
      </cdr:spPr>
      <cdr:style>
        <a:lnRef xmlns:a="http://schemas.openxmlformats.org/drawingml/2006/main" idx="1">
          <a:schemeClr val="dk1"/>
        </a:lnRef>
        <a:fillRef xmlns:a="http://schemas.openxmlformats.org/drawingml/2006/main" idx="0">
          <a:schemeClr val="dk1"/>
        </a:fillRef>
        <a:effectRef xmlns:a="http://schemas.openxmlformats.org/drawingml/2006/main" idx="0">
          <a:schemeClr val="dk1"/>
        </a:effectRef>
        <a:fontRef xmlns:a="http://schemas.openxmlformats.org/drawingml/2006/main" idx="minor">
          <a:schemeClr val="tx1"/>
        </a:fontRef>
      </cdr:style>
      <cdr:txBody>
        <a:bodyPr xmlns:a="http://schemas.openxmlformats.org/drawingml/2006/main" vertOverflow="clip" horzOverflow="clip" rtlCol="0" anchor="t"/>
        <a:lstStyle xmlns:a="http://schemas.openxmlformats.org/drawingml/2006/main"/>
        <a:p xmlns:a="http://schemas.openxmlformats.org/drawingml/2006/main">
          <a:endParaRPr lang="en-US"/>
        </a:p>
      </cdr:txBody>
    </cdr:sp>
  </cdr:relSizeAnchor>
</c:userShapes>
</file>

<file path=xl/drawings/drawing13.xml><?xml version="1.0" encoding="utf-8"?>
<c:userShapes xmlns:c="http://schemas.openxmlformats.org/drawingml/2006/chart">
  <cdr:relSizeAnchor xmlns:cdr="http://schemas.openxmlformats.org/drawingml/2006/chartDrawing">
    <cdr:from>
      <cdr:x>0.11002</cdr:x>
      <cdr:y>0.05653</cdr:y>
    </cdr:from>
    <cdr:to>
      <cdr:x>0.94402</cdr:x>
      <cdr:y>0.837</cdr:y>
    </cdr:to>
    <cdr:sp macro="" textlink="">
      <cdr:nvSpPr>
        <cdr:cNvPr id="2" name="Freeform 1"/>
        <cdr:cNvSpPr/>
      </cdr:nvSpPr>
      <cdr:spPr>
        <a:xfrm xmlns:a="http://schemas.openxmlformats.org/drawingml/2006/main">
          <a:off x="655145" y="206759"/>
          <a:ext cx="4966248" cy="2854667"/>
        </a:xfrm>
        <a:custGeom xmlns:a="http://schemas.openxmlformats.org/drawingml/2006/main">
          <a:avLst/>
          <a:gdLst>
            <a:gd name="connsiteX0" fmla="*/ 0 w 2441408"/>
            <a:gd name="connsiteY0" fmla="*/ 1960144 h 1963038"/>
            <a:gd name="connsiteX1" fmla="*/ 350922 w 2441408"/>
            <a:gd name="connsiteY1" fmla="*/ 1960144 h 1963038"/>
            <a:gd name="connsiteX2" fmla="*/ 691816 w 2441408"/>
            <a:gd name="connsiteY2" fmla="*/ 1930065 h 1963038"/>
            <a:gd name="connsiteX3" fmla="*/ 1047750 w 2441408"/>
            <a:gd name="connsiteY3" fmla="*/ 1849855 h 1963038"/>
            <a:gd name="connsiteX4" fmla="*/ 1383632 w 2441408"/>
            <a:gd name="connsiteY4" fmla="*/ 1664368 h 1963038"/>
            <a:gd name="connsiteX5" fmla="*/ 1749593 w 2441408"/>
            <a:gd name="connsiteY5" fmla="*/ 1378618 h 1963038"/>
            <a:gd name="connsiteX6" fmla="*/ 2085474 w 2441408"/>
            <a:gd name="connsiteY6" fmla="*/ 1072815 h 1963038"/>
            <a:gd name="connsiteX7" fmla="*/ 2441408 w 2441408"/>
            <a:gd name="connsiteY7" fmla="*/ 0 h 1963038"/>
            <a:gd name="connsiteX0" fmla="*/ 0 w 2441408"/>
            <a:gd name="connsiteY0" fmla="*/ 1960144 h 1963038"/>
            <a:gd name="connsiteX1" fmla="*/ 350922 w 2441408"/>
            <a:gd name="connsiteY1" fmla="*/ 1960144 h 1963038"/>
            <a:gd name="connsiteX2" fmla="*/ 691816 w 2441408"/>
            <a:gd name="connsiteY2" fmla="*/ 1930065 h 1963038"/>
            <a:gd name="connsiteX3" fmla="*/ 1047750 w 2441408"/>
            <a:gd name="connsiteY3" fmla="*/ 1849855 h 1963038"/>
            <a:gd name="connsiteX4" fmla="*/ 1383632 w 2441408"/>
            <a:gd name="connsiteY4" fmla="*/ 1664368 h 1963038"/>
            <a:gd name="connsiteX5" fmla="*/ 1749593 w 2441408"/>
            <a:gd name="connsiteY5" fmla="*/ 1378618 h 1963038"/>
            <a:gd name="connsiteX6" fmla="*/ 2085474 w 2441408"/>
            <a:gd name="connsiteY6" fmla="*/ 1072815 h 1963038"/>
            <a:gd name="connsiteX7" fmla="*/ 2441408 w 2441408"/>
            <a:gd name="connsiteY7" fmla="*/ 0 h 1963038"/>
            <a:gd name="connsiteX0" fmla="*/ 0 w 2441408"/>
            <a:gd name="connsiteY0" fmla="*/ 1960144 h 1963038"/>
            <a:gd name="connsiteX1" fmla="*/ 350922 w 2441408"/>
            <a:gd name="connsiteY1" fmla="*/ 1960144 h 1963038"/>
            <a:gd name="connsiteX2" fmla="*/ 691816 w 2441408"/>
            <a:gd name="connsiteY2" fmla="*/ 1930065 h 1963038"/>
            <a:gd name="connsiteX3" fmla="*/ 1047750 w 2441408"/>
            <a:gd name="connsiteY3" fmla="*/ 1849855 h 1963038"/>
            <a:gd name="connsiteX4" fmla="*/ 1383632 w 2441408"/>
            <a:gd name="connsiteY4" fmla="*/ 1664368 h 1963038"/>
            <a:gd name="connsiteX5" fmla="*/ 1749593 w 2441408"/>
            <a:gd name="connsiteY5" fmla="*/ 1378618 h 1963038"/>
            <a:gd name="connsiteX6" fmla="*/ 2069328 w 2441408"/>
            <a:gd name="connsiteY6" fmla="*/ 1045712 h 1963038"/>
            <a:gd name="connsiteX7" fmla="*/ 2441408 w 2441408"/>
            <a:gd name="connsiteY7" fmla="*/ 0 h 1963038"/>
            <a:gd name="connsiteX0" fmla="*/ 0 w 2441408"/>
            <a:gd name="connsiteY0" fmla="*/ 1960144 h 1963038"/>
            <a:gd name="connsiteX1" fmla="*/ 350922 w 2441408"/>
            <a:gd name="connsiteY1" fmla="*/ 1960144 h 1963038"/>
            <a:gd name="connsiteX2" fmla="*/ 691816 w 2441408"/>
            <a:gd name="connsiteY2" fmla="*/ 1930065 h 1963038"/>
            <a:gd name="connsiteX3" fmla="*/ 1047750 w 2441408"/>
            <a:gd name="connsiteY3" fmla="*/ 1849855 h 1963038"/>
            <a:gd name="connsiteX4" fmla="*/ 1383632 w 2441408"/>
            <a:gd name="connsiteY4" fmla="*/ 1664368 h 1963038"/>
            <a:gd name="connsiteX5" fmla="*/ 1749593 w 2441408"/>
            <a:gd name="connsiteY5" fmla="*/ 1378618 h 1963038"/>
            <a:gd name="connsiteX6" fmla="*/ 2182353 w 2441408"/>
            <a:gd name="connsiteY6" fmla="*/ 810817 h 1963038"/>
            <a:gd name="connsiteX7" fmla="*/ 2441408 w 2441408"/>
            <a:gd name="connsiteY7" fmla="*/ 0 h 1963038"/>
            <a:gd name="connsiteX0" fmla="*/ 0 w 2441408"/>
            <a:gd name="connsiteY0" fmla="*/ 1960144 h 1963038"/>
            <a:gd name="connsiteX1" fmla="*/ 350922 w 2441408"/>
            <a:gd name="connsiteY1" fmla="*/ 1960144 h 1963038"/>
            <a:gd name="connsiteX2" fmla="*/ 691816 w 2441408"/>
            <a:gd name="connsiteY2" fmla="*/ 1930065 h 1963038"/>
            <a:gd name="connsiteX3" fmla="*/ 1047750 w 2441408"/>
            <a:gd name="connsiteY3" fmla="*/ 1849855 h 1963038"/>
            <a:gd name="connsiteX4" fmla="*/ 1383632 w 2441408"/>
            <a:gd name="connsiteY4" fmla="*/ 1664368 h 1963038"/>
            <a:gd name="connsiteX5" fmla="*/ 1749593 w 2441408"/>
            <a:gd name="connsiteY5" fmla="*/ 1378618 h 1963038"/>
            <a:gd name="connsiteX6" fmla="*/ 2182353 w 2441408"/>
            <a:gd name="connsiteY6" fmla="*/ 810817 h 1963038"/>
            <a:gd name="connsiteX7" fmla="*/ 2441408 w 2441408"/>
            <a:gd name="connsiteY7" fmla="*/ 0 h 1963038"/>
            <a:gd name="connsiteX0" fmla="*/ 0 w 2441408"/>
            <a:gd name="connsiteY0" fmla="*/ 1960144 h 1963038"/>
            <a:gd name="connsiteX1" fmla="*/ 350922 w 2441408"/>
            <a:gd name="connsiteY1" fmla="*/ 1960144 h 1963038"/>
            <a:gd name="connsiteX2" fmla="*/ 691816 w 2441408"/>
            <a:gd name="connsiteY2" fmla="*/ 1930065 h 1963038"/>
            <a:gd name="connsiteX3" fmla="*/ 1047750 w 2441408"/>
            <a:gd name="connsiteY3" fmla="*/ 1849855 h 1963038"/>
            <a:gd name="connsiteX4" fmla="*/ 1383632 w 2441408"/>
            <a:gd name="connsiteY4" fmla="*/ 1664368 h 1963038"/>
            <a:gd name="connsiteX5" fmla="*/ 1749593 w 2441408"/>
            <a:gd name="connsiteY5" fmla="*/ 1378618 h 1963038"/>
            <a:gd name="connsiteX6" fmla="*/ 2182353 w 2441408"/>
            <a:gd name="connsiteY6" fmla="*/ 810817 h 1963038"/>
            <a:gd name="connsiteX7" fmla="*/ 2441408 w 2441408"/>
            <a:gd name="connsiteY7" fmla="*/ 0 h 1963038"/>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Lst>
          <a:rect l="l" t="t" r="r" b="b"/>
          <a:pathLst>
            <a:path w="2441408" h="1963038">
              <a:moveTo>
                <a:pt x="0" y="1960144"/>
              </a:moveTo>
              <a:cubicBezTo>
                <a:pt x="117809" y="1962650"/>
                <a:pt x="235619" y="1965157"/>
                <a:pt x="350922" y="1960144"/>
              </a:cubicBezTo>
              <a:cubicBezTo>
                <a:pt x="466225" y="1955131"/>
                <a:pt x="575678" y="1948446"/>
                <a:pt x="691816" y="1930065"/>
              </a:cubicBezTo>
              <a:cubicBezTo>
                <a:pt x="807954" y="1911683"/>
                <a:pt x="932447" y="1894138"/>
                <a:pt x="1047750" y="1849855"/>
              </a:cubicBezTo>
              <a:cubicBezTo>
                <a:pt x="1163053" y="1805572"/>
                <a:pt x="1266658" y="1742907"/>
                <a:pt x="1383632" y="1664368"/>
              </a:cubicBezTo>
              <a:cubicBezTo>
                <a:pt x="1500606" y="1585829"/>
                <a:pt x="1555117" y="1552496"/>
                <a:pt x="1749593" y="1378618"/>
              </a:cubicBezTo>
              <a:cubicBezTo>
                <a:pt x="1944069" y="1204740"/>
                <a:pt x="1955286" y="1243580"/>
                <a:pt x="2182353" y="810817"/>
              </a:cubicBezTo>
              <a:cubicBezTo>
                <a:pt x="2212432" y="766534"/>
                <a:pt x="2321092" y="421522"/>
                <a:pt x="2441408" y="0"/>
              </a:cubicBezTo>
            </a:path>
          </a:pathLst>
        </a:custGeom>
        <a:noFill xmlns:a="http://schemas.openxmlformats.org/drawingml/2006/main"/>
        <a:ln xmlns:a="http://schemas.openxmlformats.org/drawingml/2006/main">
          <a:solidFill>
            <a:srgbClr val="0432FF"/>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tlCol="0" anchor="t"/>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en-US"/>
        </a:p>
      </cdr:txBody>
    </cdr:sp>
  </cdr:relSizeAnchor>
  <cdr:relSizeAnchor xmlns:cdr="http://schemas.openxmlformats.org/drawingml/2006/chartDrawing">
    <cdr:from>
      <cdr:x>0.38801</cdr:x>
      <cdr:y>0.58501</cdr:y>
    </cdr:from>
    <cdr:to>
      <cdr:x>0.50717</cdr:x>
      <cdr:y>0.64849</cdr:y>
    </cdr:to>
    <cdr:sp macro="" textlink="">
      <cdr:nvSpPr>
        <cdr:cNvPr id="3" name="TextBox 9"/>
        <cdr:cNvSpPr txBox="1"/>
      </cdr:nvSpPr>
      <cdr:spPr>
        <a:xfrm xmlns:a="http://schemas.openxmlformats.org/drawingml/2006/main">
          <a:off x="2310524" y="2139732"/>
          <a:ext cx="709558" cy="232171"/>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200">
              <a:latin typeface="Arial" panose="020B0604020202020204" pitchFamily="34" charset="0"/>
              <a:cs typeface="Arial" panose="020B0604020202020204" pitchFamily="34" charset="0"/>
            </a:rPr>
            <a:t>Fruiting</a:t>
          </a:r>
          <a:r>
            <a:rPr lang="en-US" sz="1000" baseline="0">
              <a:latin typeface="Arial" panose="020B0604020202020204" pitchFamily="34" charset="0"/>
              <a:cs typeface="Arial" panose="020B0604020202020204" pitchFamily="34" charset="0"/>
            </a:rPr>
            <a:t> begins</a:t>
          </a:r>
          <a:endParaRPr lang="en-US" sz="1000">
            <a:latin typeface="Arial" panose="020B0604020202020204" pitchFamily="34" charset="0"/>
            <a:cs typeface="Arial" panose="020B0604020202020204" pitchFamily="34" charset="0"/>
          </a:endParaRPr>
        </a:p>
      </cdr:txBody>
    </cdr:sp>
  </cdr:relSizeAnchor>
</c:userShapes>
</file>

<file path=xl/drawings/drawing14.xml><?xml version="1.0" encoding="utf-8"?>
<c:userShapes xmlns:c="http://schemas.openxmlformats.org/drawingml/2006/chart">
  <cdr:relSizeAnchor xmlns:cdr="http://schemas.openxmlformats.org/drawingml/2006/chartDrawing">
    <cdr:from>
      <cdr:x>0.41365</cdr:x>
      <cdr:y>0.41574</cdr:y>
    </cdr:from>
    <cdr:to>
      <cdr:x>0.53281</cdr:x>
      <cdr:y>0.47922</cdr:y>
    </cdr:to>
    <cdr:sp macro="" textlink="">
      <cdr:nvSpPr>
        <cdr:cNvPr id="3" name="TextBox 9"/>
        <cdr:cNvSpPr txBox="1"/>
      </cdr:nvSpPr>
      <cdr:spPr>
        <a:xfrm xmlns:a="http://schemas.openxmlformats.org/drawingml/2006/main">
          <a:off x="2458555" y="1520614"/>
          <a:ext cx="708239" cy="232184"/>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000">
              <a:latin typeface="Arial" panose="020B0604020202020204" pitchFamily="34" charset="0"/>
              <a:cs typeface="Arial" panose="020B0604020202020204" pitchFamily="34" charset="0"/>
            </a:rPr>
            <a:t>Fruiting</a:t>
          </a:r>
          <a:r>
            <a:rPr lang="en-US" sz="1000" baseline="0">
              <a:latin typeface="Arial" panose="020B0604020202020204" pitchFamily="34" charset="0"/>
              <a:cs typeface="Arial" panose="020B0604020202020204" pitchFamily="34" charset="0"/>
            </a:rPr>
            <a:t> </a:t>
          </a:r>
          <a:r>
            <a:rPr lang="en-US" sz="1200" baseline="0">
              <a:latin typeface="Arial" panose="020B0604020202020204" pitchFamily="34" charset="0"/>
              <a:cs typeface="Arial" panose="020B0604020202020204" pitchFamily="34" charset="0"/>
            </a:rPr>
            <a:t>begins</a:t>
          </a:r>
          <a:endParaRPr lang="en-US" sz="12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0.1031</cdr:x>
      <cdr:y>0.05469</cdr:y>
    </cdr:from>
    <cdr:to>
      <cdr:x>0.94071</cdr:x>
      <cdr:y>0.84161</cdr:y>
    </cdr:to>
    <cdr:sp macro="" textlink="">
      <cdr:nvSpPr>
        <cdr:cNvPr id="4" name="Freeform 3"/>
        <cdr:cNvSpPr/>
      </cdr:nvSpPr>
      <cdr:spPr>
        <a:xfrm xmlns:a="http://schemas.openxmlformats.org/drawingml/2006/main">
          <a:off x="612775" y="200025"/>
          <a:ext cx="4978400" cy="2878243"/>
        </a:xfrm>
        <a:custGeom xmlns:a="http://schemas.openxmlformats.org/drawingml/2006/main">
          <a:avLst/>
          <a:gdLst>
            <a:gd name="connsiteX0" fmla="*/ 0 w 2436395"/>
            <a:gd name="connsiteY0" fmla="*/ 1970171 h 1970171"/>
            <a:gd name="connsiteX1" fmla="*/ 421105 w 2436395"/>
            <a:gd name="connsiteY1" fmla="*/ 1864895 h 1970171"/>
            <a:gd name="connsiteX2" fmla="*/ 882316 w 2436395"/>
            <a:gd name="connsiteY2" fmla="*/ 1609224 h 1970171"/>
            <a:gd name="connsiteX3" fmla="*/ 1594184 w 2436395"/>
            <a:gd name="connsiteY3" fmla="*/ 1052764 h 1970171"/>
            <a:gd name="connsiteX4" fmla="*/ 2115553 w 2436395"/>
            <a:gd name="connsiteY4" fmla="*/ 496303 h 1970171"/>
            <a:gd name="connsiteX5" fmla="*/ 2436395 w 2436395"/>
            <a:gd name="connsiteY5" fmla="*/ 0 h 1970171"/>
            <a:gd name="connsiteX0" fmla="*/ 0 w 2436395"/>
            <a:gd name="connsiteY0" fmla="*/ 1970171 h 1970171"/>
            <a:gd name="connsiteX1" fmla="*/ 421105 w 2436395"/>
            <a:gd name="connsiteY1" fmla="*/ 1864895 h 1970171"/>
            <a:gd name="connsiteX2" fmla="*/ 894349 w 2436395"/>
            <a:gd name="connsiteY2" fmla="*/ 1653186 h 1970171"/>
            <a:gd name="connsiteX3" fmla="*/ 1594184 w 2436395"/>
            <a:gd name="connsiteY3" fmla="*/ 1052764 h 1970171"/>
            <a:gd name="connsiteX4" fmla="*/ 2115553 w 2436395"/>
            <a:gd name="connsiteY4" fmla="*/ 496303 h 1970171"/>
            <a:gd name="connsiteX5" fmla="*/ 2436395 w 2436395"/>
            <a:gd name="connsiteY5" fmla="*/ 0 h 1970171"/>
            <a:gd name="connsiteX0" fmla="*/ 0 w 2436395"/>
            <a:gd name="connsiteY0" fmla="*/ 1970171 h 1970171"/>
            <a:gd name="connsiteX1" fmla="*/ 421105 w 2436395"/>
            <a:gd name="connsiteY1" fmla="*/ 1864895 h 1970171"/>
            <a:gd name="connsiteX2" fmla="*/ 858251 w 2436395"/>
            <a:gd name="connsiteY2" fmla="*/ 1675166 h 1970171"/>
            <a:gd name="connsiteX3" fmla="*/ 1594184 w 2436395"/>
            <a:gd name="connsiteY3" fmla="*/ 1052764 h 1970171"/>
            <a:gd name="connsiteX4" fmla="*/ 2115553 w 2436395"/>
            <a:gd name="connsiteY4" fmla="*/ 496303 h 1970171"/>
            <a:gd name="connsiteX5" fmla="*/ 2436395 w 2436395"/>
            <a:gd name="connsiteY5" fmla="*/ 0 h 1970171"/>
            <a:gd name="connsiteX0" fmla="*/ 0 w 2436395"/>
            <a:gd name="connsiteY0" fmla="*/ 1970171 h 1970171"/>
            <a:gd name="connsiteX1" fmla="*/ 421105 w 2436395"/>
            <a:gd name="connsiteY1" fmla="*/ 1864895 h 1970171"/>
            <a:gd name="connsiteX2" fmla="*/ 755699 w 2436395"/>
            <a:gd name="connsiteY2" fmla="*/ 1707765 h 1970171"/>
            <a:gd name="connsiteX3" fmla="*/ 1594184 w 2436395"/>
            <a:gd name="connsiteY3" fmla="*/ 1052764 h 1970171"/>
            <a:gd name="connsiteX4" fmla="*/ 2115553 w 2436395"/>
            <a:gd name="connsiteY4" fmla="*/ 496303 h 1970171"/>
            <a:gd name="connsiteX5" fmla="*/ 2436395 w 2436395"/>
            <a:gd name="connsiteY5" fmla="*/ 0 h 1970171"/>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Lst>
          <a:rect l="l" t="t" r="r" b="b"/>
          <a:pathLst>
            <a:path w="2436395" h="1970171">
              <a:moveTo>
                <a:pt x="0" y="1970171"/>
              </a:moveTo>
              <a:cubicBezTo>
                <a:pt x="137026" y="1947612"/>
                <a:pt x="295155" y="1908629"/>
                <a:pt x="421105" y="1864895"/>
              </a:cubicBezTo>
              <a:cubicBezTo>
                <a:pt x="547055" y="1821161"/>
                <a:pt x="560186" y="1843120"/>
                <a:pt x="755699" y="1707765"/>
              </a:cubicBezTo>
              <a:cubicBezTo>
                <a:pt x="951212" y="1572410"/>
                <a:pt x="1367542" y="1254674"/>
                <a:pt x="1594184" y="1052764"/>
              </a:cubicBezTo>
              <a:cubicBezTo>
                <a:pt x="1820826" y="850854"/>
                <a:pt x="1975185" y="671764"/>
                <a:pt x="2115553" y="496303"/>
              </a:cubicBezTo>
              <a:cubicBezTo>
                <a:pt x="2255921" y="320842"/>
                <a:pt x="2346158" y="160421"/>
                <a:pt x="2436395" y="0"/>
              </a:cubicBezTo>
            </a:path>
          </a:pathLst>
        </a:custGeom>
        <a:noFill xmlns:a="http://schemas.openxmlformats.org/drawingml/2006/main"/>
        <a:ln xmlns:a="http://schemas.openxmlformats.org/drawingml/2006/main">
          <a:solidFill>
            <a:srgbClr val="FF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tlCol="0" anchor="t"/>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en-US"/>
        </a:p>
      </cdr:txBody>
    </cdr:sp>
  </cdr:relSizeAnchor>
</c:userShapes>
</file>

<file path=xl/drawings/drawing15.xml><?xml version="1.0" encoding="utf-8"?>
<xdr:wsDr xmlns:xdr="http://schemas.openxmlformats.org/drawingml/2006/spreadsheetDrawing" xmlns:a="http://schemas.openxmlformats.org/drawingml/2006/main">
  <xdr:twoCellAnchor editAs="oneCell">
    <xdr:from>
      <xdr:col>8</xdr:col>
      <xdr:colOff>449036</xdr:colOff>
      <xdr:row>68</xdr:row>
      <xdr:rowOff>95250</xdr:rowOff>
    </xdr:from>
    <xdr:to>
      <xdr:col>16</xdr:col>
      <xdr:colOff>869338</xdr:colOff>
      <xdr:row>91</xdr:row>
      <xdr:rowOff>132798</xdr:rowOff>
    </xdr:to>
    <xdr:pic>
      <xdr:nvPicPr>
        <xdr:cNvPr id="9" name="Picture 8">
          <a:extLst>
            <a:ext uri="{FF2B5EF4-FFF2-40B4-BE49-F238E27FC236}">
              <a16:creationId xmlns:a16="http://schemas.microsoft.com/office/drawing/2014/main" xmlns="" id="{00000000-0008-0000-0400-000009000000}"/>
            </a:ext>
          </a:extLst>
        </xdr:cNvPr>
        <xdr:cNvPicPr>
          <a:picLocks noChangeAspect="1"/>
        </xdr:cNvPicPr>
      </xdr:nvPicPr>
      <xdr:blipFill>
        <a:blip xmlns:r="http://schemas.openxmlformats.org/officeDocument/2006/relationships" r:embed="rId1"/>
        <a:stretch>
          <a:fillRect/>
        </a:stretch>
      </xdr:blipFill>
      <xdr:spPr>
        <a:xfrm>
          <a:off x="8354786" y="13430250"/>
          <a:ext cx="7346338" cy="4419048"/>
        </a:xfrm>
        <a:prstGeom prst="rect">
          <a:avLst/>
        </a:prstGeom>
      </xdr:spPr>
    </xdr:pic>
    <xdr:clientData/>
  </xdr:twoCellAnchor>
  <xdr:twoCellAnchor editAs="oneCell">
    <xdr:from>
      <xdr:col>2</xdr:col>
      <xdr:colOff>190500</xdr:colOff>
      <xdr:row>73</xdr:row>
      <xdr:rowOff>54430</xdr:rowOff>
    </xdr:from>
    <xdr:to>
      <xdr:col>7</xdr:col>
      <xdr:colOff>565606</xdr:colOff>
      <xdr:row>85</xdr:row>
      <xdr:rowOff>73192</xdr:rowOff>
    </xdr:to>
    <xdr:pic>
      <xdr:nvPicPr>
        <xdr:cNvPr id="10" name="Picture 9">
          <a:extLst>
            <a:ext uri="{FF2B5EF4-FFF2-40B4-BE49-F238E27FC236}">
              <a16:creationId xmlns:a16="http://schemas.microsoft.com/office/drawing/2014/main" xmlns="" id="{00000000-0008-0000-0400-00000A000000}"/>
            </a:ext>
          </a:extLst>
        </xdr:cNvPr>
        <xdr:cNvPicPr>
          <a:picLocks noChangeAspect="1"/>
        </xdr:cNvPicPr>
      </xdr:nvPicPr>
      <xdr:blipFill>
        <a:blip xmlns:r="http://schemas.openxmlformats.org/officeDocument/2006/relationships" r:embed="rId2"/>
        <a:stretch>
          <a:fillRect/>
        </a:stretch>
      </xdr:blipFill>
      <xdr:spPr>
        <a:xfrm>
          <a:off x="2966357" y="14341930"/>
          <a:ext cx="4824642" cy="2304762"/>
        </a:xfrm>
        <a:prstGeom prst="rect">
          <a:avLst/>
        </a:prstGeom>
      </xdr:spPr>
    </xdr:pic>
    <xdr:clientData/>
  </xdr:twoCellAnchor>
  <xdr:twoCellAnchor>
    <xdr:from>
      <xdr:col>16</xdr:col>
      <xdr:colOff>1026584</xdr:colOff>
      <xdr:row>13</xdr:row>
      <xdr:rowOff>73025</xdr:rowOff>
    </xdr:from>
    <xdr:to>
      <xdr:col>24</xdr:col>
      <xdr:colOff>137583</xdr:colOff>
      <xdr:row>33</xdr:row>
      <xdr:rowOff>137583</xdr:rowOff>
    </xdr:to>
    <xdr:graphicFrame macro="">
      <xdr:nvGraphicFramePr>
        <xdr:cNvPr id="11" name="Chart 10">
          <a:extLst>
            <a:ext uri="{FF2B5EF4-FFF2-40B4-BE49-F238E27FC236}">
              <a16:creationId xmlns:a16="http://schemas.microsoft.com/office/drawing/2014/main" xmlns="" id="{00000000-0008-0000-0400-00000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1259417</xdr:colOff>
      <xdr:row>35</xdr:row>
      <xdr:rowOff>52916</xdr:rowOff>
    </xdr:from>
    <xdr:to>
      <xdr:col>29</xdr:col>
      <xdr:colOff>201706</xdr:colOff>
      <xdr:row>69</xdr:row>
      <xdr:rowOff>44823</xdr:rowOff>
    </xdr:to>
    <xdr:graphicFrame macro="">
      <xdr:nvGraphicFramePr>
        <xdr:cNvPr id="13" name="Chart 12">
          <a:extLst>
            <a:ext uri="{FF2B5EF4-FFF2-40B4-BE49-F238E27FC236}">
              <a16:creationId xmlns:a16="http://schemas.microsoft.com/office/drawing/2014/main" xmlns="" id="{00000000-0008-0000-04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17</xdr:col>
      <xdr:colOff>336176</xdr:colOff>
      <xdr:row>36</xdr:row>
      <xdr:rowOff>123265</xdr:rowOff>
    </xdr:from>
    <xdr:to>
      <xdr:col>27</xdr:col>
      <xdr:colOff>0</xdr:colOff>
      <xdr:row>66</xdr:row>
      <xdr:rowOff>39077</xdr:rowOff>
    </xdr:to>
    <xdr:sp macro="" textlink="">
      <xdr:nvSpPr>
        <xdr:cNvPr id="2" name="Freeform 1">
          <a:extLst>
            <a:ext uri="{FF2B5EF4-FFF2-40B4-BE49-F238E27FC236}">
              <a16:creationId xmlns:a16="http://schemas.microsoft.com/office/drawing/2014/main" xmlns="" id="{00000000-0008-0000-0400-000002000000}"/>
            </a:ext>
          </a:extLst>
        </xdr:cNvPr>
        <xdr:cNvSpPr/>
      </xdr:nvSpPr>
      <xdr:spPr>
        <a:xfrm>
          <a:off x="16663147" y="7362265"/>
          <a:ext cx="6275294" cy="5630812"/>
        </a:xfrm>
        <a:custGeom>
          <a:avLst/>
          <a:gdLst>
            <a:gd name="connsiteX0" fmla="*/ 0 w 5804647"/>
            <a:gd name="connsiteY0" fmla="*/ 5602941 h 6099284"/>
            <a:gd name="connsiteX1" fmla="*/ 2229971 w 5804647"/>
            <a:gd name="connsiteY1" fmla="*/ 5546911 h 6099284"/>
            <a:gd name="connsiteX2" fmla="*/ 5804647 w 5804647"/>
            <a:gd name="connsiteY2" fmla="*/ 0 h 6099284"/>
            <a:gd name="connsiteX3" fmla="*/ 5804647 w 5804647"/>
            <a:gd name="connsiteY3" fmla="*/ 0 h 6099284"/>
            <a:gd name="connsiteX0" fmla="*/ 0 w 5804647"/>
            <a:gd name="connsiteY0" fmla="*/ 5602941 h 5792031"/>
            <a:gd name="connsiteX1" fmla="*/ 2229971 w 5804647"/>
            <a:gd name="connsiteY1" fmla="*/ 5546911 h 5792031"/>
            <a:gd name="connsiteX2" fmla="*/ 5804647 w 5804647"/>
            <a:gd name="connsiteY2" fmla="*/ 0 h 5792031"/>
            <a:gd name="connsiteX3" fmla="*/ 5804647 w 5804647"/>
            <a:gd name="connsiteY3" fmla="*/ 0 h 5792031"/>
            <a:gd name="connsiteX0" fmla="*/ 0 w 5804647"/>
            <a:gd name="connsiteY0" fmla="*/ 5602941 h 5602941"/>
            <a:gd name="connsiteX1" fmla="*/ 2229971 w 5804647"/>
            <a:gd name="connsiteY1" fmla="*/ 5546911 h 5602941"/>
            <a:gd name="connsiteX2" fmla="*/ 5804647 w 5804647"/>
            <a:gd name="connsiteY2" fmla="*/ 0 h 5602941"/>
            <a:gd name="connsiteX3" fmla="*/ 5804647 w 5804647"/>
            <a:gd name="connsiteY3" fmla="*/ 0 h 5602941"/>
            <a:gd name="connsiteX0" fmla="*/ 0 w 5804647"/>
            <a:gd name="connsiteY0" fmla="*/ 5602941 h 5602941"/>
            <a:gd name="connsiteX1" fmla="*/ 2510118 w 5804647"/>
            <a:gd name="connsiteY1" fmla="*/ 5334000 h 5602941"/>
            <a:gd name="connsiteX2" fmla="*/ 5804647 w 5804647"/>
            <a:gd name="connsiteY2" fmla="*/ 0 h 5602941"/>
            <a:gd name="connsiteX3" fmla="*/ 5804647 w 5804647"/>
            <a:gd name="connsiteY3" fmla="*/ 0 h 5602941"/>
            <a:gd name="connsiteX0" fmla="*/ 0 w 5804647"/>
            <a:gd name="connsiteY0" fmla="*/ 5602941 h 5602941"/>
            <a:gd name="connsiteX1" fmla="*/ 2510118 w 5804647"/>
            <a:gd name="connsiteY1" fmla="*/ 5334000 h 5602941"/>
            <a:gd name="connsiteX2" fmla="*/ 5804647 w 5804647"/>
            <a:gd name="connsiteY2" fmla="*/ 0 h 5602941"/>
            <a:gd name="connsiteX3" fmla="*/ 5804647 w 5804647"/>
            <a:gd name="connsiteY3" fmla="*/ 0 h 5602941"/>
            <a:gd name="connsiteX0" fmla="*/ 0 w 5804647"/>
            <a:gd name="connsiteY0" fmla="*/ 5602941 h 5618448"/>
            <a:gd name="connsiteX1" fmla="*/ 2510118 w 5804647"/>
            <a:gd name="connsiteY1" fmla="*/ 5334000 h 5618448"/>
            <a:gd name="connsiteX2" fmla="*/ 4078941 w 5804647"/>
            <a:gd name="connsiteY2" fmla="*/ 3126442 h 5618448"/>
            <a:gd name="connsiteX3" fmla="*/ 5804647 w 5804647"/>
            <a:gd name="connsiteY3" fmla="*/ 0 h 5618448"/>
            <a:gd name="connsiteX4" fmla="*/ 5804647 w 5804647"/>
            <a:gd name="connsiteY4" fmla="*/ 0 h 5618448"/>
            <a:gd name="connsiteX0" fmla="*/ 0 w 5804647"/>
            <a:gd name="connsiteY0" fmla="*/ 5602941 h 5619606"/>
            <a:gd name="connsiteX1" fmla="*/ 2510118 w 5804647"/>
            <a:gd name="connsiteY1" fmla="*/ 5334000 h 5619606"/>
            <a:gd name="connsiteX2" fmla="*/ 4067735 w 5804647"/>
            <a:gd name="connsiteY2" fmla="*/ 3104030 h 5619606"/>
            <a:gd name="connsiteX3" fmla="*/ 5804647 w 5804647"/>
            <a:gd name="connsiteY3" fmla="*/ 0 h 5619606"/>
            <a:gd name="connsiteX4" fmla="*/ 5804647 w 5804647"/>
            <a:gd name="connsiteY4" fmla="*/ 0 h 561960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5804647" h="5619606">
              <a:moveTo>
                <a:pt x="0" y="5602941"/>
              </a:moveTo>
              <a:cubicBezTo>
                <a:pt x="1561353" y="5582396"/>
                <a:pt x="1832162" y="5750485"/>
                <a:pt x="2510118" y="5334000"/>
              </a:cubicBezTo>
              <a:cubicBezTo>
                <a:pt x="3188074" y="4917515"/>
                <a:pt x="3518647" y="3993030"/>
                <a:pt x="4067735" y="3104030"/>
              </a:cubicBezTo>
              <a:cubicBezTo>
                <a:pt x="4616823" y="2215030"/>
                <a:pt x="5515162" y="517338"/>
                <a:pt x="5804647" y="0"/>
              </a:cubicBezTo>
              <a:lnTo>
                <a:pt x="5804647" y="0"/>
              </a:lnTo>
            </a:path>
          </a:pathLst>
        </a:custGeom>
        <a:noFill/>
        <a:ln>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18</xdr:col>
      <xdr:colOff>421821</xdr:colOff>
      <xdr:row>58</xdr:row>
      <xdr:rowOff>95250</xdr:rowOff>
    </xdr:from>
    <xdr:to>
      <xdr:col>20</xdr:col>
      <xdr:colOff>571500</xdr:colOff>
      <xdr:row>60</xdr:row>
      <xdr:rowOff>0</xdr:rowOff>
    </xdr:to>
    <xdr:sp macro="" textlink="">
      <xdr:nvSpPr>
        <xdr:cNvPr id="3" name="TextBox 2">
          <a:extLst>
            <a:ext uri="{FF2B5EF4-FFF2-40B4-BE49-F238E27FC236}">
              <a16:creationId xmlns:a16="http://schemas.microsoft.com/office/drawing/2014/main" xmlns="" id="{00000000-0008-0000-0400-000003000000}"/>
            </a:ext>
          </a:extLst>
        </xdr:cNvPr>
        <xdr:cNvSpPr txBox="1"/>
      </xdr:nvSpPr>
      <xdr:spPr>
        <a:xfrm>
          <a:off x="17975035" y="11525250"/>
          <a:ext cx="1374322"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a:latin typeface="Arial" panose="020B0604020202020204" pitchFamily="34" charset="0"/>
              <a:cs typeface="Arial" panose="020B0604020202020204" pitchFamily="34" charset="0"/>
            </a:rPr>
            <a:t>First bloom</a:t>
          </a:r>
        </a:p>
      </xdr:txBody>
    </xdr:sp>
    <xdr:clientData/>
  </xdr:twoCellAnchor>
  <xdr:twoCellAnchor>
    <xdr:from>
      <xdr:col>23</xdr:col>
      <xdr:colOff>381000</xdr:colOff>
      <xdr:row>55</xdr:row>
      <xdr:rowOff>52551</xdr:rowOff>
    </xdr:from>
    <xdr:to>
      <xdr:col>24</xdr:col>
      <xdr:colOff>472965</xdr:colOff>
      <xdr:row>57</xdr:row>
      <xdr:rowOff>12590</xdr:rowOff>
    </xdr:to>
    <xdr:sp macro="" textlink="">
      <xdr:nvSpPr>
        <xdr:cNvPr id="8" name="Left Brace 7">
          <a:extLst>
            <a:ext uri="{FF2B5EF4-FFF2-40B4-BE49-F238E27FC236}">
              <a16:creationId xmlns:a16="http://schemas.microsoft.com/office/drawing/2014/main" xmlns="" id="{00000000-0008-0000-0400-000008000000}"/>
            </a:ext>
          </a:extLst>
        </xdr:cNvPr>
        <xdr:cNvSpPr/>
      </xdr:nvSpPr>
      <xdr:spPr>
        <a:xfrm rot="16200000">
          <a:off x="21122782" y="10730131"/>
          <a:ext cx="341039" cy="702879"/>
        </a:xfrm>
        <a:prstGeom prst="leftBrace">
          <a:avLst>
            <a:gd name="adj1" fmla="val 8333"/>
            <a:gd name="adj2" fmla="val 47271"/>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19</xdr:col>
      <xdr:colOff>68034</xdr:colOff>
      <xdr:row>60</xdr:row>
      <xdr:rowOff>134195</xdr:rowOff>
    </xdr:from>
    <xdr:to>
      <xdr:col>19</xdr:col>
      <xdr:colOff>425807</xdr:colOff>
      <xdr:row>62</xdr:row>
      <xdr:rowOff>94234</xdr:rowOff>
    </xdr:to>
    <xdr:sp macro="" textlink="">
      <xdr:nvSpPr>
        <xdr:cNvPr id="14" name="Left Brace 13">
          <a:extLst>
            <a:ext uri="{FF2B5EF4-FFF2-40B4-BE49-F238E27FC236}">
              <a16:creationId xmlns:a16="http://schemas.microsoft.com/office/drawing/2014/main" xmlns="" id="{00000000-0008-0000-0400-00000E000000}"/>
            </a:ext>
          </a:extLst>
        </xdr:cNvPr>
        <xdr:cNvSpPr/>
      </xdr:nvSpPr>
      <xdr:spPr>
        <a:xfrm rot="5400000">
          <a:off x="18241937" y="11936828"/>
          <a:ext cx="341039" cy="357773"/>
        </a:xfrm>
        <a:prstGeom prst="leftBrace">
          <a:avLst>
            <a:gd name="adj1" fmla="val 8333"/>
            <a:gd name="adj2" fmla="val 47271"/>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22</xdr:col>
      <xdr:colOff>220432</xdr:colOff>
      <xdr:row>44</xdr:row>
      <xdr:rowOff>150525</xdr:rowOff>
    </xdr:from>
    <xdr:to>
      <xdr:col>23</xdr:col>
      <xdr:colOff>95249</xdr:colOff>
      <xdr:row>46</xdr:row>
      <xdr:rowOff>149680</xdr:rowOff>
    </xdr:to>
    <xdr:sp macro="" textlink="">
      <xdr:nvSpPr>
        <xdr:cNvPr id="15" name="Left Brace 14">
          <a:extLst>
            <a:ext uri="{FF2B5EF4-FFF2-40B4-BE49-F238E27FC236}">
              <a16:creationId xmlns:a16="http://schemas.microsoft.com/office/drawing/2014/main" xmlns="" id="{00000000-0008-0000-0400-00000F000000}"/>
            </a:ext>
          </a:extLst>
        </xdr:cNvPr>
        <xdr:cNvSpPr/>
      </xdr:nvSpPr>
      <xdr:spPr>
        <a:xfrm rot="5400000">
          <a:off x="20276423" y="8860034"/>
          <a:ext cx="380155" cy="487138"/>
        </a:xfrm>
        <a:prstGeom prst="leftBrace">
          <a:avLst>
            <a:gd name="adj1" fmla="val 8333"/>
            <a:gd name="adj2" fmla="val 47271"/>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23</xdr:col>
      <xdr:colOff>408213</xdr:colOff>
      <xdr:row>36</xdr:row>
      <xdr:rowOff>109703</xdr:rowOff>
    </xdr:from>
    <xdr:to>
      <xdr:col>24</xdr:col>
      <xdr:colOff>421820</xdr:colOff>
      <xdr:row>38</xdr:row>
      <xdr:rowOff>95252</xdr:rowOff>
    </xdr:to>
    <xdr:sp macro="" textlink="">
      <xdr:nvSpPr>
        <xdr:cNvPr id="16" name="Left Brace 15">
          <a:extLst>
            <a:ext uri="{FF2B5EF4-FFF2-40B4-BE49-F238E27FC236}">
              <a16:creationId xmlns:a16="http://schemas.microsoft.com/office/drawing/2014/main" xmlns="" id="{00000000-0008-0000-0400-000010000000}"/>
            </a:ext>
          </a:extLst>
        </xdr:cNvPr>
        <xdr:cNvSpPr/>
      </xdr:nvSpPr>
      <xdr:spPr>
        <a:xfrm rot="5400000">
          <a:off x="21152724" y="7219013"/>
          <a:ext cx="366549" cy="625929"/>
        </a:xfrm>
        <a:prstGeom prst="leftBrace">
          <a:avLst>
            <a:gd name="adj1" fmla="val 8333"/>
            <a:gd name="adj2" fmla="val 47271"/>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29</xdr:col>
      <xdr:colOff>564174</xdr:colOff>
      <xdr:row>21</xdr:row>
      <xdr:rowOff>33444</xdr:rowOff>
    </xdr:from>
    <xdr:to>
      <xdr:col>36</xdr:col>
      <xdr:colOff>375139</xdr:colOff>
      <xdr:row>40</xdr:row>
      <xdr:rowOff>71544</xdr:rowOff>
    </xdr:to>
    <xdr:graphicFrame macro="">
      <xdr:nvGraphicFramePr>
        <xdr:cNvPr id="5" name="Chart 4">
          <a:extLst>
            <a:ext uri="{FF2B5EF4-FFF2-40B4-BE49-F238E27FC236}">
              <a16:creationId xmlns:a16="http://schemas.microsoft.com/office/drawing/2014/main" xmlns="" id="{00000000-0008-0000-04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30</xdr:col>
      <xdr:colOff>394554</xdr:colOff>
      <xdr:row>22</xdr:row>
      <xdr:rowOff>28575</xdr:rowOff>
    </xdr:from>
    <xdr:to>
      <xdr:col>36</xdr:col>
      <xdr:colOff>128588</xdr:colOff>
      <xdr:row>38</xdr:row>
      <xdr:rowOff>127854</xdr:rowOff>
    </xdr:to>
    <xdr:sp macro="" textlink="">
      <xdr:nvSpPr>
        <xdr:cNvPr id="6" name="Freeform 5">
          <a:extLst>
            <a:ext uri="{FF2B5EF4-FFF2-40B4-BE49-F238E27FC236}">
              <a16:creationId xmlns:a16="http://schemas.microsoft.com/office/drawing/2014/main" xmlns="" id="{00000000-0008-0000-0400-000006000000}"/>
            </a:ext>
          </a:extLst>
        </xdr:cNvPr>
        <xdr:cNvSpPr/>
      </xdr:nvSpPr>
      <xdr:spPr>
        <a:xfrm>
          <a:off x="25216704" y="4600575"/>
          <a:ext cx="5268059" cy="3147279"/>
        </a:xfrm>
        <a:custGeom>
          <a:avLst/>
          <a:gdLst>
            <a:gd name="connsiteX0" fmla="*/ 0 w 4806462"/>
            <a:gd name="connsiteY0" fmla="*/ 2857500 h 2857500"/>
            <a:gd name="connsiteX1" fmla="*/ 1436077 w 4806462"/>
            <a:gd name="connsiteY1" fmla="*/ 2842846 h 2857500"/>
            <a:gd name="connsiteX2" fmla="*/ 1934308 w 4806462"/>
            <a:gd name="connsiteY2" fmla="*/ 2769577 h 2857500"/>
            <a:gd name="connsiteX3" fmla="*/ 2410558 w 4806462"/>
            <a:gd name="connsiteY3" fmla="*/ 2557096 h 2857500"/>
            <a:gd name="connsiteX4" fmla="*/ 4806462 w 4806462"/>
            <a:gd name="connsiteY4" fmla="*/ 0 h 2857500"/>
            <a:gd name="connsiteX0" fmla="*/ 0 w 4806462"/>
            <a:gd name="connsiteY0" fmla="*/ 2857500 h 2857500"/>
            <a:gd name="connsiteX1" fmla="*/ 1436077 w 4806462"/>
            <a:gd name="connsiteY1" fmla="*/ 2842846 h 2857500"/>
            <a:gd name="connsiteX2" fmla="*/ 1934308 w 4806462"/>
            <a:gd name="connsiteY2" fmla="*/ 2769577 h 2857500"/>
            <a:gd name="connsiteX3" fmla="*/ 2410558 w 4806462"/>
            <a:gd name="connsiteY3" fmla="*/ 2557096 h 2857500"/>
            <a:gd name="connsiteX4" fmla="*/ 4806462 w 4806462"/>
            <a:gd name="connsiteY4" fmla="*/ 0 h 2857500"/>
            <a:gd name="connsiteX0" fmla="*/ 0 w 4806462"/>
            <a:gd name="connsiteY0" fmla="*/ 2857500 h 2857500"/>
            <a:gd name="connsiteX1" fmla="*/ 1436077 w 4806462"/>
            <a:gd name="connsiteY1" fmla="*/ 2842846 h 2857500"/>
            <a:gd name="connsiteX2" fmla="*/ 1934308 w 4806462"/>
            <a:gd name="connsiteY2" fmla="*/ 2769577 h 2857500"/>
            <a:gd name="connsiteX3" fmla="*/ 2410558 w 4806462"/>
            <a:gd name="connsiteY3" fmla="*/ 2557096 h 2857500"/>
            <a:gd name="connsiteX4" fmla="*/ 4806462 w 4806462"/>
            <a:gd name="connsiteY4" fmla="*/ 0 h 2857500"/>
            <a:gd name="connsiteX0" fmla="*/ 0 w 4806462"/>
            <a:gd name="connsiteY0" fmla="*/ 2857500 h 2857500"/>
            <a:gd name="connsiteX1" fmla="*/ 1436077 w 4806462"/>
            <a:gd name="connsiteY1" fmla="*/ 2842846 h 2857500"/>
            <a:gd name="connsiteX2" fmla="*/ 1934308 w 4806462"/>
            <a:gd name="connsiteY2" fmla="*/ 2769577 h 2857500"/>
            <a:gd name="connsiteX3" fmla="*/ 2410558 w 4806462"/>
            <a:gd name="connsiteY3" fmla="*/ 2557096 h 2857500"/>
            <a:gd name="connsiteX4" fmla="*/ 4806462 w 4806462"/>
            <a:gd name="connsiteY4" fmla="*/ 0 h 2857500"/>
            <a:gd name="connsiteX0" fmla="*/ 0 w 4806462"/>
            <a:gd name="connsiteY0" fmla="*/ 2857500 h 2857500"/>
            <a:gd name="connsiteX1" fmla="*/ 1436077 w 4806462"/>
            <a:gd name="connsiteY1" fmla="*/ 2842846 h 2857500"/>
            <a:gd name="connsiteX2" fmla="*/ 1963616 w 4806462"/>
            <a:gd name="connsiteY2" fmla="*/ 2769577 h 2857500"/>
            <a:gd name="connsiteX3" fmla="*/ 2410558 w 4806462"/>
            <a:gd name="connsiteY3" fmla="*/ 2557096 h 2857500"/>
            <a:gd name="connsiteX4" fmla="*/ 4806462 w 4806462"/>
            <a:gd name="connsiteY4" fmla="*/ 0 h 2857500"/>
            <a:gd name="connsiteX0" fmla="*/ 0 w 4806462"/>
            <a:gd name="connsiteY0" fmla="*/ 2857500 h 2857500"/>
            <a:gd name="connsiteX1" fmla="*/ 1436077 w 4806462"/>
            <a:gd name="connsiteY1" fmla="*/ 2842846 h 2857500"/>
            <a:gd name="connsiteX2" fmla="*/ 1963616 w 4806462"/>
            <a:gd name="connsiteY2" fmla="*/ 2769577 h 2857500"/>
            <a:gd name="connsiteX3" fmla="*/ 2410558 w 4806462"/>
            <a:gd name="connsiteY3" fmla="*/ 2557096 h 2857500"/>
            <a:gd name="connsiteX4" fmla="*/ 4806462 w 4806462"/>
            <a:gd name="connsiteY4" fmla="*/ 0 h 2857500"/>
            <a:gd name="connsiteX0" fmla="*/ 0 w 4806462"/>
            <a:gd name="connsiteY0" fmla="*/ 2857500 h 2857500"/>
            <a:gd name="connsiteX1" fmla="*/ 1436077 w 4806462"/>
            <a:gd name="connsiteY1" fmla="*/ 2842846 h 2857500"/>
            <a:gd name="connsiteX2" fmla="*/ 1963616 w 4806462"/>
            <a:gd name="connsiteY2" fmla="*/ 2769577 h 2857500"/>
            <a:gd name="connsiteX3" fmla="*/ 2410558 w 4806462"/>
            <a:gd name="connsiteY3" fmla="*/ 2557096 h 2857500"/>
            <a:gd name="connsiteX4" fmla="*/ 4806462 w 4806462"/>
            <a:gd name="connsiteY4" fmla="*/ 0 h 285750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4806462" h="2857500">
              <a:moveTo>
                <a:pt x="0" y="2857500"/>
              </a:moveTo>
              <a:cubicBezTo>
                <a:pt x="556846" y="2857500"/>
                <a:pt x="1108808" y="2857500"/>
                <a:pt x="1436077" y="2842846"/>
              </a:cubicBezTo>
              <a:cubicBezTo>
                <a:pt x="1763346" y="2828192"/>
                <a:pt x="1815856" y="2802548"/>
                <a:pt x="1963616" y="2769577"/>
              </a:cubicBezTo>
              <a:cubicBezTo>
                <a:pt x="2111376" y="2736606"/>
                <a:pt x="2171212" y="2776903"/>
                <a:pt x="2410558" y="2557096"/>
              </a:cubicBezTo>
              <a:cubicBezTo>
                <a:pt x="2649904" y="2337289"/>
                <a:pt x="3847856" y="1047750"/>
                <a:pt x="4806462" y="0"/>
              </a:cubicBezTo>
            </a:path>
          </a:pathLst>
        </a:cu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30</xdr:col>
      <xdr:colOff>0</xdr:colOff>
      <xdr:row>42</xdr:row>
      <xdr:rowOff>0</xdr:rowOff>
    </xdr:from>
    <xdr:to>
      <xdr:col>36</xdr:col>
      <xdr:colOff>416083</xdr:colOff>
      <xdr:row>61</xdr:row>
      <xdr:rowOff>38100</xdr:rowOff>
    </xdr:to>
    <xdr:graphicFrame macro="">
      <xdr:nvGraphicFramePr>
        <xdr:cNvPr id="17" name="Chart 16">
          <a:extLst>
            <a:ext uri="{FF2B5EF4-FFF2-40B4-BE49-F238E27FC236}">
              <a16:creationId xmlns:a16="http://schemas.microsoft.com/office/drawing/2014/main" xmlns="" id="{00000000-0008-0000-0400-000011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16.xml><?xml version="1.0" encoding="utf-8"?>
<c:userShapes xmlns:c="http://schemas.openxmlformats.org/drawingml/2006/chart">
  <cdr:relSizeAnchor xmlns:cdr="http://schemas.openxmlformats.org/drawingml/2006/chartDrawing">
    <cdr:from>
      <cdr:x>0.07623</cdr:x>
      <cdr:y>0.04032</cdr:y>
    </cdr:from>
    <cdr:to>
      <cdr:x>0.83302</cdr:x>
      <cdr:y>0.90985</cdr:y>
    </cdr:to>
    <cdr:sp macro="" textlink="">
      <cdr:nvSpPr>
        <cdr:cNvPr id="2" name="Freeform 1"/>
        <cdr:cNvSpPr/>
      </cdr:nvSpPr>
      <cdr:spPr>
        <a:xfrm xmlns:a="http://schemas.openxmlformats.org/drawingml/2006/main">
          <a:off x="636406" y="260850"/>
          <a:ext cx="6317847" cy="5624906"/>
        </a:xfrm>
        <a:custGeom xmlns:a="http://schemas.openxmlformats.org/drawingml/2006/main">
          <a:avLst/>
          <a:gdLst>
            <a:gd name="connsiteX0" fmla="*/ 0 w 5793441"/>
            <a:gd name="connsiteY0" fmla="*/ 5616886 h 5793299"/>
            <a:gd name="connsiteX1" fmla="*/ 1692088 w 5793441"/>
            <a:gd name="connsiteY1" fmla="*/ 5359150 h 5793299"/>
            <a:gd name="connsiteX2" fmla="*/ 3753971 w 5793441"/>
            <a:gd name="connsiteY2" fmla="*/ 1851709 h 5793299"/>
            <a:gd name="connsiteX3" fmla="*/ 4773706 w 5793441"/>
            <a:gd name="connsiteY3" fmla="*/ 294092 h 5793299"/>
            <a:gd name="connsiteX4" fmla="*/ 5793441 w 5793441"/>
            <a:gd name="connsiteY4" fmla="*/ 2739 h 5793299"/>
            <a:gd name="connsiteX0" fmla="*/ 0 w 5793441"/>
            <a:gd name="connsiteY0" fmla="*/ 5616886 h 5666570"/>
            <a:gd name="connsiteX1" fmla="*/ 1692088 w 5793441"/>
            <a:gd name="connsiteY1" fmla="*/ 5359150 h 5666570"/>
            <a:gd name="connsiteX2" fmla="*/ 3753971 w 5793441"/>
            <a:gd name="connsiteY2" fmla="*/ 1851709 h 5666570"/>
            <a:gd name="connsiteX3" fmla="*/ 4773706 w 5793441"/>
            <a:gd name="connsiteY3" fmla="*/ 294092 h 5666570"/>
            <a:gd name="connsiteX4" fmla="*/ 5793441 w 5793441"/>
            <a:gd name="connsiteY4" fmla="*/ 2739 h 5666570"/>
            <a:gd name="connsiteX0" fmla="*/ 0 w 5793441"/>
            <a:gd name="connsiteY0" fmla="*/ 5616886 h 5665601"/>
            <a:gd name="connsiteX1" fmla="*/ 1692088 w 5793441"/>
            <a:gd name="connsiteY1" fmla="*/ 5359150 h 5665601"/>
            <a:gd name="connsiteX2" fmla="*/ 3753971 w 5793441"/>
            <a:gd name="connsiteY2" fmla="*/ 1851709 h 5665601"/>
            <a:gd name="connsiteX3" fmla="*/ 4773706 w 5793441"/>
            <a:gd name="connsiteY3" fmla="*/ 294092 h 5665601"/>
            <a:gd name="connsiteX4" fmla="*/ 5793441 w 5793441"/>
            <a:gd name="connsiteY4" fmla="*/ 2739 h 5665601"/>
            <a:gd name="connsiteX0" fmla="*/ 0 w 5793441"/>
            <a:gd name="connsiteY0" fmla="*/ 5616886 h 5621012"/>
            <a:gd name="connsiteX1" fmla="*/ 1692088 w 5793441"/>
            <a:gd name="connsiteY1" fmla="*/ 5359150 h 5621012"/>
            <a:gd name="connsiteX2" fmla="*/ 3753971 w 5793441"/>
            <a:gd name="connsiteY2" fmla="*/ 1851709 h 5621012"/>
            <a:gd name="connsiteX3" fmla="*/ 4773706 w 5793441"/>
            <a:gd name="connsiteY3" fmla="*/ 294092 h 5621012"/>
            <a:gd name="connsiteX4" fmla="*/ 5793441 w 5793441"/>
            <a:gd name="connsiteY4" fmla="*/ 2739 h 5621012"/>
            <a:gd name="connsiteX0" fmla="*/ 0 w 5793441"/>
            <a:gd name="connsiteY0" fmla="*/ 5616886 h 5627031"/>
            <a:gd name="connsiteX1" fmla="*/ 1501588 w 5793441"/>
            <a:gd name="connsiteY1" fmla="*/ 5527238 h 5627031"/>
            <a:gd name="connsiteX2" fmla="*/ 3753971 w 5793441"/>
            <a:gd name="connsiteY2" fmla="*/ 1851709 h 5627031"/>
            <a:gd name="connsiteX3" fmla="*/ 4773706 w 5793441"/>
            <a:gd name="connsiteY3" fmla="*/ 294092 h 5627031"/>
            <a:gd name="connsiteX4" fmla="*/ 5793441 w 5793441"/>
            <a:gd name="connsiteY4" fmla="*/ 2739 h 5627031"/>
            <a:gd name="connsiteX0" fmla="*/ 0 w 5793441"/>
            <a:gd name="connsiteY0" fmla="*/ 5616886 h 5623312"/>
            <a:gd name="connsiteX1" fmla="*/ 1602441 w 5793441"/>
            <a:gd name="connsiteY1" fmla="*/ 5460003 h 5623312"/>
            <a:gd name="connsiteX2" fmla="*/ 3753971 w 5793441"/>
            <a:gd name="connsiteY2" fmla="*/ 1851709 h 5623312"/>
            <a:gd name="connsiteX3" fmla="*/ 4773706 w 5793441"/>
            <a:gd name="connsiteY3" fmla="*/ 294092 h 5623312"/>
            <a:gd name="connsiteX4" fmla="*/ 5793441 w 5793441"/>
            <a:gd name="connsiteY4" fmla="*/ 2739 h 5623312"/>
            <a:gd name="connsiteX0" fmla="*/ 0 w 5793441"/>
            <a:gd name="connsiteY0" fmla="*/ 5616886 h 5627537"/>
            <a:gd name="connsiteX1" fmla="*/ 1602441 w 5793441"/>
            <a:gd name="connsiteY1" fmla="*/ 5460003 h 5627537"/>
            <a:gd name="connsiteX2" fmla="*/ 3753971 w 5793441"/>
            <a:gd name="connsiteY2" fmla="*/ 1851709 h 5627537"/>
            <a:gd name="connsiteX3" fmla="*/ 4773706 w 5793441"/>
            <a:gd name="connsiteY3" fmla="*/ 294092 h 5627537"/>
            <a:gd name="connsiteX4" fmla="*/ 5793441 w 5793441"/>
            <a:gd name="connsiteY4" fmla="*/ 2739 h 5627537"/>
            <a:gd name="connsiteX0" fmla="*/ 0 w 5793441"/>
            <a:gd name="connsiteY0" fmla="*/ 5616886 h 5696921"/>
            <a:gd name="connsiteX1" fmla="*/ 1602441 w 5793441"/>
            <a:gd name="connsiteY1" fmla="*/ 5460003 h 5696921"/>
            <a:gd name="connsiteX2" fmla="*/ 2969559 w 5793441"/>
            <a:gd name="connsiteY2" fmla="*/ 3319681 h 5696921"/>
            <a:gd name="connsiteX3" fmla="*/ 3753971 w 5793441"/>
            <a:gd name="connsiteY3" fmla="*/ 1851709 h 5696921"/>
            <a:gd name="connsiteX4" fmla="*/ 4773706 w 5793441"/>
            <a:gd name="connsiteY4" fmla="*/ 294092 h 5696921"/>
            <a:gd name="connsiteX5" fmla="*/ 5793441 w 5793441"/>
            <a:gd name="connsiteY5" fmla="*/ 2739 h 5696921"/>
            <a:gd name="connsiteX0" fmla="*/ 0 w 5793441"/>
            <a:gd name="connsiteY0" fmla="*/ 5616886 h 5627695"/>
            <a:gd name="connsiteX1" fmla="*/ 1602441 w 5793441"/>
            <a:gd name="connsiteY1" fmla="*/ 5460003 h 5627695"/>
            <a:gd name="connsiteX2" fmla="*/ 2969559 w 5793441"/>
            <a:gd name="connsiteY2" fmla="*/ 3319681 h 5627695"/>
            <a:gd name="connsiteX3" fmla="*/ 3753971 w 5793441"/>
            <a:gd name="connsiteY3" fmla="*/ 1851709 h 5627695"/>
            <a:gd name="connsiteX4" fmla="*/ 4773706 w 5793441"/>
            <a:gd name="connsiteY4" fmla="*/ 294092 h 5627695"/>
            <a:gd name="connsiteX5" fmla="*/ 5793441 w 5793441"/>
            <a:gd name="connsiteY5" fmla="*/ 2739 h 5627695"/>
            <a:gd name="connsiteX0" fmla="*/ 0 w 5793441"/>
            <a:gd name="connsiteY0" fmla="*/ 5616886 h 5624653"/>
            <a:gd name="connsiteX1" fmla="*/ 1647265 w 5793441"/>
            <a:gd name="connsiteY1" fmla="*/ 5415180 h 5624653"/>
            <a:gd name="connsiteX2" fmla="*/ 2969559 w 5793441"/>
            <a:gd name="connsiteY2" fmla="*/ 3319681 h 5624653"/>
            <a:gd name="connsiteX3" fmla="*/ 3753971 w 5793441"/>
            <a:gd name="connsiteY3" fmla="*/ 1851709 h 5624653"/>
            <a:gd name="connsiteX4" fmla="*/ 4773706 w 5793441"/>
            <a:gd name="connsiteY4" fmla="*/ 294092 h 5624653"/>
            <a:gd name="connsiteX5" fmla="*/ 5793441 w 5793441"/>
            <a:gd name="connsiteY5" fmla="*/ 2739 h 5624653"/>
            <a:gd name="connsiteX0" fmla="*/ 0 w 5793441"/>
            <a:gd name="connsiteY0" fmla="*/ 5619108 h 5626875"/>
            <a:gd name="connsiteX1" fmla="*/ 1647265 w 5793441"/>
            <a:gd name="connsiteY1" fmla="*/ 5417402 h 5626875"/>
            <a:gd name="connsiteX2" fmla="*/ 2969559 w 5793441"/>
            <a:gd name="connsiteY2" fmla="*/ 3321903 h 5626875"/>
            <a:gd name="connsiteX3" fmla="*/ 3753971 w 5793441"/>
            <a:gd name="connsiteY3" fmla="*/ 1853931 h 5626875"/>
            <a:gd name="connsiteX4" fmla="*/ 4650441 w 5793441"/>
            <a:gd name="connsiteY4" fmla="*/ 273902 h 5626875"/>
            <a:gd name="connsiteX5" fmla="*/ 5793441 w 5793441"/>
            <a:gd name="connsiteY5" fmla="*/ 4961 h 5626875"/>
            <a:gd name="connsiteX0" fmla="*/ 0 w 5793441"/>
            <a:gd name="connsiteY0" fmla="*/ 5619108 h 5629871"/>
            <a:gd name="connsiteX1" fmla="*/ 1647265 w 5793441"/>
            <a:gd name="connsiteY1" fmla="*/ 5417402 h 5629871"/>
            <a:gd name="connsiteX2" fmla="*/ 2969559 w 5793441"/>
            <a:gd name="connsiteY2" fmla="*/ 3321903 h 5629871"/>
            <a:gd name="connsiteX3" fmla="*/ 3753971 w 5793441"/>
            <a:gd name="connsiteY3" fmla="*/ 1853931 h 5629871"/>
            <a:gd name="connsiteX4" fmla="*/ 4650441 w 5793441"/>
            <a:gd name="connsiteY4" fmla="*/ 273902 h 5629871"/>
            <a:gd name="connsiteX5" fmla="*/ 5793441 w 5793441"/>
            <a:gd name="connsiteY5" fmla="*/ 4961 h 5629871"/>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Lst>
          <a:rect l="l" t="t" r="r" b="b"/>
          <a:pathLst>
            <a:path w="5793441" h="5629871">
              <a:moveTo>
                <a:pt x="0" y="5619108"/>
              </a:moveTo>
              <a:cubicBezTo>
                <a:pt x="264272" y="5658328"/>
                <a:pt x="1301470" y="5590201"/>
                <a:pt x="1647265" y="5417402"/>
              </a:cubicBezTo>
              <a:cubicBezTo>
                <a:pt x="1993060" y="5244603"/>
                <a:pt x="2610971" y="3923285"/>
                <a:pt x="2969559" y="3321903"/>
              </a:cubicBezTo>
              <a:cubicBezTo>
                <a:pt x="3328147" y="2720521"/>
                <a:pt x="3473824" y="2361931"/>
                <a:pt x="3753971" y="1853931"/>
              </a:cubicBezTo>
              <a:cubicBezTo>
                <a:pt x="4034118" y="1345931"/>
                <a:pt x="4310529" y="582064"/>
                <a:pt x="4650441" y="273902"/>
              </a:cubicBezTo>
              <a:cubicBezTo>
                <a:pt x="4990353" y="-34260"/>
                <a:pt x="5453529" y="-3444"/>
                <a:pt x="5793441" y="4961"/>
              </a:cubicBezTo>
            </a:path>
          </a:pathLst>
        </a:custGeom>
        <a:noFill xmlns:a="http://schemas.openxmlformats.org/drawingml/2006/main"/>
        <a:ln xmlns:a="http://schemas.openxmlformats.org/drawingml/2006/main">
          <a:solidFill>
            <a:srgbClr val="C0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horzOverflow="clip" rtlCol="0" anchor="t"/>
        <a:lstStyle xmlns:a="http://schemas.openxmlformats.org/drawingml/2006/main"/>
        <a:p xmlns:a="http://schemas.openxmlformats.org/drawingml/2006/main">
          <a:endParaRPr lang="en-US"/>
        </a:p>
      </cdr:txBody>
    </cdr:sp>
  </cdr:relSizeAnchor>
  <cdr:relSizeAnchor xmlns:cdr="http://schemas.openxmlformats.org/drawingml/2006/chartDrawing">
    <cdr:from>
      <cdr:x>0.33654</cdr:x>
      <cdr:y>0.81138</cdr:y>
    </cdr:from>
    <cdr:to>
      <cdr:x>0.50016</cdr:x>
      <cdr:y>0.85555</cdr:y>
    </cdr:to>
    <cdr:sp macro="" textlink="">
      <cdr:nvSpPr>
        <cdr:cNvPr id="4" name="TextBox 2"/>
        <cdr:cNvSpPr txBox="1"/>
      </cdr:nvSpPr>
      <cdr:spPr>
        <a:xfrm xmlns:a="http://schemas.openxmlformats.org/drawingml/2006/main">
          <a:off x="2826657" y="5248729"/>
          <a:ext cx="1374322" cy="285750"/>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000">
              <a:latin typeface="Arial" panose="020B0604020202020204" pitchFamily="34" charset="0"/>
              <a:cs typeface="Arial" panose="020B0604020202020204" pitchFamily="34" charset="0"/>
            </a:rPr>
            <a:t>First bloom</a:t>
          </a:r>
        </a:p>
      </cdr:txBody>
    </cdr:sp>
  </cdr:relSizeAnchor>
  <cdr:relSizeAnchor xmlns:cdr="http://schemas.openxmlformats.org/drawingml/2006/chartDrawing">
    <cdr:from>
      <cdr:x>0.57469</cdr:x>
      <cdr:y>0.63118</cdr:y>
    </cdr:from>
    <cdr:to>
      <cdr:x>0.73831</cdr:x>
      <cdr:y>0.67535</cdr:y>
    </cdr:to>
    <cdr:sp macro="" textlink="">
      <cdr:nvSpPr>
        <cdr:cNvPr id="5" name="TextBox 2"/>
        <cdr:cNvSpPr txBox="1"/>
      </cdr:nvSpPr>
      <cdr:spPr>
        <a:xfrm xmlns:a="http://schemas.openxmlformats.org/drawingml/2006/main">
          <a:off x="4765675" y="4083050"/>
          <a:ext cx="1356881" cy="285750"/>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000">
              <a:latin typeface="Arial" panose="020B0604020202020204" pitchFamily="34" charset="0"/>
              <a:cs typeface="Arial" panose="020B0604020202020204" pitchFamily="34" charset="0"/>
            </a:rPr>
            <a:t>Peak bloom</a:t>
          </a:r>
        </a:p>
      </cdr:txBody>
    </cdr:sp>
  </cdr:relSizeAnchor>
  <cdr:relSizeAnchor xmlns:cdr="http://schemas.openxmlformats.org/drawingml/2006/chartDrawing">
    <cdr:from>
      <cdr:x>0.81589</cdr:x>
      <cdr:y>0.08147</cdr:y>
    </cdr:from>
    <cdr:to>
      <cdr:x>0.97952</cdr:x>
      <cdr:y>0.12565</cdr:y>
    </cdr:to>
    <cdr:sp macro="" textlink="">
      <cdr:nvSpPr>
        <cdr:cNvPr id="6" name="TextBox 2"/>
        <cdr:cNvSpPr txBox="1"/>
      </cdr:nvSpPr>
      <cdr:spPr>
        <a:xfrm xmlns:a="http://schemas.openxmlformats.org/drawingml/2006/main">
          <a:off x="6765925" y="527050"/>
          <a:ext cx="1356881" cy="285750"/>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000">
              <a:latin typeface="Arial" panose="020B0604020202020204" pitchFamily="34" charset="0"/>
              <a:cs typeface="Arial" panose="020B0604020202020204" pitchFamily="34" charset="0"/>
            </a:rPr>
            <a:t>Green harvest</a:t>
          </a:r>
        </a:p>
      </cdr:txBody>
    </cdr:sp>
  </cdr:relSizeAnchor>
  <cdr:relSizeAnchor xmlns:cdr="http://schemas.openxmlformats.org/drawingml/2006/chartDrawing">
    <cdr:from>
      <cdr:x>0.44805</cdr:x>
      <cdr:y>0.23292</cdr:y>
    </cdr:from>
    <cdr:to>
      <cdr:x>0.61296</cdr:x>
      <cdr:y>0.2771</cdr:y>
    </cdr:to>
    <cdr:sp macro="" textlink="">
      <cdr:nvSpPr>
        <cdr:cNvPr id="7" name="TextBox 2"/>
        <cdr:cNvSpPr txBox="1"/>
      </cdr:nvSpPr>
      <cdr:spPr>
        <a:xfrm xmlns:a="http://schemas.openxmlformats.org/drawingml/2006/main">
          <a:off x="3763287" y="1506764"/>
          <a:ext cx="1385095" cy="285750"/>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000">
              <a:latin typeface="Arial" panose="020B0604020202020204" pitchFamily="34" charset="0"/>
              <a:cs typeface="Arial" panose="020B0604020202020204" pitchFamily="34" charset="0"/>
            </a:rPr>
            <a:t>Peak</a:t>
          </a:r>
          <a:r>
            <a:rPr lang="en-US" sz="1000" baseline="0">
              <a:latin typeface="Arial" panose="020B0604020202020204" pitchFamily="34" charset="0"/>
              <a:cs typeface="Arial" panose="020B0604020202020204" pitchFamily="34" charset="0"/>
            </a:rPr>
            <a:t> bloom</a:t>
          </a:r>
          <a:endParaRPr lang="en-US" sz="10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0.49502</cdr:x>
      <cdr:y>0</cdr:y>
    </cdr:from>
    <cdr:to>
      <cdr:x>0.65993</cdr:x>
      <cdr:y>0.04417</cdr:y>
    </cdr:to>
    <cdr:sp macro="" textlink="">
      <cdr:nvSpPr>
        <cdr:cNvPr id="11" name="TextBox 2"/>
        <cdr:cNvSpPr txBox="1"/>
      </cdr:nvSpPr>
      <cdr:spPr>
        <a:xfrm xmlns:a="http://schemas.openxmlformats.org/drawingml/2006/main">
          <a:off x="4157801" y="0"/>
          <a:ext cx="1385095" cy="285750"/>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100">
              <a:latin typeface="Arial" panose="020B0604020202020204" pitchFamily="34" charset="0"/>
              <a:cs typeface="Arial" panose="020B0604020202020204" pitchFamily="34" charset="0"/>
            </a:rPr>
            <a:t>1st </a:t>
          </a:r>
          <a:r>
            <a:rPr lang="en-US" sz="1000">
              <a:latin typeface="Arial" panose="020B0604020202020204" pitchFamily="34" charset="0"/>
              <a:cs typeface="Arial" panose="020B0604020202020204" pitchFamily="34" charset="0"/>
            </a:rPr>
            <a:t>green</a:t>
          </a:r>
          <a:r>
            <a:rPr lang="en-US" sz="1100">
              <a:latin typeface="Arial" panose="020B0604020202020204" pitchFamily="34" charset="0"/>
              <a:cs typeface="Arial" panose="020B0604020202020204" pitchFamily="34" charset="0"/>
            </a:rPr>
            <a:t> harvest</a:t>
          </a:r>
        </a:p>
      </cdr:txBody>
    </cdr:sp>
  </cdr:relSizeAnchor>
  <cdr:relSizeAnchor xmlns:cdr="http://schemas.openxmlformats.org/drawingml/2006/chartDrawing">
    <cdr:from>
      <cdr:x>0.75846</cdr:x>
      <cdr:y>0</cdr:y>
    </cdr:from>
    <cdr:to>
      <cdr:x>0.92337</cdr:x>
      <cdr:y>0.04417</cdr:y>
    </cdr:to>
    <cdr:sp macro="" textlink="">
      <cdr:nvSpPr>
        <cdr:cNvPr id="14" name="TextBox 2"/>
        <cdr:cNvSpPr txBox="1"/>
      </cdr:nvSpPr>
      <cdr:spPr>
        <a:xfrm xmlns:a="http://schemas.openxmlformats.org/drawingml/2006/main">
          <a:off x="6289675" y="0"/>
          <a:ext cx="1367518" cy="285750"/>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000">
              <a:latin typeface="Arial" panose="020B0604020202020204" pitchFamily="34" charset="0"/>
              <a:cs typeface="Arial" panose="020B0604020202020204" pitchFamily="34" charset="0"/>
            </a:rPr>
            <a:t>Red harvest</a:t>
          </a:r>
        </a:p>
      </cdr:txBody>
    </cdr:sp>
  </cdr:relSizeAnchor>
</c:userShapes>
</file>

<file path=xl/drawings/drawing17.xml><?xml version="1.0" encoding="utf-8"?>
<c:userShapes xmlns:c="http://schemas.openxmlformats.org/drawingml/2006/chart">
  <cdr:relSizeAnchor xmlns:cdr="http://schemas.openxmlformats.org/drawingml/2006/chartDrawing">
    <cdr:from>
      <cdr:x>0.38138</cdr:x>
      <cdr:y>0.63129</cdr:y>
    </cdr:from>
    <cdr:to>
      <cdr:x>0.61145</cdr:x>
      <cdr:y>0.70941</cdr:y>
    </cdr:to>
    <cdr:sp macro="" textlink="">
      <cdr:nvSpPr>
        <cdr:cNvPr id="10" name="TextBox 2"/>
        <cdr:cNvSpPr txBox="1"/>
      </cdr:nvSpPr>
      <cdr:spPr>
        <a:xfrm xmlns:a="http://schemas.openxmlformats.org/drawingml/2006/main">
          <a:off x="2278062" y="2308998"/>
          <a:ext cx="1374261" cy="285732"/>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200">
              <a:latin typeface="Arial" panose="020B0604020202020204" pitchFamily="34" charset="0"/>
              <a:cs typeface="Arial" panose="020B0604020202020204" pitchFamily="34" charset="0"/>
            </a:rPr>
            <a:t>First bloom</a:t>
          </a:r>
        </a:p>
      </cdr:txBody>
    </cdr:sp>
  </cdr:relSizeAnchor>
  <cdr:relSizeAnchor xmlns:cdr="http://schemas.openxmlformats.org/drawingml/2006/chartDrawing">
    <cdr:from>
      <cdr:x>0.62022</cdr:x>
      <cdr:y>0.14976</cdr:y>
    </cdr:from>
    <cdr:to>
      <cdr:x>0.85023</cdr:x>
      <cdr:y>0.22788</cdr:y>
    </cdr:to>
    <cdr:sp macro="" textlink="">
      <cdr:nvSpPr>
        <cdr:cNvPr id="13" name="TextBox 2"/>
        <cdr:cNvSpPr txBox="1"/>
      </cdr:nvSpPr>
      <cdr:spPr>
        <a:xfrm xmlns:a="http://schemas.openxmlformats.org/drawingml/2006/main">
          <a:off x="3704694" y="547772"/>
          <a:ext cx="1373902" cy="285732"/>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200">
              <a:latin typeface="Arial" panose="020B0604020202020204" pitchFamily="34" charset="0"/>
              <a:cs typeface="Arial" panose="020B0604020202020204" pitchFamily="34" charset="0"/>
            </a:rPr>
            <a:t>Peak bloom</a:t>
          </a:r>
        </a:p>
      </cdr:txBody>
    </cdr:sp>
  </cdr:relSizeAnchor>
  <cdr:relSizeAnchor xmlns:cdr="http://schemas.openxmlformats.org/drawingml/2006/chartDrawing">
    <cdr:from>
      <cdr:x>0.75878</cdr:x>
      <cdr:y>0.04167</cdr:y>
    </cdr:from>
    <cdr:to>
      <cdr:x>0.94227</cdr:x>
      <cdr:y>0.11809</cdr:y>
    </cdr:to>
    <cdr:sp macro="" textlink="">
      <cdr:nvSpPr>
        <cdr:cNvPr id="15" name="TextBox 2"/>
        <cdr:cNvSpPr txBox="1"/>
      </cdr:nvSpPr>
      <cdr:spPr>
        <a:xfrm xmlns:a="http://schemas.openxmlformats.org/drawingml/2006/main">
          <a:off x="4518225" y="152400"/>
          <a:ext cx="1092608" cy="279514"/>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200">
              <a:latin typeface="Arial" panose="020B0604020202020204" pitchFamily="34" charset="0"/>
              <a:cs typeface="Arial" panose="020B0604020202020204" pitchFamily="34" charset="0"/>
            </a:rPr>
            <a:t>Green harvest</a:t>
          </a:r>
        </a:p>
      </cdr:txBody>
    </cdr:sp>
  </cdr:relSizeAnchor>
  <cdr:relSizeAnchor xmlns:cdr="http://schemas.openxmlformats.org/drawingml/2006/chartDrawing">
    <cdr:from>
      <cdr:x>0.42726</cdr:x>
      <cdr:y>0.71588</cdr:y>
    </cdr:from>
    <cdr:to>
      <cdr:x>0.48716</cdr:x>
      <cdr:y>0.80912</cdr:y>
    </cdr:to>
    <cdr:sp macro="" textlink="">
      <cdr:nvSpPr>
        <cdr:cNvPr id="5" name="Left Brace 4"/>
        <cdr:cNvSpPr/>
      </cdr:nvSpPr>
      <cdr:spPr>
        <a:xfrm xmlns:a="http://schemas.openxmlformats.org/drawingml/2006/main" rot="5400000">
          <a:off x="2560515" y="2610042"/>
          <a:ext cx="341039" cy="357773"/>
        </a:xfrm>
        <a:prstGeom xmlns:a="http://schemas.openxmlformats.org/drawingml/2006/main" prst="leftBrace">
          <a:avLst>
            <a:gd name="adj1" fmla="val 8333"/>
            <a:gd name="adj2" fmla="val 47271"/>
          </a:avLst>
        </a:prstGeom>
        <a:ln xmlns:a="http://schemas.openxmlformats.org/drawingml/2006/main">
          <a:solidFill>
            <a:schemeClr val="tx1"/>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txBody>
        <a:bodyPr xmlns:a="http://schemas.openxmlformats.org/drawingml/2006/main" rtlCol="0" anchor="t"/>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pPr algn="l"/>
          <a:endParaRPr lang="en-US" sz="1100"/>
        </a:p>
      </cdr:txBody>
    </cdr:sp>
  </cdr:relSizeAnchor>
  <cdr:relSizeAnchor xmlns:cdr="http://schemas.openxmlformats.org/drawingml/2006/chartDrawing">
    <cdr:from>
      <cdr:x>0.64635</cdr:x>
      <cdr:y>0.25166</cdr:y>
    </cdr:from>
    <cdr:to>
      <cdr:x>0.76436</cdr:x>
      <cdr:y>0.3449</cdr:y>
    </cdr:to>
    <cdr:sp macro="" textlink="">
      <cdr:nvSpPr>
        <cdr:cNvPr id="6" name="Left Brace 5"/>
        <cdr:cNvSpPr/>
      </cdr:nvSpPr>
      <cdr:spPr>
        <a:xfrm xmlns:a="http://schemas.openxmlformats.org/drawingml/2006/main" rot="5400000">
          <a:off x="4042718" y="738554"/>
          <a:ext cx="341039" cy="704878"/>
        </a:xfrm>
        <a:prstGeom xmlns:a="http://schemas.openxmlformats.org/drawingml/2006/main" prst="leftBrace">
          <a:avLst>
            <a:gd name="adj1" fmla="val 8333"/>
            <a:gd name="adj2" fmla="val 47271"/>
          </a:avLst>
        </a:prstGeom>
        <a:ln xmlns:a="http://schemas.openxmlformats.org/drawingml/2006/main">
          <a:solidFill>
            <a:schemeClr val="tx1"/>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txBody>
        <a:bodyPr xmlns:a="http://schemas.openxmlformats.org/drawingml/2006/main" rtlCol="0" anchor="t"/>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pPr algn="l"/>
          <a:endParaRPr lang="en-US" sz="1100"/>
        </a:p>
      </cdr:txBody>
    </cdr:sp>
  </cdr:relSizeAnchor>
</c:userShapes>
</file>

<file path=xl/drawings/drawing18.xml><?xml version="1.0" encoding="utf-8"?>
<c:userShapes xmlns:c="http://schemas.openxmlformats.org/drawingml/2006/chart">
  <cdr:relSizeAnchor xmlns:cdr="http://schemas.openxmlformats.org/drawingml/2006/chartDrawing">
    <cdr:from>
      <cdr:x>0.2232</cdr:x>
      <cdr:y>0.69584</cdr:y>
    </cdr:from>
    <cdr:to>
      <cdr:x>0.45327</cdr:x>
      <cdr:y>0.77396</cdr:y>
    </cdr:to>
    <cdr:sp macro="" textlink="">
      <cdr:nvSpPr>
        <cdr:cNvPr id="10" name="TextBox 2"/>
        <cdr:cNvSpPr txBox="1"/>
      </cdr:nvSpPr>
      <cdr:spPr>
        <a:xfrm xmlns:a="http://schemas.openxmlformats.org/drawingml/2006/main">
          <a:off x="1331472" y="2545121"/>
          <a:ext cx="1372467" cy="285732"/>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200">
              <a:latin typeface="Arial" panose="020B0604020202020204" pitchFamily="34" charset="0"/>
              <a:cs typeface="Arial" panose="020B0604020202020204" pitchFamily="34" charset="0"/>
            </a:rPr>
            <a:t>First bloom</a:t>
          </a:r>
        </a:p>
      </cdr:txBody>
    </cdr:sp>
  </cdr:relSizeAnchor>
  <cdr:relSizeAnchor xmlns:cdr="http://schemas.openxmlformats.org/drawingml/2006/chartDrawing">
    <cdr:from>
      <cdr:x>0.83084</cdr:x>
      <cdr:y>0.06793</cdr:y>
    </cdr:from>
    <cdr:to>
      <cdr:x>0.96558</cdr:x>
      <cdr:y>0.17992</cdr:y>
    </cdr:to>
    <cdr:sp macro="" textlink="">
      <cdr:nvSpPr>
        <cdr:cNvPr id="15" name="TextBox 2"/>
        <cdr:cNvSpPr txBox="1"/>
      </cdr:nvSpPr>
      <cdr:spPr>
        <a:xfrm xmlns:a="http://schemas.openxmlformats.org/drawingml/2006/main">
          <a:off x="4935682" y="248461"/>
          <a:ext cx="800426" cy="409630"/>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200">
              <a:latin typeface="Arial" panose="020B0604020202020204" pitchFamily="34" charset="0"/>
              <a:cs typeface="Arial" panose="020B0604020202020204" pitchFamily="34" charset="0"/>
            </a:rPr>
            <a:t>Red harvest</a:t>
          </a:r>
        </a:p>
      </cdr:txBody>
    </cdr:sp>
  </cdr:relSizeAnchor>
  <cdr:relSizeAnchor xmlns:cdr="http://schemas.openxmlformats.org/drawingml/2006/chartDrawing">
    <cdr:from>
      <cdr:x>0.08053</cdr:x>
      <cdr:y>0.05208</cdr:y>
    </cdr:from>
    <cdr:to>
      <cdr:x>0.95729</cdr:x>
      <cdr:y>0.91033</cdr:y>
    </cdr:to>
    <cdr:sp macro="" textlink="">
      <cdr:nvSpPr>
        <cdr:cNvPr id="2" name="Freeform 1"/>
        <cdr:cNvSpPr/>
      </cdr:nvSpPr>
      <cdr:spPr>
        <a:xfrm xmlns:a="http://schemas.openxmlformats.org/drawingml/2006/main">
          <a:off x="479156" y="190500"/>
          <a:ext cx="5216794" cy="3139109"/>
        </a:xfrm>
        <a:custGeom xmlns:a="http://schemas.openxmlformats.org/drawingml/2006/main">
          <a:avLst/>
          <a:gdLst>
            <a:gd name="connsiteX0" fmla="*/ 0 w 5793441"/>
            <a:gd name="connsiteY0" fmla="*/ 5616886 h 5793299"/>
            <a:gd name="connsiteX1" fmla="*/ 1692088 w 5793441"/>
            <a:gd name="connsiteY1" fmla="*/ 5359150 h 5793299"/>
            <a:gd name="connsiteX2" fmla="*/ 3753971 w 5793441"/>
            <a:gd name="connsiteY2" fmla="*/ 1851709 h 5793299"/>
            <a:gd name="connsiteX3" fmla="*/ 4773706 w 5793441"/>
            <a:gd name="connsiteY3" fmla="*/ 294092 h 5793299"/>
            <a:gd name="connsiteX4" fmla="*/ 5793441 w 5793441"/>
            <a:gd name="connsiteY4" fmla="*/ 2739 h 5793299"/>
            <a:gd name="connsiteX0" fmla="*/ 0 w 5793441"/>
            <a:gd name="connsiteY0" fmla="*/ 5616886 h 5666570"/>
            <a:gd name="connsiteX1" fmla="*/ 1692088 w 5793441"/>
            <a:gd name="connsiteY1" fmla="*/ 5359150 h 5666570"/>
            <a:gd name="connsiteX2" fmla="*/ 3753971 w 5793441"/>
            <a:gd name="connsiteY2" fmla="*/ 1851709 h 5666570"/>
            <a:gd name="connsiteX3" fmla="*/ 4773706 w 5793441"/>
            <a:gd name="connsiteY3" fmla="*/ 294092 h 5666570"/>
            <a:gd name="connsiteX4" fmla="*/ 5793441 w 5793441"/>
            <a:gd name="connsiteY4" fmla="*/ 2739 h 5666570"/>
            <a:gd name="connsiteX0" fmla="*/ 0 w 5793441"/>
            <a:gd name="connsiteY0" fmla="*/ 5616886 h 5665601"/>
            <a:gd name="connsiteX1" fmla="*/ 1692088 w 5793441"/>
            <a:gd name="connsiteY1" fmla="*/ 5359150 h 5665601"/>
            <a:gd name="connsiteX2" fmla="*/ 3753971 w 5793441"/>
            <a:gd name="connsiteY2" fmla="*/ 1851709 h 5665601"/>
            <a:gd name="connsiteX3" fmla="*/ 4773706 w 5793441"/>
            <a:gd name="connsiteY3" fmla="*/ 294092 h 5665601"/>
            <a:gd name="connsiteX4" fmla="*/ 5793441 w 5793441"/>
            <a:gd name="connsiteY4" fmla="*/ 2739 h 5665601"/>
            <a:gd name="connsiteX0" fmla="*/ 0 w 5793441"/>
            <a:gd name="connsiteY0" fmla="*/ 5616886 h 5621012"/>
            <a:gd name="connsiteX1" fmla="*/ 1692088 w 5793441"/>
            <a:gd name="connsiteY1" fmla="*/ 5359150 h 5621012"/>
            <a:gd name="connsiteX2" fmla="*/ 3753971 w 5793441"/>
            <a:gd name="connsiteY2" fmla="*/ 1851709 h 5621012"/>
            <a:gd name="connsiteX3" fmla="*/ 4773706 w 5793441"/>
            <a:gd name="connsiteY3" fmla="*/ 294092 h 5621012"/>
            <a:gd name="connsiteX4" fmla="*/ 5793441 w 5793441"/>
            <a:gd name="connsiteY4" fmla="*/ 2739 h 5621012"/>
            <a:gd name="connsiteX0" fmla="*/ 0 w 5793441"/>
            <a:gd name="connsiteY0" fmla="*/ 5616886 h 5627031"/>
            <a:gd name="connsiteX1" fmla="*/ 1501588 w 5793441"/>
            <a:gd name="connsiteY1" fmla="*/ 5527238 h 5627031"/>
            <a:gd name="connsiteX2" fmla="*/ 3753971 w 5793441"/>
            <a:gd name="connsiteY2" fmla="*/ 1851709 h 5627031"/>
            <a:gd name="connsiteX3" fmla="*/ 4773706 w 5793441"/>
            <a:gd name="connsiteY3" fmla="*/ 294092 h 5627031"/>
            <a:gd name="connsiteX4" fmla="*/ 5793441 w 5793441"/>
            <a:gd name="connsiteY4" fmla="*/ 2739 h 5627031"/>
            <a:gd name="connsiteX0" fmla="*/ 0 w 5793441"/>
            <a:gd name="connsiteY0" fmla="*/ 5616886 h 5623312"/>
            <a:gd name="connsiteX1" fmla="*/ 1602441 w 5793441"/>
            <a:gd name="connsiteY1" fmla="*/ 5460003 h 5623312"/>
            <a:gd name="connsiteX2" fmla="*/ 3753971 w 5793441"/>
            <a:gd name="connsiteY2" fmla="*/ 1851709 h 5623312"/>
            <a:gd name="connsiteX3" fmla="*/ 4773706 w 5793441"/>
            <a:gd name="connsiteY3" fmla="*/ 294092 h 5623312"/>
            <a:gd name="connsiteX4" fmla="*/ 5793441 w 5793441"/>
            <a:gd name="connsiteY4" fmla="*/ 2739 h 5623312"/>
            <a:gd name="connsiteX0" fmla="*/ 0 w 5793441"/>
            <a:gd name="connsiteY0" fmla="*/ 5616886 h 5627537"/>
            <a:gd name="connsiteX1" fmla="*/ 1602441 w 5793441"/>
            <a:gd name="connsiteY1" fmla="*/ 5460003 h 5627537"/>
            <a:gd name="connsiteX2" fmla="*/ 3753971 w 5793441"/>
            <a:gd name="connsiteY2" fmla="*/ 1851709 h 5627537"/>
            <a:gd name="connsiteX3" fmla="*/ 4773706 w 5793441"/>
            <a:gd name="connsiteY3" fmla="*/ 294092 h 5627537"/>
            <a:gd name="connsiteX4" fmla="*/ 5793441 w 5793441"/>
            <a:gd name="connsiteY4" fmla="*/ 2739 h 5627537"/>
            <a:gd name="connsiteX0" fmla="*/ 0 w 5793441"/>
            <a:gd name="connsiteY0" fmla="*/ 5616886 h 5696921"/>
            <a:gd name="connsiteX1" fmla="*/ 1602441 w 5793441"/>
            <a:gd name="connsiteY1" fmla="*/ 5460003 h 5696921"/>
            <a:gd name="connsiteX2" fmla="*/ 2969559 w 5793441"/>
            <a:gd name="connsiteY2" fmla="*/ 3319681 h 5696921"/>
            <a:gd name="connsiteX3" fmla="*/ 3753971 w 5793441"/>
            <a:gd name="connsiteY3" fmla="*/ 1851709 h 5696921"/>
            <a:gd name="connsiteX4" fmla="*/ 4773706 w 5793441"/>
            <a:gd name="connsiteY4" fmla="*/ 294092 h 5696921"/>
            <a:gd name="connsiteX5" fmla="*/ 5793441 w 5793441"/>
            <a:gd name="connsiteY5" fmla="*/ 2739 h 5696921"/>
            <a:gd name="connsiteX0" fmla="*/ 0 w 5793441"/>
            <a:gd name="connsiteY0" fmla="*/ 5616886 h 5627695"/>
            <a:gd name="connsiteX1" fmla="*/ 1602441 w 5793441"/>
            <a:gd name="connsiteY1" fmla="*/ 5460003 h 5627695"/>
            <a:gd name="connsiteX2" fmla="*/ 2969559 w 5793441"/>
            <a:gd name="connsiteY2" fmla="*/ 3319681 h 5627695"/>
            <a:gd name="connsiteX3" fmla="*/ 3753971 w 5793441"/>
            <a:gd name="connsiteY3" fmla="*/ 1851709 h 5627695"/>
            <a:gd name="connsiteX4" fmla="*/ 4773706 w 5793441"/>
            <a:gd name="connsiteY4" fmla="*/ 294092 h 5627695"/>
            <a:gd name="connsiteX5" fmla="*/ 5793441 w 5793441"/>
            <a:gd name="connsiteY5" fmla="*/ 2739 h 5627695"/>
            <a:gd name="connsiteX0" fmla="*/ 0 w 5793441"/>
            <a:gd name="connsiteY0" fmla="*/ 5616886 h 5624653"/>
            <a:gd name="connsiteX1" fmla="*/ 1647265 w 5793441"/>
            <a:gd name="connsiteY1" fmla="*/ 5415180 h 5624653"/>
            <a:gd name="connsiteX2" fmla="*/ 2969559 w 5793441"/>
            <a:gd name="connsiteY2" fmla="*/ 3319681 h 5624653"/>
            <a:gd name="connsiteX3" fmla="*/ 3753971 w 5793441"/>
            <a:gd name="connsiteY3" fmla="*/ 1851709 h 5624653"/>
            <a:gd name="connsiteX4" fmla="*/ 4773706 w 5793441"/>
            <a:gd name="connsiteY4" fmla="*/ 294092 h 5624653"/>
            <a:gd name="connsiteX5" fmla="*/ 5793441 w 5793441"/>
            <a:gd name="connsiteY5" fmla="*/ 2739 h 5624653"/>
            <a:gd name="connsiteX0" fmla="*/ 0 w 5793441"/>
            <a:gd name="connsiteY0" fmla="*/ 5619108 h 5626875"/>
            <a:gd name="connsiteX1" fmla="*/ 1647265 w 5793441"/>
            <a:gd name="connsiteY1" fmla="*/ 5417402 h 5626875"/>
            <a:gd name="connsiteX2" fmla="*/ 2969559 w 5793441"/>
            <a:gd name="connsiteY2" fmla="*/ 3321903 h 5626875"/>
            <a:gd name="connsiteX3" fmla="*/ 3753971 w 5793441"/>
            <a:gd name="connsiteY3" fmla="*/ 1853931 h 5626875"/>
            <a:gd name="connsiteX4" fmla="*/ 4650441 w 5793441"/>
            <a:gd name="connsiteY4" fmla="*/ 273902 h 5626875"/>
            <a:gd name="connsiteX5" fmla="*/ 5793441 w 5793441"/>
            <a:gd name="connsiteY5" fmla="*/ 4961 h 5626875"/>
            <a:gd name="connsiteX0" fmla="*/ 0 w 5793441"/>
            <a:gd name="connsiteY0" fmla="*/ 5619108 h 5629871"/>
            <a:gd name="connsiteX1" fmla="*/ 1647265 w 5793441"/>
            <a:gd name="connsiteY1" fmla="*/ 5417402 h 5629871"/>
            <a:gd name="connsiteX2" fmla="*/ 2969559 w 5793441"/>
            <a:gd name="connsiteY2" fmla="*/ 3321903 h 5629871"/>
            <a:gd name="connsiteX3" fmla="*/ 3753971 w 5793441"/>
            <a:gd name="connsiteY3" fmla="*/ 1853931 h 5629871"/>
            <a:gd name="connsiteX4" fmla="*/ 4650441 w 5793441"/>
            <a:gd name="connsiteY4" fmla="*/ 273902 h 5629871"/>
            <a:gd name="connsiteX5" fmla="*/ 5793441 w 5793441"/>
            <a:gd name="connsiteY5" fmla="*/ 4961 h 5629871"/>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Lst>
          <a:rect l="l" t="t" r="r" b="b"/>
          <a:pathLst>
            <a:path w="5793441" h="5629871">
              <a:moveTo>
                <a:pt x="0" y="5619108"/>
              </a:moveTo>
              <a:cubicBezTo>
                <a:pt x="264272" y="5658328"/>
                <a:pt x="1301470" y="5590201"/>
                <a:pt x="1647265" y="5417402"/>
              </a:cubicBezTo>
              <a:cubicBezTo>
                <a:pt x="1993060" y="5244603"/>
                <a:pt x="2610971" y="3923285"/>
                <a:pt x="2969559" y="3321903"/>
              </a:cubicBezTo>
              <a:cubicBezTo>
                <a:pt x="3328147" y="2720521"/>
                <a:pt x="3473824" y="2361931"/>
                <a:pt x="3753971" y="1853931"/>
              </a:cubicBezTo>
              <a:cubicBezTo>
                <a:pt x="4034118" y="1345931"/>
                <a:pt x="4310529" y="582064"/>
                <a:pt x="4650441" y="273902"/>
              </a:cubicBezTo>
              <a:cubicBezTo>
                <a:pt x="4990353" y="-34260"/>
                <a:pt x="5453529" y="-3444"/>
                <a:pt x="5793441" y="4961"/>
              </a:cubicBezTo>
            </a:path>
          </a:pathLst>
        </a:custGeom>
        <a:noFill xmlns:a="http://schemas.openxmlformats.org/drawingml/2006/main"/>
        <a:ln xmlns:a="http://schemas.openxmlformats.org/drawingml/2006/main">
          <a:solidFill>
            <a:srgbClr val="FF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horzOverflow="clip" rtlCol="0" anchor="t"/>
        <a:lstStyle xmlns:a="http://schemas.openxmlformats.org/drawingml/2006/main"/>
        <a:p xmlns:a="http://schemas.openxmlformats.org/drawingml/2006/main">
          <a:endParaRPr lang="en-US"/>
        </a:p>
      </cdr:txBody>
    </cdr:sp>
  </cdr:relSizeAnchor>
  <cdr:relSizeAnchor xmlns:cdr="http://schemas.openxmlformats.org/drawingml/2006/chartDrawing">
    <cdr:from>
      <cdr:x>0.56792</cdr:x>
      <cdr:y>0.04297</cdr:y>
    </cdr:from>
    <cdr:to>
      <cdr:x>0.80998</cdr:x>
      <cdr:y>0.08644</cdr:y>
    </cdr:to>
    <cdr:sp macro="" textlink="">
      <cdr:nvSpPr>
        <cdr:cNvPr id="6" name="TextBox 2"/>
        <cdr:cNvSpPr txBox="1"/>
      </cdr:nvSpPr>
      <cdr:spPr>
        <a:xfrm xmlns:a="http://schemas.openxmlformats.org/drawingml/2006/main">
          <a:off x="3379179" y="157163"/>
          <a:ext cx="1440295" cy="159007"/>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200">
              <a:latin typeface="Arial" panose="020B0604020202020204" pitchFamily="34" charset="0"/>
              <a:cs typeface="Arial" panose="020B0604020202020204" pitchFamily="34" charset="0"/>
            </a:rPr>
            <a:t>Green harvest</a:t>
          </a:r>
        </a:p>
      </cdr:txBody>
    </cdr:sp>
  </cdr:relSizeAnchor>
  <cdr:relSizeAnchor xmlns:cdr="http://schemas.openxmlformats.org/drawingml/2006/chartDrawing">
    <cdr:from>
      <cdr:x>0.42562</cdr:x>
      <cdr:y>0.20801</cdr:y>
    </cdr:from>
    <cdr:to>
      <cdr:x>0.63969</cdr:x>
      <cdr:y>0.27936</cdr:y>
    </cdr:to>
    <cdr:sp macro="" textlink="">
      <cdr:nvSpPr>
        <cdr:cNvPr id="7" name="TextBox 2"/>
        <cdr:cNvSpPr txBox="1"/>
      </cdr:nvSpPr>
      <cdr:spPr>
        <a:xfrm xmlns:a="http://schemas.openxmlformats.org/drawingml/2006/main">
          <a:off x="2528455" y="760817"/>
          <a:ext cx="1271677" cy="260956"/>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200">
              <a:latin typeface="Arial" panose="020B0604020202020204" pitchFamily="34" charset="0"/>
              <a:cs typeface="Arial" panose="020B0604020202020204" pitchFamily="34" charset="0"/>
            </a:rPr>
            <a:t>Peak</a:t>
          </a:r>
          <a:r>
            <a:rPr lang="en-US" sz="1200" baseline="0">
              <a:latin typeface="Arial" panose="020B0604020202020204" pitchFamily="34" charset="0"/>
              <a:cs typeface="Arial" panose="020B0604020202020204" pitchFamily="34" charset="0"/>
            </a:rPr>
            <a:t> bloom</a:t>
          </a:r>
          <a:endParaRPr lang="en-US" sz="12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0.26121</cdr:x>
      <cdr:y>0.75438</cdr:y>
    </cdr:from>
    <cdr:to>
      <cdr:x>0.32119</cdr:x>
      <cdr:y>0.84762</cdr:y>
    </cdr:to>
    <cdr:sp macro="" textlink="">
      <cdr:nvSpPr>
        <cdr:cNvPr id="8" name="Left Brace 7"/>
        <cdr:cNvSpPr/>
      </cdr:nvSpPr>
      <cdr:spPr>
        <a:xfrm xmlns:a="http://schemas.openxmlformats.org/drawingml/2006/main" rot="5400000">
          <a:off x="1566602" y="2750846"/>
          <a:ext cx="341039" cy="357773"/>
        </a:xfrm>
        <a:prstGeom xmlns:a="http://schemas.openxmlformats.org/drawingml/2006/main" prst="leftBrace">
          <a:avLst>
            <a:gd name="adj1" fmla="val 8333"/>
            <a:gd name="adj2" fmla="val 47271"/>
          </a:avLst>
        </a:prstGeom>
        <a:ln xmlns:a="http://schemas.openxmlformats.org/drawingml/2006/main">
          <a:solidFill>
            <a:schemeClr val="tx1"/>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txBody>
        <a:bodyPr xmlns:a="http://schemas.openxmlformats.org/drawingml/2006/main" rtlCol="0" anchor="t"/>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pPr algn="l"/>
          <a:endParaRPr lang="en-US" sz="1100"/>
        </a:p>
      </cdr:txBody>
    </cdr:sp>
  </cdr:relSizeAnchor>
  <cdr:relSizeAnchor xmlns:cdr="http://schemas.openxmlformats.org/drawingml/2006/chartDrawing">
    <cdr:from>
      <cdr:x>0.51113</cdr:x>
      <cdr:y>0.27657</cdr:y>
    </cdr:from>
    <cdr:to>
      <cdr:x>0.59289</cdr:x>
      <cdr:y>0.38051</cdr:y>
    </cdr:to>
    <cdr:sp macro="" textlink="">
      <cdr:nvSpPr>
        <cdr:cNvPr id="9" name="Left Brace 8"/>
        <cdr:cNvSpPr/>
      </cdr:nvSpPr>
      <cdr:spPr>
        <a:xfrm xmlns:a="http://schemas.openxmlformats.org/drawingml/2006/main" rot="5400000">
          <a:off x="3102891" y="957798"/>
          <a:ext cx="380155" cy="487730"/>
        </a:xfrm>
        <a:prstGeom xmlns:a="http://schemas.openxmlformats.org/drawingml/2006/main" prst="leftBrace">
          <a:avLst>
            <a:gd name="adj1" fmla="val 8333"/>
            <a:gd name="adj2" fmla="val 47271"/>
          </a:avLst>
        </a:prstGeom>
        <a:ln xmlns:a="http://schemas.openxmlformats.org/drawingml/2006/main">
          <a:solidFill>
            <a:schemeClr val="tx1"/>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txBody>
        <a:bodyPr xmlns:a="http://schemas.openxmlformats.org/drawingml/2006/main" rtlCol="0" anchor="t"/>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pPr algn="l"/>
          <a:endParaRPr lang="en-US" sz="1100"/>
        </a:p>
      </cdr:txBody>
    </cdr:sp>
  </cdr:relSizeAnchor>
  <cdr:relSizeAnchor xmlns:cdr="http://schemas.openxmlformats.org/drawingml/2006/chartDrawing">
    <cdr:from>
      <cdr:x>0.61639</cdr:x>
      <cdr:y>0.09371</cdr:y>
    </cdr:from>
    <cdr:to>
      <cdr:x>0.72141</cdr:x>
      <cdr:y>0.17188</cdr:y>
    </cdr:to>
    <cdr:sp macro="" textlink="">
      <cdr:nvSpPr>
        <cdr:cNvPr id="11" name="Left Brace 10"/>
        <cdr:cNvSpPr/>
      </cdr:nvSpPr>
      <cdr:spPr>
        <a:xfrm xmlns:a="http://schemas.openxmlformats.org/drawingml/2006/main" rot="5400000">
          <a:off x="3837087" y="173256"/>
          <a:ext cx="285889" cy="624910"/>
        </a:xfrm>
        <a:prstGeom xmlns:a="http://schemas.openxmlformats.org/drawingml/2006/main" prst="leftBrace">
          <a:avLst>
            <a:gd name="adj1" fmla="val 8333"/>
            <a:gd name="adj2" fmla="val 47271"/>
          </a:avLst>
        </a:prstGeom>
        <a:ln xmlns:a="http://schemas.openxmlformats.org/drawingml/2006/main">
          <a:solidFill>
            <a:schemeClr val="tx1"/>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txBody>
        <a:bodyPr xmlns:a="http://schemas.openxmlformats.org/drawingml/2006/main" rtlCol="0" anchor="t"/>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pPr algn="l"/>
          <a:endParaRPr lang="en-US" sz="1100"/>
        </a:p>
      </cdr:txBody>
    </cdr:sp>
  </cdr:relSizeAnchor>
</c:userShapes>
</file>

<file path=xl/drawings/drawing19.xml><?xml version="1.0" encoding="utf-8"?>
<xdr:wsDr xmlns:xdr="http://schemas.openxmlformats.org/drawingml/2006/spreadsheetDrawing" xmlns:a="http://schemas.openxmlformats.org/drawingml/2006/main">
  <xdr:twoCellAnchor>
    <xdr:from>
      <xdr:col>18</xdr:col>
      <xdr:colOff>100853</xdr:colOff>
      <xdr:row>12</xdr:row>
      <xdr:rowOff>68356</xdr:rowOff>
    </xdr:from>
    <xdr:to>
      <xdr:col>25</xdr:col>
      <xdr:colOff>437030</xdr:colOff>
      <xdr:row>26</xdr:row>
      <xdr:rowOff>144556</xdr:rowOff>
    </xdr:to>
    <xdr:graphicFrame macro="">
      <xdr:nvGraphicFramePr>
        <xdr:cNvPr id="5" name="Chart 4">
          <a:extLst>
            <a:ext uri="{FF2B5EF4-FFF2-40B4-BE49-F238E27FC236}">
              <a16:creationId xmlns:a16="http://schemas.microsoft.com/office/drawing/2014/main" xmlns="" id="{00000000-0008-0000-05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81643</xdr:colOff>
      <xdr:row>17</xdr:row>
      <xdr:rowOff>142875</xdr:rowOff>
    </xdr:from>
    <xdr:to>
      <xdr:col>21</xdr:col>
      <xdr:colOff>600075</xdr:colOff>
      <xdr:row>20</xdr:row>
      <xdr:rowOff>180975</xdr:rowOff>
    </xdr:to>
    <xdr:sp macro="" textlink="">
      <xdr:nvSpPr>
        <xdr:cNvPr id="3" name="TextBox 2">
          <a:extLst>
            <a:ext uri="{FF2B5EF4-FFF2-40B4-BE49-F238E27FC236}">
              <a16:creationId xmlns:a16="http://schemas.microsoft.com/office/drawing/2014/main" xmlns="" id="{00000000-0008-0000-0500-000003000000}"/>
            </a:ext>
          </a:extLst>
        </xdr:cNvPr>
        <xdr:cNvSpPr txBox="1"/>
      </xdr:nvSpPr>
      <xdr:spPr>
        <a:xfrm>
          <a:off x="16015607" y="3762375"/>
          <a:ext cx="1743075" cy="609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latin typeface="Arial" panose="020B0604020202020204" pitchFamily="34" charset="0"/>
              <a:cs typeface="Arial" panose="020B0604020202020204" pitchFamily="34" charset="0"/>
            </a:rPr>
            <a:t>Start of rapid</a:t>
          </a:r>
          <a:r>
            <a:rPr lang="en-US" sz="1200" baseline="0">
              <a:latin typeface="Arial" panose="020B0604020202020204" pitchFamily="34" charset="0"/>
              <a:cs typeface="Arial" panose="020B0604020202020204" pitchFamily="34" charset="0"/>
            </a:rPr>
            <a:t> dry matter growth</a:t>
          </a:r>
          <a:endParaRPr lang="en-US" sz="1200">
            <a:latin typeface="Arial" panose="020B0604020202020204" pitchFamily="34" charset="0"/>
            <a:cs typeface="Arial" panose="020B0604020202020204" pitchFamily="34" charset="0"/>
          </a:endParaRPr>
        </a:p>
      </xdr:txBody>
    </xdr:sp>
    <xdr:clientData/>
  </xdr:twoCellAnchor>
  <xdr:twoCellAnchor>
    <xdr:from>
      <xdr:col>19</xdr:col>
      <xdr:colOff>146957</xdr:colOff>
      <xdr:row>13</xdr:row>
      <xdr:rowOff>126810</xdr:rowOff>
    </xdr:from>
    <xdr:to>
      <xdr:col>25</xdr:col>
      <xdr:colOff>119743</xdr:colOff>
      <xdr:row>23</xdr:row>
      <xdr:rowOff>146957</xdr:rowOff>
    </xdr:to>
    <xdr:sp macro="" textlink="">
      <xdr:nvSpPr>
        <xdr:cNvPr id="4" name="Freeform 3">
          <a:extLst>
            <a:ext uri="{FF2B5EF4-FFF2-40B4-BE49-F238E27FC236}">
              <a16:creationId xmlns:a16="http://schemas.microsoft.com/office/drawing/2014/main" xmlns="" id="{00000000-0008-0000-0500-000004000000}"/>
            </a:ext>
          </a:extLst>
        </xdr:cNvPr>
        <xdr:cNvSpPr/>
      </xdr:nvSpPr>
      <xdr:spPr>
        <a:xfrm>
          <a:off x="16034657" y="2984310"/>
          <a:ext cx="3630386" cy="1925147"/>
        </a:xfrm>
        <a:custGeom>
          <a:avLst/>
          <a:gdLst>
            <a:gd name="connsiteX0" fmla="*/ 0 w 3630386"/>
            <a:gd name="connsiteY0" fmla="*/ 1925147 h 1925147"/>
            <a:gd name="connsiteX1" fmla="*/ 859972 w 3630386"/>
            <a:gd name="connsiteY1" fmla="*/ 1805404 h 1925147"/>
            <a:gd name="connsiteX2" fmla="*/ 1126672 w 3630386"/>
            <a:gd name="connsiteY2" fmla="*/ 1549590 h 1925147"/>
            <a:gd name="connsiteX3" fmla="*/ 1654629 w 3630386"/>
            <a:gd name="connsiteY3" fmla="*/ 1070619 h 1925147"/>
            <a:gd name="connsiteX4" fmla="*/ 2106386 w 3630386"/>
            <a:gd name="connsiteY4" fmla="*/ 580761 h 1925147"/>
            <a:gd name="connsiteX5" fmla="*/ 2786743 w 3630386"/>
            <a:gd name="connsiteY5" fmla="*/ 58247 h 1925147"/>
            <a:gd name="connsiteX6" fmla="*/ 3380014 w 3630386"/>
            <a:gd name="connsiteY6" fmla="*/ 31033 h 1925147"/>
            <a:gd name="connsiteX7" fmla="*/ 3630386 w 3630386"/>
            <a:gd name="connsiteY7" fmla="*/ 221533 h 1925147"/>
            <a:gd name="connsiteX0" fmla="*/ 0 w 3630386"/>
            <a:gd name="connsiteY0" fmla="*/ 1925147 h 1925147"/>
            <a:gd name="connsiteX1" fmla="*/ 680358 w 3630386"/>
            <a:gd name="connsiteY1" fmla="*/ 1816290 h 1925147"/>
            <a:gd name="connsiteX2" fmla="*/ 1126672 w 3630386"/>
            <a:gd name="connsiteY2" fmla="*/ 1549590 h 1925147"/>
            <a:gd name="connsiteX3" fmla="*/ 1654629 w 3630386"/>
            <a:gd name="connsiteY3" fmla="*/ 1070619 h 1925147"/>
            <a:gd name="connsiteX4" fmla="*/ 2106386 w 3630386"/>
            <a:gd name="connsiteY4" fmla="*/ 580761 h 1925147"/>
            <a:gd name="connsiteX5" fmla="*/ 2786743 w 3630386"/>
            <a:gd name="connsiteY5" fmla="*/ 58247 h 1925147"/>
            <a:gd name="connsiteX6" fmla="*/ 3380014 w 3630386"/>
            <a:gd name="connsiteY6" fmla="*/ 31033 h 1925147"/>
            <a:gd name="connsiteX7" fmla="*/ 3630386 w 3630386"/>
            <a:gd name="connsiteY7" fmla="*/ 221533 h 1925147"/>
            <a:gd name="connsiteX0" fmla="*/ 0 w 3630386"/>
            <a:gd name="connsiteY0" fmla="*/ 1925147 h 1925147"/>
            <a:gd name="connsiteX1" fmla="*/ 680358 w 3630386"/>
            <a:gd name="connsiteY1" fmla="*/ 1816290 h 1925147"/>
            <a:gd name="connsiteX2" fmla="*/ 1148443 w 3630386"/>
            <a:gd name="connsiteY2" fmla="*/ 1555033 h 1925147"/>
            <a:gd name="connsiteX3" fmla="*/ 1654629 w 3630386"/>
            <a:gd name="connsiteY3" fmla="*/ 1070619 h 1925147"/>
            <a:gd name="connsiteX4" fmla="*/ 2106386 w 3630386"/>
            <a:gd name="connsiteY4" fmla="*/ 580761 h 1925147"/>
            <a:gd name="connsiteX5" fmla="*/ 2786743 w 3630386"/>
            <a:gd name="connsiteY5" fmla="*/ 58247 h 1925147"/>
            <a:gd name="connsiteX6" fmla="*/ 3380014 w 3630386"/>
            <a:gd name="connsiteY6" fmla="*/ 31033 h 1925147"/>
            <a:gd name="connsiteX7" fmla="*/ 3630386 w 3630386"/>
            <a:gd name="connsiteY7" fmla="*/ 221533 h 1925147"/>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Lst>
          <a:rect l="l" t="t" r="r" b="b"/>
          <a:pathLst>
            <a:path w="3630386" h="1925147">
              <a:moveTo>
                <a:pt x="0" y="1925147"/>
              </a:moveTo>
              <a:cubicBezTo>
                <a:pt x="336097" y="1896572"/>
                <a:pt x="488951" y="1877976"/>
                <a:pt x="680358" y="1816290"/>
              </a:cubicBezTo>
              <a:cubicBezTo>
                <a:pt x="871765" y="1754604"/>
                <a:pt x="986065" y="1679312"/>
                <a:pt x="1148443" y="1555033"/>
              </a:cubicBezTo>
              <a:cubicBezTo>
                <a:pt x="1310822" y="1430755"/>
                <a:pt x="1494972" y="1232998"/>
                <a:pt x="1654629" y="1070619"/>
              </a:cubicBezTo>
              <a:cubicBezTo>
                <a:pt x="1814286" y="908240"/>
                <a:pt x="1917700" y="749490"/>
                <a:pt x="2106386" y="580761"/>
              </a:cubicBezTo>
              <a:cubicBezTo>
                <a:pt x="2295072" y="412032"/>
                <a:pt x="2574472" y="149868"/>
                <a:pt x="2786743" y="58247"/>
              </a:cubicBezTo>
              <a:cubicBezTo>
                <a:pt x="2999014" y="-33374"/>
                <a:pt x="3239407" y="3819"/>
                <a:pt x="3380014" y="31033"/>
              </a:cubicBezTo>
              <a:cubicBezTo>
                <a:pt x="3520621" y="58247"/>
                <a:pt x="3575503" y="139890"/>
                <a:pt x="3630386" y="221533"/>
              </a:cubicBezTo>
            </a:path>
          </a:pathLst>
        </a:cu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26</xdr:col>
      <xdr:colOff>340179</xdr:colOff>
      <xdr:row>22</xdr:row>
      <xdr:rowOff>13608</xdr:rowOff>
    </xdr:from>
    <xdr:to>
      <xdr:col>34</xdr:col>
      <xdr:colOff>64034</xdr:colOff>
      <xdr:row>36</xdr:row>
      <xdr:rowOff>89808</xdr:rowOff>
    </xdr:to>
    <xdr:graphicFrame macro="">
      <xdr:nvGraphicFramePr>
        <xdr:cNvPr id="6" name="Chart 5">
          <a:extLst>
            <a:ext uri="{FF2B5EF4-FFF2-40B4-BE49-F238E27FC236}">
              <a16:creationId xmlns:a16="http://schemas.microsoft.com/office/drawing/2014/main" xmlns="" id="{00000000-0008-0000-05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0.33578</cdr:x>
      <cdr:y>0.50204</cdr:y>
    </cdr:from>
    <cdr:to>
      <cdr:x>0.50735</cdr:x>
      <cdr:y>0.66544</cdr:y>
    </cdr:to>
    <cdr:sp macro="" textlink="">
      <cdr:nvSpPr>
        <cdr:cNvPr id="2" name="TextBox 1"/>
        <cdr:cNvSpPr txBox="1"/>
      </cdr:nvSpPr>
      <cdr:spPr>
        <a:xfrm xmlns:a="http://schemas.openxmlformats.org/drawingml/2006/main">
          <a:off x="1535206" y="1377203"/>
          <a:ext cx="784412" cy="44823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200">
              <a:latin typeface="Arial" panose="020B0604020202020204" pitchFamily="34" charset="0"/>
              <a:cs typeface="Arial" panose="020B0604020202020204" pitchFamily="34" charset="0"/>
            </a:rPr>
            <a:t>Early cupping</a:t>
          </a:r>
        </a:p>
      </cdr:txBody>
    </cdr:sp>
  </cdr:relSizeAnchor>
  <cdr:relSizeAnchor xmlns:cdr="http://schemas.openxmlformats.org/drawingml/2006/chartDrawing">
    <cdr:from>
      <cdr:x>0.49886</cdr:x>
      <cdr:y>0.04711</cdr:y>
    </cdr:from>
    <cdr:to>
      <cdr:x>0.73529</cdr:x>
      <cdr:y>0.21051</cdr:y>
    </cdr:to>
    <cdr:sp macro="" textlink="">
      <cdr:nvSpPr>
        <cdr:cNvPr id="3" name="TextBox 1"/>
        <cdr:cNvSpPr txBox="1"/>
      </cdr:nvSpPr>
      <cdr:spPr>
        <a:xfrm xmlns:a="http://schemas.openxmlformats.org/drawingml/2006/main">
          <a:off x="2280770" y="129241"/>
          <a:ext cx="1080994" cy="44823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200">
              <a:latin typeface="Arial" panose="020B0604020202020204" pitchFamily="34" charset="0"/>
              <a:cs typeface="Arial" panose="020B0604020202020204" pitchFamily="34" charset="0"/>
            </a:rPr>
            <a:t>Head formation</a:t>
          </a:r>
        </a:p>
      </cdr:txBody>
    </cdr:sp>
  </cdr:relSizeAnchor>
</c:userShapes>
</file>

<file path=xl/drawings/drawing20.xml><?xml version="1.0" encoding="utf-8"?>
<c:userShapes xmlns:c="http://schemas.openxmlformats.org/drawingml/2006/chart">
  <cdr:relSizeAnchor xmlns:cdr="http://schemas.openxmlformats.org/drawingml/2006/chartDrawing">
    <cdr:from>
      <cdr:x>0.71661</cdr:x>
      <cdr:y>0.19439</cdr:y>
    </cdr:from>
    <cdr:to>
      <cdr:x>0.93801</cdr:x>
      <cdr:y>0.41662</cdr:y>
    </cdr:to>
    <cdr:sp macro="" textlink="">
      <cdr:nvSpPr>
        <cdr:cNvPr id="2" name="TextBox 2"/>
        <cdr:cNvSpPr txBox="1"/>
      </cdr:nvSpPr>
      <cdr:spPr>
        <a:xfrm xmlns:a="http://schemas.openxmlformats.org/drawingml/2006/main">
          <a:off x="3315444" y="533262"/>
          <a:ext cx="1024309" cy="609600"/>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200">
              <a:latin typeface="Arial" panose="020B0604020202020204" pitchFamily="34" charset="0"/>
              <a:cs typeface="Arial" panose="020B0604020202020204" pitchFamily="34" charset="0"/>
            </a:rPr>
            <a:t>Tops begin to decline</a:t>
          </a:r>
        </a:p>
      </cdr:txBody>
    </cdr:sp>
  </cdr:relSizeAnchor>
</c:userShapes>
</file>

<file path=xl/drawings/drawing21.xml><?xml version="1.0" encoding="utf-8"?>
<c:userShapes xmlns:c="http://schemas.openxmlformats.org/drawingml/2006/chart">
  <cdr:relSizeAnchor xmlns:cdr="http://schemas.openxmlformats.org/drawingml/2006/chartDrawing">
    <cdr:from>
      <cdr:x>0.71661</cdr:x>
      <cdr:y>0.20949</cdr:y>
    </cdr:from>
    <cdr:to>
      <cdr:x>0.93801</cdr:x>
      <cdr:y>0.43171</cdr:y>
    </cdr:to>
    <cdr:sp macro="" textlink="">
      <cdr:nvSpPr>
        <cdr:cNvPr id="2" name="TextBox 2"/>
        <cdr:cNvSpPr txBox="1"/>
      </cdr:nvSpPr>
      <cdr:spPr>
        <a:xfrm xmlns:a="http://schemas.openxmlformats.org/drawingml/2006/main">
          <a:off x="3298825" y="574675"/>
          <a:ext cx="1019175" cy="609600"/>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000">
              <a:latin typeface="Arial" panose="020B0604020202020204" pitchFamily="34" charset="0"/>
              <a:cs typeface="Arial" panose="020B0604020202020204" pitchFamily="34" charset="0"/>
            </a:rPr>
            <a:t>Tops begin to decline</a:t>
          </a:r>
        </a:p>
      </cdr:txBody>
    </cdr:sp>
  </cdr:relSizeAnchor>
  <cdr:relSizeAnchor xmlns:cdr="http://schemas.openxmlformats.org/drawingml/2006/chartDrawing">
    <cdr:from>
      <cdr:x>0.14819</cdr:x>
      <cdr:y>0.07009</cdr:y>
    </cdr:from>
    <cdr:to>
      <cdr:x>0.93682</cdr:x>
      <cdr:y>0.78975</cdr:y>
    </cdr:to>
    <cdr:sp macro="" textlink="">
      <cdr:nvSpPr>
        <cdr:cNvPr id="3" name="Freeform 2"/>
        <cdr:cNvSpPr/>
      </cdr:nvSpPr>
      <cdr:spPr>
        <a:xfrm xmlns:a="http://schemas.openxmlformats.org/drawingml/2006/main">
          <a:off x="685695" y="192267"/>
          <a:ext cx="3649143" cy="1974182"/>
        </a:xfrm>
        <a:custGeom xmlns:a="http://schemas.openxmlformats.org/drawingml/2006/main">
          <a:avLst/>
          <a:gdLst>
            <a:gd name="connsiteX0" fmla="*/ 0 w 3630386"/>
            <a:gd name="connsiteY0" fmla="*/ 1925147 h 1925147"/>
            <a:gd name="connsiteX1" fmla="*/ 859972 w 3630386"/>
            <a:gd name="connsiteY1" fmla="*/ 1805404 h 1925147"/>
            <a:gd name="connsiteX2" fmla="*/ 1126672 w 3630386"/>
            <a:gd name="connsiteY2" fmla="*/ 1549590 h 1925147"/>
            <a:gd name="connsiteX3" fmla="*/ 1654629 w 3630386"/>
            <a:gd name="connsiteY3" fmla="*/ 1070619 h 1925147"/>
            <a:gd name="connsiteX4" fmla="*/ 2106386 w 3630386"/>
            <a:gd name="connsiteY4" fmla="*/ 580761 h 1925147"/>
            <a:gd name="connsiteX5" fmla="*/ 2786743 w 3630386"/>
            <a:gd name="connsiteY5" fmla="*/ 58247 h 1925147"/>
            <a:gd name="connsiteX6" fmla="*/ 3380014 w 3630386"/>
            <a:gd name="connsiteY6" fmla="*/ 31033 h 1925147"/>
            <a:gd name="connsiteX7" fmla="*/ 3630386 w 3630386"/>
            <a:gd name="connsiteY7" fmla="*/ 221533 h 1925147"/>
            <a:gd name="connsiteX0" fmla="*/ 0 w 3630386"/>
            <a:gd name="connsiteY0" fmla="*/ 1925147 h 1925147"/>
            <a:gd name="connsiteX1" fmla="*/ 680358 w 3630386"/>
            <a:gd name="connsiteY1" fmla="*/ 1816290 h 1925147"/>
            <a:gd name="connsiteX2" fmla="*/ 1126672 w 3630386"/>
            <a:gd name="connsiteY2" fmla="*/ 1549590 h 1925147"/>
            <a:gd name="connsiteX3" fmla="*/ 1654629 w 3630386"/>
            <a:gd name="connsiteY3" fmla="*/ 1070619 h 1925147"/>
            <a:gd name="connsiteX4" fmla="*/ 2106386 w 3630386"/>
            <a:gd name="connsiteY4" fmla="*/ 580761 h 1925147"/>
            <a:gd name="connsiteX5" fmla="*/ 2786743 w 3630386"/>
            <a:gd name="connsiteY5" fmla="*/ 58247 h 1925147"/>
            <a:gd name="connsiteX6" fmla="*/ 3380014 w 3630386"/>
            <a:gd name="connsiteY6" fmla="*/ 31033 h 1925147"/>
            <a:gd name="connsiteX7" fmla="*/ 3630386 w 3630386"/>
            <a:gd name="connsiteY7" fmla="*/ 221533 h 1925147"/>
            <a:gd name="connsiteX0" fmla="*/ 0 w 3630386"/>
            <a:gd name="connsiteY0" fmla="*/ 1925147 h 1925147"/>
            <a:gd name="connsiteX1" fmla="*/ 680358 w 3630386"/>
            <a:gd name="connsiteY1" fmla="*/ 1816290 h 1925147"/>
            <a:gd name="connsiteX2" fmla="*/ 1148443 w 3630386"/>
            <a:gd name="connsiteY2" fmla="*/ 1555033 h 1925147"/>
            <a:gd name="connsiteX3" fmla="*/ 1654629 w 3630386"/>
            <a:gd name="connsiteY3" fmla="*/ 1070619 h 1925147"/>
            <a:gd name="connsiteX4" fmla="*/ 2106386 w 3630386"/>
            <a:gd name="connsiteY4" fmla="*/ 580761 h 1925147"/>
            <a:gd name="connsiteX5" fmla="*/ 2786743 w 3630386"/>
            <a:gd name="connsiteY5" fmla="*/ 58247 h 1925147"/>
            <a:gd name="connsiteX6" fmla="*/ 3380014 w 3630386"/>
            <a:gd name="connsiteY6" fmla="*/ 31033 h 1925147"/>
            <a:gd name="connsiteX7" fmla="*/ 3630386 w 3630386"/>
            <a:gd name="connsiteY7" fmla="*/ 221533 h 1925147"/>
            <a:gd name="connsiteX0" fmla="*/ 0 w 3630386"/>
            <a:gd name="connsiteY0" fmla="*/ 1907127 h 1907127"/>
            <a:gd name="connsiteX1" fmla="*/ 680358 w 3630386"/>
            <a:gd name="connsiteY1" fmla="*/ 1798270 h 1907127"/>
            <a:gd name="connsiteX2" fmla="*/ 1148443 w 3630386"/>
            <a:gd name="connsiteY2" fmla="*/ 1537013 h 1907127"/>
            <a:gd name="connsiteX3" fmla="*/ 1654629 w 3630386"/>
            <a:gd name="connsiteY3" fmla="*/ 1052599 h 1907127"/>
            <a:gd name="connsiteX4" fmla="*/ 2106386 w 3630386"/>
            <a:gd name="connsiteY4" fmla="*/ 562741 h 1907127"/>
            <a:gd name="connsiteX5" fmla="*/ 2786743 w 3630386"/>
            <a:gd name="connsiteY5" fmla="*/ 88514 h 1907127"/>
            <a:gd name="connsiteX6" fmla="*/ 3380014 w 3630386"/>
            <a:gd name="connsiteY6" fmla="*/ 13013 h 1907127"/>
            <a:gd name="connsiteX7" fmla="*/ 3630386 w 3630386"/>
            <a:gd name="connsiteY7" fmla="*/ 203513 h 1907127"/>
            <a:gd name="connsiteX0" fmla="*/ 0 w 3630386"/>
            <a:gd name="connsiteY0" fmla="*/ 1927690 h 1927690"/>
            <a:gd name="connsiteX1" fmla="*/ 680358 w 3630386"/>
            <a:gd name="connsiteY1" fmla="*/ 1818833 h 1927690"/>
            <a:gd name="connsiteX2" fmla="*/ 1148443 w 3630386"/>
            <a:gd name="connsiteY2" fmla="*/ 1557576 h 1927690"/>
            <a:gd name="connsiteX3" fmla="*/ 1654629 w 3630386"/>
            <a:gd name="connsiteY3" fmla="*/ 1073162 h 1927690"/>
            <a:gd name="connsiteX4" fmla="*/ 2106386 w 3630386"/>
            <a:gd name="connsiteY4" fmla="*/ 583304 h 1927690"/>
            <a:gd name="connsiteX5" fmla="*/ 2786743 w 3630386"/>
            <a:gd name="connsiteY5" fmla="*/ 109077 h 1927690"/>
            <a:gd name="connsiteX6" fmla="*/ 3099853 w 3630386"/>
            <a:gd name="connsiteY6" fmla="*/ 9432 h 1927690"/>
            <a:gd name="connsiteX7" fmla="*/ 3630386 w 3630386"/>
            <a:gd name="connsiteY7" fmla="*/ 224076 h 1927690"/>
            <a:gd name="connsiteX0" fmla="*/ 0 w 3630386"/>
            <a:gd name="connsiteY0" fmla="*/ 1918258 h 1918258"/>
            <a:gd name="connsiteX1" fmla="*/ 680358 w 3630386"/>
            <a:gd name="connsiteY1" fmla="*/ 1809401 h 1918258"/>
            <a:gd name="connsiteX2" fmla="*/ 1148443 w 3630386"/>
            <a:gd name="connsiteY2" fmla="*/ 1548144 h 1918258"/>
            <a:gd name="connsiteX3" fmla="*/ 1654629 w 3630386"/>
            <a:gd name="connsiteY3" fmla="*/ 1063730 h 1918258"/>
            <a:gd name="connsiteX4" fmla="*/ 2106386 w 3630386"/>
            <a:gd name="connsiteY4" fmla="*/ 573872 h 1918258"/>
            <a:gd name="connsiteX5" fmla="*/ 2786743 w 3630386"/>
            <a:gd name="connsiteY5" fmla="*/ 99645 h 1918258"/>
            <a:gd name="connsiteX6" fmla="*/ 3099853 w 3630386"/>
            <a:gd name="connsiteY6" fmla="*/ 0 h 1918258"/>
            <a:gd name="connsiteX7" fmla="*/ 3630386 w 3630386"/>
            <a:gd name="connsiteY7" fmla="*/ 214644 h 1918258"/>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Lst>
          <a:rect l="l" t="t" r="r" b="b"/>
          <a:pathLst>
            <a:path w="3630386" h="1918258">
              <a:moveTo>
                <a:pt x="0" y="1918258"/>
              </a:moveTo>
              <a:cubicBezTo>
                <a:pt x="336097" y="1889683"/>
                <a:pt x="488951" y="1871087"/>
                <a:pt x="680358" y="1809401"/>
              </a:cubicBezTo>
              <a:cubicBezTo>
                <a:pt x="871765" y="1747715"/>
                <a:pt x="986065" y="1672423"/>
                <a:pt x="1148443" y="1548144"/>
              </a:cubicBezTo>
              <a:cubicBezTo>
                <a:pt x="1310822" y="1423866"/>
                <a:pt x="1494972" y="1226109"/>
                <a:pt x="1654629" y="1063730"/>
              </a:cubicBezTo>
              <a:cubicBezTo>
                <a:pt x="1814286" y="901351"/>
                <a:pt x="1917700" y="734553"/>
                <a:pt x="2106386" y="573872"/>
              </a:cubicBezTo>
              <a:cubicBezTo>
                <a:pt x="2295072" y="413191"/>
                <a:pt x="2621165" y="195290"/>
                <a:pt x="2786743" y="99645"/>
              </a:cubicBezTo>
              <a:cubicBezTo>
                <a:pt x="2952321" y="4000"/>
                <a:pt x="2983966" y="45218"/>
                <a:pt x="3099853" y="0"/>
              </a:cubicBezTo>
              <a:cubicBezTo>
                <a:pt x="3240460" y="27214"/>
                <a:pt x="3575503" y="133001"/>
                <a:pt x="3630386" y="214644"/>
              </a:cubicBezTo>
            </a:path>
          </a:pathLst>
        </a:custGeom>
        <a:noFill xmlns:a="http://schemas.openxmlformats.org/drawingml/2006/main"/>
        <a:ln xmlns:a="http://schemas.openxmlformats.org/drawingml/2006/main">
          <a:solidFill>
            <a:srgbClr val="FF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ot="0" spcFirstLastPara="0" vert="horz" wrap="square" lIns="91440" tIns="45720" rIns="91440" bIns="45720" numCol="1" spcCol="0" rtlCol="0" fromWordArt="0" anchor="t" anchorCtr="0" forceAA="0" compatLnSpc="1">
          <a:prstTxWarp prst="textNoShape">
            <a:avLst/>
          </a:prstTxWarp>
          <a:noAutofit/>
        </a:bodyP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l"/>
          <a:endParaRPr lang="en-US" sz="1100"/>
        </a:p>
      </cdr:txBody>
    </cdr:sp>
  </cdr:relSizeAnchor>
  <cdr:relSizeAnchor xmlns:cdr="http://schemas.openxmlformats.org/drawingml/2006/chartDrawing">
    <cdr:from>
      <cdr:x>0.2938</cdr:x>
      <cdr:y>0.39593</cdr:y>
    </cdr:from>
    <cdr:to>
      <cdr:x>0.51477</cdr:x>
      <cdr:y>0.61816</cdr:y>
    </cdr:to>
    <cdr:sp macro="" textlink="">
      <cdr:nvSpPr>
        <cdr:cNvPr id="4" name="TextBox 2"/>
        <cdr:cNvSpPr txBox="1"/>
      </cdr:nvSpPr>
      <cdr:spPr>
        <a:xfrm xmlns:a="http://schemas.openxmlformats.org/drawingml/2006/main">
          <a:off x="1359452" y="1086125"/>
          <a:ext cx="1022488" cy="609600"/>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000">
              <a:latin typeface="Arial" panose="020B0604020202020204" pitchFamily="34" charset="0"/>
              <a:cs typeface="Arial" panose="020B0604020202020204" pitchFamily="34" charset="0"/>
            </a:rPr>
            <a:t>Start of rapid</a:t>
          </a:r>
          <a:r>
            <a:rPr lang="en-US" sz="1000" baseline="0">
              <a:latin typeface="Arial" panose="020B0604020202020204" pitchFamily="34" charset="0"/>
              <a:cs typeface="Arial" panose="020B0604020202020204" pitchFamily="34" charset="0"/>
            </a:rPr>
            <a:t> dry matter growth</a:t>
          </a:r>
          <a:endParaRPr lang="en-US" sz="1000">
            <a:latin typeface="Arial" panose="020B0604020202020204" pitchFamily="34" charset="0"/>
            <a:cs typeface="Arial" panose="020B0604020202020204" pitchFamily="34" charset="0"/>
          </a:endParaRPr>
        </a:p>
      </cdr:txBody>
    </cdr:sp>
  </cdr:relSizeAnchor>
</c:userShapes>
</file>

<file path=xl/drawings/drawing22.xml><?xml version="1.0" encoding="utf-8"?>
<xdr:wsDr xmlns:xdr="http://schemas.openxmlformats.org/drawingml/2006/spreadsheetDrawing" xmlns:a="http://schemas.openxmlformats.org/drawingml/2006/main">
  <xdr:twoCellAnchor>
    <xdr:from>
      <xdr:col>18</xdr:col>
      <xdr:colOff>85281</xdr:colOff>
      <xdr:row>12</xdr:row>
      <xdr:rowOff>47542</xdr:rowOff>
    </xdr:from>
    <xdr:to>
      <xdr:col>25</xdr:col>
      <xdr:colOff>407124</xdr:colOff>
      <xdr:row>25</xdr:row>
      <xdr:rowOff>44823</xdr:rowOff>
    </xdr:to>
    <xdr:graphicFrame macro="">
      <xdr:nvGraphicFramePr>
        <xdr:cNvPr id="7" name="Chart 6">
          <a:extLst>
            <a:ext uri="{FF2B5EF4-FFF2-40B4-BE49-F238E27FC236}">
              <a16:creationId xmlns:a16="http://schemas.microsoft.com/office/drawing/2014/main" xmlns="" id="{00000000-0008-0000-06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13</xdr:col>
      <xdr:colOff>13607</xdr:colOff>
      <xdr:row>216</xdr:row>
      <xdr:rowOff>187635</xdr:rowOff>
    </xdr:from>
    <xdr:to>
      <xdr:col>29</xdr:col>
      <xdr:colOff>118167</xdr:colOff>
      <xdr:row>237</xdr:row>
      <xdr:rowOff>45014</xdr:rowOff>
    </xdr:to>
    <xdr:pic>
      <xdr:nvPicPr>
        <xdr:cNvPr id="8" name="Picture 7">
          <a:extLst>
            <a:ext uri="{FF2B5EF4-FFF2-40B4-BE49-F238E27FC236}">
              <a16:creationId xmlns:a16="http://schemas.microsoft.com/office/drawing/2014/main" xmlns="" id="{00000000-0008-0000-0600-000008000000}"/>
            </a:ext>
          </a:extLst>
        </xdr:cNvPr>
        <xdr:cNvPicPr>
          <a:picLocks noChangeAspect="1"/>
        </xdr:cNvPicPr>
      </xdr:nvPicPr>
      <xdr:blipFill>
        <a:blip xmlns:r="http://schemas.openxmlformats.org/officeDocument/2006/relationships" r:embed="rId2"/>
        <a:stretch>
          <a:fillRect/>
        </a:stretch>
      </xdr:blipFill>
      <xdr:spPr>
        <a:xfrm>
          <a:off x="12096750" y="25905135"/>
          <a:ext cx="11929167" cy="3857879"/>
        </a:xfrm>
        <a:prstGeom prst="rect">
          <a:avLst/>
        </a:prstGeom>
      </xdr:spPr>
    </xdr:pic>
    <xdr:clientData/>
  </xdr:twoCellAnchor>
  <xdr:twoCellAnchor>
    <xdr:from>
      <xdr:col>19</xdr:col>
      <xdr:colOff>125451</xdr:colOff>
      <xdr:row>13</xdr:row>
      <xdr:rowOff>65048</xdr:rowOff>
    </xdr:from>
    <xdr:to>
      <xdr:col>25</xdr:col>
      <xdr:colOff>97574</xdr:colOff>
      <xdr:row>22</xdr:row>
      <xdr:rowOff>14543</xdr:rowOff>
    </xdr:to>
    <xdr:sp macro="" textlink="">
      <xdr:nvSpPr>
        <xdr:cNvPr id="2" name="Freeform 1">
          <a:extLst>
            <a:ext uri="{FF2B5EF4-FFF2-40B4-BE49-F238E27FC236}">
              <a16:creationId xmlns:a16="http://schemas.microsoft.com/office/drawing/2014/main" xmlns="" id="{00000000-0008-0000-0600-000002000000}"/>
            </a:ext>
          </a:extLst>
        </xdr:cNvPr>
        <xdr:cNvSpPr/>
      </xdr:nvSpPr>
      <xdr:spPr>
        <a:xfrm>
          <a:off x="17253886" y="2922548"/>
          <a:ext cx="3649601" cy="1663995"/>
        </a:xfrm>
        <a:custGeom>
          <a:avLst/>
          <a:gdLst>
            <a:gd name="connsiteX0" fmla="*/ 0 w 3624147"/>
            <a:gd name="connsiteY0" fmla="*/ 1663390 h 1663390"/>
            <a:gd name="connsiteX1" fmla="*/ 473927 w 3624147"/>
            <a:gd name="connsiteY1" fmla="*/ 1654097 h 1663390"/>
            <a:gd name="connsiteX2" fmla="*/ 1017549 w 3624147"/>
            <a:gd name="connsiteY2" fmla="*/ 1612280 h 1663390"/>
            <a:gd name="connsiteX3" fmla="*/ 1528647 w 3624147"/>
            <a:gd name="connsiteY3" fmla="*/ 1454305 h 1663390"/>
            <a:gd name="connsiteX4" fmla="*/ 2588012 w 3624147"/>
            <a:gd name="connsiteY4" fmla="*/ 413524 h 1663390"/>
            <a:gd name="connsiteX5" fmla="*/ 3108403 w 3624147"/>
            <a:gd name="connsiteY5" fmla="*/ 92927 h 1663390"/>
            <a:gd name="connsiteX6" fmla="*/ 3624147 w 3624147"/>
            <a:gd name="connsiteY6" fmla="*/ 0 h 1663390"/>
            <a:gd name="connsiteX7" fmla="*/ 3624147 w 3624147"/>
            <a:gd name="connsiteY7" fmla="*/ 0 h 1663390"/>
            <a:gd name="connsiteX0" fmla="*/ 0 w 3624147"/>
            <a:gd name="connsiteY0" fmla="*/ 1663390 h 1663390"/>
            <a:gd name="connsiteX1" fmla="*/ 473927 w 3624147"/>
            <a:gd name="connsiteY1" fmla="*/ 1654097 h 1663390"/>
            <a:gd name="connsiteX2" fmla="*/ 1042224 w 3624147"/>
            <a:gd name="connsiteY2" fmla="*/ 1603997 h 1663390"/>
            <a:gd name="connsiteX3" fmla="*/ 1528647 w 3624147"/>
            <a:gd name="connsiteY3" fmla="*/ 1454305 h 1663390"/>
            <a:gd name="connsiteX4" fmla="*/ 2588012 w 3624147"/>
            <a:gd name="connsiteY4" fmla="*/ 413524 h 1663390"/>
            <a:gd name="connsiteX5" fmla="*/ 3108403 w 3624147"/>
            <a:gd name="connsiteY5" fmla="*/ 92927 h 1663390"/>
            <a:gd name="connsiteX6" fmla="*/ 3624147 w 3624147"/>
            <a:gd name="connsiteY6" fmla="*/ 0 h 1663390"/>
            <a:gd name="connsiteX7" fmla="*/ 3624147 w 3624147"/>
            <a:gd name="connsiteY7" fmla="*/ 0 h 1663390"/>
            <a:gd name="connsiteX0" fmla="*/ 0 w 3624147"/>
            <a:gd name="connsiteY0" fmla="*/ 1663390 h 1665942"/>
            <a:gd name="connsiteX1" fmla="*/ 473927 w 3624147"/>
            <a:gd name="connsiteY1" fmla="*/ 1654097 h 1665942"/>
            <a:gd name="connsiteX2" fmla="*/ 1058673 w 3624147"/>
            <a:gd name="connsiteY2" fmla="*/ 1546019 h 1665942"/>
            <a:gd name="connsiteX3" fmla="*/ 1528647 w 3624147"/>
            <a:gd name="connsiteY3" fmla="*/ 1454305 h 1665942"/>
            <a:gd name="connsiteX4" fmla="*/ 2588012 w 3624147"/>
            <a:gd name="connsiteY4" fmla="*/ 413524 h 1665942"/>
            <a:gd name="connsiteX5" fmla="*/ 3108403 w 3624147"/>
            <a:gd name="connsiteY5" fmla="*/ 92927 h 1665942"/>
            <a:gd name="connsiteX6" fmla="*/ 3624147 w 3624147"/>
            <a:gd name="connsiteY6" fmla="*/ 0 h 1665942"/>
            <a:gd name="connsiteX7" fmla="*/ 3624147 w 3624147"/>
            <a:gd name="connsiteY7" fmla="*/ 0 h 1665942"/>
            <a:gd name="connsiteX0" fmla="*/ 0 w 3624147"/>
            <a:gd name="connsiteY0" fmla="*/ 1663390 h 1665942"/>
            <a:gd name="connsiteX1" fmla="*/ 473927 w 3624147"/>
            <a:gd name="connsiteY1" fmla="*/ 1654097 h 1665942"/>
            <a:gd name="connsiteX2" fmla="*/ 1058673 w 3624147"/>
            <a:gd name="connsiteY2" fmla="*/ 1546019 h 1665942"/>
            <a:gd name="connsiteX3" fmla="*/ 1594445 w 3624147"/>
            <a:gd name="connsiteY3" fmla="*/ 1230674 h 1665942"/>
            <a:gd name="connsiteX4" fmla="*/ 2588012 w 3624147"/>
            <a:gd name="connsiteY4" fmla="*/ 413524 h 1665942"/>
            <a:gd name="connsiteX5" fmla="*/ 3108403 w 3624147"/>
            <a:gd name="connsiteY5" fmla="*/ 92927 h 1665942"/>
            <a:gd name="connsiteX6" fmla="*/ 3624147 w 3624147"/>
            <a:gd name="connsiteY6" fmla="*/ 0 h 1665942"/>
            <a:gd name="connsiteX7" fmla="*/ 3624147 w 3624147"/>
            <a:gd name="connsiteY7" fmla="*/ 0 h 1665942"/>
            <a:gd name="connsiteX0" fmla="*/ 0 w 3624147"/>
            <a:gd name="connsiteY0" fmla="*/ 1663390 h 1663995"/>
            <a:gd name="connsiteX1" fmla="*/ 473927 w 3624147"/>
            <a:gd name="connsiteY1" fmla="*/ 1654097 h 1663995"/>
            <a:gd name="connsiteX2" fmla="*/ 1124471 w 3624147"/>
            <a:gd name="connsiteY2" fmla="*/ 1579150 h 1663995"/>
            <a:gd name="connsiteX3" fmla="*/ 1594445 w 3624147"/>
            <a:gd name="connsiteY3" fmla="*/ 1230674 h 1663995"/>
            <a:gd name="connsiteX4" fmla="*/ 2588012 w 3624147"/>
            <a:gd name="connsiteY4" fmla="*/ 413524 h 1663995"/>
            <a:gd name="connsiteX5" fmla="*/ 3108403 w 3624147"/>
            <a:gd name="connsiteY5" fmla="*/ 92927 h 1663995"/>
            <a:gd name="connsiteX6" fmla="*/ 3624147 w 3624147"/>
            <a:gd name="connsiteY6" fmla="*/ 0 h 1663995"/>
            <a:gd name="connsiteX7" fmla="*/ 3624147 w 3624147"/>
            <a:gd name="connsiteY7" fmla="*/ 0 h 1663995"/>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Lst>
          <a:rect l="l" t="t" r="r" b="b"/>
          <a:pathLst>
            <a:path w="3624147" h="1663995">
              <a:moveTo>
                <a:pt x="0" y="1663390"/>
              </a:moveTo>
              <a:cubicBezTo>
                <a:pt x="152168" y="1663002"/>
                <a:pt x="286515" y="1668137"/>
                <a:pt x="473927" y="1654097"/>
              </a:cubicBezTo>
              <a:cubicBezTo>
                <a:pt x="661339" y="1640057"/>
                <a:pt x="937718" y="1649720"/>
                <a:pt x="1124471" y="1579150"/>
              </a:cubicBezTo>
              <a:cubicBezTo>
                <a:pt x="1311224" y="1508580"/>
                <a:pt x="1350522" y="1424945"/>
                <a:pt x="1594445" y="1230674"/>
              </a:cubicBezTo>
              <a:cubicBezTo>
                <a:pt x="1838368" y="1036403"/>
                <a:pt x="2335686" y="603148"/>
                <a:pt x="2588012" y="413524"/>
              </a:cubicBezTo>
              <a:cubicBezTo>
                <a:pt x="2840338" y="223900"/>
                <a:pt x="2935714" y="161848"/>
                <a:pt x="3108403" y="92927"/>
              </a:cubicBezTo>
              <a:cubicBezTo>
                <a:pt x="3281092" y="24006"/>
                <a:pt x="3624147" y="0"/>
                <a:pt x="3624147" y="0"/>
              </a:cubicBezTo>
              <a:lnTo>
                <a:pt x="3624147" y="0"/>
              </a:lnTo>
            </a:path>
          </a:pathLst>
        </a:cu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20</xdr:col>
      <xdr:colOff>258856</xdr:colOff>
      <xdr:row>18</xdr:row>
      <xdr:rowOff>87966</xdr:rowOff>
    </xdr:from>
    <xdr:to>
      <xdr:col>21</xdr:col>
      <xdr:colOff>449356</xdr:colOff>
      <xdr:row>20</xdr:row>
      <xdr:rowOff>110378</xdr:rowOff>
    </xdr:to>
    <xdr:sp macro="" textlink="">
      <xdr:nvSpPr>
        <xdr:cNvPr id="4" name="TextBox 3">
          <a:extLst>
            <a:ext uri="{FF2B5EF4-FFF2-40B4-BE49-F238E27FC236}">
              <a16:creationId xmlns:a16="http://schemas.microsoft.com/office/drawing/2014/main" xmlns="" id="{00000000-0008-0000-0600-000004000000}"/>
            </a:ext>
          </a:extLst>
        </xdr:cNvPr>
        <xdr:cNvSpPr txBox="1"/>
      </xdr:nvSpPr>
      <xdr:spPr>
        <a:xfrm>
          <a:off x="17984881" y="3897966"/>
          <a:ext cx="800100" cy="4034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a:latin typeface="Arial" panose="020B0604020202020204" pitchFamily="34" charset="0"/>
              <a:cs typeface="Arial" panose="020B0604020202020204" pitchFamily="34" charset="0"/>
            </a:rPr>
            <a:t>Initial flowering</a:t>
          </a:r>
        </a:p>
      </xdr:txBody>
    </xdr:sp>
    <xdr:clientData/>
  </xdr:twoCellAnchor>
  <xdr:twoCellAnchor>
    <xdr:from>
      <xdr:col>21</xdr:col>
      <xdr:colOff>220756</xdr:colOff>
      <xdr:row>16</xdr:row>
      <xdr:rowOff>116541</xdr:rowOff>
    </xdr:from>
    <xdr:to>
      <xdr:col>22</xdr:col>
      <xdr:colOff>411256</xdr:colOff>
      <xdr:row>18</xdr:row>
      <xdr:rowOff>138953</xdr:rowOff>
    </xdr:to>
    <xdr:sp macro="" textlink="">
      <xdr:nvSpPr>
        <xdr:cNvPr id="10" name="TextBox 9">
          <a:extLst>
            <a:ext uri="{FF2B5EF4-FFF2-40B4-BE49-F238E27FC236}">
              <a16:creationId xmlns:a16="http://schemas.microsoft.com/office/drawing/2014/main" xmlns="" id="{00000000-0008-0000-0600-00000A000000}"/>
            </a:ext>
          </a:extLst>
        </xdr:cNvPr>
        <xdr:cNvSpPr txBox="1"/>
      </xdr:nvSpPr>
      <xdr:spPr>
        <a:xfrm>
          <a:off x="18556381" y="3545541"/>
          <a:ext cx="800100" cy="4034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a:latin typeface="Arial" panose="020B0604020202020204" pitchFamily="34" charset="0"/>
              <a:cs typeface="Arial" panose="020B0604020202020204" pitchFamily="34" charset="0"/>
            </a:rPr>
            <a:t>Fruit growth</a:t>
          </a:r>
        </a:p>
      </xdr:txBody>
    </xdr:sp>
    <xdr:clientData/>
  </xdr:twoCellAnchor>
  <xdr:twoCellAnchor>
    <xdr:from>
      <xdr:col>22</xdr:col>
      <xdr:colOff>342900</xdr:colOff>
      <xdr:row>12</xdr:row>
      <xdr:rowOff>173691</xdr:rowOff>
    </xdr:from>
    <xdr:to>
      <xdr:col>23</xdr:col>
      <xdr:colOff>401731</xdr:colOff>
      <xdr:row>15</xdr:row>
      <xdr:rowOff>5603</xdr:rowOff>
    </xdr:to>
    <xdr:sp macro="" textlink="">
      <xdr:nvSpPr>
        <xdr:cNvPr id="11" name="TextBox 10">
          <a:extLst>
            <a:ext uri="{FF2B5EF4-FFF2-40B4-BE49-F238E27FC236}">
              <a16:creationId xmlns:a16="http://schemas.microsoft.com/office/drawing/2014/main" xmlns="" id="{00000000-0008-0000-0600-00000B000000}"/>
            </a:ext>
          </a:extLst>
        </xdr:cNvPr>
        <xdr:cNvSpPr txBox="1"/>
      </xdr:nvSpPr>
      <xdr:spPr>
        <a:xfrm>
          <a:off x="19288125" y="2840691"/>
          <a:ext cx="668431" cy="4034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a:latin typeface="Arial" panose="020B0604020202020204" pitchFamily="34" charset="0"/>
              <a:cs typeface="Arial" panose="020B0604020202020204" pitchFamily="34" charset="0"/>
            </a:rPr>
            <a:t>First harvest</a:t>
          </a:r>
        </a:p>
      </xdr:txBody>
    </xdr:sp>
    <xdr:clientData/>
  </xdr:twoCellAnchor>
  <xdr:twoCellAnchor>
    <xdr:from>
      <xdr:col>29</xdr:col>
      <xdr:colOff>333375</xdr:colOff>
      <xdr:row>21</xdr:row>
      <xdr:rowOff>33337</xdr:rowOff>
    </xdr:from>
    <xdr:to>
      <xdr:col>39</xdr:col>
      <xdr:colOff>180975</xdr:colOff>
      <xdr:row>40</xdr:row>
      <xdr:rowOff>71437</xdr:rowOff>
    </xdr:to>
    <xdr:graphicFrame macro="">
      <xdr:nvGraphicFramePr>
        <xdr:cNvPr id="5" name="Chart 4">
          <a:extLst>
            <a:ext uri="{FF2B5EF4-FFF2-40B4-BE49-F238E27FC236}">
              <a16:creationId xmlns:a16="http://schemas.microsoft.com/office/drawing/2014/main" xmlns="" id="{00000000-0008-0000-06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0</xdr:colOff>
      <xdr:row>217</xdr:row>
      <xdr:rowOff>0</xdr:rowOff>
    </xdr:from>
    <xdr:to>
      <xdr:col>10</xdr:col>
      <xdr:colOff>312964</xdr:colOff>
      <xdr:row>242</xdr:row>
      <xdr:rowOff>53152</xdr:rowOff>
    </xdr:to>
    <xdr:pic>
      <xdr:nvPicPr>
        <xdr:cNvPr id="6" name="Picture 5">
          <a:extLst>
            <a:ext uri="{FF2B5EF4-FFF2-40B4-BE49-F238E27FC236}">
              <a16:creationId xmlns:a16="http://schemas.microsoft.com/office/drawing/2014/main" xmlns="" id="{00000000-0008-0000-0600-000006000000}"/>
            </a:ext>
          </a:extLst>
        </xdr:cNvPr>
        <xdr:cNvPicPr>
          <a:picLocks noChangeAspect="1"/>
        </xdr:cNvPicPr>
      </xdr:nvPicPr>
      <xdr:blipFill>
        <a:blip xmlns:r="http://schemas.openxmlformats.org/officeDocument/2006/relationships" r:embed="rId4"/>
        <a:stretch>
          <a:fillRect/>
        </a:stretch>
      </xdr:blipFill>
      <xdr:spPr>
        <a:xfrm>
          <a:off x="1673679" y="25908000"/>
          <a:ext cx="8218714" cy="4815652"/>
        </a:xfrm>
        <a:prstGeom prst="rect">
          <a:avLst/>
        </a:prstGeom>
      </xdr:spPr>
    </xdr:pic>
    <xdr:clientData/>
  </xdr:twoCellAnchor>
</xdr:wsDr>
</file>

<file path=xl/drawings/drawing23.xml><?xml version="1.0" encoding="utf-8"?>
<c:userShapes xmlns:c="http://schemas.openxmlformats.org/drawingml/2006/chart">
  <cdr:relSizeAnchor xmlns:cdr="http://schemas.openxmlformats.org/drawingml/2006/chartDrawing">
    <cdr:from>
      <cdr:x>0.22162</cdr:x>
      <cdr:y>0.64886</cdr:y>
    </cdr:from>
    <cdr:to>
      <cdr:x>0.39674</cdr:x>
      <cdr:y>0.79592</cdr:y>
    </cdr:to>
    <cdr:sp macro="" textlink="">
      <cdr:nvSpPr>
        <cdr:cNvPr id="3" name="TextBox 3"/>
        <cdr:cNvSpPr txBox="1"/>
      </cdr:nvSpPr>
      <cdr:spPr>
        <a:xfrm xmlns:a="http://schemas.openxmlformats.org/drawingml/2006/main">
          <a:off x="1010627" y="1779954"/>
          <a:ext cx="798635" cy="403412"/>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200">
              <a:latin typeface="Arial" panose="020B0604020202020204" pitchFamily="34" charset="0"/>
              <a:cs typeface="Arial" panose="020B0604020202020204" pitchFamily="34" charset="0"/>
            </a:rPr>
            <a:t>Initial flowering</a:t>
          </a:r>
        </a:p>
      </cdr:txBody>
    </cdr:sp>
  </cdr:relSizeAnchor>
  <cdr:relSizeAnchor xmlns:cdr="http://schemas.openxmlformats.org/drawingml/2006/chartDrawing">
    <cdr:from>
      <cdr:x>0.36042</cdr:x>
      <cdr:y>0.41276</cdr:y>
    </cdr:from>
    <cdr:to>
      <cdr:x>0.53555</cdr:x>
      <cdr:y>0.55982</cdr:y>
    </cdr:to>
    <cdr:sp macro="" textlink="">
      <cdr:nvSpPr>
        <cdr:cNvPr id="4" name="TextBox 9"/>
        <cdr:cNvSpPr txBox="1"/>
      </cdr:nvSpPr>
      <cdr:spPr>
        <a:xfrm xmlns:a="http://schemas.openxmlformats.org/drawingml/2006/main">
          <a:off x="1647851" y="1132274"/>
          <a:ext cx="800694" cy="403415"/>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200">
              <a:latin typeface="Arial" panose="020B0604020202020204" pitchFamily="34" charset="0"/>
              <a:cs typeface="Arial" panose="020B0604020202020204" pitchFamily="34" charset="0"/>
            </a:rPr>
            <a:t>Fruit growth</a:t>
          </a:r>
        </a:p>
      </cdr:txBody>
    </cdr:sp>
  </cdr:relSizeAnchor>
  <cdr:relSizeAnchor xmlns:cdr="http://schemas.openxmlformats.org/drawingml/2006/chartDrawing">
    <cdr:from>
      <cdr:x>0.58126</cdr:x>
      <cdr:y>0.11026</cdr:y>
    </cdr:from>
    <cdr:to>
      <cdr:x>0.72752</cdr:x>
      <cdr:y>0.25732</cdr:y>
    </cdr:to>
    <cdr:sp macro="" textlink="">
      <cdr:nvSpPr>
        <cdr:cNvPr id="5" name="TextBox 10"/>
        <cdr:cNvSpPr txBox="1"/>
      </cdr:nvSpPr>
      <cdr:spPr>
        <a:xfrm xmlns:a="http://schemas.openxmlformats.org/drawingml/2006/main">
          <a:off x="2650719" y="302475"/>
          <a:ext cx="666987" cy="403415"/>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200">
              <a:latin typeface="Arial" panose="020B0604020202020204" pitchFamily="34" charset="0"/>
              <a:cs typeface="Arial" panose="020B0604020202020204" pitchFamily="34" charset="0"/>
            </a:rPr>
            <a:t>First harvest</a:t>
          </a:r>
        </a:p>
      </cdr:txBody>
    </cdr:sp>
  </cdr:relSizeAnchor>
  <cdr:relSizeAnchor xmlns:cdr="http://schemas.openxmlformats.org/drawingml/2006/chartDrawing">
    <cdr:from>
      <cdr:x>0.06158</cdr:x>
      <cdr:y>0.05313</cdr:y>
    </cdr:from>
    <cdr:to>
      <cdr:x>0.96668</cdr:x>
      <cdr:y>0.90648</cdr:y>
    </cdr:to>
    <cdr:sp macro="" textlink="">
      <cdr:nvSpPr>
        <cdr:cNvPr id="6" name="Freeform 5"/>
        <cdr:cNvSpPr/>
      </cdr:nvSpPr>
      <cdr:spPr>
        <a:xfrm xmlns:a="http://schemas.openxmlformats.org/drawingml/2006/main">
          <a:off x="405120" y="194328"/>
          <a:ext cx="5954291" cy="3121213"/>
        </a:xfrm>
        <a:custGeom xmlns:a="http://schemas.openxmlformats.org/drawingml/2006/main">
          <a:avLst/>
          <a:gdLst>
            <a:gd name="connsiteX0" fmla="*/ 0 w 3624147"/>
            <a:gd name="connsiteY0" fmla="*/ 1663390 h 1663390"/>
            <a:gd name="connsiteX1" fmla="*/ 473927 w 3624147"/>
            <a:gd name="connsiteY1" fmla="*/ 1654097 h 1663390"/>
            <a:gd name="connsiteX2" fmla="*/ 1017549 w 3624147"/>
            <a:gd name="connsiteY2" fmla="*/ 1612280 h 1663390"/>
            <a:gd name="connsiteX3" fmla="*/ 1528647 w 3624147"/>
            <a:gd name="connsiteY3" fmla="*/ 1454305 h 1663390"/>
            <a:gd name="connsiteX4" fmla="*/ 2588012 w 3624147"/>
            <a:gd name="connsiteY4" fmla="*/ 413524 h 1663390"/>
            <a:gd name="connsiteX5" fmla="*/ 3108403 w 3624147"/>
            <a:gd name="connsiteY5" fmla="*/ 92927 h 1663390"/>
            <a:gd name="connsiteX6" fmla="*/ 3624147 w 3624147"/>
            <a:gd name="connsiteY6" fmla="*/ 0 h 1663390"/>
            <a:gd name="connsiteX7" fmla="*/ 3624147 w 3624147"/>
            <a:gd name="connsiteY7" fmla="*/ 0 h 1663390"/>
            <a:gd name="connsiteX0" fmla="*/ 0 w 3624147"/>
            <a:gd name="connsiteY0" fmla="*/ 1663390 h 1663390"/>
            <a:gd name="connsiteX1" fmla="*/ 473927 w 3624147"/>
            <a:gd name="connsiteY1" fmla="*/ 1654097 h 1663390"/>
            <a:gd name="connsiteX2" fmla="*/ 1042224 w 3624147"/>
            <a:gd name="connsiteY2" fmla="*/ 1603997 h 1663390"/>
            <a:gd name="connsiteX3" fmla="*/ 1528647 w 3624147"/>
            <a:gd name="connsiteY3" fmla="*/ 1454305 h 1663390"/>
            <a:gd name="connsiteX4" fmla="*/ 2588012 w 3624147"/>
            <a:gd name="connsiteY4" fmla="*/ 413524 h 1663390"/>
            <a:gd name="connsiteX5" fmla="*/ 3108403 w 3624147"/>
            <a:gd name="connsiteY5" fmla="*/ 92927 h 1663390"/>
            <a:gd name="connsiteX6" fmla="*/ 3624147 w 3624147"/>
            <a:gd name="connsiteY6" fmla="*/ 0 h 1663390"/>
            <a:gd name="connsiteX7" fmla="*/ 3624147 w 3624147"/>
            <a:gd name="connsiteY7" fmla="*/ 0 h 1663390"/>
            <a:gd name="connsiteX0" fmla="*/ 0 w 3624147"/>
            <a:gd name="connsiteY0" fmla="*/ 1663390 h 1665942"/>
            <a:gd name="connsiteX1" fmla="*/ 473927 w 3624147"/>
            <a:gd name="connsiteY1" fmla="*/ 1654097 h 1665942"/>
            <a:gd name="connsiteX2" fmla="*/ 1058673 w 3624147"/>
            <a:gd name="connsiteY2" fmla="*/ 1546019 h 1665942"/>
            <a:gd name="connsiteX3" fmla="*/ 1528647 w 3624147"/>
            <a:gd name="connsiteY3" fmla="*/ 1454305 h 1665942"/>
            <a:gd name="connsiteX4" fmla="*/ 2588012 w 3624147"/>
            <a:gd name="connsiteY4" fmla="*/ 413524 h 1665942"/>
            <a:gd name="connsiteX5" fmla="*/ 3108403 w 3624147"/>
            <a:gd name="connsiteY5" fmla="*/ 92927 h 1665942"/>
            <a:gd name="connsiteX6" fmla="*/ 3624147 w 3624147"/>
            <a:gd name="connsiteY6" fmla="*/ 0 h 1665942"/>
            <a:gd name="connsiteX7" fmla="*/ 3624147 w 3624147"/>
            <a:gd name="connsiteY7" fmla="*/ 0 h 1665942"/>
            <a:gd name="connsiteX0" fmla="*/ 0 w 3624147"/>
            <a:gd name="connsiteY0" fmla="*/ 1663390 h 1665942"/>
            <a:gd name="connsiteX1" fmla="*/ 473927 w 3624147"/>
            <a:gd name="connsiteY1" fmla="*/ 1654097 h 1665942"/>
            <a:gd name="connsiteX2" fmla="*/ 1058673 w 3624147"/>
            <a:gd name="connsiteY2" fmla="*/ 1546019 h 1665942"/>
            <a:gd name="connsiteX3" fmla="*/ 1594445 w 3624147"/>
            <a:gd name="connsiteY3" fmla="*/ 1230674 h 1665942"/>
            <a:gd name="connsiteX4" fmla="*/ 2588012 w 3624147"/>
            <a:gd name="connsiteY4" fmla="*/ 413524 h 1665942"/>
            <a:gd name="connsiteX5" fmla="*/ 3108403 w 3624147"/>
            <a:gd name="connsiteY5" fmla="*/ 92927 h 1665942"/>
            <a:gd name="connsiteX6" fmla="*/ 3624147 w 3624147"/>
            <a:gd name="connsiteY6" fmla="*/ 0 h 1665942"/>
            <a:gd name="connsiteX7" fmla="*/ 3624147 w 3624147"/>
            <a:gd name="connsiteY7" fmla="*/ 0 h 1665942"/>
            <a:gd name="connsiteX0" fmla="*/ 0 w 3624147"/>
            <a:gd name="connsiteY0" fmla="*/ 1663390 h 1663995"/>
            <a:gd name="connsiteX1" fmla="*/ 473927 w 3624147"/>
            <a:gd name="connsiteY1" fmla="*/ 1654097 h 1663995"/>
            <a:gd name="connsiteX2" fmla="*/ 1124471 w 3624147"/>
            <a:gd name="connsiteY2" fmla="*/ 1579150 h 1663995"/>
            <a:gd name="connsiteX3" fmla="*/ 1594445 w 3624147"/>
            <a:gd name="connsiteY3" fmla="*/ 1230674 h 1663995"/>
            <a:gd name="connsiteX4" fmla="*/ 2588012 w 3624147"/>
            <a:gd name="connsiteY4" fmla="*/ 413524 h 1663995"/>
            <a:gd name="connsiteX5" fmla="*/ 3108403 w 3624147"/>
            <a:gd name="connsiteY5" fmla="*/ 92927 h 1663995"/>
            <a:gd name="connsiteX6" fmla="*/ 3624147 w 3624147"/>
            <a:gd name="connsiteY6" fmla="*/ 0 h 1663995"/>
            <a:gd name="connsiteX7" fmla="*/ 3624147 w 3624147"/>
            <a:gd name="connsiteY7" fmla="*/ 0 h 1663995"/>
            <a:gd name="connsiteX0" fmla="*/ 0 w 3624147"/>
            <a:gd name="connsiteY0" fmla="*/ 1663390 h 1663995"/>
            <a:gd name="connsiteX1" fmla="*/ 473927 w 3624147"/>
            <a:gd name="connsiteY1" fmla="*/ 1654097 h 1663995"/>
            <a:gd name="connsiteX2" fmla="*/ 1124471 w 3624147"/>
            <a:gd name="connsiteY2" fmla="*/ 1579150 h 1663995"/>
            <a:gd name="connsiteX3" fmla="*/ 1594445 w 3624147"/>
            <a:gd name="connsiteY3" fmla="*/ 1230674 h 1663995"/>
            <a:gd name="connsiteX4" fmla="*/ 2588012 w 3624147"/>
            <a:gd name="connsiteY4" fmla="*/ 413524 h 1663995"/>
            <a:gd name="connsiteX5" fmla="*/ 3189915 w 3624147"/>
            <a:gd name="connsiteY5" fmla="*/ 92927 h 1663995"/>
            <a:gd name="connsiteX6" fmla="*/ 3624147 w 3624147"/>
            <a:gd name="connsiteY6" fmla="*/ 0 h 1663995"/>
            <a:gd name="connsiteX7" fmla="*/ 3624147 w 3624147"/>
            <a:gd name="connsiteY7" fmla="*/ 0 h 1663995"/>
            <a:gd name="connsiteX0" fmla="*/ 0 w 3624147"/>
            <a:gd name="connsiteY0" fmla="*/ 1663390 h 1663561"/>
            <a:gd name="connsiteX1" fmla="*/ 473927 w 3624147"/>
            <a:gd name="connsiteY1" fmla="*/ 1654097 h 1663561"/>
            <a:gd name="connsiteX2" fmla="*/ 1077445 w 3624147"/>
            <a:gd name="connsiteY2" fmla="*/ 1589055 h 1663561"/>
            <a:gd name="connsiteX3" fmla="*/ 1594445 w 3624147"/>
            <a:gd name="connsiteY3" fmla="*/ 1230674 h 1663561"/>
            <a:gd name="connsiteX4" fmla="*/ 2588012 w 3624147"/>
            <a:gd name="connsiteY4" fmla="*/ 413524 h 1663561"/>
            <a:gd name="connsiteX5" fmla="*/ 3189915 w 3624147"/>
            <a:gd name="connsiteY5" fmla="*/ 92927 h 1663561"/>
            <a:gd name="connsiteX6" fmla="*/ 3624147 w 3624147"/>
            <a:gd name="connsiteY6" fmla="*/ 0 h 1663561"/>
            <a:gd name="connsiteX7" fmla="*/ 3624147 w 3624147"/>
            <a:gd name="connsiteY7" fmla="*/ 0 h 1663561"/>
            <a:gd name="connsiteX0" fmla="*/ 0 w 3624147"/>
            <a:gd name="connsiteY0" fmla="*/ 1663390 h 1663561"/>
            <a:gd name="connsiteX1" fmla="*/ 473927 w 3624147"/>
            <a:gd name="connsiteY1" fmla="*/ 1654097 h 1663561"/>
            <a:gd name="connsiteX2" fmla="*/ 1077445 w 3624147"/>
            <a:gd name="connsiteY2" fmla="*/ 1589055 h 1663561"/>
            <a:gd name="connsiteX3" fmla="*/ 1594445 w 3624147"/>
            <a:gd name="connsiteY3" fmla="*/ 1230674 h 1663561"/>
            <a:gd name="connsiteX4" fmla="*/ 2588012 w 3624147"/>
            <a:gd name="connsiteY4" fmla="*/ 413524 h 1663561"/>
            <a:gd name="connsiteX5" fmla="*/ 3189915 w 3624147"/>
            <a:gd name="connsiteY5" fmla="*/ 92927 h 1663561"/>
            <a:gd name="connsiteX6" fmla="*/ 3624147 w 3624147"/>
            <a:gd name="connsiteY6" fmla="*/ 0 h 1663561"/>
            <a:gd name="connsiteX7" fmla="*/ 3624147 w 3624147"/>
            <a:gd name="connsiteY7" fmla="*/ 0 h 1663561"/>
            <a:gd name="connsiteX0" fmla="*/ 0 w 3624147"/>
            <a:gd name="connsiteY0" fmla="*/ 1663390 h 1663561"/>
            <a:gd name="connsiteX1" fmla="*/ 473927 w 3624147"/>
            <a:gd name="connsiteY1" fmla="*/ 1654097 h 1663561"/>
            <a:gd name="connsiteX2" fmla="*/ 1077445 w 3624147"/>
            <a:gd name="connsiteY2" fmla="*/ 1589055 h 1663561"/>
            <a:gd name="connsiteX3" fmla="*/ 1594445 w 3624147"/>
            <a:gd name="connsiteY3" fmla="*/ 1230674 h 1663561"/>
            <a:gd name="connsiteX4" fmla="*/ 2588012 w 3624147"/>
            <a:gd name="connsiteY4" fmla="*/ 413524 h 1663561"/>
            <a:gd name="connsiteX5" fmla="*/ 3189915 w 3624147"/>
            <a:gd name="connsiteY5" fmla="*/ 92927 h 1663561"/>
            <a:gd name="connsiteX6" fmla="*/ 3624147 w 3624147"/>
            <a:gd name="connsiteY6" fmla="*/ 0 h 1663561"/>
            <a:gd name="connsiteX7" fmla="*/ 3624147 w 3624147"/>
            <a:gd name="connsiteY7" fmla="*/ 0 h 1663561"/>
            <a:gd name="connsiteX0" fmla="*/ 0 w 3624147"/>
            <a:gd name="connsiteY0" fmla="*/ 1663390 h 1663390"/>
            <a:gd name="connsiteX1" fmla="*/ 473927 w 3624147"/>
            <a:gd name="connsiteY1" fmla="*/ 1639240 h 1663390"/>
            <a:gd name="connsiteX2" fmla="*/ 1077445 w 3624147"/>
            <a:gd name="connsiteY2" fmla="*/ 1589055 h 1663390"/>
            <a:gd name="connsiteX3" fmla="*/ 1594445 w 3624147"/>
            <a:gd name="connsiteY3" fmla="*/ 1230674 h 1663390"/>
            <a:gd name="connsiteX4" fmla="*/ 2588012 w 3624147"/>
            <a:gd name="connsiteY4" fmla="*/ 413524 h 1663390"/>
            <a:gd name="connsiteX5" fmla="*/ 3189915 w 3624147"/>
            <a:gd name="connsiteY5" fmla="*/ 92927 h 1663390"/>
            <a:gd name="connsiteX6" fmla="*/ 3624147 w 3624147"/>
            <a:gd name="connsiteY6" fmla="*/ 0 h 1663390"/>
            <a:gd name="connsiteX7" fmla="*/ 3624147 w 3624147"/>
            <a:gd name="connsiteY7" fmla="*/ 0 h 1663390"/>
            <a:gd name="connsiteX0" fmla="*/ 0 w 3624147"/>
            <a:gd name="connsiteY0" fmla="*/ 1663390 h 1663390"/>
            <a:gd name="connsiteX1" fmla="*/ 473927 w 3624147"/>
            <a:gd name="connsiteY1" fmla="*/ 1639240 h 1663390"/>
            <a:gd name="connsiteX2" fmla="*/ 1077445 w 3624147"/>
            <a:gd name="connsiteY2" fmla="*/ 1589055 h 1663390"/>
            <a:gd name="connsiteX3" fmla="*/ 1594445 w 3624147"/>
            <a:gd name="connsiteY3" fmla="*/ 1230674 h 1663390"/>
            <a:gd name="connsiteX4" fmla="*/ 2588012 w 3624147"/>
            <a:gd name="connsiteY4" fmla="*/ 413524 h 1663390"/>
            <a:gd name="connsiteX5" fmla="*/ 3189915 w 3624147"/>
            <a:gd name="connsiteY5" fmla="*/ 92927 h 1663390"/>
            <a:gd name="connsiteX6" fmla="*/ 3624147 w 3624147"/>
            <a:gd name="connsiteY6" fmla="*/ 0 h 1663390"/>
            <a:gd name="connsiteX7" fmla="*/ 3624147 w 3624147"/>
            <a:gd name="connsiteY7" fmla="*/ 0 h 1663390"/>
            <a:gd name="connsiteX0" fmla="*/ 0 w 3624147"/>
            <a:gd name="connsiteY0" fmla="*/ 1663390 h 1663390"/>
            <a:gd name="connsiteX1" fmla="*/ 473927 w 3624147"/>
            <a:gd name="connsiteY1" fmla="*/ 1639240 h 1663390"/>
            <a:gd name="connsiteX2" fmla="*/ 1077445 w 3624147"/>
            <a:gd name="connsiteY2" fmla="*/ 1589055 h 1663390"/>
            <a:gd name="connsiteX3" fmla="*/ 1594445 w 3624147"/>
            <a:gd name="connsiteY3" fmla="*/ 1230674 h 1663390"/>
            <a:gd name="connsiteX4" fmla="*/ 2588012 w 3624147"/>
            <a:gd name="connsiteY4" fmla="*/ 413524 h 1663390"/>
            <a:gd name="connsiteX5" fmla="*/ 3189915 w 3624147"/>
            <a:gd name="connsiteY5" fmla="*/ 92927 h 1663390"/>
            <a:gd name="connsiteX6" fmla="*/ 3624147 w 3624147"/>
            <a:gd name="connsiteY6" fmla="*/ 0 h 1663390"/>
            <a:gd name="connsiteX7" fmla="*/ 3624147 w 3624147"/>
            <a:gd name="connsiteY7" fmla="*/ 0 h 166339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Lst>
          <a:rect l="l" t="t" r="r" b="b"/>
          <a:pathLst>
            <a:path w="3624147" h="1663390">
              <a:moveTo>
                <a:pt x="0" y="1663390"/>
              </a:moveTo>
              <a:cubicBezTo>
                <a:pt x="152168" y="1663002"/>
                <a:pt x="294353" y="1651629"/>
                <a:pt x="473927" y="1639240"/>
              </a:cubicBezTo>
              <a:cubicBezTo>
                <a:pt x="653501" y="1626851"/>
                <a:pt x="959664" y="1622483"/>
                <a:pt x="1077445" y="1589055"/>
              </a:cubicBezTo>
              <a:cubicBezTo>
                <a:pt x="1195226" y="1555627"/>
                <a:pt x="1342684" y="1426596"/>
                <a:pt x="1594445" y="1230674"/>
              </a:cubicBezTo>
              <a:cubicBezTo>
                <a:pt x="1846206" y="1034752"/>
                <a:pt x="2322100" y="603148"/>
                <a:pt x="2588012" y="413524"/>
              </a:cubicBezTo>
              <a:cubicBezTo>
                <a:pt x="2853924" y="223900"/>
                <a:pt x="3017226" y="161848"/>
                <a:pt x="3189915" y="92927"/>
              </a:cubicBezTo>
              <a:cubicBezTo>
                <a:pt x="3362604" y="24006"/>
                <a:pt x="3624147" y="0"/>
                <a:pt x="3624147" y="0"/>
              </a:cubicBezTo>
              <a:lnTo>
                <a:pt x="3624147" y="0"/>
              </a:lnTo>
            </a:path>
          </a:pathLst>
        </a:custGeom>
        <a:noFill xmlns:a="http://schemas.openxmlformats.org/drawingml/2006/main"/>
        <a:ln xmlns:a="http://schemas.openxmlformats.org/drawingml/2006/main">
          <a:solidFill>
            <a:srgbClr val="FF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tlCol="0" anchor="t"/>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l"/>
          <a:endParaRPr lang="en-US" sz="1100"/>
        </a:p>
      </cdr:txBody>
    </cdr:sp>
  </cdr:relSizeAnchor>
</c:userShapes>
</file>

<file path=xl/drawings/drawing24.xml><?xml version="1.0" encoding="utf-8"?>
<xdr:wsDr xmlns:xdr="http://schemas.openxmlformats.org/drawingml/2006/spreadsheetDrawing" xmlns:a="http://schemas.openxmlformats.org/drawingml/2006/main">
  <xdr:twoCellAnchor editAs="oneCell">
    <xdr:from>
      <xdr:col>0</xdr:col>
      <xdr:colOff>0</xdr:colOff>
      <xdr:row>100</xdr:row>
      <xdr:rowOff>44824</xdr:rowOff>
    </xdr:from>
    <xdr:to>
      <xdr:col>5</xdr:col>
      <xdr:colOff>443021</xdr:colOff>
      <xdr:row>114</xdr:row>
      <xdr:rowOff>187348</xdr:rowOff>
    </xdr:to>
    <xdr:pic>
      <xdr:nvPicPr>
        <xdr:cNvPr id="2" name="Picture 1">
          <a:extLst>
            <a:ext uri="{FF2B5EF4-FFF2-40B4-BE49-F238E27FC236}">
              <a16:creationId xmlns:a16="http://schemas.microsoft.com/office/drawing/2014/main" xmlns="" id="{00000000-0008-0000-0700-000002000000}"/>
            </a:ext>
          </a:extLst>
        </xdr:cNvPr>
        <xdr:cNvPicPr>
          <a:picLocks noChangeAspect="1"/>
        </xdr:cNvPicPr>
      </xdr:nvPicPr>
      <xdr:blipFill>
        <a:blip xmlns:r="http://schemas.openxmlformats.org/officeDocument/2006/relationships" r:embed="rId1"/>
        <a:stretch>
          <a:fillRect/>
        </a:stretch>
      </xdr:blipFill>
      <xdr:spPr>
        <a:xfrm>
          <a:off x="0" y="7283824"/>
          <a:ext cx="5855462" cy="2809524"/>
        </a:xfrm>
        <a:prstGeom prst="rect">
          <a:avLst/>
        </a:prstGeom>
      </xdr:spPr>
    </xdr:pic>
    <xdr:clientData/>
  </xdr:twoCellAnchor>
  <xdr:twoCellAnchor editAs="oneCell">
    <xdr:from>
      <xdr:col>5</xdr:col>
      <xdr:colOff>773207</xdr:colOff>
      <xdr:row>104</xdr:row>
      <xdr:rowOff>67237</xdr:rowOff>
    </xdr:from>
    <xdr:to>
      <xdr:col>9</xdr:col>
      <xdr:colOff>691578</xdr:colOff>
      <xdr:row>114</xdr:row>
      <xdr:rowOff>57475</xdr:rowOff>
    </xdr:to>
    <xdr:pic>
      <xdr:nvPicPr>
        <xdr:cNvPr id="3" name="Picture 2">
          <a:extLst>
            <a:ext uri="{FF2B5EF4-FFF2-40B4-BE49-F238E27FC236}">
              <a16:creationId xmlns:a16="http://schemas.microsoft.com/office/drawing/2014/main" xmlns="" id="{00000000-0008-0000-0700-000003000000}"/>
            </a:ext>
          </a:extLst>
        </xdr:cNvPr>
        <xdr:cNvPicPr>
          <a:picLocks noChangeAspect="1"/>
        </xdr:cNvPicPr>
      </xdr:nvPicPr>
      <xdr:blipFill>
        <a:blip xmlns:r="http://schemas.openxmlformats.org/officeDocument/2006/relationships" r:embed="rId2"/>
        <a:stretch>
          <a:fillRect/>
        </a:stretch>
      </xdr:blipFill>
      <xdr:spPr>
        <a:xfrm>
          <a:off x="6185648" y="8068237"/>
          <a:ext cx="3089636" cy="1895238"/>
        </a:xfrm>
        <a:prstGeom prst="rect">
          <a:avLst/>
        </a:prstGeom>
      </xdr:spPr>
    </xdr:pic>
    <xdr:clientData/>
  </xdr:twoCellAnchor>
  <xdr:twoCellAnchor editAs="oneCell">
    <xdr:from>
      <xdr:col>0</xdr:col>
      <xdr:colOff>0</xdr:colOff>
      <xdr:row>115</xdr:row>
      <xdr:rowOff>150718</xdr:rowOff>
    </xdr:from>
    <xdr:to>
      <xdr:col>2</xdr:col>
      <xdr:colOff>259473</xdr:colOff>
      <xdr:row>138</xdr:row>
      <xdr:rowOff>184337</xdr:rowOff>
    </xdr:to>
    <xdr:pic>
      <xdr:nvPicPr>
        <xdr:cNvPr id="4" name="Picture 3">
          <a:extLst>
            <a:ext uri="{FF2B5EF4-FFF2-40B4-BE49-F238E27FC236}">
              <a16:creationId xmlns:a16="http://schemas.microsoft.com/office/drawing/2014/main" xmlns="" id="{00000000-0008-0000-0700-000004000000}"/>
            </a:ext>
          </a:extLst>
        </xdr:cNvPr>
        <xdr:cNvPicPr>
          <a:picLocks noChangeAspect="1"/>
        </xdr:cNvPicPr>
      </xdr:nvPicPr>
      <xdr:blipFill>
        <a:blip xmlns:r="http://schemas.openxmlformats.org/officeDocument/2006/relationships" r:embed="rId3"/>
        <a:stretch>
          <a:fillRect/>
        </a:stretch>
      </xdr:blipFill>
      <xdr:spPr>
        <a:xfrm>
          <a:off x="0" y="22439218"/>
          <a:ext cx="3021723" cy="4415119"/>
        </a:xfrm>
        <a:prstGeom prst="rect">
          <a:avLst/>
        </a:prstGeom>
      </xdr:spPr>
    </xdr:pic>
    <xdr:clientData/>
  </xdr:twoCellAnchor>
  <xdr:twoCellAnchor editAs="oneCell">
    <xdr:from>
      <xdr:col>6</xdr:col>
      <xdr:colOff>0</xdr:colOff>
      <xdr:row>97</xdr:row>
      <xdr:rowOff>33618</xdr:rowOff>
    </xdr:from>
    <xdr:to>
      <xdr:col>9</xdr:col>
      <xdr:colOff>497341</xdr:colOff>
      <xdr:row>104</xdr:row>
      <xdr:rowOff>78442</xdr:rowOff>
    </xdr:to>
    <xdr:pic>
      <xdr:nvPicPr>
        <xdr:cNvPr id="5" name="Picture 4">
          <a:extLst>
            <a:ext uri="{FF2B5EF4-FFF2-40B4-BE49-F238E27FC236}">
              <a16:creationId xmlns:a16="http://schemas.microsoft.com/office/drawing/2014/main" xmlns="" id="{00000000-0008-0000-0700-000005000000}"/>
            </a:ext>
          </a:extLst>
        </xdr:cNvPr>
        <xdr:cNvPicPr>
          <a:picLocks noChangeAspect="1"/>
        </xdr:cNvPicPr>
      </xdr:nvPicPr>
      <xdr:blipFill>
        <a:blip xmlns:r="http://schemas.openxmlformats.org/officeDocument/2006/relationships" r:embed="rId4"/>
        <a:stretch>
          <a:fillRect/>
        </a:stretch>
      </xdr:blipFill>
      <xdr:spPr>
        <a:xfrm>
          <a:off x="6308912" y="6701118"/>
          <a:ext cx="2772135" cy="1378324"/>
        </a:xfrm>
        <a:prstGeom prst="rect">
          <a:avLst/>
        </a:prstGeom>
      </xdr:spPr>
    </xdr:pic>
    <xdr:clientData/>
  </xdr:twoCellAnchor>
  <xdr:twoCellAnchor>
    <xdr:from>
      <xdr:col>17</xdr:col>
      <xdr:colOff>742950</xdr:colOff>
      <xdr:row>11</xdr:row>
      <xdr:rowOff>101973</xdr:rowOff>
    </xdr:from>
    <xdr:to>
      <xdr:col>26</xdr:col>
      <xdr:colOff>31936</xdr:colOff>
      <xdr:row>27</xdr:row>
      <xdr:rowOff>76200</xdr:rowOff>
    </xdr:to>
    <xdr:graphicFrame macro="">
      <xdr:nvGraphicFramePr>
        <xdr:cNvPr id="6" name="Chart 5">
          <a:extLst>
            <a:ext uri="{FF2B5EF4-FFF2-40B4-BE49-F238E27FC236}">
              <a16:creationId xmlns:a16="http://schemas.microsoft.com/office/drawing/2014/main" xmlns="" id="{00000000-0008-0000-07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32</xdr:col>
      <xdr:colOff>347354</xdr:colOff>
      <xdr:row>8</xdr:row>
      <xdr:rowOff>493</xdr:rowOff>
    </xdr:from>
    <xdr:to>
      <xdr:col>42</xdr:col>
      <xdr:colOff>194954</xdr:colOff>
      <xdr:row>27</xdr:row>
      <xdr:rowOff>38593</xdr:rowOff>
    </xdr:to>
    <xdr:graphicFrame macro="">
      <xdr:nvGraphicFramePr>
        <xdr:cNvPr id="10" name="Chart 9">
          <a:extLst>
            <a:ext uri="{FF2B5EF4-FFF2-40B4-BE49-F238E27FC236}">
              <a16:creationId xmlns:a16="http://schemas.microsoft.com/office/drawing/2014/main" xmlns="" id="{00000000-0008-0000-07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12</xdr:col>
      <xdr:colOff>184933</xdr:colOff>
      <xdr:row>99</xdr:row>
      <xdr:rowOff>167197</xdr:rowOff>
    </xdr:from>
    <xdr:to>
      <xdr:col>19</xdr:col>
      <xdr:colOff>594902</xdr:colOff>
      <xdr:row>123</xdr:row>
      <xdr:rowOff>52340</xdr:rowOff>
    </xdr:to>
    <xdr:pic>
      <xdr:nvPicPr>
        <xdr:cNvPr id="11" name="Picture 10">
          <a:extLst>
            <a:ext uri="{FF2B5EF4-FFF2-40B4-BE49-F238E27FC236}">
              <a16:creationId xmlns:a16="http://schemas.microsoft.com/office/drawing/2014/main" xmlns="" id="{00000000-0008-0000-0700-00000B000000}"/>
            </a:ext>
          </a:extLst>
        </xdr:cNvPr>
        <xdr:cNvPicPr>
          <a:picLocks noChangeAspect="1"/>
        </xdr:cNvPicPr>
      </xdr:nvPicPr>
      <xdr:blipFill>
        <a:blip xmlns:r="http://schemas.openxmlformats.org/officeDocument/2006/relationships" r:embed="rId7"/>
        <a:stretch>
          <a:fillRect/>
        </a:stretch>
      </xdr:blipFill>
      <xdr:spPr>
        <a:xfrm>
          <a:off x="12635469" y="19217197"/>
          <a:ext cx="5812004" cy="4457143"/>
        </a:xfrm>
        <a:prstGeom prst="rect">
          <a:avLst/>
        </a:prstGeom>
      </xdr:spPr>
    </xdr:pic>
    <xdr:clientData/>
  </xdr:twoCellAnchor>
  <xdr:twoCellAnchor editAs="oneCell">
    <xdr:from>
      <xdr:col>19</xdr:col>
      <xdr:colOff>273504</xdr:colOff>
      <xdr:row>33</xdr:row>
      <xdr:rowOff>176893</xdr:rowOff>
    </xdr:from>
    <xdr:to>
      <xdr:col>29</xdr:col>
      <xdr:colOff>406853</xdr:colOff>
      <xdr:row>49</xdr:row>
      <xdr:rowOff>176893</xdr:rowOff>
    </xdr:to>
    <xdr:pic>
      <xdr:nvPicPr>
        <xdr:cNvPr id="15" name="Picture 14" descr="Image result for feekes scale zadoks">
          <a:extLst>
            <a:ext uri="{FF2B5EF4-FFF2-40B4-BE49-F238E27FC236}">
              <a16:creationId xmlns:a16="http://schemas.microsoft.com/office/drawing/2014/main" xmlns="" id="{00000000-0008-0000-0700-00000F000000}"/>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8126075" y="6653893"/>
          <a:ext cx="6256564" cy="3048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5.xml><?xml version="1.0" encoding="utf-8"?>
<c:userShapes xmlns:c="http://schemas.openxmlformats.org/drawingml/2006/chart">
  <cdr:relSizeAnchor xmlns:cdr="http://schemas.openxmlformats.org/drawingml/2006/chartDrawing">
    <cdr:from>
      <cdr:x>0.13452</cdr:x>
      <cdr:y>0.08917</cdr:y>
    </cdr:from>
    <cdr:to>
      <cdr:x>0.93206</cdr:x>
      <cdr:y>0.81089</cdr:y>
    </cdr:to>
    <cdr:sp macro="" textlink="">
      <cdr:nvSpPr>
        <cdr:cNvPr id="2" name="Freeform 1"/>
        <cdr:cNvSpPr/>
      </cdr:nvSpPr>
      <cdr:spPr>
        <a:xfrm xmlns:a="http://schemas.openxmlformats.org/drawingml/2006/main">
          <a:off x="748794" y="282434"/>
          <a:ext cx="4439438" cy="2285955"/>
        </a:xfrm>
        <a:custGeom xmlns:a="http://schemas.openxmlformats.org/drawingml/2006/main">
          <a:avLst/>
          <a:gdLst>
            <a:gd name="connsiteX0" fmla="*/ 0 w 3645776"/>
            <a:gd name="connsiteY0" fmla="*/ 3665483 h 3736727"/>
            <a:gd name="connsiteX1" fmla="*/ 683172 w 3645776"/>
            <a:gd name="connsiteY1" fmla="*/ 3540673 h 3736727"/>
            <a:gd name="connsiteX2" fmla="*/ 1714500 w 3645776"/>
            <a:gd name="connsiteY2" fmla="*/ 1996966 h 3736727"/>
            <a:gd name="connsiteX3" fmla="*/ 2627586 w 3645776"/>
            <a:gd name="connsiteY3" fmla="*/ 538656 h 3736727"/>
            <a:gd name="connsiteX4" fmla="*/ 3645776 w 3645776"/>
            <a:gd name="connsiteY4" fmla="*/ 0 h 3736727"/>
            <a:gd name="connsiteX5" fmla="*/ 3645776 w 3645776"/>
            <a:gd name="connsiteY5" fmla="*/ 0 h 3736727"/>
            <a:gd name="connsiteX0" fmla="*/ 0 w 3645776"/>
            <a:gd name="connsiteY0" fmla="*/ 3665483 h 3685433"/>
            <a:gd name="connsiteX1" fmla="*/ 683172 w 3645776"/>
            <a:gd name="connsiteY1" fmla="*/ 3540673 h 3685433"/>
            <a:gd name="connsiteX2" fmla="*/ 1714500 w 3645776"/>
            <a:gd name="connsiteY2" fmla="*/ 1996966 h 3685433"/>
            <a:gd name="connsiteX3" fmla="*/ 2627586 w 3645776"/>
            <a:gd name="connsiteY3" fmla="*/ 538656 h 3685433"/>
            <a:gd name="connsiteX4" fmla="*/ 3645776 w 3645776"/>
            <a:gd name="connsiteY4" fmla="*/ 0 h 3685433"/>
            <a:gd name="connsiteX5" fmla="*/ 3645776 w 3645776"/>
            <a:gd name="connsiteY5" fmla="*/ 0 h 3685433"/>
            <a:gd name="connsiteX0" fmla="*/ 0 w 3645776"/>
            <a:gd name="connsiteY0" fmla="*/ 3665483 h 3666310"/>
            <a:gd name="connsiteX1" fmla="*/ 683172 w 3645776"/>
            <a:gd name="connsiteY1" fmla="*/ 3540673 h 3666310"/>
            <a:gd name="connsiteX2" fmla="*/ 1714500 w 3645776"/>
            <a:gd name="connsiteY2" fmla="*/ 1996966 h 3666310"/>
            <a:gd name="connsiteX3" fmla="*/ 2627586 w 3645776"/>
            <a:gd name="connsiteY3" fmla="*/ 538656 h 3666310"/>
            <a:gd name="connsiteX4" fmla="*/ 3645776 w 3645776"/>
            <a:gd name="connsiteY4" fmla="*/ 0 h 3666310"/>
            <a:gd name="connsiteX5" fmla="*/ 3645776 w 3645776"/>
            <a:gd name="connsiteY5" fmla="*/ 0 h 3666310"/>
            <a:gd name="connsiteX0" fmla="*/ 0 w 3645776"/>
            <a:gd name="connsiteY0" fmla="*/ 3665483 h 3667019"/>
            <a:gd name="connsiteX1" fmla="*/ 683172 w 3645776"/>
            <a:gd name="connsiteY1" fmla="*/ 3540673 h 3667019"/>
            <a:gd name="connsiteX2" fmla="*/ 1714500 w 3645776"/>
            <a:gd name="connsiteY2" fmla="*/ 1996966 h 3667019"/>
            <a:gd name="connsiteX3" fmla="*/ 2627586 w 3645776"/>
            <a:gd name="connsiteY3" fmla="*/ 538656 h 3667019"/>
            <a:gd name="connsiteX4" fmla="*/ 3645776 w 3645776"/>
            <a:gd name="connsiteY4" fmla="*/ 0 h 3667019"/>
            <a:gd name="connsiteX5" fmla="*/ 3645776 w 3645776"/>
            <a:gd name="connsiteY5" fmla="*/ 0 h 3667019"/>
            <a:gd name="connsiteX0" fmla="*/ 0 w 3645776"/>
            <a:gd name="connsiteY0" fmla="*/ 3665483 h 3667019"/>
            <a:gd name="connsiteX1" fmla="*/ 683172 w 3645776"/>
            <a:gd name="connsiteY1" fmla="*/ 3540673 h 3667019"/>
            <a:gd name="connsiteX2" fmla="*/ 1714500 w 3645776"/>
            <a:gd name="connsiteY2" fmla="*/ 1996966 h 3667019"/>
            <a:gd name="connsiteX3" fmla="*/ 2627586 w 3645776"/>
            <a:gd name="connsiteY3" fmla="*/ 538656 h 3667019"/>
            <a:gd name="connsiteX4" fmla="*/ 3645776 w 3645776"/>
            <a:gd name="connsiteY4" fmla="*/ 0 h 3667019"/>
            <a:gd name="connsiteX5" fmla="*/ 3645776 w 3645776"/>
            <a:gd name="connsiteY5" fmla="*/ 0 h 3667019"/>
            <a:gd name="connsiteX0" fmla="*/ 0 w 3724690"/>
            <a:gd name="connsiteY0" fmla="*/ 3707127 h 3708663"/>
            <a:gd name="connsiteX1" fmla="*/ 683172 w 3724690"/>
            <a:gd name="connsiteY1" fmla="*/ 3582317 h 3708663"/>
            <a:gd name="connsiteX2" fmla="*/ 1714500 w 3724690"/>
            <a:gd name="connsiteY2" fmla="*/ 2038610 h 3708663"/>
            <a:gd name="connsiteX3" fmla="*/ 2627586 w 3724690"/>
            <a:gd name="connsiteY3" fmla="*/ 580300 h 3708663"/>
            <a:gd name="connsiteX4" fmla="*/ 3645776 w 3724690"/>
            <a:gd name="connsiteY4" fmla="*/ 41644 h 3708663"/>
            <a:gd name="connsiteX5" fmla="*/ 3658914 w 3724690"/>
            <a:gd name="connsiteY5" fmla="*/ 35075 h 3708663"/>
            <a:gd name="connsiteX0" fmla="*/ 0 w 3823138"/>
            <a:gd name="connsiteY0" fmla="*/ 3686512 h 3688048"/>
            <a:gd name="connsiteX1" fmla="*/ 683172 w 3823138"/>
            <a:gd name="connsiteY1" fmla="*/ 3561702 h 3688048"/>
            <a:gd name="connsiteX2" fmla="*/ 1714500 w 3823138"/>
            <a:gd name="connsiteY2" fmla="*/ 2017995 h 3688048"/>
            <a:gd name="connsiteX3" fmla="*/ 2627586 w 3823138"/>
            <a:gd name="connsiteY3" fmla="*/ 559685 h 3688048"/>
            <a:gd name="connsiteX4" fmla="*/ 3645776 w 3823138"/>
            <a:gd name="connsiteY4" fmla="*/ 21029 h 3688048"/>
            <a:gd name="connsiteX5" fmla="*/ 3823138 w 3823138"/>
            <a:gd name="connsiteY5" fmla="*/ 99857 h 3688048"/>
            <a:gd name="connsiteX0" fmla="*/ 0 w 3645776"/>
            <a:gd name="connsiteY0" fmla="*/ 3665483 h 3667019"/>
            <a:gd name="connsiteX1" fmla="*/ 683172 w 3645776"/>
            <a:gd name="connsiteY1" fmla="*/ 3540673 h 3667019"/>
            <a:gd name="connsiteX2" fmla="*/ 1714500 w 3645776"/>
            <a:gd name="connsiteY2" fmla="*/ 1996966 h 3667019"/>
            <a:gd name="connsiteX3" fmla="*/ 2627586 w 3645776"/>
            <a:gd name="connsiteY3" fmla="*/ 538656 h 3667019"/>
            <a:gd name="connsiteX4" fmla="*/ 3645776 w 3645776"/>
            <a:gd name="connsiteY4" fmla="*/ 0 h 3667019"/>
            <a:gd name="connsiteX0" fmla="*/ 0 w 3645776"/>
            <a:gd name="connsiteY0" fmla="*/ 3665483 h 3667019"/>
            <a:gd name="connsiteX1" fmla="*/ 683172 w 3645776"/>
            <a:gd name="connsiteY1" fmla="*/ 3540673 h 3667019"/>
            <a:gd name="connsiteX2" fmla="*/ 1714500 w 3645776"/>
            <a:gd name="connsiteY2" fmla="*/ 1996966 h 3667019"/>
            <a:gd name="connsiteX3" fmla="*/ 2627586 w 3645776"/>
            <a:gd name="connsiteY3" fmla="*/ 538656 h 3667019"/>
            <a:gd name="connsiteX4" fmla="*/ 3645776 w 3645776"/>
            <a:gd name="connsiteY4" fmla="*/ 0 h 3667019"/>
            <a:gd name="connsiteX0" fmla="*/ 0 w 3645776"/>
            <a:gd name="connsiteY0" fmla="*/ 3665483 h 3690040"/>
            <a:gd name="connsiteX1" fmla="*/ 683172 w 3645776"/>
            <a:gd name="connsiteY1" fmla="*/ 3540673 h 3690040"/>
            <a:gd name="connsiteX2" fmla="*/ 1714500 w 3645776"/>
            <a:gd name="connsiteY2" fmla="*/ 1996966 h 3690040"/>
            <a:gd name="connsiteX3" fmla="*/ 2627586 w 3645776"/>
            <a:gd name="connsiteY3" fmla="*/ 538656 h 3690040"/>
            <a:gd name="connsiteX4" fmla="*/ 3645776 w 3645776"/>
            <a:gd name="connsiteY4" fmla="*/ 0 h 3690040"/>
            <a:gd name="connsiteX0" fmla="*/ 0 w 3645776"/>
            <a:gd name="connsiteY0" fmla="*/ 3665483 h 3668402"/>
            <a:gd name="connsiteX1" fmla="*/ 683172 w 3645776"/>
            <a:gd name="connsiteY1" fmla="*/ 3540673 h 3668402"/>
            <a:gd name="connsiteX2" fmla="*/ 1714500 w 3645776"/>
            <a:gd name="connsiteY2" fmla="*/ 1996966 h 3668402"/>
            <a:gd name="connsiteX3" fmla="*/ 2627586 w 3645776"/>
            <a:gd name="connsiteY3" fmla="*/ 538656 h 3668402"/>
            <a:gd name="connsiteX4" fmla="*/ 3645776 w 3645776"/>
            <a:gd name="connsiteY4" fmla="*/ 0 h 3668402"/>
            <a:gd name="connsiteX0" fmla="*/ 0 w 3645776"/>
            <a:gd name="connsiteY0" fmla="*/ 3665483 h 3667994"/>
            <a:gd name="connsiteX1" fmla="*/ 683172 w 3645776"/>
            <a:gd name="connsiteY1" fmla="*/ 3540673 h 3667994"/>
            <a:gd name="connsiteX2" fmla="*/ 1714500 w 3645776"/>
            <a:gd name="connsiteY2" fmla="*/ 1996966 h 3667994"/>
            <a:gd name="connsiteX3" fmla="*/ 2627586 w 3645776"/>
            <a:gd name="connsiteY3" fmla="*/ 538656 h 3667994"/>
            <a:gd name="connsiteX4" fmla="*/ 3645776 w 3645776"/>
            <a:gd name="connsiteY4" fmla="*/ 0 h 3667994"/>
            <a:gd name="connsiteX0" fmla="*/ 0 w 3645776"/>
            <a:gd name="connsiteY0" fmla="*/ 3665483 h 3666420"/>
            <a:gd name="connsiteX1" fmla="*/ 683172 w 3645776"/>
            <a:gd name="connsiteY1" fmla="*/ 3540673 h 3666420"/>
            <a:gd name="connsiteX2" fmla="*/ 1714500 w 3645776"/>
            <a:gd name="connsiteY2" fmla="*/ 1996966 h 3666420"/>
            <a:gd name="connsiteX3" fmla="*/ 2627586 w 3645776"/>
            <a:gd name="connsiteY3" fmla="*/ 538656 h 3666420"/>
            <a:gd name="connsiteX4" fmla="*/ 3645776 w 3645776"/>
            <a:gd name="connsiteY4" fmla="*/ 0 h 3666420"/>
            <a:gd name="connsiteX0" fmla="*/ 0 w 3645776"/>
            <a:gd name="connsiteY0" fmla="*/ 3665483 h 3667193"/>
            <a:gd name="connsiteX1" fmla="*/ 683172 w 3645776"/>
            <a:gd name="connsiteY1" fmla="*/ 3540673 h 3667193"/>
            <a:gd name="connsiteX2" fmla="*/ 1182414 w 3645776"/>
            <a:gd name="connsiteY2" fmla="*/ 3100550 h 3667193"/>
            <a:gd name="connsiteX3" fmla="*/ 1714500 w 3645776"/>
            <a:gd name="connsiteY3" fmla="*/ 1996966 h 3667193"/>
            <a:gd name="connsiteX4" fmla="*/ 2627586 w 3645776"/>
            <a:gd name="connsiteY4" fmla="*/ 538656 h 3667193"/>
            <a:gd name="connsiteX5" fmla="*/ 3645776 w 3645776"/>
            <a:gd name="connsiteY5" fmla="*/ 0 h 3667193"/>
            <a:gd name="connsiteX0" fmla="*/ 0 w 3645776"/>
            <a:gd name="connsiteY0" fmla="*/ 3665483 h 3667193"/>
            <a:gd name="connsiteX1" fmla="*/ 683172 w 3645776"/>
            <a:gd name="connsiteY1" fmla="*/ 3540673 h 3667193"/>
            <a:gd name="connsiteX2" fmla="*/ 1182414 w 3645776"/>
            <a:gd name="connsiteY2" fmla="*/ 3100550 h 3667193"/>
            <a:gd name="connsiteX3" fmla="*/ 1714500 w 3645776"/>
            <a:gd name="connsiteY3" fmla="*/ 1996966 h 3667193"/>
            <a:gd name="connsiteX4" fmla="*/ 2627586 w 3645776"/>
            <a:gd name="connsiteY4" fmla="*/ 538656 h 3667193"/>
            <a:gd name="connsiteX5" fmla="*/ 3645776 w 3645776"/>
            <a:gd name="connsiteY5" fmla="*/ 0 h 3667193"/>
            <a:gd name="connsiteX0" fmla="*/ 0 w 3637012"/>
            <a:gd name="connsiteY0" fmla="*/ 3556710 h 3558420"/>
            <a:gd name="connsiteX1" fmla="*/ 683172 w 3637012"/>
            <a:gd name="connsiteY1" fmla="*/ 3431900 h 3558420"/>
            <a:gd name="connsiteX2" fmla="*/ 1182414 w 3637012"/>
            <a:gd name="connsiteY2" fmla="*/ 2991777 h 3558420"/>
            <a:gd name="connsiteX3" fmla="*/ 1714500 w 3637012"/>
            <a:gd name="connsiteY3" fmla="*/ 1888193 h 3558420"/>
            <a:gd name="connsiteX4" fmla="*/ 2627586 w 3637012"/>
            <a:gd name="connsiteY4" fmla="*/ 429883 h 3558420"/>
            <a:gd name="connsiteX5" fmla="*/ 3637012 w 3637012"/>
            <a:gd name="connsiteY5" fmla="*/ 0 h 3558420"/>
            <a:gd name="connsiteX0" fmla="*/ 0 w 3637012"/>
            <a:gd name="connsiteY0" fmla="*/ 3556710 h 3558420"/>
            <a:gd name="connsiteX1" fmla="*/ 683172 w 3637012"/>
            <a:gd name="connsiteY1" fmla="*/ 3431900 h 3558420"/>
            <a:gd name="connsiteX2" fmla="*/ 1182414 w 3637012"/>
            <a:gd name="connsiteY2" fmla="*/ 2991777 h 3558420"/>
            <a:gd name="connsiteX3" fmla="*/ 1714500 w 3637012"/>
            <a:gd name="connsiteY3" fmla="*/ 1888193 h 3558420"/>
            <a:gd name="connsiteX4" fmla="*/ 2366250 w 3637012"/>
            <a:gd name="connsiteY4" fmla="*/ 932337 h 3558420"/>
            <a:gd name="connsiteX5" fmla="*/ 2627586 w 3637012"/>
            <a:gd name="connsiteY5" fmla="*/ 429883 h 3558420"/>
            <a:gd name="connsiteX6" fmla="*/ 3637012 w 3637012"/>
            <a:gd name="connsiteY6" fmla="*/ 0 h 3558420"/>
            <a:gd name="connsiteX0" fmla="*/ 0 w 3637012"/>
            <a:gd name="connsiteY0" fmla="*/ 3556710 h 3558420"/>
            <a:gd name="connsiteX1" fmla="*/ 683172 w 3637012"/>
            <a:gd name="connsiteY1" fmla="*/ 3431900 h 3558420"/>
            <a:gd name="connsiteX2" fmla="*/ 1182414 w 3637012"/>
            <a:gd name="connsiteY2" fmla="*/ 2991777 h 3558420"/>
            <a:gd name="connsiteX3" fmla="*/ 1793375 w 3637012"/>
            <a:gd name="connsiteY3" fmla="*/ 1919271 h 3558420"/>
            <a:gd name="connsiteX4" fmla="*/ 2366250 w 3637012"/>
            <a:gd name="connsiteY4" fmla="*/ 932337 h 3558420"/>
            <a:gd name="connsiteX5" fmla="*/ 2627586 w 3637012"/>
            <a:gd name="connsiteY5" fmla="*/ 429883 h 3558420"/>
            <a:gd name="connsiteX6" fmla="*/ 3637012 w 3637012"/>
            <a:gd name="connsiteY6" fmla="*/ 0 h 3558420"/>
            <a:gd name="connsiteX0" fmla="*/ 0 w 3637012"/>
            <a:gd name="connsiteY0" fmla="*/ 3556710 h 3558347"/>
            <a:gd name="connsiteX1" fmla="*/ 683172 w 3637012"/>
            <a:gd name="connsiteY1" fmla="*/ 3431900 h 3558347"/>
            <a:gd name="connsiteX2" fmla="*/ 1173650 w 3637012"/>
            <a:gd name="connsiteY2" fmla="*/ 3007315 h 3558347"/>
            <a:gd name="connsiteX3" fmla="*/ 1793375 w 3637012"/>
            <a:gd name="connsiteY3" fmla="*/ 1919271 h 3558347"/>
            <a:gd name="connsiteX4" fmla="*/ 2366250 w 3637012"/>
            <a:gd name="connsiteY4" fmla="*/ 932337 h 3558347"/>
            <a:gd name="connsiteX5" fmla="*/ 2627586 w 3637012"/>
            <a:gd name="connsiteY5" fmla="*/ 429883 h 3558347"/>
            <a:gd name="connsiteX6" fmla="*/ 3637012 w 3637012"/>
            <a:gd name="connsiteY6" fmla="*/ 0 h 3558347"/>
            <a:gd name="connsiteX0" fmla="*/ 0 w 3637012"/>
            <a:gd name="connsiteY0" fmla="*/ 3556710 h 3558347"/>
            <a:gd name="connsiteX1" fmla="*/ 683172 w 3637012"/>
            <a:gd name="connsiteY1" fmla="*/ 3431900 h 3558347"/>
            <a:gd name="connsiteX2" fmla="*/ 1173650 w 3637012"/>
            <a:gd name="connsiteY2" fmla="*/ 3007315 h 3558347"/>
            <a:gd name="connsiteX3" fmla="*/ 1793375 w 3637012"/>
            <a:gd name="connsiteY3" fmla="*/ 1919271 h 3558347"/>
            <a:gd name="connsiteX4" fmla="*/ 2366250 w 3637012"/>
            <a:gd name="connsiteY4" fmla="*/ 932337 h 3558347"/>
            <a:gd name="connsiteX5" fmla="*/ 2706461 w 3637012"/>
            <a:gd name="connsiteY5" fmla="*/ 243416 h 3558347"/>
            <a:gd name="connsiteX6" fmla="*/ 3637012 w 3637012"/>
            <a:gd name="connsiteY6" fmla="*/ 0 h 3558347"/>
            <a:gd name="connsiteX0" fmla="*/ 0 w 3637012"/>
            <a:gd name="connsiteY0" fmla="*/ 3556710 h 3558347"/>
            <a:gd name="connsiteX1" fmla="*/ 683172 w 3637012"/>
            <a:gd name="connsiteY1" fmla="*/ 3431900 h 3558347"/>
            <a:gd name="connsiteX2" fmla="*/ 1173650 w 3637012"/>
            <a:gd name="connsiteY2" fmla="*/ 3007315 h 3558347"/>
            <a:gd name="connsiteX3" fmla="*/ 1793375 w 3637012"/>
            <a:gd name="connsiteY3" fmla="*/ 1919271 h 3558347"/>
            <a:gd name="connsiteX4" fmla="*/ 2366250 w 3637012"/>
            <a:gd name="connsiteY4" fmla="*/ 932337 h 3558347"/>
            <a:gd name="connsiteX5" fmla="*/ 2776572 w 3637012"/>
            <a:gd name="connsiteY5" fmla="*/ 336649 h 3558347"/>
            <a:gd name="connsiteX6" fmla="*/ 3637012 w 3637012"/>
            <a:gd name="connsiteY6" fmla="*/ 0 h 3558347"/>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Lst>
          <a:rect l="l" t="t" r="r" b="b"/>
          <a:pathLst>
            <a:path w="3637012" h="3558347">
              <a:moveTo>
                <a:pt x="0" y="3556710"/>
              </a:moveTo>
              <a:cubicBezTo>
                <a:pt x="198711" y="3567658"/>
                <a:pt x="487564" y="3523466"/>
                <a:pt x="683172" y="3431900"/>
              </a:cubicBezTo>
              <a:cubicBezTo>
                <a:pt x="878780" y="3340334"/>
                <a:pt x="1001762" y="3264600"/>
                <a:pt x="1173650" y="3007315"/>
              </a:cubicBezTo>
              <a:cubicBezTo>
                <a:pt x="1345538" y="2750031"/>
                <a:pt x="1594608" y="2265101"/>
                <a:pt x="1793375" y="1919271"/>
              </a:cubicBezTo>
              <a:cubicBezTo>
                <a:pt x="1992142" y="1573441"/>
                <a:pt x="2214069" y="1175389"/>
                <a:pt x="2366250" y="932337"/>
              </a:cubicBezTo>
              <a:cubicBezTo>
                <a:pt x="2518431" y="689285"/>
                <a:pt x="2564778" y="492039"/>
                <a:pt x="2776572" y="336649"/>
              </a:cubicBezTo>
              <a:cubicBezTo>
                <a:pt x="2988366" y="181260"/>
                <a:pt x="3142149" y="37224"/>
                <a:pt x="3637012" y="0"/>
              </a:cubicBezTo>
            </a:path>
          </a:pathLst>
        </a:custGeom>
        <a:noFill xmlns:a="http://schemas.openxmlformats.org/drawingml/2006/main"/>
        <a:ln xmlns:a="http://schemas.openxmlformats.org/drawingml/2006/main">
          <a:solidFill>
            <a:srgbClr val="FF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horzOverflow="clip" rtlCol="0" anchor="t"/>
        <a:lstStyle xmlns:a="http://schemas.openxmlformats.org/drawingml/2006/main"/>
        <a:p xmlns:a="http://schemas.openxmlformats.org/drawingml/2006/main">
          <a:endParaRPr lang="en-US"/>
        </a:p>
      </cdr:txBody>
    </cdr:sp>
  </cdr:relSizeAnchor>
</c:userShapes>
</file>

<file path=xl/drawings/drawing26.xml><?xml version="1.0" encoding="utf-8"?>
<c:userShapes xmlns:c="http://schemas.openxmlformats.org/drawingml/2006/chart">
  <cdr:relSizeAnchor xmlns:cdr="http://schemas.openxmlformats.org/drawingml/2006/chartDrawing">
    <cdr:from>
      <cdr:x>0.07592</cdr:x>
      <cdr:y>0.08727</cdr:y>
    </cdr:from>
    <cdr:to>
      <cdr:x>0.97183</cdr:x>
      <cdr:y>0.93814</cdr:y>
    </cdr:to>
    <cdr:sp macro="" textlink="">
      <cdr:nvSpPr>
        <cdr:cNvPr id="2" name="Freeform 1"/>
        <cdr:cNvSpPr/>
      </cdr:nvSpPr>
      <cdr:spPr>
        <a:xfrm xmlns:a="http://schemas.openxmlformats.org/drawingml/2006/main">
          <a:off x="498059" y="334250"/>
          <a:ext cx="5877579" cy="3258795"/>
        </a:xfrm>
        <a:custGeom xmlns:a="http://schemas.openxmlformats.org/drawingml/2006/main">
          <a:avLst/>
          <a:gdLst>
            <a:gd name="connsiteX0" fmla="*/ 0 w 3645776"/>
            <a:gd name="connsiteY0" fmla="*/ 3665483 h 3736727"/>
            <a:gd name="connsiteX1" fmla="*/ 683172 w 3645776"/>
            <a:gd name="connsiteY1" fmla="*/ 3540673 h 3736727"/>
            <a:gd name="connsiteX2" fmla="*/ 1714500 w 3645776"/>
            <a:gd name="connsiteY2" fmla="*/ 1996966 h 3736727"/>
            <a:gd name="connsiteX3" fmla="*/ 2627586 w 3645776"/>
            <a:gd name="connsiteY3" fmla="*/ 538656 h 3736727"/>
            <a:gd name="connsiteX4" fmla="*/ 3645776 w 3645776"/>
            <a:gd name="connsiteY4" fmla="*/ 0 h 3736727"/>
            <a:gd name="connsiteX5" fmla="*/ 3645776 w 3645776"/>
            <a:gd name="connsiteY5" fmla="*/ 0 h 3736727"/>
            <a:gd name="connsiteX0" fmla="*/ 0 w 3645776"/>
            <a:gd name="connsiteY0" fmla="*/ 3665483 h 3685433"/>
            <a:gd name="connsiteX1" fmla="*/ 683172 w 3645776"/>
            <a:gd name="connsiteY1" fmla="*/ 3540673 h 3685433"/>
            <a:gd name="connsiteX2" fmla="*/ 1714500 w 3645776"/>
            <a:gd name="connsiteY2" fmla="*/ 1996966 h 3685433"/>
            <a:gd name="connsiteX3" fmla="*/ 2627586 w 3645776"/>
            <a:gd name="connsiteY3" fmla="*/ 538656 h 3685433"/>
            <a:gd name="connsiteX4" fmla="*/ 3645776 w 3645776"/>
            <a:gd name="connsiteY4" fmla="*/ 0 h 3685433"/>
            <a:gd name="connsiteX5" fmla="*/ 3645776 w 3645776"/>
            <a:gd name="connsiteY5" fmla="*/ 0 h 3685433"/>
            <a:gd name="connsiteX0" fmla="*/ 0 w 3645776"/>
            <a:gd name="connsiteY0" fmla="*/ 3665483 h 3666310"/>
            <a:gd name="connsiteX1" fmla="*/ 683172 w 3645776"/>
            <a:gd name="connsiteY1" fmla="*/ 3540673 h 3666310"/>
            <a:gd name="connsiteX2" fmla="*/ 1714500 w 3645776"/>
            <a:gd name="connsiteY2" fmla="*/ 1996966 h 3666310"/>
            <a:gd name="connsiteX3" fmla="*/ 2627586 w 3645776"/>
            <a:gd name="connsiteY3" fmla="*/ 538656 h 3666310"/>
            <a:gd name="connsiteX4" fmla="*/ 3645776 w 3645776"/>
            <a:gd name="connsiteY4" fmla="*/ 0 h 3666310"/>
            <a:gd name="connsiteX5" fmla="*/ 3645776 w 3645776"/>
            <a:gd name="connsiteY5" fmla="*/ 0 h 3666310"/>
            <a:gd name="connsiteX0" fmla="*/ 0 w 3645776"/>
            <a:gd name="connsiteY0" fmla="*/ 3665483 h 3667019"/>
            <a:gd name="connsiteX1" fmla="*/ 683172 w 3645776"/>
            <a:gd name="connsiteY1" fmla="*/ 3540673 h 3667019"/>
            <a:gd name="connsiteX2" fmla="*/ 1714500 w 3645776"/>
            <a:gd name="connsiteY2" fmla="*/ 1996966 h 3667019"/>
            <a:gd name="connsiteX3" fmla="*/ 2627586 w 3645776"/>
            <a:gd name="connsiteY3" fmla="*/ 538656 h 3667019"/>
            <a:gd name="connsiteX4" fmla="*/ 3645776 w 3645776"/>
            <a:gd name="connsiteY4" fmla="*/ 0 h 3667019"/>
            <a:gd name="connsiteX5" fmla="*/ 3645776 w 3645776"/>
            <a:gd name="connsiteY5" fmla="*/ 0 h 3667019"/>
            <a:gd name="connsiteX0" fmla="*/ 0 w 3645776"/>
            <a:gd name="connsiteY0" fmla="*/ 3665483 h 3667019"/>
            <a:gd name="connsiteX1" fmla="*/ 683172 w 3645776"/>
            <a:gd name="connsiteY1" fmla="*/ 3540673 h 3667019"/>
            <a:gd name="connsiteX2" fmla="*/ 1714500 w 3645776"/>
            <a:gd name="connsiteY2" fmla="*/ 1996966 h 3667019"/>
            <a:gd name="connsiteX3" fmla="*/ 2627586 w 3645776"/>
            <a:gd name="connsiteY3" fmla="*/ 538656 h 3667019"/>
            <a:gd name="connsiteX4" fmla="*/ 3645776 w 3645776"/>
            <a:gd name="connsiteY4" fmla="*/ 0 h 3667019"/>
            <a:gd name="connsiteX5" fmla="*/ 3645776 w 3645776"/>
            <a:gd name="connsiteY5" fmla="*/ 0 h 3667019"/>
            <a:gd name="connsiteX0" fmla="*/ 0 w 3724690"/>
            <a:gd name="connsiteY0" fmla="*/ 3707127 h 3708663"/>
            <a:gd name="connsiteX1" fmla="*/ 683172 w 3724690"/>
            <a:gd name="connsiteY1" fmla="*/ 3582317 h 3708663"/>
            <a:gd name="connsiteX2" fmla="*/ 1714500 w 3724690"/>
            <a:gd name="connsiteY2" fmla="*/ 2038610 h 3708663"/>
            <a:gd name="connsiteX3" fmla="*/ 2627586 w 3724690"/>
            <a:gd name="connsiteY3" fmla="*/ 580300 h 3708663"/>
            <a:gd name="connsiteX4" fmla="*/ 3645776 w 3724690"/>
            <a:gd name="connsiteY4" fmla="*/ 41644 h 3708663"/>
            <a:gd name="connsiteX5" fmla="*/ 3658914 w 3724690"/>
            <a:gd name="connsiteY5" fmla="*/ 35075 h 3708663"/>
            <a:gd name="connsiteX0" fmla="*/ 0 w 3823138"/>
            <a:gd name="connsiteY0" fmla="*/ 3686512 h 3688048"/>
            <a:gd name="connsiteX1" fmla="*/ 683172 w 3823138"/>
            <a:gd name="connsiteY1" fmla="*/ 3561702 h 3688048"/>
            <a:gd name="connsiteX2" fmla="*/ 1714500 w 3823138"/>
            <a:gd name="connsiteY2" fmla="*/ 2017995 h 3688048"/>
            <a:gd name="connsiteX3" fmla="*/ 2627586 w 3823138"/>
            <a:gd name="connsiteY3" fmla="*/ 559685 h 3688048"/>
            <a:gd name="connsiteX4" fmla="*/ 3645776 w 3823138"/>
            <a:gd name="connsiteY4" fmla="*/ 21029 h 3688048"/>
            <a:gd name="connsiteX5" fmla="*/ 3823138 w 3823138"/>
            <a:gd name="connsiteY5" fmla="*/ 99857 h 3688048"/>
            <a:gd name="connsiteX0" fmla="*/ 0 w 3645776"/>
            <a:gd name="connsiteY0" fmla="*/ 3665483 h 3667019"/>
            <a:gd name="connsiteX1" fmla="*/ 683172 w 3645776"/>
            <a:gd name="connsiteY1" fmla="*/ 3540673 h 3667019"/>
            <a:gd name="connsiteX2" fmla="*/ 1714500 w 3645776"/>
            <a:gd name="connsiteY2" fmla="*/ 1996966 h 3667019"/>
            <a:gd name="connsiteX3" fmla="*/ 2627586 w 3645776"/>
            <a:gd name="connsiteY3" fmla="*/ 538656 h 3667019"/>
            <a:gd name="connsiteX4" fmla="*/ 3645776 w 3645776"/>
            <a:gd name="connsiteY4" fmla="*/ 0 h 3667019"/>
            <a:gd name="connsiteX0" fmla="*/ 0 w 3645776"/>
            <a:gd name="connsiteY0" fmla="*/ 3665483 h 3667019"/>
            <a:gd name="connsiteX1" fmla="*/ 683172 w 3645776"/>
            <a:gd name="connsiteY1" fmla="*/ 3540673 h 3667019"/>
            <a:gd name="connsiteX2" fmla="*/ 1714500 w 3645776"/>
            <a:gd name="connsiteY2" fmla="*/ 1996966 h 3667019"/>
            <a:gd name="connsiteX3" fmla="*/ 2627586 w 3645776"/>
            <a:gd name="connsiteY3" fmla="*/ 538656 h 3667019"/>
            <a:gd name="connsiteX4" fmla="*/ 3645776 w 3645776"/>
            <a:gd name="connsiteY4" fmla="*/ 0 h 3667019"/>
            <a:gd name="connsiteX0" fmla="*/ 0 w 3645776"/>
            <a:gd name="connsiteY0" fmla="*/ 3665483 h 3690040"/>
            <a:gd name="connsiteX1" fmla="*/ 683172 w 3645776"/>
            <a:gd name="connsiteY1" fmla="*/ 3540673 h 3690040"/>
            <a:gd name="connsiteX2" fmla="*/ 1714500 w 3645776"/>
            <a:gd name="connsiteY2" fmla="*/ 1996966 h 3690040"/>
            <a:gd name="connsiteX3" fmla="*/ 2627586 w 3645776"/>
            <a:gd name="connsiteY3" fmla="*/ 538656 h 3690040"/>
            <a:gd name="connsiteX4" fmla="*/ 3645776 w 3645776"/>
            <a:gd name="connsiteY4" fmla="*/ 0 h 3690040"/>
            <a:gd name="connsiteX0" fmla="*/ 0 w 3645776"/>
            <a:gd name="connsiteY0" fmla="*/ 3665483 h 3668402"/>
            <a:gd name="connsiteX1" fmla="*/ 683172 w 3645776"/>
            <a:gd name="connsiteY1" fmla="*/ 3540673 h 3668402"/>
            <a:gd name="connsiteX2" fmla="*/ 1714500 w 3645776"/>
            <a:gd name="connsiteY2" fmla="*/ 1996966 h 3668402"/>
            <a:gd name="connsiteX3" fmla="*/ 2627586 w 3645776"/>
            <a:gd name="connsiteY3" fmla="*/ 538656 h 3668402"/>
            <a:gd name="connsiteX4" fmla="*/ 3645776 w 3645776"/>
            <a:gd name="connsiteY4" fmla="*/ 0 h 3668402"/>
            <a:gd name="connsiteX0" fmla="*/ 0 w 3645776"/>
            <a:gd name="connsiteY0" fmla="*/ 3665483 h 3667994"/>
            <a:gd name="connsiteX1" fmla="*/ 683172 w 3645776"/>
            <a:gd name="connsiteY1" fmla="*/ 3540673 h 3667994"/>
            <a:gd name="connsiteX2" fmla="*/ 1714500 w 3645776"/>
            <a:gd name="connsiteY2" fmla="*/ 1996966 h 3667994"/>
            <a:gd name="connsiteX3" fmla="*/ 2627586 w 3645776"/>
            <a:gd name="connsiteY3" fmla="*/ 538656 h 3667994"/>
            <a:gd name="connsiteX4" fmla="*/ 3645776 w 3645776"/>
            <a:gd name="connsiteY4" fmla="*/ 0 h 3667994"/>
            <a:gd name="connsiteX0" fmla="*/ 0 w 3645776"/>
            <a:gd name="connsiteY0" fmla="*/ 3665483 h 3666420"/>
            <a:gd name="connsiteX1" fmla="*/ 683172 w 3645776"/>
            <a:gd name="connsiteY1" fmla="*/ 3540673 h 3666420"/>
            <a:gd name="connsiteX2" fmla="*/ 1714500 w 3645776"/>
            <a:gd name="connsiteY2" fmla="*/ 1996966 h 3666420"/>
            <a:gd name="connsiteX3" fmla="*/ 2627586 w 3645776"/>
            <a:gd name="connsiteY3" fmla="*/ 538656 h 3666420"/>
            <a:gd name="connsiteX4" fmla="*/ 3645776 w 3645776"/>
            <a:gd name="connsiteY4" fmla="*/ 0 h 3666420"/>
            <a:gd name="connsiteX0" fmla="*/ 0 w 3645776"/>
            <a:gd name="connsiteY0" fmla="*/ 3665483 h 3667193"/>
            <a:gd name="connsiteX1" fmla="*/ 683172 w 3645776"/>
            <a:gd name="connsiteY1" fmla="*/ 3540673 h 3667193"/>
            <a:gd name="connsiteX2" fmla="*/ 1182414 w 3645776"/>
            <a:gd name="connsiteY2" fmla="*/ 3100550 h 3667193"/>
            <a:gd name="connsiteX3" fmla="*/ 1714500 w 3645776"/>
            <a:gd name="connsiteY3" fmla="*/ 1996966 h 3667193"/>
            <a:gd name="connsiteX4" fmla="*/ 2627586 w 3645776"/>
            <a:gd name="connsiteY4" fmla="*/ 538656 h 3667193"/>
            <a:gd name="connsiteX5" fmla="*/ 3645776 w 3645776"/>
            <a:gd name="connsiteY5" fmla="*/ 0 h 3667193"/>
            <a:gd name="connsiteX0" fmla="*/ 0 w 3645776"/>
            <a:gd name="connsiteY0" fmla="*/ 3665483 h 3667193"/>
            <a:gd name="connsiteX1" fmla="*/ 683172 w 3645776"/>
            <a:gd name="connsiteY1" fmla="*/ 3540673 h 3667193"/>
            <a:gd name="connsiteX2" fmla="*/ 1182414 w 3645776"/>
            <a:gd name="connsiteY2" fmla="*/ 3100550 h 3667193"/>
            <a:gd name="connsiteX3" fmla="*/ 1714500 w 3645776"/>
            <a:gd name="connsiteY3" fmla="*/ 1996966 h 3667193"/>
            <a:gd name="connsiteX4" fmla="*/ 2627586 w 3645776"/>
            <a:gd name="connsiteY4" fmla="*/ 538656 h 3667193"/>
            <a:gd name="connsiteX5" fmla="*/ 3645776 w 3645776"/>
            <a:gd name="connsiteY5" fmla="*/ 0 h 3667193"/>
            <a:gd name="connsiteX0" fmla="*/ 0 w 3645776"/>
            <a:gd name="connsiteY0" fmla="*/ 3665483 h 3667193"/>
            <a:gd name="connsiteX1" fmla="*/ 683172 w 3645776"/>
            <a:gd name="connsiteY1" fmla="*/ 3540673 h 3667193"/>
            <a:gd name="connsiteX2" fmla="*/ 1182414 w 3645776"/>
            <a:gd name="connsiteY2" fmla="*/ 3100550 h 3667193"/>
            <a:gd name="connsiteX3" fmla="*/ 1714500 w 3645776"/>
            <a:gd name="connsiteY3" fmla="*/ 1996966 h 3667193"/>
            <a:gd name="connsiteX4" fmla="*/ 2627586 w 3645776"/>
            <a:gd name="connsiteY4" fmla="*/ 538656 h 3667193"/>
            <a:gd name="connsiteX5" fmla="*/ 3645776 w 3645776"/>
            <a:gd name="connsiteY5" fmla="*/ 0 h 3667193"/>
            <a:gd name="connsiteX0" fmla="*/ 0 w 3645776"/>
            <a:gd name="connsiteY0" fmla="*/ 3665483 h 3667193"/>
            <a:gd name="connsiteX1" fmla="*/ 683172 w 3645776"/>
            <a:gd name="connsiteY1" fmla="*/ 3540673 h 3667193"/>
            <a:gd name="connsiteX2" fmla="*/ 1182414 w 3645776"/>
            <a:gd name="connsiteY2" fmla="*/ 3100550 h 3667193"/>
            <a:gd name="connsiteX3" fmla="*/ 1714500 w 3645776"/>
            <a:gd name="connsiteY3" fmla="*/ 1996966 h 3667193"/>
            <a:gd name="connsiteX4" fmla="*/ 2627586 w 3645776"/>
            <a:gd name="connsiteY4" fmla="*/ 538656 h 3667193"/>
            <a:gd name="connsiteX5" fmla="*/ 3645776 w 3645776"/>
            <a:gd name="connsiteY5" fmla="*/ 0 h 3667193"/>
            <a:gd name="connsiteX0" fmla="*/ 0 w 3645776"/>
            <a:gd name="connsiteY0" fmla="*/ 3665483 h 3667193"/>
            <a:gd name="connsiteX1" fmla="*/ 683172 w 3645776"/>
            <a:gd name="connsiteY1" fmla="*/ 3540673 h 3667193"/>
            <a:gd name="connsiteX2" fmla="*/ 1182414 w 3645776"/>
            <a:gd name="connsiteY2" fmla="*/ 3100550 h 3667193"/>
            <a:gd name="connsiteX3" fmla="*/ 1792438 w 3645776"/>
            <a:gd name="connsiteY3" fmla="*/ 1996966 h 3667193"/>
            <a:gd name="connsiteX4" fmla="*/ 2627586 w 3645776"/>
            <a:gd name="connsiteY4" fmla="*/ 538656 h 3667193"/>
            <a:gd name="connsiteX5" fmla="*/ 3645776 w 3645776"/>
            <a:gd name="connsiteY5" fmla="*/ 0 h 3667193"/>
            <a:gd name="connsiteX0" fmla="*/ 0 w 3645776"/>
            <a:gd name="connsiteY0" fmla="*/ 3665483 h 3668480"/>
            <a:gd name="connsiteX1" fmla="*/ 683172 w 3645776"/>
            <a:gd name="connsiteY1" fmla="*/ 3540673 h 3668480"/>
            <a:gd name="connsiteX2" fmla="*/ 1182414 w 3645776"/>
            <a:gd name="connsiteY2" fmla="*/ 3100550 h 3668480"/>
            <a:gd name="connsiteX3" fmla="*/ 1792438 w 3645776"/>
            <a:gd name="connsiteY3" fmla="*/ 1996966 h 3668480"/>
            <a:gd name="connsiteX4" fmla="*/ 2627586 w 3645776"/>
            <a:gd name="connsiteY4" fmla="*/ 538656 h 3668480"/>
            <a:gd name="connsiteX5" fmla="*/ 3645776 w 3645776"/>
            <a:gd name="connsiteY5" fmla="*/ 0 h 3668480"/>
            <a:gd name="connsiteX0" fmla="*/ 0 w 3645776"/>
            <a:gd name="connsiteY0" fmla="*/ 3665483 h 3668480"/>
            <a:gd name="connsiteX1" fmla="*/ 683172 w 3645776"/>
            <a:gd name="connsiteY1" fmla="*/ 3540673 h 3668480"/>
            <a:gd name="connsiteX2" fmla="*/ 1182414 w 3645776"/>
            <a:gd name="connsiteY2" fmla="*/ 3100550 h 3668480"/>
            <a:gd name="connsiteX3" fmla="*/ 1792438 w 3645776"/>
            <a:gd name="connsiteY3" fmla="*/ 1996966 h 3668480"/>
            <a:gd name="connsiteX4" fmla="*/ 2627586 w 3645776"/>
            <a:gd name="connsiteY4" fmla="*/ 538656 h 3668480"/>
            <a:gd name="connsiteX5" fmla="*/ 3645776 w 3645776"/>
            <a:gd name="connsiteY5" fmla="*/ 0 h 366848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Lst>
          <a:rect l="l" t="t" r="r" b="b"/>
          <a:pathLst>
            <a:path w="3645776" h="3668480">
              <a:moveTo>
                <a:pt x="0" y="3665483"/>
              </a:moveTo>
              <a:cubicBezTo>
                <a:pt x="198711" y="3676431"/>
                <a:pt x="317236" y="3662213"/>
                <a:pt x="683172" y="3540673"/>
              </a:cubicBezTo>
              <a:cubicBezTo>
                <a:pt x="1049108" y="3419133"/>
                <a:pt x="1035771" y="3368790"/>
                <a:pt x="1182414" y="3100550"/>
              </a:cubicBezTo>
              <a:cubicBezTo>
                <a:pt x="1329057" y="2832310"/>
                <a:pt x="1551576" y="2423948"/>
                <a:pt x="1792438" y="1996966"/>
              </a:cubicBezTo>
              <a:cubicBezTo>
                <a:pt x="2033300" y="1569984"/>
                <a:pt x="2371396" y="851777"/>
                <a:pt x="2627586" y="538656"/>
              </a:cubicBezTo>
              <a:cubicBezTo>
                <a:pt x="2951087" y="101779"/>
                <a:pt x="3150913" y="37224"/>
                <a:pt x="3645776" y="0"/>
              </a:cubicBezTo>
            </a:path>
          </a:pathLst>
        </a:custGeom>
        <a:noFill xmlns:a="http://schemas.openxmlformats.org/drawingml/2006/main"/>
        <a:ln xmlns:a="http://schemas.openxmlformats.org/drawingml/2006/main">
          <a:solidFill>
            <a:srgbClr val="FF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tlCol="0" anchor="t"/>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en-US"/>
        </a:p>
      </cdr:txBody>
    </cdr:sp>
  </cdr:relSizeAnchor>
  <cdr:relSizeAnchor xmlns:cdr="http://schemas.openxmlformats.org/drawingml/2006/chartDrawing">
    <cdr:from>
      <cdr:x>0.16318</cdr:x>
      <cdr:y>0.70189</cdr:y>
    </cdr:from>
    <cdr:to>
      <cdr:x>0.33805</cdr:x>
      <cdr:y>0.85565</cdr:y>
    </cdr:to>
    <cdr:sp macro="" textlink="">
      <cdr:nvSpPr>
        <cdr:cNvPr id="3" name="TextBox 2"/>
        <cdr:cNvSpPr txBox="1"/>
      </cdr:nvSpPr>
      <cdr:spPr>
        <a:xfrm xmlns:a="http://schemas.openxmlformats.org/drawingml/2006/main">
          <a:off x="746624" y="1925411"/>
          <a:ext cx="800095" cy="42182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000">
              <a:latin typeface="Arial" panose="020B0604020202020204" pitchFamily="34" charset="0"/>
              <a:cs typeface="Arial" panose="020B0604020202020204" pitchFamily="34" charset="0"/>
            </a:rPr>
            <a:t>Tillering</a:t>
          </a:r>
        </a:p>
      </cdr:txBody>
    </cdr:sp>
  </cdr:relSizeAnchor>
  <cdr:relSizeAnchor xmlns:cdr="http://schemas.openxmlformats.org/drawingml/2006/chartDrawing">
    <cdr:from>
      <cdr:x>0.5586</cdr:x>
      <cdr:y>0.06318</cdr:y>
    </cdr:from>
    <cdr:to>
      <cdr:x>0.73347</cdr:x>
      <cdr:y>0.14847</cdr:y>
    </cdr:to>
    <cdr:sp macro="" textlink="">
      <cdr:nvSpPr>
        <cdr:cNvPr id="6" name="TextBox 1"/>
        <cdr:cNvSpPr txBox="1"/>
      </cdr:nvSpPr>
      <cdr:spPr>
        <a:xfrm xmlns:a="http://schemas.openxmlformats.org/drawingml/2006/main">
          <a:off x="3320091" y="231072"/>
          <a:ext cx="1039357" cy="31195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a:latin typeface="Arial" panose="020B0604020202020204" pitchFamily="34" charset="0"/>
              <a:cs typeface="Arial" panose="020B0604020202020204" pitchFamily="34" charset="0"/>
            </a:rPr>
            <a:t>Flowering</a:t>
          </a:r>
        </a:p>
      </cdr:txBody>
    </cdr:sp>
  </cdr:relSizeAnchor>
  <cdr:relSizeAnchor xmlns:cdr="http://schemas.openxmlformats.org/drawingml/2006/chartDrawing">
    <cdr:from>
      <cdr:x>0.88382</cdr:x>
      <cdr:y>0.083</cdr:y>
    </cdr:from>
    <cdr:to>
      <cdr:x>1</cdr:x>
      <cdr:y>0.23677</cdr:y>
    </cdr:to>
    <cdr:sp macro="" textlink="">
      <cdr:nvSpPr>
        <cdr:cNvPr id="10" name="TextBox 1"/>
        <cdr:cNvSpPr txBox="1"/>
      </cdr:nvSpPr>
      <cdr:spPr>
        <a:xfrm xmlns:a="http://schemas.openxmlformats.org/drawingml/2006/main">
          <a:off x="4057649" y="227692"/>
          <a:ext cx="533401" cy="42182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a:latin typeface="Arial" panose="020B0604020202020204" pitchFamily="34" charset="0"/>
              <a:cs typeface="Arial" panose="020B0604020202020204" pitchFamily="34" charset="0"/>
            </a:rPr>
            <a:t>Ripe</a:t>
          </a:r>
        </a:p>
      </cdr:txBody>
    </cdr:sp>
  </cdr:relSizeAnchor>
  <cdr:relSizeAnchor xmlns:cdr="http://schemas.openxmlformats.org/drawingml/2006/chartDrawing">
    <cdr:from>
      <cdr:x>0.57188</cdr:x>
      <cdr:y>0.11452</cdr:y>
    </cdr:from>
    <cdr:to>
      <cdr:x>0.67603</cdr:x>
      <cdr:y>0.18091</cdr:y>
    </cdr:to>
    <cdr:sp macro="" textlink="">
      <cdr:nvSpPr>
        <cdr:cNvPr id="11" name="Left Brace 10"/>
        <cdr:cNvSpPr/>
      </cdr:nvSpPr>
      <cdr:spPr>
        <a:xfrm xmlns:a="http://schemas.openxmlformats.org/drawingml/2006/main" rot="5400000">
          <a:off x="3587150" y="230782"/>
          <a:ext cx="242828" cy="619026"/>
        </a:xfrm>
        <a:prstGeom xmlns:a="http://schemas.openxmlformats.org/drawingml/2006/main" prst="leftBrace">
          <a:avLst/>
        </a:prstGeom>
      </cdr:spPr>
      <cdr:style>
        <a:lnRef xmlns:a="http://schemas.openxmlformats.org/drawingml/2006/main" idx="1">
          <a:schemeClr val="dk1"/>
        </a:lnRef>
        <a:fillRef xmlns:a="http://schemas.openxmlformats.org/drawingml/2006/main" idx="0">
          <a:schemeClr val="dk1"/>
        </a:fillRef>
        <a:effectRef xmlns:a="http://schemas.openxmlformats.org/drawingml/2006/main" idx="0">
          <a:schemeClr val="dk1"/>
        </a:effectRef>
        <a:fontRef xmlns:a="http://schemas.openxmlformats.org/drawingml/2006/main" idx="minor">
          <a:schemeClr val="tx1"/>
        </a:fontRef>
      </cdr:style>
      <cdr:txBody>
        <a:bodyPr xmlns:a="http://schemas.openxmlformats.org/drawingml/2006/main" vertOverflow="clip" horzOverflow="clip" rtlCol="0" anchor="t"/>
        <a:lstStyle xmlns:a="http://schemas.openxmlformats.org/drawingml/2006/main"/>
        <a:p xmlns:a="http://schemas.openxmlformats.org/drawingml/2006/main">
          <a:endParaRPr lang="en-US"/>
        </a:p>
      </cdr:txBody>
    </cdr:sp>
  </cdr:relSizeAnchor>
  <cdr:relSizeAnchor xmlns:cdr="http://schemas.openxmlformats.org/drawingml/2006/chartDrawing">
    <cdr:from>
      <cdr:x>0.29214</cdr:x>
      <cdr:y>0.31713</cdr:y>
    </cdr:from>
    <cdr:to>
      <cdr:x>0.50906</cdr:x>
      <cdr:y>0.4709</cdr:y>
    </cdr:to>
    <cdr:sp macro="" textlink="">
      <cdr:nvSpPr>
        <cdr:cNvPr id="12" name="TextBox 1"/>
        <cdr:cNvSpPr txBox="1"/>
      </cdr:nvSpPr>
      <cdr:spPr>
        <a:xfrm xmlns:a="http://schemas.openxmlformats.org/drawingml/2006/main">
          <a:off x="1336675" y="869950"/>
          <a:ext cx="992496" cy="42182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1000">
              <a:latin typeface="Arial" panose="020B0604020202020204" pitchFamily="34" charset="0"/>
              <a:cs typeface="Arial" panose="020B0604020202020204" pitchFamily="34" charset="0"/>
            </a:rPr>
            <a:t>Stem elongation</a:t>
          </a:r>
        </a:p>
      </cdr:txBody>
    </cdr:sp>
  </cdr:relSizeAnchor>
  <cdr:relSizeAnchor xmlns:cdr="http://schemas.openxmlformats.org/drawingml/2006/chartDrawing">
    <cdr:from>
      <cdr:x>0.34835</cdr:x>
      <cdr:y>0.46644</cdr:y>
    </cdr:from>
    <cdr:to>
      <cdr:x>0.45249</cdr:x>
      <cdr:y>0.53283</cdr:y>
    </cdr:to>
    <cdr:sp macro="" textlink="">
      <cdr:nvSpPr>
        <cdr:cNvPr id="13" name="Left Brace 12"/>
        <cdr:cNvSpPr/>
      </cdr:nvSpPr>
      <cdr:spPr>
        <a:xfrm xmlns:a="http://schemas.openxmlformats.org/drawingml/2006/main" rot="5400000">
          <a:off x="1741049" y="1132327"/>
          <a:ext cx="182125" cy="476524"/>
        </a:xfrm>
        <a:prstGeom xmlns:a="http://schemas.openxmlformats.org/drawingml/2006/main" prst="leftBrace">
          <a:avLst/>
        </a:prstGeom>
      </cdr:spPr>
      <cdr:style>
        <a:lnRef xmlns:a="http://schemas.openxmlformats.org/drawingml/2006/main" idx="1">
          <a:schemeClr val="dk1"/>
        </a:lnRef>
        <a:fillRef xmlns:a="http://schemas.openxmlformats.org/drawingml/2006/main" idx="0">
          <a:schemeClr val="dk1"/>
        </a:fillRef>
        <a:effectRef xmlns:a="http://schemas.openxmlformats.org/drawingml/2006/main" idx="0">
          <a:schemeClr val="dk1"/>
        </a:effectRef>
        <a:fontRef xmlns:a="http://schemas.openxmlformats.org/drawingml/2006/main" idx="minor">
          <a:schemeClr val="tx1"/>
        </a:fontRef>
      </cdr:style>
      <cdr:txBody>
        <a:bodyPr xmlns:a="http://schemas.openxmlformats.org/drawingml/2006/main" rtlCol="0" anchor="t"/>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endParaRPr lang="en-US"/>
        </a:p>
      </cdr:txBody>
    </cdr:sp>
  </cdr:relSizeAnchor>
</c:userShapes>
</file>

<file path=xl/drawings/drawing27.xml><?xml version="1.0" encoding="utf-8"?>
<xdr:wsDr xmlns:xdr="http://schemas.openxmlformats.org/drawingml/2006/spreadsheetDrawing" xmlns:a="http://schemas.openxmlformats.org/drawingml/2006/main">
  <xdr:twoCellAnchor editAs="oneCell">
    <xdr:from>
      <xdr:col>0</xdr:col>
      <xdr:colOff>0</xdr:colOff>
      <xdr:row>109</xdr:row>
      <xdr:rowOff>0</xdr:rowOff>
    </xdr:from>
    <xdr:to>
      <xdr:col>10</xdr:col>
      <xdr:colOff>810746</xdr:colOff>
      <xdr:row>153</xdr:row>
      <xdr:rowOff>56096</xdr:rowOff>
    </xdr:to>
    <xdr:pic>
      <xdr:nvPicPr>
        <xdr:cNvPr id="13" name="Picture 12">
          <a:extLst>
            <a:ext uri="{FF2B5EF4-FFF2-40B4-BE49-F238E27FC236}">
              <a16:creationId xmlns:a16="http://schemas.microsoft.com/office/drawing/2014/main" xmlns="" id="{00000000-0008-0000-0800-00000D000000}"/>
            </a:ext>
          </a:extLst>
        </xdr:cNvPr>
        <xdr:cNvPicPr>
          <a:picLocks noChangeAspect="1"/>
        </xdr:cNvPicPr>
      </xdr:nvPicPr>
      <xdr:blipFill>
        <a:blip xmlns:r="http://schemas.openxmlformats.org/officeDocument/2006/relationships" r:embed="rId1"/>
        <a:stretch>
          <a:fillRect/>
        </a:stretch>
      </xdr:blipFill>
      <xdr:spPr>
        <a:xfrm>
          <a:off x="0" y="21145500"/>
          <a:ext cx="10085715" cy="8438096"/>
        </a:xfrm>
        <a:prstGeom prst="rect">
          <a:avLst/>
        </a:prstGeom>
      </xdr:spPr>
    </xdr:pic>
    <xdr:clientData/>
  </xdr:twoCellAnchor>
  <xdr:twoCellAnchor>
    <xdr:from>
      <xdr:col>18</xdr:col>
      <xdr:colOff>0</xdr:colOff>
      <xdr:row>14</xdr:row>
      <xdr:rowOff>165652</xdr:rowOff>
    </xdr:from>
    <xdr:to>
      <xdr:col>25</xdr:col>
      <xdr:colOff>325164</xdr:colOff>
      <xdr:row>29</xdr:row>
      <xdr:rowOff>51352</xdr:rowOff>
    </xdr:to>
    <xdr:graphicFrame macro="">
      <xdr:nvGraphicFramePr>
        <xdr:cNvPr id="15" name="Chart 14">
          <a:extLst>
            <a:ext uri="{FF2B5EF4-FFF2-40B4-BE49-F238E27FC236}">
              <a16:creationId xmlns:a16="http://schemas.microsoft.com/office/drawing/2014/main" xmlns="" id="{00000000-0008-0000-08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25</xdr:col>
      <xdr:colOff>505240</xdr:colOff>
      <xdr:row>13</xdr:row>
      <xdr:rowOff>65433</xdr:rowOff>
    </xdr:from>
    <xdr:to>
      <xdr:col>33</xdr:col>
      <xdr:colOff>173935</xdr:colOff>
      <xdr:row>27</xdr:row>
      <xdr:rowOff>141633</xdr:rowOff>
    </xdr:to>
    <xdr:graphicFrame macro="">
      <xdr:nvGraphicFramePr>
        <xdr:cNvPr id="17" name="Chart 16">
          <a:extLst>
            <a:ext uri="{FF2B5EF4-FFF2-40B4-BE49-F238E27FC236}">
              <a16:creationId xmlns:a16="http://schemas.microsoft.com/office/drawing/2014/main" xmlns="" id="{00000000-0008-0000-0800-000011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8.xml><?xml version="1.0" encoding="utf-8"?>
<c:userShapes xmlns:c="http://schemas.openxmlformats.org/drawingml/2006/chart">
  <cdr:relSizeAnchor xmlns:cdr="http://schemas.openxmlformats.org/drawingml/2006/chartDrawing">
    <cdr:from>
      <cdr:x>0.14596</cdr:x>
      <cdr:y>0.04893</cdr:y>
    </cdr:from>
    <cdr:to>
      <cdr:x>0.94812</cdr:x>
      <cdr:y>0.78152</cdr:y>
    </cdr:to>
    <cdr:sp macro="" textlink="">
      <cdr:nvSpPr>
        <cdr:cNvPr id="2" name="Freeform 1"/>
        <cdr:cNvSpPr/>
      </cdr:nvSpPr>
      <cdr:spPr>
        <a:xfrm xmlns:a="http://schemas.openxmlformats.org/drawingml/2006/main">
          <a:off x="673707" y="134216"/>
          <a:ext cx="3702386" cy="2009663"/>
        </a:xfrm>
        <a:custGeom xmlns:a="http://schemas.openxmlformats.org/drawingml/2006/main">
          <a:avLst/>
          <a:gdLst>
            <a:gd name="connsiteX0" fmla="*/ 0 w 3693103"/>
            <a:gd name="connsiteY0" fmla="*/ 2013239 h 2097720"/>
            <a:gd name="connsiteX1" fmla="*/ 1320512 w 3693103"/>
            <a:gd name="connsiteY1" fmla="*/ 1956954 h 2097720"/>
            <a:gd name="connsiteX2" fmla="*/ 2493818 w 3693103"/>
            <a:gd name="connsiteY2" fmla="*/ 701386 h 2097720"/>
            <a:gd name="connsiteX3" fmla="*/ 3112943 w 3693103"/>
            <a:gd name="connsiteY3" fmla="*/ 164523 h 2097720"/>
            <a:gd name="connsiteX4" fmla="*/ 3693103 w 3693103"/>
            <a:gd name="connsiteY4" fmla="*/ 0 h 2097720"/>
            <a:gd name="connsiteX5" fmla="*/ 3693103 w 3693103"/>
            <a:gd name="connsiteY5" fmla="*/ 0 h 2097720"/>
            <a:gd name="connsiteX0" fmla="*/ 0 w 3693103"/>
            <a:gd name="connsiteY0" fmla="*/ 2013239 h 2063711"/>
            <a:gd name="connsiteX1" fmla="*/ 1320512 w 3693103"/>
            <a:gd name="connsiteY1" fmla="*/ 1956954 h 2063711"/>
            <a:gd name="connsiteX2" fmla="*/ 2493818 w 3693103"/>
            <a:gd name="connsiteY2" fmla="*/ 701386 h 2063711"/>
            <a:gd name="connsiteX3" fmla="*/ 3112943 w 3693103"/>
            <a:gd name="connsiteY3" fmla="*/ 164523 h 2063711"/>
            <a:gd name="connsiteX4" fmla="*/ 3693103 w 3693103"/>
            <a:gd name="connsiteY4" fmla="*/ 0 h 2063711"/>
            <a:gd name="connsiteX5" fmla="*/ 3693103 w 3693103"/>
            <a:gd name="connsiteY5" fmla="*/ 0 h 2063711"/>
            <a:gd name="connsiteX0" fmla="*/ 0 w 3693103"/>
            <a:gd name="connsiteY0" fmla="*/ 2013239 h 2013239"/>
            <a:gd name="connsiteX1" fmla="*/ 1320512 w 3693103"/>
            <a:gd name="connsiteY1" fmla="*/ 1956954 h 2013239"/>
            <a:gd name="connsiteX2" fmla="*/ 2493818 w 3693103"/>
            <a:gd name="connsiteY2" fmla="*/ 701386 h 2013239"/>
            <a:gd name="connsiteX3" fmla="*/ 3112943 w 3693103"/>
            <a:gd name="connsiteY3" fmla="*/ 164523 h 2013239"/>
            <a:gd name="connsiteX4" fmla="*/ 3693103 w 3693103"/>
            <a:gd name="connsiteY4" fmla="*/ 0 h 2013239"/>
            <a:gd name="connsiteX5" fmla="*/ 3693103 w 3693103"/>
            <a:gd name="connsiteY5" fmla="*/ 0 h 2013239"/>
            <a:gd name="connsiteX0" fmla="*/ 0 w 3693103"/>
            <a:gd name="connsiteY0" fmla="*/ 2013239 h 2013239"/>
            <a:gd name="connsiteX1" fmla="*/ 1320512 w 3693103"/>
            <a:gd name="connsiteY1" fmla="*/ 1956954 h 2013239"/>
            <a:gd name="connsiteX2" fmla="*/ 2493818 w 3693103"/>
            <a:gd name="connsiteY2" fmla="*/ 701386 h 2013239"/>
            <a:gd name="connsiteX3" fmla="*/ 3112943 w 3693103"/>
            <a:gd name="connsiteY3" fmla="*/ 164523 h 2013239"/>
            <a:gd name="connsiteX4" fmla="*/ 3693103 w 3693103"/>
            <a:gd name="connsiteY4" fmla="*/ 0 h 2013239"/>
            <a:gd name="connsiteX5" fmla="*/ 3693103 w 3693103"/>
            <a:gd name="connsiteY5" fmla="*/ 0 h 2013239"/>
            <a:gd name="connsiteX0" fmla="*/ 0 w 2896467"/>
            <a:gd name="connsiteY0" fmla="*/ 2026228 h 2068950"/>
            <a:gd name="connsiteX1" fmla="*/ 523876 w 2896467"/>
            <a:gd name="connsiteY1" fmla="*/ 1956954 h 2068950"/>
            <a:gd name="connsiteX2" fmla="*/ 1697182 w 2896467"/>
            <a:gd name="connsiteY2" fmla="*/ 701386 h 2068950"/>
            <a:gd name="connsiteX3" fmla="*/ 2316307 w 2896467"/>
            <a:gd name="connsiteY3" fmla="*/ 164523 h 2068950"/>
            <a:gd name="connsiteX4" fmla="*/ 2896467 w 2896467"/>
            <a:gd name="connsiteY4" fmla="*/ 0 h 2068950"/>
            <a:gd name="connsiteX5" fmla="*/ 2896467 w 2896467"/>
            <a:gd name="connsiteY5" fmla="*/ 0 h 2068950"/>
            <a:gd name="connsiteX0" fmla="*/ 0 w 2896467"/>
            <a:gd name="connsiteY0" fmla="*/ 2026228 h 2073983"/>
            <a:gd name="connsiteX1" fmla="*/ 523876 w 2896467"/>
            <a:gd name="connsiteY1" fmla="*/ 1956954 h 2073983"/>
            <a:gd name="connsiteX2" fmla="*/ 1697182 w 2896467"/>
            <a:gd name="connsiteY2" fmla="*/ 701386 h 2073983"/>
            <a:gd name="connsiteX3" fmla="*/ 2316307 w 2896467"/>
            <a:gd name="connsiteY3" fmla="*/ 164523 h 2073983"/>
            <a:gd name="connsiteX4" fmla="*/ 2896467 w 2896467"/>
            <a:gd name="connsiteY4" fmla="*/ 0 h 2073983"/>
            <a:gd name="connsiteX5" fmla="*/ 2896467 w 2896467"/>
            <a:gd name="connsiteY5" fmla="*/ 0 h 2073983"/>
            <a:gd name="connsiteX0" fmla="*/ 0 w 2896467"/>
            <a:gd name="connsiteY0" fmla="*/ 2026228 h 2026228"/>
            <a:gd name="connsiteX1" fmla="*/ 523876 w 2896467"/>
            <a:gd name="connsiteY1" fmla="*/ 1956954 h 2026228"/>
            <a:gd name="connsiteX2" fmla="*/ 1697182 w 2896467"/>
            <a:gd name="connsiteY2" fmla="*/ 701386 h 2026228"/>
            <a:gd name="connsiteX3" fmla="*/ 2316307 w 2896467"/>
            <a:gd name="connsiteY3" fmla="*/ 164523 h 2026228"/>
            <a:gd name="connsiteX4" fmla="*/ 2896467 w 2896467"/>
            <a:gd name="connsiteY4" fmla="*/ 0 h 2026228"/>
            <a:gd name="connsiteX5" fmla="*/ 2896467 w 2896467"/>
            <a:gd name="connsiteY5" fmla="*/ 0 h 2026228"/>
            <a:gd name="connsiteX0" fmla="*/ 0 w 3688646"/>
            <a:gd name="connsiteY0" fmla="*/ 2009663 h 2066969"/>
            <a:gd name="connsiteX1" fmla="*/ 1316055 w 3688646"/>
            <a:gd name="connsiteY1" fmla="*/ 1956954 h 2066969"/>
            <a:gd name="connsiteX2" fmla="*/ 2489361 w 3688646"/>
            <a:gd name="connsiteY2" fmla="*/ 701386 h 2066969"/>
            <a:gd name="connsiteX3" fmla="*/ 3108486 w 3688646"/>
            <a:gd name="connsiteY3" fmla="*/ 164523 h 2066969"/>
            <a:gd name="connsiteX4" fmla="*/ 3688646 w 3688646"/>
            <a:gd name="connsiteY4" fmla="*/ 0 h 2066969"/>
            <a:gd name="connsiteX5" fmla="*/ 3688646 w 3688646"/>
            <a:gd name="connsiteY5" fmla="*/ 0 h 2066969"/>
            <a:gd name="connsiteX0" fmla="*/ 0 w 3688646"/>
            <a:gd name="connsiteY0" fmla="*/ 2009663 h 2066969"/>
            <a:gd name="connsiteX1" fmla="*/ 1316055 w 3688646"/>
            <a:gd name="connsiteY1" fmla="*/ 1956954 h 2066969"/>
            <a:gd name="connsiteX2" fmla="*/ 2489361 w 3688646"/>
            <a:gd name="connsiteY2" fmla="*/ 701386 h 2066969"/>
            <a:gd name="connsiteX3" fmla="*/ 3108486 w 3688646"/>
            <a:gd name="connsiteY3" fmla="*/ 164523 h 2066969"/>
            <a:gd name="connsiteX4" fmla="*/ 3688646 w 3688646"/>
            <a:gd name="connsiteY4" fmla="*/ 0 h 2066969"/>
            <a:gd name="connsiteX5" fmla="*/ 3688646 w 3688646"/>
            <a:gd name="connsiteY5" fmla="*/ 0 h 2066969"/>
            <a:gd name="connsiteX0" fmla="*/ 0 w 3688646"/>
            <a:gd name="connsiteY0" fmla="*/ 2009663 h 2017979"/>
            <a:gd name="connsiteX1" fmla="*/ 1316055 w 3688646"/>
            <a:gd name="connsiteY1" fmla="*/ 1956954 h 2017979"/>
            <a:gd name="connsiteX2" fmla="*/ 2489361 w 3688646"/>
            <a:gd name="connsiteY2" fmla="*/ 701386 h 2017979"/>
            <a:gd name="connsiteX3" fmla="*/ 3108486 w 3688646"/>
            <a:gd name="connsiteY3" fmla="*/ 164523 h 2017979"/>
            <a:gd name="connsiteX4" fmla="*/ 3688646 w 3688646"/>
            <a:gd name="connsiteY4" fmla="*/ 0 h 2017979"/>
            <a:gd name="connsiteX5" fmla="*/ 3688646 w 3688646"/>
            <a:gd name="connsiteY5" fmla="*/ 0 h 2017979"/>
            <a:gd name="connsiteX0" fmla="*/ 0 w 3688646"/>
            <a:gd name="connsiteY0" fmla="*/ 2009663 h 2009663"/>
            <a:gd name="connsiteX1" fmla="*/ 1316055 w 3688646"/>
            <a:gd name="connsiteY1" fmla="*/ 1956954 h 2009663"/>
            <a:gd name="connsiteX2" fmla="*/ 2489361 w 3688646"/>
            <a:gd name="connsiteY2" fmla="*/ 701386 h 2009663"/>
            <a:gd name="connsiteX3" fmla="*/ 3108486 w 3688646"/>
            <a:gd name="connsiteY3" fmla="*/ 164523 h 2009663"/>
            <a:gd name="connsiteX4" fmla="*/ 3688646 w 3688646"/>
            <a:gd name="connsiteY4" fmla="*/ 0 h 2009663"/>
            <a:gd name="connsiteX5" fmla="*/ 3688646 w 3688646"/>
            <a:gd name="connsiteY5" fmla="*/ 0 h 2009663"/>
            <a:gd name="connsiteX0" fmla="*/ 0 w 3688646"/>
            <a:gd name="connsiteY0" fmla="*/ 2009663 h 2009663"/>
            <a:gd name="connsiteX1" fmla="*/ 1316055 w 3688646"/>
            <a:gd name="connsiteY1" fmla="*/ 1956954 h 2009663"/>
            <a:gd name="connsiteX2" fmla="*/ 2489361 w 3688646"/>
            <a:gd name="connsiteY2" fmla="*/ 701386 h 2009663"/>
            <a:gd name="connsiteX3" fmla="*/ 3240516 w 3688646"/>
            <a:gd name="connsiteY3" fmla="*/ 98262 h 2009663"/>
            <a:gd name="connsiteX4" fmla="*/ 3688646 w 3688646"/>
            <a:gd name="connsiteY4" fmla="*/ 0 h 2009663"/>
            <a:gd name="connsiteX5" fmla="*/ 3688646 w 3688646"/>
            <a:gd name="connsiteY5" fmla="*/ 0 h 2009663"/>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Lst>
          <a:rect l="l" t="t" r="r" b="b"/>
          <a:pathLst>
            <a:path w="3688646" h="2009663">
              <a:moveTo>
                <a:pt x="0" y="2009663"/>
              </a:moveTo>
              <a:cubicBezTo>
                <a:pt x="1123091" y="1999920"/>
                <a:pt x="1222985" y="2017631"/>
                <a:pt x="1316055" y="1956954"/>
              </a:cubicBezTo>
              <a:cubicBezTo>
                <a:pt x="1409125" y="1896277"/>
                <a:pt x="2168618" y="1011168"/>
                <a:pt x="2489361" y="701386"/>
              </a:cubicBezTo>
              <a:cubicBezTo>
                <a:pt x="2810105" y="391604"/>
                <a:pt x="3040635" y="215160"/>
                <a:pt x="3240516" y="98262"/>
              </a:cubicBezTo>
              <a:cubicBezTo>
                <a:pt x="3440397" y="-18636"/>
                <a:pt x="3613958" y="16377"/>
                <a:pt x="3688646" y="0"/>
              </a:cubicBezTo>
              <a:lnTo>
                <a:pt x="3688646" y="0"/>
              </a:lnTo>
            </a:path>
          </a:pathLst>
        </a:custGeom>
        <a:noFill xmlns:a="http://schemas.openxmlformats.org/drawingml/2006/main"/>
        <a:ln xmlns:a="http://schemas.openxmlformats.org/drawingml/2006/main">
          <a:solidFill>
            <a:srgbClr val="FF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horzOverflow="clip" rtlCol="0" anchor="t"/>
        <a:lstStyle xmlns:a="http://schemas.openxmlformats.org/drawingml/2006/main"/>
        <a:p xmlns:a="http://schemas.openxmlformats.org/drawingml/2006/main">
          <a:endParaRPr lang="en-US"/>
        </a:p>
      </cdr:txBody>
    </cdr:sp>
  </cdr:relSizeAnchor>
</c:userShapes>
</file>

<file path=xl/drawings/drawing29.xml><?xml version="1.0" encoding="utf-8"?>
<c:userShapes xmlns:c="http://schemas.openxmlformats.org/drawingml/2006/chart">
  <cdr:relSizeAnchor xmlns:cdr="http://schemas.openxmlformats.org/drawingml/2006/chartDrawing">
    <cdr:from>
      <cdr:x>0.14855</cdr:x>
      <cdr:y>0.05475</cdr:y>
    </cdr:from>
    <cdr:to>
      <cdr:x>0.95134</cdr:x>
      <cdr:y>0.88194</cdr:y>
    </cdr:to>
    <cdr:sp macro="" textlink="">
      <cdr:nvSpPr>
        <cdr:cNvPr id="3" name="Freeform 2"/>
        <cdr:cNvSpPr/>
      </cdr:nvSpPr>
      <cdr:spPr>
        <a:xfrm xmlns:a="http://schemas.openxmlformats.org/drawingml/2006/main">
          <a:off x="679173" y="150191"/>
          <a:ext cx="3670360" cy="2269159"/>
        </a:xfrm>
        <a:custGeom xmlns:a="http://schemas.openxmlformats.org/drawingml/2006/main">
          <a:avLst/>
          <a:gdLst>
            <a:gd name="connsiteX0" fmla="*/ 0 w 3693103"/>
            <a:gd name="connsiteY0" fmla="*/ 2013239 h 2097720"/>
            <a:gd name="connsiteX1" fmla="*/ 1320512 w 3693103"/>
            <a:gd name="connsiteY1" fmla="*/ 1956954 h 2097720"/>
            <a:gd name="connsiteX2" fmla="*/ 2493818 w 3693103"/>
            <a:gd name="connsiteY2" fmla="*/ 701386 h 2097720"/>
            <a:gd name="connsiteX3" fmla="*/ 3112943 w 3693103"/>
            <a:gd name="connsiteY3" fmla="*/ 164523 h 2097720"/>
            <a:gd name="connsiteX4" fmla="*/ 3693103 w 3693103"/>
            <a:gd name="connsiteY4" fmla="*/ 0 h 2097720"/>
            <a:gd name="connsiteX5" fmla="*/ 3693103 w 3693103"/>
            <a:gd name="connsiteY5" fmla="*/ 0 h 2097720"/>
            <a:gd name="connsiteX0" fmla="*/ 0 w 3693103"/>
            <a:gd name="connsiteY0" fmla="*/ 2013239 h 2063711"/>
            <a:gd name="connsiteX1" fmla="*/ 1320512 w 3693103"/>
            <a:gd name="connsiteY1" fmla="*/ 1956954 h 2063711"/>
            <a:gd name="connsiteX2" fmla="*/ 2493818 w 3693103"/>
            <a:gd name="connsiteY2" fmla="*/ 701386 h 2063711"/>
            <a:gd name="connsiteX3" fmla="*/ 3112943 w 3693103"/>
            <a:gd name="connsiteY3" fmla="*/ 164523 h 2063711"/>
            <a:gd name="connsiteX4" fmla="*/ 3693103 w 3693103"/>
            <a:gd name="connsiteY4" fmla="*/ 0 h 2063711"/>
            <a:gd name="connsiteX5" fmla="*/ 3693103 w 3693103"/>
            <a:gd name="connsiteY5" fmla="*/ 0 h 2063711"/>
            <a:gd name="connsiteX0" fmla="*/ 0 w 3693103"/>
            <a:gd name="connsiteY0" fmla="*/ 2013239 h 2013239"/>
            <a:gd name="connsiteX1" fmla="*/ 1320512 w 3693103"/>
            <a:gd name="connsiteY1" fmla="*/ 1956954 h 2013239"/>
            <a:gd name="connsiteX2" fmla="*/ 2493818 w 3693103"/>
            <a:gd name="connsiteY2" fmla="*/ 701386 h 2013239"/>
            <a:gd name="connsiteX3" fmla="*/ 3112943 w 3693103"/>
            <a:gd name="connsiteY3" fmla="*/ 164523 h 2013239"/>
            <a:gd name="connsiteX4" fmla="*/ 3693103 w 3693103"/>
            <a:gd name="connsiteY4" fmla="*/ 0 h 2013239"/>
            <a:gd name="connsiteX5" fmla="*/ 3693103 w 3693103"/>
            <a:gd name="connsiteY5" fmla="*/ 0 h 2013239"/>
            <a:gd name="connsiteX0" fmla="*/ 0 w 3693103"/>
            <a:gd name="connsiteY0" fmla="*/ 2013239 h 2013239"/>
            <a:gd name="connsiteX1" fmla="*/ 1320512 w 3693103"/>
            <a:gd name="connsiteY1" fmla="*/ 1956954 h 2013239"/>
            <a:gd name="connsiteX2" fmla="*/ 2493818 w 3693103"/>
            <a:gd name="connsiteY2" fmla="*/ 701386 h 2013239"/>
            <a:gd name="connsiteX3" fmla="*/ 3112943 w 3693103"/>
            <a:gd name="connsiteY3" fmla="*/ 164523 h 2013239"/>
            <a:gd name="connsiteX4" fmla="*/ 3693103 w 3693103"/>
            <a:gd name="connsiteY4" fmla="*/ 0 h 2013239"/>
            <a:gd name="connsiteX5" fmla="*/ 3693103 w 3693103"/>
            <a:gd name="connsiteY5" fmla="*/ 0 h 2013239"/>
            <a:gd name="connsiteX0" fmla="*/ 0 w 2896467"/>
            <a:gd name="connsiteY0" fmla="*/ 2026228 h 2068950"/>
            <a:gd name="connsiteX1" fmla="*/ 523876 w 2896467"/>
            <a:gd name="connsiteY1" fmla="*/ 1956954 h 2068950"/>
            <a:gd name="connsiteX2" fmla="*/ 1697182 w 2896467"/>
            <a:gd name="connsiteY2" fmla="*/ 701386 h 2068950"/>
            <a:gd name="connsiteX3" fmla="*/ 2316307 w 2896467"/>
            <a:gd name="connsiteY3" fmla="*/ 164523 h 2068950"/>
            <a:gd name="connsiteX4" fmla="*/ 2896467 w 2896467"/>
            <a:gd name="connsiteY4" fmla="*/ 0 h 2068950"/>
            <a:gd name="connsiteX5" fmla="*/ 2896467 w 2896467"/>
            <a:gd name="connsiteY5" fmla="*/ 0 h 2068950"/>
            <a:gd name="connsiteX0" fmla="*/ 0 w 2896467"/>
            <a:gd name="connsiteY0" fmla="*/ 2026228 h 2073983"/>
            <a:gd name="connsiteX1" fmla="*/ 523876 w 2896467"/>
            <a:gd name="connsiteY1" fmla="*/ 1956954 h 2073983"/>
            <a:gd name="connsiteX2" fmla="*/ 1697182 w 2896467"/>
            <a:gd name="connsiteY2" fmla="*/ 701386 h 2073983"/>
            <a:gd name="connsiteX3" fmla="*/ 2316307 w 2896467"/>
            <a:gd name="connsiteY3" fmla="*/ 164523 h 2073983"/>
            <a:gd name="connsiteX4" fmla="*/ 2896467 w 2896467"/>
            <a:gd name="connsiteY4" fmla="*/ 0 h 2073983"/>
            <a:gd name="connsiteX5" fmla="*/ 2896467 w 2896467"/>
            <a:gd name="connsiteY5" fmla="*/ 0 h 2073983"/>
            <a:gd name="connsiteX0" fmla="*/ 0 w 2896467"/>
            <a:gd name="connsiteY0" fmla="*/ 2026228 h 2026228"/>
            <a:gd name="connsiteX1" fmla="*/ 523876 w 2896467"/>
            <a:gd name="connsiteY1" fmla="*/ 1956954 h 2026228"/>
            <a:gd name="connsiteX2" fmla="*/ 1697182 w 2896467"/>
            <a:gd name="connsiteY2" fmla="*/ 701386 h 2026228"/>
            <a:gd name="connsiteX3" fmla="*/ 2316307 w 2896467"/>
            <a:gd name="connsiteY3" fmla="*/ 164523 h 2026228"/>
            <a:gd name="connsiteX4" fmla="*/ 2896467 w 2896467"/>
            <a:gd name="connsiteY4" fmla="*/ 0 h 2026228"/>
            <a:gd name="connsiteX5" fmla="*/ 2896467 w 2896467"/>
            <a:gd name="connsiteY5" fmla="*/ 0 h 2026228"/>
            <a:gd name="connsiteX0" fmla="*/ 0 w 3688646"/>
            <a:gd name="connsiteY0" fmla="*/ 2009663 h 2066969"/>
            <a:gd name="connsiteX1" fmla="*/ 1316055 w 3688646"/>
            <a:gd name="connsiteY1" fmla="*/ 1956954 h 2066969"/>
            <a:gd name="connsiteX2" fmla="*/ 2489361 w 3688646"/>
            <a:gd name="connsiteY2" fmla="*/ 701386 h 2066969"/>
            <a:gd name="connsiteX3" fmla="*/ 3108486 w 3688646"/>
            <a:gd name="connsiteY3" fmla="*/ 164523 h 2066969"/>
            <a:gd name="connsiteX4" fmla="*/ 3688646 w 3688646"/>
            <a:gd name="connsiteY4" fmla="*/ 0 h 2066969"/>
            <a:gd name="connsiteX5" fmla="*/ 3688646 w 3688646"/>
            <a:gd name="connsiteY5" fmla="*/ 0 h 2066969"/>
            <a:gd name="connsiteX0" fmla="*/ 0 w 3688646"/>
            <a:gd name="connsiteY0" fmla="*/ 2009663 h 2066969"/>
            <a:gd name="connsiteX1" fmla="*/ 1316055 w 3688646"/>
            <a:gd name="connsiteY1" fmla="*/ 1956954 h 2066969"/>
            <a:gd name="connsiteX2" fmla="*/ 2489361 w 3688646"/>
            <a:gd name="connsiteY2" fmla="*/ 701386 h 2066969"/>
            <a:gd name="connsiteX3" fmla="*/ 3108486 w 3688646"/>
            <a:gd name="connsiteY3" fmla="*/ 164523 h 2066969"/>
            <a:gd name="connsiteX4" fmla="*/ 3688646 w 3688646"/>
            <a:gd name="connsiteY4" fmla="*/ 0 h 2066969"/>
            <a:gd name="connsiteX5" fmla="*/ 3688646 w 3688646"/>
            <a:gd name="connsiteY5" fmla="*/ 0 h 2066969"/>
            <a:gd name="connsiteX0" fmla="*/ 0 w 3688646"/>
            <a:gd name="connsiteY0" fmla="*/ 2009663 h 2017979"/>
            <a:gd name="connsiteX1" fmla="*/ 1316055 w 3688646"/>
            <a:gd name="connsiteY1" fmla="*/ 1956954 h 2017979"/>
            <a:gd name="connsiteX2" fmla="*/ 2489361 w 3688646"/>
            <a:gd name="connsiteY2" fmla="*/ 701386 h 2017979"/>
            <a:gd name="connsiteX3" fmla="*/ 3108486 w 3688646"/>
            <a:gd name="connsiteY3" fmla="*/ 164523 h 2017979"/>
            <a:gd name="connsiteX4" fmla="*/ 3688646 w 3688646"/>
            <a:gd name="connsiteY4" fmla="*/ 0 h 2017979"/>
            <a:gd name="connsiteX5" fmla="*/ 3688646 w 3688646"/>
            <a:gd name="connsiteY5" fmla="*/ 0 h 2017979"/>
            <a:gd name="connsiteX0" fmla="*/ 0 w 3688646"/>
            <a:gd name="connsiteY0" fmla="*/ 2009663 h 2009663"/>
            <a:gd name="connsiteX1" fmla="*/ 1316055 w 3688646"/>
            <a:gd name="connsiteY1" fmla="*/ 1956954 h 2009663"/>
            <a:gd name="connsiteX2" fmla="*/ 2489361 w 3688646"/>
            <a:gd name="connsiteY2" fmla="*/ 701386 h 2009663"/>
            <a:gd name="connsiteX3" fmla="*/ 3108486 w 3688646"/>
            <a:gd name="connsiteY3" fmla="*/ 164523 h 2009663"/>
            <a:gd name="connsiteX4" fmla="*/ 3688646 w 3688646"/>
            <a:gd name="connsiteY4" fmla="*/ 0 h 2009663"/>
            <a:gd name="connsiteX5" fmla="*/ 3688646 w 3688646"/>
            <a:gd name="connsiteY5" fmla="*/ 0 h 2009663"/>
            <a:gd name="connsiteX0" fmla="*/ 0 w 3688646"/>
            <a:gd name="connsiteY0" fmla="*/ 2009663 h 2009663"/>
            <a:gd name="connsiteX1" fmla="*/ 1316055 w 3688646"/>
            <a:gd name="connsiteY1" fmla="*/ 1956954 h 2009663"/>
            <a:gd name="connsiteX2" fmla="*/ 2489361 w 3688646"/>
            <a:gd name="connsiteY2" fmla="*/ 701386 h 2009663"/>
            <a:gd name="connsiteX3" fmla="*/ 3240516 w 3688646"/>
            <a:gd name="connsiteY3" fmla="*/ 98262 h 2009663"/>
            <a:gd name="connsiteX4" fmla="*/ 3688646 w 3688646"/>
            <a:gd name="connsiteY4" fmla="*/ 0 h 2009663"/>
            <a:gd name="connsiteX5" fmla="*/ 3688646 w 3688646"/>
            <a:gd name="connsiteY5" fmla="*/ 0 h 2009663"/>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Lst>
          <a:rect l="l" t="t" r="r" b="b"/>
          <a:pathLst>
            <a:path w="3688646" h="2009663">
              <a:moveTo>
                <a:pt x="0" y="2009663"/>
              </a:moveTo>
              <a:cubicBezTo>
                <a:pt x="1123091" y="1999920"/>
                <a:pt x="1222985" y="2017631"/>
                <a:pt x="1316055" y="1956954"/>
              </a:cubicBezTo>
              <a:cubicBezTo>
                <a:pt x="1409125" y="1896277"/>
                <a:pt x="2168618" y="1011168"/>
                <a:pt x="2489361" y="701386"/>
              </a:cubicBezTo>
              <a:cubicBezTo>
                <a:pt x="2810105" y="391604"/>
                <a:pt x="3040635" y="215160"/>
                <a:pt x="3240516" y="98262"/>
              </a:cubicBezTo>
              <a:cubicBezTo>
                <a:pt x="3440397" y="-18636"/>
                <a:pt x="3613958" y="16377"/>
                <a:pt x="3688646" y="0"/>
              </a:cubicBezTo>
              <a:lnTo>
                <a:pt x="3688646" y="0"/>
              </a:lnTo>
            </a:path>
          </a:pathLst>
        </a:custGeom>
        <a:noFill xmlns:a="http://schemas.openxmlformats.org/drawingml/2006/main"/>
        <a:ln xmlns:a="http://schemas.openxmlformats.org/drawingml/2006/main">
          <a:solidFill>
            <a:srgbClr val="FF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tlCol="0" anchor="t"/>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en-US"/>
        </a:p>
      </cdr:txBody>
    </cdr:sp>
  </cdr:relSizeAnchor>
  <cdr:relSizeAnchor xmlns:cdr="http://schemas.openxmlformats.org/drawingml/2006/chartDrawing">
    <cdr:from>
      <cdr:x>0.21558</cdr:x>
      <cdr:y>0.50755</cdr:y>
    </cdr:from>
    <cdr:to>
      <cdr:x>0.48188</cdr:x>
      <cdr:y>0.67059</cdr:y>
    </cdr:to>
    <cdr:sp macro="" textlink="">
      <cdr:nvSpPr>
        <cdr:cNvPr id="4" name="TextBox 3"/>
        <cdr:cNvSpPr txBox="1"/>
      </cdr:nvSpPr>
      <cdr:spPr>
        <a:xfrm xmlns:a="http://schemas.openxmlformats.org/drawingml/2006/main">
          <a:off x="985630" y="1392307"/>
          <a:ext cx="1217543" cy="447261"/>
        </a:xfrm>
        <a:prstGeom xmlns:a="http://schemas.openxmlformats.org/drawingml/2006/main" prst="rect">
          <a:avLst/>
        </a:prstGeom>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r>
            <a:rPr lang="en-US" sz="1200">
              <a:latin typeface="Arial" panose="020B0604020202020204" pitchFamily="34" charset="0"/>
              <a:cs typeface="Arial" panose="020B0604020202020204" pitchFamily="34" charset="0"/>
            </a:rPr>
            <a:t>Stand establishment</a:t>
          </a:r>
        </a:p>
      </cdr:txBody>
    </cdr:sp>
  </cdr:relSizeAnchor>
  <cdr:relSizeAnchor xmlns:cdr="http://schemas.openxmlformats.org/drawingml/2006/chartDrawing">
    <cdr:from>
      <cdr:x>0.41328</cdr:x>
      <cdr:y>0.1091</cdr:y>
    </cdr:from>
    <cdr:to>
      <cdr:x>0.67959</cdr:x>
      <cdr:y>0.27214</cdr:y>
    </cdr:to>
    <cdr:sp macro="" textlink="">
      <cdr:nvSpPr>
        <cdr:cNvPr id="5" name="TextBox 1"/>
        <cdr:cNvSpPr txBox="1"/>
      </cdr:nvSpPr>
      <cdr:spPr>
        <a:xfrm xmlns:a="http://schemas.openxmlformats.org/drawingml/2006/main">
          <a:off x="1889539" y="299278"/>
          <a:ext cx="1217543" cy="447261"/>
        </a:xfrm>
        <a:prstGeom xmlns:a="http://schemas.openxmlformats.org/drawingml/2006/main" prst="rect">
          <a:avLst/>
        </a:prstGeom>
        <a:ln xmlns:a="http://schemas.openxmlformats.org/drawingml/2006/main">
          <a:noFill/>
        </a:ln>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200">
              <a:latin typeface="Arial" panose="020B0604020202020204" pitchFamily="34" charset="0"/>
              <a:cs typeface="Arial" panose="020B0604020202020204" pitchFamily="34" charset="0"/>
            </a:rPr>
            <a:t>Root expansion</a:t>
          </a:r>
        </a:p>
      </cdr:txBody>
    </cdr:sp>
  </cdr:relSizeAnchor>
</c:userShapes>
</file>

<file path=xl/drawings/drawing3.xml><?xml version="1.0" encoding="utf-8"?>
<c:userShapes xmlns:c="http://schemas.openxmlformats.org/drawingml/2006/chart">
  <cdr:relSizeAnchor xmlns:cdr="http://schemas.openxmlformats.org/drawingml/2006/chartDrawing">
    <cdr:from>
      <cdr:x>0.33578</cdr:x>
      <cdr:y>0.50204</cdr:y>
    </cdr:from>
    <cdr:to>
      <cdr:x>0.50735</cdr:x>
      <cdr:y>0.66544</cdr:y>
    </cdr:to>
    <cdr:sp macro="" textlink="">
      <cdr:nvSpPr>
        <cdr:cNvPr id="2" name="TextBox 1"/>
        <cdr:cNvSpPr txBox="1"/>
      </cdr:nvSpPr>
      <cdr:spPr>
        <a:xfrm xmlns:a="http://schemas.openxmlformats.org/drawingml/2006/main">
          <a:off x="1535206" y="1377203"/>
          <a:ext cx="784412" cy="44823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200">
              <a:latin typeface="Arial" panose="020B0604020202020204" pitchFamily="34" charset="0"/>
              <a:cs typeface="Arial" panose="020B0604020202020204" pitchFamily="34" charset="0"/>
            </a:rPr>
            <a:t>Early cupping</a:t>
          </a:r>
        </a:p>
      </cdr:txBody>
    </cdr:sp>
  </cdr:relSizeAnchor>
  <cdr:relSizeAnchor xmlns:cdr="http://schemas.openxmlformats.org/drawingml/2006/chartDrawing">
    <cdr:from>
      <cdr:x>0.49886</cdr:x>
      <cdr:y>0.04711</cdr:y>
    </cdr:from>
    <cdr:to>
      <cdr:x>0.73529</cdr:x>
      <cdr:y>0.21051</cdr:y>
    </cdr:to>
    <cdr:sp macro="" textlink="">
      <cdr:nvSpPr>
        <cdr:cNvPr id="3" name="TextBox 1"/>
        <cdr:cNvSpPr txBox="1"/>
      </cdr:nvSpPr>
      <cdr:spPr>
        <a:xfrm xmlns:a="http://schemas.openxmlformats.org/drawingml/2006/main">
          <a:off x="2280770" y="129241"/>
          <a:ext cx="1080994" cy="44823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200">
              <a:latin typeface="Arial" panose="020B0604020202020204" pitchFamily="34" charset="0"/>
              <a:cs typeface="Arial" panose="020B0604020202020204" pitchFamily="34" charset="0"/>
            </a:rPr>
            <a:t>Head formation</a:t>
          </a:r>
        </a:p>
      </cdr:txBody>
    </cdr:sp>
  </cdr:relSizeAnchor>
  <cdr:relSizeAnchor xmlns:cdr="http://schemas.openxmlformats.org/drawingml/2006/chartDrawing">
    <cdr:from>
      <cdr:x>0.33578</cdr:x>
      <cdr:y>0.50204</cdr:y>
    </cdr:from>
    <cdr:to>
      <cdr:x>0.50735</cdr:x>
      <cdr:y>0.66544</cdr:y>
    </cdr:to>
    <cdr:sp macro="" textlink="">
      <cdr:nvSpPr>
        <cdr:cNvPr id="4" name="TextBox 1"/>
        <cdr:cNvSpPr txBox="1"/>
      </cdr:nvSpPr>
      <cdr:spPr>
        <a:xfrm xmlns:a="http://schemas.openxmlformats.org/drawingml/2006/main">
          <a:off x="1535206" y="1377203"/>
          <a:ext cx="784412" cy="44823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200">
              <a:latin typeface="Arial" panose="020B0604020202020204" pitchFamily="34" charset="0"/>
              <a:cs typeface="Arial" panose="020B0604020202020204" pitchFamily="34" charset="0"/>
            </a:rPr>
            <a:t>Early cupping</a:t>
          </a:r>
        </a:p>
      </cdr:txBody>
    </cdr:sp>
  </cdr:relSizeAnchor>
  <cdr:relSizeAnchor xmlns:cdr="http://schemas.openxmlformats.org/drawingml/2006/chartDrawing">
    <cdr:from>
      <cdr:x>0.49886</cdr:x>
      <cdr:y>0.04711</cdr:y>
    </cdr:from>
    <cdr:to>
      <cdr:x>0.73529</cdr:x>
      <cdr:y>0.21051</cdr:y>
    </cdr:to>
    <cdr:sp macro="" textlink="">
      <cdr:nvSpPr>
        <cdr:cNvPr id="5" name="TextBox 1"/>
        <cdr:cNvSpPr txBox="1"/>
      </cdr:nvSpPr>
      <cdr:spPr>
        <a:xfrm xmlns:a="http://schemas.openxmlformats.org/drawingml/2006/main">
          <a:off x="2280770" y="129241"/>
          <a:ext cx="1080994" cy="44823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200">
              <a:latin typeface="Arial" panose="020B0604020202020204" pitchFamily="34" charset="0"/>
              <a:cs typeface="Arial" panose="020B0604020202020204" pitchFamily="34" charset="0"/>
            </a:rPr>
            <a:t>Head formation</a:t>
          </a:r>
        </a:p>
      </cdr:txBody>
    </cdr:sp>
  </cdr:relSizeAnchor>
  <cdr:relSizeAnchor xmlns:cdr="http://schemas.openxmlformats.org/drawingml/2006/chartDrawing">
    <cdr:from>
      <cdr:x>0.13151</cdr:x>
      <cdr:y>0.04934</cdr:y>
    </cdr:from>
    <cdr:to>
      <cdr:x>0.95216</cdr:x>
      <cdr:y>0.88657</cdr:y>
    </cdr:to>
    <cdr:sp macro="" textlink="">
      <cdr:nvSpPr>
        <cdr:cNvPr id="6" name="Freeform 5"/>
        <cdr:cNvSpPr/>
      </cdr:nvSpPr>
      <cdr:spPr>
        <a:xfrm xmlns:a="http://schemas.openxmlformats.org/drawingml/2006/main">
          <a:off x="607259" y="135355"/>
          <a:ext cx="3789279" cy="2296694"/>
        </a:xfrm>
        <a:custGeom xmlns:a="http://schemas.openxmlformats.org/drawingml/2006/main">
          <a:avLst/>
          <a:gdLst>
            <a:gd name="connsiteX0" fmla="*/ 0 w 3769894"/>
            <a:gd name="connsiteY0" fmla="*/ 2040355 h 2040355"/>
            <a:gd name="connsiteX1" fmla="*/ 762000 w 3769894"/>
            <a:gd name="connsiteY1" fmla="*/ 2010276 h 2040355"/>
            <a:gd name="connsiteX2" fmla="*/ 1524000 w 3769894"/>
            <a:gd name="connsiteY2" fmla="*/ 1734553 h 2040355"/>
            <a:gd name="connsiteX3" fmla="*/ 3022934 w 3769894"/>
            <a:gd name="connsiteY3" fmla="*/ 350921 h 2040355"/>
            <a:gd name="connsiteX4" fmla="*/ 3418973 w 3769894"/>
            <a:gd name="connsiteY4" fmla="*/ 170447 h 2040355"/>
            <a:gd name="connsiteX5" fmla="*/ 3769894 w 3769894"/>
            <a:gd name="connsiteY5" fmla="*/ 0 h 2040355"/>
            <a:gd name="connsiteX0" fmla="*/ 0 w 3769894"/>
            <a:gd name="connsiteY0" fmla="*/ 2040355 h 2040355"/>
            <a:gd name="connsiteX1" fmla="*/ 762000 w 3769894"/>
            <a:gd name="connsiteY1" fmla="*/ 2010276 h 2040355"/>
            <a:gd name="connsiteX2" fmla="*/ 1524000 w 3769894"/>
            <a:gd name="connsiteY2" fmla="*/ 1734553 h 2040355"/>
            <a:gd name="connsiteX3" fmla="*/ 3022934 w 3769894"/>
            <a:gd name="connsiteY3" fmla="*/ 350921 h 2040355"/>
            <a:gd name="connsiteX4" fmla="*/ 3769894 w 3769894"/>
            <a:gd name="connsiteY4" fmla="*/ 0 h 2040355"/>
            <a:gd name="connsiteX0" fmla="*/ 0 w 3800093"/>
            <a:gd name="connsiteY0" fmla="*/ 2019428 h 2019428"/>
            <a:gd name="connsiteX1" fmla="*/ 762000 w 3800093"/>
            <a:gd name="connsiteY1" fmla="*/ 1989349 h 2019428"/>
            <a:gd name="connsiteX2" fmla="*/ 1524000 w 3800093"/>
            <a:gd name="connsiteY2" fmla="*/ 1713626 h 2019428"/>
            <a:gd name="connsiteX3" fmla="*/ 3022934 w 3800093"/>
            <a:gd name="connsiteY3" fmla="*/ 329994 h 2019428"/>
            <a:gd name="connsiteX4" fmla="*/ 3800093 w 3800093"/>
            <a:gd name="connsiteY4" fmla="*/ 0 h 2019428"/>
            <a:gd name="connsiteX0" fmla="*/ 0 w 3800093"/>
            <a:gd name="connsiteY0" fmla="*/ 2019428 h 2019428"/>
            <a:gd name="connsiteX1" fmla="*/ 762000 w 3800093"/>
            <a:gd name="connsiteY1" fmla="*/ 1989349 h 2019428"/>
            <a:gd name="connsiteX2" fmla="*/ 1524000 w 3800093"/>
            <a:gd name="connsiteY2" fmla="*/ 1713626 h 2019428"/>
            <a:gd name="connsiteX3" fmla="*/ 3022934 w 3800093"/>
            <a:gd name="connsiteY3" fmla="*/ 329994 h 2019428"/>
            <a:gd name="connsiteX4" fmla="*/ 3800093 w 3800093"/>
            <a:gd name="connsiteY4" fmla="*/ 0 h 2019428"/>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3800093" h="2019428">
              <a:moveTo>
                <a:pt x="0" y="2019428"/>
              </a:moveTo>
              <a:lnTo>
                <a:pt x="762000" y="1989349"/>
              </a:lnTo>
              <a:cubicBezTo>
                <a:pt x="1016000" y="1938382"/>
                <a:pt x="1152211" y="1864624"/>
                <a:pt x="1524000" y="1713626"/>
              </a:cubicBezTo>
              <a:cubicBezTo>
                <a:pt x="1895789" y="1562628"/>
                <a:pt x="2643585" y="615598"/>
                <a:pt x="3022934" y="329994"/>
              </a:cubicBezTo>
              <a:cubicBezTo>
                <a:pt x="3402283" y="44390"/>
                <a:pt x="3644476" y="73109"/>
                <a:pt x="3800093" y="0"/>
              </a:cubicBezTo>
            </a:path>
          </a:pathLst>
        </a:custGeom>
        <a:noFill xmlns:a="http://schemas.openxmlformats.org/drawingml/2006/main"/>
        <a:ln xmlns:a="http://schemas.openxmlformats.org/drawingml/2006/main">
          <a:solidFill>
            <a:srgbClr val="FF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ot="0" spcFirstLastPara="0" vert="horz" wrap="square" lIns="91440" tIns="45720" rIns="91440" bIns="45720" numCol="1" spcCol="0" rtlCol="0" fromWordArt="0" anchor="t" anchorCtr="0" forceAA="0" compatLnSpc="1">
          <a:prstTxWarp prst="textNoShape">
            <a:avLst/>
          </a:prstTxWarp>
          <a:noAutofit/>
        </a:bodyP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l"/>
          <a:endParaRPr lang="en-US" sz="1100"/>
        </a:p>
      </cdr:txBody>
    </cdr:sp>
  </cdr:relSizeAnchor>
</c:userShapes>
</file>

<file path=xl/drawings/drawing30.xml><?xml version="1.0" encoding="utf-8"?>
<xdr:wsDr xmlns:xdr="http://schemas.openxmlformats.org/drawingml/2006/spreadsheetDrawing" xmlns:a="http://schemas.openxmlformats.org/drawingml/2006/main">
  <xdr:twoCellAnchor>
    <xdr:from>
      <xdr:col>18</xdr:col>
      <xdr:colOff>19050</xdr:colOff>
      <xdr:row>10</xdr:row>
      <xdr:rowOff>147637</xdr:rowOff>
    </xdr:from>
    <xdr:to>
      <xdr:col>25</xdr:col>
      <xdr:colOff>323850</xdr:colOff>
      <xdr:row>25</xdr:row>
      <xdr:rowOff>33337</xdr:rowOff>
    </xdr:to>
    <xdr:graphicFrame macro="">
      <xdr:nvGraphicFramePr>
        <xdr:cNvPr id="3" name="Chart 2">
          <a:extLst>
            <a:ext uri="{FF2B5EF4-FFF2-40B4-BE49-F238E27FC236}">
              <a16:creationId xmlns:a16="http://schemas.microsoft.com/office/drawing/2014/main" xmlns="" id="{00000000-0008-0000-09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79710</xdr:colOff>
      <xdr:row>11</xdr:row>
      <xdr:rowOff>90236</xdr:rowOff>
    </xdr:from>
    <xdr:to>
      <xdr:col>25</xdr:col>
      <xdr:colOff>65171</xdr:colOff>
      <xdr:row>22</xdr:row>
      <xdr:rowOff>8500</xdr:rowOff>
    </xdr:to>
    <xdr:sp macro="" textlink="">
      <xdr:nvSpPr>
        <xdr:cNvPr id="4" name="Freeform 3">
          <a:extLst>
            <a:ext uri="{FF2B5EF4-FFF2-40B4-BE49-F238E27FC236}">
              <a16:creationId xmlns:a16="http://schemas.microsoft.com/office/drawing/2014/main" xmlns="" id="{00000000-0008-0000-0900-000004000000}"/>
            </a:ext>
          </a:extLst>
        </xdr:cNvPr>
        <xdr:cNvSpPr/>
      </xdr:nvSpPr>
      <xdr:spPr>
        <a:xfrm>
          <a:off x="19653585" y="2557211"/>
          <a:ext cx="3643061" cy="1918514"/>
        </a:xfrm>
        <a:custGeom>
          <a:avLst/>
          <a:gdLst>
            <a:gd name="connsiteX0" fmla="*/ 0 w 3664618"/>
            <a:gd name="connsiteY0" fmla="*/ 2035342 h 2036280"/>
            <a:gd name="connsiteX1" fmla="*/ 957513 w 3664618"/>
            <a:gd name="connsiteY1" fmla="*/ 2000250 h 2036280"/>
            <a:gd name="connsiteX2" fmla="*/ 1684421 w 3664618"/>
            <a:gd name="connsiteY2" fmla="*/ 1799724 h 2036280"/>
            <a:gd name="connsiteX3" fmla="*/ 2822407 w 3664618"/>
            <a:gd name="connsiteY3" fmla="*/ 526381 h 2036280"/>
            <a:gd name="connsiteX4" fmla="*/ 3664618 w 3664618"/>
            <a:gd name="connsiteY4" fmla="*/ 0 h 2036280"/>
            <a:gd name="connsiteX0" fmla="*/ 0 w 3664618"/>
            <a:gd name="connsiteY0" fmla="*/ 2035342 h 2035706"/>
            <a:gd name="connsiteX1" fmla="*/ 957513 w 3664618"/>
            <a:gd name="connsiteY1" fmla="*/ 2000250 h 2035706"/>
            <a:gd name="connsiteX2" fmla="*/ 1378619 w 3664618"/>
            <a:gd name="connsiteY2" fmla="*/ 1849856 h 2035706"/>
            <a:gd name="connsiteX3" fmla="*/ 2822407 w 3664618"/>
            <a:gd name="connsiteY3" fmla="*/ 526381 h 2035706"/>
            <a:gd name="connsiteX4" fmla="*/ 3664618 w 3664618"/>
            <a:gd name="connsiteY4" fmla="*/ 0 h 2035706"/>
            <a:gd name="connsiteX0" fmla="*/ 0 w 3664618"/>
            <a:gd name="connsiteY0" fmla="*/ 2035342 h 2035706"/>
            <a:gd name="connsiteX1" fmla="*/ 957513 w 3664618"/>
            <a:gd name="connsiteY1" fmla="*/ 2000250 h 2035706"/>
            <a:gd name="connsiteX2" fmla="*/ 1378619 w 3664618"/>
            <a:gd name="connsiteY2" fmla="*/ 1849856 h 2035706"/>
            <a:gd name="connsiteX3" fmla="*/ 2822407 w 3664618"/>
            <a:gd name="connsiteY3" fmla="*/ 526381 h 2035706"/>
            <a:gd name="connsiteX4" fmla="*/ 3664618 w 3664618"/>
            <a:gd name="connsiteY4" fmla="*/ 0 h 2035706"/>
            <a:gd name="connsiteX0" fmla="*/ 0 w 3664618"/>
            <a:gd name="connsiteY0" fmla="*/ 2035342 h 2035706"/>
            <a:gd name="connsiteX1" fmla="*/ 957513 w 3664618"/>
            <a:gd name="connsiteY1" fmla="*/ 2000250 h 2035706"/>
            <a:gd name="connsiteX2" fmla="*/ 1378619 w 3664618"/>
            <a:gd name="connsiteY2" fmla="*/ 1849856 h 2035706"/>
            <a:gd name="connsiteX3" fmla="*/ 2822407 w 3664618"/>
            <a:gd name="connsiteY3" fmla="*/ 526381 h 2035706"/>
            <a:gd name="connsiteX4" fmla="*/ 3664618 w 3664618"/>
            <a:gd name="connsiteY4" fmla="*/ 0 h 2035706"/>
            <a:gd name="connsiteX0" fmla="*/ 0 w 3664618"/>
            <a:gd name="connsiteY0" fmla="*/ 2035342 h 2035706"/>
            <a:gd name="connsiteX1" fmla="*/ 957513 w 3664618"/>
            <a:gd name="connsiteY1" fmla="*/ 2000250 h 2035706"/>
            <a:gd name="connsiteX2" fmla="*/ 1378619 w 3664618"/>
            <a:gd name="connsiteY2" fmla="*/ 1849856 h 2035706"/>
            <a:gd name="connsiteX3" fmla="*/ 2882565 w 3664618"/>
            <a:gd name="connsiteY3" fmla="*/ 576513 h 2035706"/>
            <a:gd name="connsiteX4" fmla="*/ 3664618 w 3664618"/>
            <a:gd name="connsiteY4" fmla="*/ 0 h 2035706"/>
            <a:gd name="connsiteX0" fmla="*/ 0 w 3664618"/>
            <a:gd name="connsiteY0" fmla="*/ 2035342 h 2035342"/>
            <a:gd name="connsiteX1" fmla="*/ 1378619 w 3664618"/>
            <a:gd name="connsiteY1" fmla="*/ 1849856 h 2035342"/>
            <a:gd name="connsiteX2" fmla="*/ 2882565 w 3664618"/>
            <a:gd name="connsiteY2" fmla="*/ 576513 h 2035342"/>
            <a:gd name="connsiteX3" fmla="*/ 3664618 w 3664618"/>
            <a:gd name="connsiteY3" fmla="*/ 0 h 2035342"/>
            <a:gd name="connsiteX0" fmla="*/ 0 w 3664618"/>
            <a:gd name="connsiteY0" fmla="*/ 2035342 h 2035342"/>
            <a:gd name="connsiteX1" fmla="*/ 1473869 w 3664618"/>
            <a:gd name="connsiteY1" fmla="*/ 1864895 h 2035342"/>
            <a:gd name="connsiteX2" fmla="*/ 2882565 w 3664618"/>
            <a:gd name="connsiteY2" fmla="*/ 576513 h 2035342"/>
            <a:gd name="connsiteX3" fmla="*/ 3664618 w 3664618"/>
            <a:gd name="connsiteY3" fmla="*/ 0 h 2035342"/>
            <a:gd name="connsiteX0" fmla="*/ 0 w 3664618"/>
            <a:gd name="connsiteY0" fmla="*/ 2035342 h 2035342"/>
            <a:gd name="connsiteX1" fmla="*/ 1473869 w 3664618"/>
            <a:gd name="connsiteY1" fmla="*/ 1864895 h 2035342"/>
            <a:gd name="connsiteX2" fmla="*/ 2857770 w 3664618"/>
            <a:gd name="connsiteY2" fmla="*/ 550610 h 2035342"/>
            <a:gd name="connsiteX3" fmla="*/ 3664618 w 3664618"/>
            <a:gd name="connsiteY3" fmla="*/ 0 h 2035342"/>
            <a:gd name="connsiteX0" fmla="*/ 0 w 3664618"/>
            <a:gd name="connsiteY0" fmla="*/ 2035342 h 2039779"/>
            <a:gd name="connsiteX1" fmla="*/ 1490399 w 3664618"/>
            <a:gd name="connsiteY1" fmla="*/ 1890796 h 2039779"/>
            <a:gd name="connsiteX2" fmla="*/ 2857770 w 3664618"/>
            <a:gd name="connsiteY2" fmla="*/ 550610 h 2039779"/>
            <a:gd name="connsiteX3" fmla="*/ 3664618 w 3664618"/>
            <a:gd name="connsiteY3" fmla="*/ 0 h 2039779"/>
            <a:gd name="connsiteX0" fmla="*/ 0 w 3664618"/>
            <a:gd name="connsiteY0" fmla="*/ 2035342 h 2039779"/>
            <a:gd name="connsiteX1" fmla="*/ 1490399 w 3664618"/>
            <a:gd name="connsiteY1" fmla="*/ 1890796 h 2039779"/>
            <a:gd name="connsiteX2" fmla="*/ 2857770 w 3664618"/>
            <a:gd name="connsiteY2" fmla="*/ 550610 h 2039779"/>
            <a:gd name="connsiteX3" fmla="*/ 3664618 w 3664618"/>
            <a:gd name="connsiteY3" fmla="*/ 0 h 2039779"/>
            <a:gd name="connsiteX0" fmla="*/ 0 w 3664618"/>
            <a:gd name="connsiteY0" fmla="*/ 2035342 h 2039779"/>
            <a:gd name="connsiteX1" fmla="*/ 1490399 w 3664618"/>
            <a:gd name="connsiteY1" fmla="*/ 1890796 h 2039779"/>
            <a:gd name="connsiteX2" fmla="*/ 2857770 w 3664618"/>
            <a:gd name="connsiteY2" fmla="*/ 550610 h 2039779"/>
            <a:gd name="connsiteX3" fmla="*/ 3664618 w 3664618"/>
            <a:gd name="connsiteY3" fmla="*/ 0 h 2039779"/>
            <a:gd name="connsiteX0" fmla="*/ 0 w 3664618"/>
            <a:gd name="connsiteY0" fmla="*/ 2035342 h 2039779"/>
            <a:gd name="connsiteX1" fmla="*/ 1490399 w 3664618"/>
            <a:gd name="connsiteY1" fmla="*/ 1890796 h 2039779"/>
            <a:gd name="connsiteX2" fmla="*/ 2857770 w 3664618"/>
            <a:gd name="connsiteY2" fmla="*/ 550610 h 2039779"/>
            <a:gd name="connsiteX3" fmla="*/ 3664618 w 3664618"/>
            <a:gd name="connsiteY3" fmla="*/ 0 h 2039779"/>
            <a:gd name="connsiteX0" fmla="*/ 0 w 3664618"/>
            <a:gd name="connsiteY0" fmla="*/ 2035342 h 2035342"/>
            <a:gd name="connsiteX1" fmla="*/ 1490399 w 3664618"/>
            <a:gd name="connsiteY1" fmla="*/ 1890796 h 2035342"/>
            <a:gd name="connsiteX2" fmla="*/ 2857770 w 3664618"/>
            <a:gd name="connsiteY2" fmla="*/ 550610 h 2035342"/>
            <a:gd name="connsiteX3" fmla="*/ 3664618 w 3664618"/>
            <a:gd name="connsiteY3" fmla="*/ 0 h 2035342"/>
            <a:gd name="connsiteX0" fmla="*/ 0 w 3655062"/>
            <a:gd name="connsiteY0" fmla="*/ 2005365 h 2005365"/>
            <a:gd name="connsiteX1" fmla="*/ 1480843 w 3655062"/>
            <a:gd name="connsiteY1" fmla="*/ 1890796 h 2005365"/>
            <a:gd name="connsiteX2" fmla="*/ 2848214 w 3655062"/>
            <a:gd name="connsiteY2" fmla="*/ 550610 h 2005365"/>
            <a:gd name="connsiteX3" fmla="*/ 3655062 w 3655062"/>
            <a:gd name="connsiteY3" fmla="*/ 0 h 2005365"/>
            <a:gd name="connsiteX0" fmla="*/ 0 w 3655062"/>
            <a:gd name="connsiteY0" fmla="*/ 2005365 h 2012677"/>
            <a:gd name="connsiteX1" fmla="*/ 1480843 w 3655062"/>
            <a:gd name="connsiteY1" fmla="*/ 1890796 h 2012677"/>
            <a:gd name="connsiteX2" fmla="*/ 2848214 w 3655062"/>
            <a:gd name="connsiteY2" fmla="*/ 550610 h 2012677"/>
            <a:gd name="connsiteX3" fmla="*/ 3655062 w 3655062"/>
            <a:gd name="connsiteY3" fmla="*/ 0 h 2012677"/>
          </a:gdLst>
          <a:ahLst/>
          <a:cxnLst>
            <a:cxn ang="0">
              <a:pos x="connsiteX0" y="connsiteY0"/>
            </a:cxn>
            <a:cxn ang="0">
              <a:pos x="connsiteX1" y="connsiteY1"/>
            </a:cxn>
            <a:cxn ang="0">
              <a:pos x="connsiteX2" y="connsiteY2"/>
            </a:cxn>
            <a:cxn ang="0">
              <a:pos x="connsiteX3" y="connsiteY3"/>
            </a:cxn>
          </a:cxnLst>
          <a:rect l="l" t="t" r="r" b="b"/>
          <a:pathLst>
            <a:path w="3655062" h="2012677">
              <a:moveTo>
                <a:pt x="0" y="2005365"/>
              </a:moveTo>
              <a:cubicBezTo>
                <a:pt x="315881" y="2016685"/>
                <a:pt x="1143762" y="2034009"/>
                <a:pt x="1480843" y="1890796"/>
              </a:cubicBezTo>
              <a:cubicBezTo>
                <a:pt x="1801685" y="1653507"/>
                <a:pt x="2483089" y="861426"/>
                <a:pt x="2848214" y="550610"/>
              </a:cubicBezTo>
              <a:cubicBezTo>
                <a:pt x="3318460" y="99899"/>
                <a:pt x="3351191" y="133198"/>
                <a:pt x="3655062" y="0"/>
              </a:cubicBezTo>
            </a:path>
          </a:pathLst>
        </a:cu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19</xdr:col>
      <xdr:colOff>265698</xdr:colOff>
      <xdr:row>19</xdr:row>
      <xdr:rowOff>160420</xdr:rowOff>
    </xdr:from>
    <xdr:to>
      <xdr:col>21</xdr:col>
      <xdr:colOff>120316</xdr:colOff>
      <xdr:row>22</xdr:row>
      <xdr:rowOff>40105</xdr:rowOff>
    </xdr:to>
    <xdr:sp macro="" textlink="">
      <xdr:nvSpPr>
        <xdr:cNvPr id="5" name="TextBox 4">
          <a:extLst>
            <a:ext uri="{FF2B5EF4-FFF2-40B4-BE49-F238E27FC236}">
              <a16:creationId xmlns:a16="http://schemas.microsoft.com/office/drawing/2014/main" xmlns="" id="{00000000-0008-0000-0900-000005000000}"/>
            </a:ext>
          </a:extLst>
        </xdr:cNvPr>
        <xdr:cNvSpPr txBox="1"/>
      </xdr:nvSpPr>
      <xdr:spPr>
        <a:xfrm>
          <a:off x="19611474" y="4160920"/>
          <a:ext cx="1077829" cy="4511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latin typeface="Arial" panose="020B0604020202020204" pitchFamily="34" charset="0"/>
              <a:cs typeface="Arial" panose="020B0604020202020204" pitchFamily="34" charset="0"/>
            </a:rPr>
            <a:t>Vine establishment</a:t>
          </a:r>
        </a:p>
      </xdr:txBody>
    </xdr:sp>
    <xdr:clientData/>
  </xdr:twoCellAnchor>
  <xdr:twoCellAnchor>
    <xdr:from>
      <xdr:col>30</xdr:col>
      <xdr:colOff>512884</xdr:colOff>
      <xdr:row>10</xdr:row>
      <xdr:rowOff>139211</xdr:rowOff>
    </xdr:from>
    <xdr:to>
      <xdr:col>38</xdr:col>
      <xdr:colOff>209550</xdr:colOff>
      <xdr:row>25</xdr:row>
      <xdr:rowOff>24911</xdr:rowOff>
    </xdr:to>
    <xdr:graphicFrame macro="">
      <xdr:nvGraphicFramePr>
        <xdr:cNvPr id="8" name="Chart 7">
          <a:extLst>
            <a:ext uri="{FF2B5EF4-FFF2-40B4-BE49-F238E27FC236}">
              <a16:creationId xmlns:a16="http://schemas.microsoft.com/office/drawing/2014/main" xmlns="" id="{00000000-0008-0000-09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1357313</xdr:colOff>
      <xdr:row>91</xdr:row>
      <xdr:rowOff>41413</xdr:rowOff>
    </xdr:from>
    <xdr:to>
      <xdr:col>5</xdr:col>
      <xdr:colOff>235667</xdr:colOff>
      <xdr:row>105</xdr:row>
      <xdr:rowOff>180109</xdr:rowOff>
    </xdr:to>
    <xdr:pic>
      <xdr:nvPicPr>
        <xdr:cNvPr id="9" name="Picture 8">
          <a:extLst>
            <a:ext uri="{FF2B5EF4-FFF2-40B4-BE49-F238E27FC236}">
              <a16:creationId xmlns:a16="http://schemas.microsoft.com/office/drawing/2014/main" xmlns="" id="{00000000-0008-0000-0900-000009000000}"/>
            </a:ext>
          </a:extLst>
        </xdr:cNvPr>
        <xdr:cNvPicPr>
          <a:picLocks noChangeAspect="1"/>
        </xdr:cNvPicPr>
      </xdr:nvPicPr>
      <xdr:blipFill>
        <a:blip xmlns:r="http://schemas.openxmlformats.org/officeDocument/2006/relationships" r:embed="rId3"/>
        <a:stretch>
          <a:fillRect/>
        </a:stretch>
      </xdr:blipFill>
      <xdr:spPr>
        <a:xfrm>
          <a:off x="1357313" y="17534283"/>
          <a:ext cx="4941224" cy="2805696"/>
        </a:xfrm>
        <a:prstGeom prst="rect">
          <a:avLst/>
        </a:prstGeom>
      </xdr:spPr>
    </xdr:pic>
    <xdr:clientData/>
  </xdr:twoCellAnchor>
</xdr:wsDr>
</file>

<file path=xl/drawings/drawing31.xml><?xml version="1.0" encoding="utf-8"?>
<c:userShapes xmlns:c="http://schemas.openxmlformats.org/drawingml/2006/chart">
  <cdr:relSizeAnchor xmlns:cdr="http://schemas.openxmlformats.org/drawingml/2006/chartDrawing">
    <cdr:from>
      <cdr:x>0.35651</cdr:x>
      <cdr:y>0.46625</cdr:y>
    </cdr:from>
    <cdr:to>
      <cdr:x>0.59153</cdr:x>
      <cdr:y>0.63073</cdr:y>
    </cdr:to>
    <cdr:sp macro="" textlink="">
      <cdr:nvSpPr>
        <cdr:cNvPr id="2" name="TextBox 4"/>
        <cdr:cNvSpPr txBox="1"/>
      </cdr:nvSpPr>
      <cdr:spPr>
        <a:xfrm xmlns:a="http://schemas.openxmlformats.org/drawingml/2006/main">
          <a:off x="1634958" y="1279024"/>
          <a:ext cx="1077829" cy="451185"/>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100">
              <a:latin typeface="Arial" panose="020B0604020202020204" pitchFamily="34" charset="0"/>
              <a:cs typeface="Arial" panose="020B0604020202020204" pitchFamily="34" charset="0"/>
            </a:rPr>
            <a:t>First femal</a:t>
          </a:r>
          <a:r>
            <a:rPr lang="en-US" sz="1100" baseline="0">
              <a:latin typeface="Arial" panose="020B0604020202020204" pitchFamily="34" charset="0"/>
              <a:cs typeface="Arial" panose="020B0604020202020204" pitchFamily="34" charset="0"/>
            </a:rPr>
            <a:t>e flower</a:t>
          </a:r>
          <a:endParaRPr lang="en-US" sz="11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0.54453</cdr:x>
      <cdr:y>0.04045</cdr:y>
    </cdr:from>
    <cdr:to>
      <cdr:x>0.77955</cdr:x>
      <cdr:y>0.20492</cdr:y>
    </cdr:to>
    <cdr:sp macro="" textlink="">
      <cdr:nvSpPr>
        <cdr:cNvPr id="3" name="TextBox 4"/>
        <cdr:cNvSpPr txBox="1"/>
      </cdr:nvSpPr>
      <cdr:spPr>
        <a:xfrm xmlns:a="http://schemas.openxmlformats.org/drawingml/2006/main">
          <a:off x="2497221" y="110959"/>
          <a:ext cx="1077829" cy="451185"/>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100">
              <a:latin typeface="Arial" panose="020B0604020202020204" pitchFamily="34" charset="0"/>
              <a:cs typeface="Arial" panose="020B0604020202020204" pitchFamily="34" charset="0"/>
            </a:rPr>
            <a:t>Fruiting</a:t>
          </a:r>
        </a:p>
      </cdr:txBody>
    </cdr:sp>
  </cdr:relSizeAnchor>
</c:userShapes>
</file>

<file path=xl/drawings/drawing32.xml><?xml version="1.0" encoding="utf-8"?>
<c:userShapes xmlns:c="http://schemas.openxmlformats.org/drawingml/2006/chart">
  <cdr:relSizeAnchor xmlns:cdr="http://schemas.openxmlformats.org/drawingml/2006/chartDrawing">
    <cdr:from>
      <cdr:x>0.34193</cdr:x>
      <cdr:y>0.48708</cdr:y>
    </cdr:from>
    <cdr:to>
      <cdr:x>0.57695</cdr:x>
      <cdr:y>0.65156</cdr:y>
    </cdr:to>
    <cdr:sp macro="" textlink="">
      <cdr:nvSpPr>
        <cdr:cNvPr id="2" name="TextBox 4"/>
        <cdr:cNvSpPr txBox="1"/>
      </cdr:nvSpPr>
      <cdr:spPr>
        <a:xfrm xmlns:a="http://schemas.openxmlformats.org/drawingml/2006/main">
          <a:off x="1563811" y="1336167"/>
          <a:ext cx="1074856" cy="451202"/>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200" b="0">
              <a:latin typeface="Arial" panose="020B0604020202020204" pitchFamily="34" charset="0"/>
              <a:cs typeface="Arial" panose="020B0604020202020204" pitchFamily="34" charset="0"/>
            </a:rPr>
            <a:t>First femal</a:t>
          </a:r>
          <a:r>
            <a:rPr lang="en-US" sz="1200" b="0" baseline="0">
              <a:latin typeface="Arial" panose="020B0604020202020204" pitchFamily="34" charset="0"/>
              <a:cs typeface="Arial" panose="020B0604020202020204" pitchFamily="34" charset="0"/>
            </a:rPr>
            <a:t>e flower</a:t>
          </a:r>
          <a:endParaRPr lang="en-US" sz="1200" b="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0.5237</cdr:x>
      <cdr:y>0.21406</cdr:y>
    </cdr:from>
    <cdr:to>
      <cdr:x>0.75872</cdr:x>
      <cdr:y>0.37853</cdr:y>
    </cdr:to>
    <cdr:sp macro="" textlink="">
      <cdr:nvSpPr>
        <cdr:cNvPr id="3" name="TextBox 4"/>
        <cdr:cNvSpPr txBox="1"/>
      </cdr:nvSpPr>
      <cdr:spPr>
        <a:xfrm xmlns:a="http://schemas.openxmlformats.org/drawingml/2006/main">
          <a:off x="2395139" y="587212"/>
          <a:ext cx="1074856" cy="451175"/>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200" b="0">
              <a:latin typeface="Arial" panose="020B0604020202020204" pitchFamily="34" charset="0"/>
              <a:cs typeface="Arial" panose="020B0604020202020204" pitchFamily="34" charset="0"/>
            </a:rPr>
            <a:t>Early fruit</a:t>
          </a:r>
        </a:p>
      </cdr:txBody>
    </cdr:sp>
  </cdr:relSizeAnchor>
  <cdr:relSizeAnchor xmlns:cdr="http://schemas.openxmlformats.org/drawingml/2006/chartDrawing">
    <cdr:from>
      <cdr:x>0.13963</cdr:x>
      <cdr:y>0.04994</cdr:y>
    </cdr:from>
    <cdr:to>
      <cdr:x>0.94443</cdr:x>
      <cdr:y>0.78185</cdr:y>
    </cdr:to>
    <cdr:sp macro="" textlink="">
      <cdr:nvSpPr>
        <cdr:cNvPr id="5" name="Freeform 4">
          <a:extLst xmlns:a="http://schemas.openxmlformats.org/drawingml/2006/main">
            <a:ext uri="{FF2B5EF4-FFF2-40B4-BE49-F238E27FC236}">
              <a16:creationId xmlns:a16="http://schemas.microsoft.com/office/drawing/2014/main" xmlns="" id="{00000000-0008-0000-0900-000004000000}"/>
            </a:ext>
          </a:extLst>
        </cdr:cNvPr>
        <cdr:cNvSpPr/>
      </cdr:nvSpPr>
      <cdr:spPr>
        <a:xfrm xmlns:a="http://schemas.openxmlformats.org/drawingml/2006/main">
          <a:off x="636954" y="131885"/>
          <a:ext cx="3671278" cy="1932679"/>
        </a:xfrm>
        <a:custGeom xmlns:a="http://schemas.openxmlformats.org/drawingml/2006/main">
          <a:avLst/>
          <a:gdLst>
            <a:gd name="connsiteX0" fmla="*/ 0 w 3664618"/>
            <a:gd name="connsiteY0" fmla="*/ 2035342 h 2036280"/>
            <a:gd name="connsiteX1" fmla="*/ 957513 w 3664618"/>
            <a:gd name="connsiteY1" fmla="*/ 2000250 h 2036280"/>
            <a:gd name="connsiteX2" fmla="*/ 1684421 w 3664618"/>
            <a:gd name="connsiteY2" fmla="*/ 1799724 h 2036280"/>
            <a:gd name="connsiteX3" fmla="*/ 2822407 w 3664618"/>
            <a:gd name="connsiteY3" fmla="*/ 526381 h 2036280"/>
            <a:gd name="connsiteX4" fmla="*/ 3664618 w 3664618"/>
            <a:gd name="connsiteY4" fmla="*/ 0 h 2036280"/>
            <a:gd name="connsiteX0" fmla="*/ 0 w 3664618"/>
            <a:gd name="connsiteY0" fmla="*/ 2035342 h 2035706"/>
            <a:gd name="connsiteX1" fmla="*/ 957513 w 3664618"/>
            <a:gd name="connsiteY1" fmla="*/ 2000250 h 2035706"/>
            <a:gd name="connsiteX2" fmla="*/ 1378619 w 3664618"/>
            <a:gd name="connsiteY2" fmla="*/ 1849856 h 2035706"/>
            <a:gd name="connsiteX3" fmla="*/ 2822407 w 3664618"/>
            <a:gd name="connsiteY3" fmla="*/ 526381 h 2035706"/>
            <a:gd name="connsiteX4" fmla="*/ 3664618 w 3664618"/>
            <a:gd name="connsiteY4" fmla="*/ 0 h 2035706"/>
            <a:gd name="connsiteX0" fmla="*/ 0 w 3664618"/>
            <a:gd name="connsiteY0" fmla="*/ 2035342 h 2035706"/>
            <a:gd name="connsiteX1" fmla="*/ 957513 w 3664618"/>
            <a:gd name="connsiteY1" fmla="*/ 2000250 h 2035706"/>
            <a:gd name="connsiteX2" fmla="*/ 1378619 w 3664618"/>
            <a:gd name="connsiteY2" fmla="*/ 1849856 h 2035706"/>
            <a:gd name="connsiteX3" fmla="*/ 2822407 w 3664618"/>
            <a:gd name="connsiteY3" fmla="*/ 526381 h 2035706"/>
            <a:gd name="connsiteX4" fmla="*/ 3664618 w 3664618"/>
            <a:gd name="connsiteY4" fmla="*/ 0 h 2035706"/>
            <a:gd name="connsiteX0" fmla="*/ 0 w 3664618"/>
            <a:gd name="connsiteY0" fmla="*/ 2035342 h 2035706"/>
            <a:gd name="connsiteX1" fmla="*/ 957513 w 3664618"/>
            <a:gd name="connsiteY1" fmla="*/ 2000250 h 2035706"/>
            <a:gd name="connsiteX2" fmla="*/ 1378619 w 3664618"/>
            <a:gd name="connsiteY2" fmla="*/ 1849856 h 2035706"/>
            <a:gd name="connsiteX3" fmla="*/ 2822407 w 3664618"/>
            <a:gd name="connsiteY3" fmla="*/ 526381 h 2035706"/>
            <a:gd name="connsiteX4" fmla="*/ 3664618 w 3664618"/>
            <a:gd name="connsiteY4" fmla="*/ 0 h 2035706"/>
            <a:gd name="connsiteX0" fmla="*/ 0 w 3664618"/>
            <a:gd name="connsiteY0" fmla="*/ 2035342 h 2035706"/>
            <a:gd name="connsiteX1" fmla="*/ 957513 w 3664618"/>
            <a:gd name="connsiteY1" fmla="*/ 2000250 h 2035706"/>
            <a:gd name="connsiteX2" fmla="*/ 1378619 w 3664618"/>
            <a:gd name="connsiteY2" fmla="*/ 1849856 h 2035706"/>
            <a:gd name="connsiteX3" fmla="*/ 2882565 w 3664618"/>
            <a:gd name="connsiteY3" fmla="*/ 576513 h 2035706"/>
            <a:gd name="connsiteX4" fmla="*/ 3664618 w 3664618"/>
            <a:gd name="connsiteY4" fmla="*/ 0 h 2035706"/>
            <a:gd name="connsiteX0" fmla="*/ 0 w 3664618"/>
            <a:gd name="connsiteY0" fmla="*/ 2035342 h 2035342"/>
            <a:gd name="connsiteX1" fmla="*/ 1378619 w 3664618"/>
            <a:gd name="connsiteY1" fmla="*/ 1849856 h 2035342"/>
            <a:gd name="connsiteX2" fmla="*/ 2882565 w 3664618"/>
            <a:gd name="connsiteY2" fmla="*/ 576513 h 2035342"/>
            <a:gd name="connsiteX3" fmla="*/ 3664618 w 3664618"/>
            <a:gd name="connsiteY3" fmla="*/ 0 h 2035342"/>
            <a:gd name="connsiteX0" fmla="*/ 0 w 3664618"/>
            <a:gd name="connsiteY0" fmla="*/ 2035342 h 2035342"/>
            <a:gd name="connsiteX1" fmla="*/ 1473869 w 3664618"/>
            <a:gd name="connsiteY1" fmla="*/ 1864895 h 2035342"/>
            <a:gd name="connsiteX2" fmla="*/ 2882565 w 3664618"/>
            <a:gd name="connsiteY2" fmla="*/ 576513 h 2035342"/>
            <a:gd name="connsiteX3" fmla="*/ 3664618 w 3664618"/>
            <a:gd name="connsiteY3" fmla="*/ 0 h 2035342"/>
            <a:gd name="connsiteX0" fmla="*/ 0 w 3664618"/>
            <a:gd name="connsiteY0" fmla="*/ 2035342 h 2035342"/>
            <a:gd name="connsiteX1" fmla="*/ 1473869 w 3664618"/>
            <a:gd name="connsiteY1" fmla="*/ 1864895 h 2035342"/>
            <a:gd name="connsiteX2" fmla="*/ 2857770 w 3664618"/>
            <a:gd name="connsiteY2" fmla="*/ 550610 h 2035342"/>
            <a:gd name="connsiteX3" fmla="*/ 3664618 w 3664618"/>
            <a:gd name="connsiteY3" fmla="*/ 0 h 2035342"/>
            <a:gd name="connsiteX0" fmla="*/ 0 w 3664618"/>
            <a:gd name="connsiteY0" fmla="*/ 2035342 h 2039779"/>
            <a:gd name="connsiteX1" fmla="*/ 1490399 w 3664618"/>
            <a:gd name="connsiteY1" fmla="*/ 1890796 h 2039779"/>
            <a:gd name="connsiteX2" fmla="*/ 2857770 w 3664618"/>
            <a:gd name="connsiteY2" fmla="*/ 550610 h 2039779"/>
            <a:gd name="connsiteX3" fmla="*/ 3664618 w 3664618"/>
            <a:gd name="connsiteY3" fmla="*/ 0 h 2039779"/>
            <a:gd name="connsiteX0" fmla="*/ 0 w 3664618"/>
            <a:gd name="connsiteY0" fmla="*/ 2035342 h 2039779"/>
            <a:gd name="connsiteX1" fmla="*/ 1490399 w 3664618"/>
            <a:gd name="connsiteY1" fmla="*/ 1890796 h 2039779"/>
            <a:gd name="connsiteX2" fmla="*/ 2857770 w 3664618"/>
            <a:gd name="connsiteY2" fmla="*/ 550610 h 2039779"/>
            <a:gd name="connsiteX3" fmla="*/ 3664618 w 3664618"/>
            <a:gd name="connsiteY3" fmla="*/ 0 h 2039779"/>
            <a:gd name="connsiteX0" fmla="*/ 0 w 3664618"/>
            <a:gd name="connsiteY0" fmla="*/ 2035342 h 2039779"/>
            <a:gd name="connsiteX1" fmla="*/ 1490399 w 3664618"/>
            <a:gd name="connsiteY1" fmla="*/ 1890796 h 2039779"/>
            <a:gd name="connsiteX2" fmla="*/ 2857770 w 3664618"/>
            <a:gd name="connsiteY2" fmla="*/ 550610 h 2039779"/>
            <a:gd name="connsiteX3" fmla="*/ 3664618 w 3664618"/>
            <a:gd name="connsiteY3" fmla="*/ 0 h 2039779"/>
            <a:gd name="connsiteX0" fmla="*/ 0 w 3664618"/>
            <a:gd name="connsiteY0" fmla="*/ 2035342 h 2039779"/>
            <a:gd name="connsiteX1" fmla="*/ 1490399 w 3664618"/>
            <a:gd name="connsiteY1" fmla="*/ 1890796 h 2039779"/>
            <a:gd name="connsiteX2" fmla="*/ 2857770 w 3664618"/>
            <a:gd name="connsiteY2" fmla="*/ 550610 h 2039779"/>
            <a:gd name="connsiteX3" fmla="*/ 3664618 w 3664618"/>
            <a:gd name="connsiteY3" fmla="*/ 0 h 2039779"/>
            <a:gd name="connsiteX0" fmla="*/ 0 w 3664618"/>
            <a:gd name="connsiteY0" fmla="*/ 2035342 h 2035342"/>
            <a:gd name="connsiteX1" fmla="*/ 1490399 w 3664618"/>
            <a:gd name="connsiteY1" fmla="*/ 1890796 h 2035342"/>
            <a:gd name="connsiteX2" fmla="*/ 2857770 w 3664618"/>
            <a:gd name="connsiteY2" fmla="*/ 550610 h 2035342"/>
            <a:gd name="connsiteX3" fmla="*/ 3664618 w 3664618"/>
            <a:gd name="connsiteY3" fmla="*/ 0 h 2035342"/>
            <a:gd name="connsiteX0" fmla="*/ 0 w 3655062"/>
            <a:gd name="connsiteY0" fmla="*/ 2005365 h 2005365"/>
            <a:gd name="connsiteX1" fmla="*/ 1480843 w 3655062"/>
            <a:gd name="connsiteY1" fmla="*/ 1890796 h 2005365"/>
            <a:gd name="connsiteX2" fmla="*/ 2848214 w 3655062"/>
            <a:gd name="connsiteY2" fmla="*/ 550610 h 2005365"/>
            <a:gd name="connsiteX3" fmla="*/ 3655062 w 3655062"/>
            <a:gd name="connsiteY3" fmla="*/ 0 h 2005365"/>
            <a:gd name="connsiteX0" fmla="*/ 0 w 3655062"/>
            <a:gd name="connsiteY0" fmla="*/ 2005365 h 2012677"/>
            <a:gd name="connsiteX1" fmla="*/ 1480843 w 3655062"/>
            <a:gd name="connsiteY1" fmla="*/ 1890796 h 2012677"/>
            <a:gd name="connsiteX2" fmla="*/ 2848214 w 3655062"/>
            <a:gd name="connsiteY2" fmla="*/ 550610 h 2012677"/>
            <a:gd name="connsiteX3" fmla="*/ 3655062 w 3655062"/>
            <a:gd name="connsiteY3" fmla="*/ 0 h 2012677"/>
          </a:gdLst>
          <a:ahLst/>
          <a:cxnLst>
            <a:cxn ang="0">
              <a:pos x="connsiteX0" y="connsiteY0"/>
            </a:cxn>
            <a:cxn ang="0">
              <a:pos x="connsiteX1" y="connsiteY1"/>
            </a:cxn>
            <a:cxn ang="0">
              <a:pos x="connsiteX2" y="connsiteY2"/>
            </a:cxn>
            <a:cxn ang="0">
              <a:pos x="connsiteX3" y="connsiteY3"/>
            </a:cxn>
          </a:cxnLst>
          <a:rect l="l" t="t" r="r" b="b"/>
          <a:pathLst>
            <a:path w="3655062" h="2012677">
              <a:moveTo>
                <a:pt x="0" y="2005365"/>
              </a:moveTo>
              <a:cubicBezTo>
                <a:pt x="315881" y="2016685"/>
                <a:pt x="1143762" y="2034009"/>
                <a:pt x="1480843" y="1890796"/>
              </a:cubicBezTo>
              <a:cubicBezTo>
                <a:pt x="1801685" y="1653507"/>
                <a:pt x="2483089" y="861426"/>
                <a:pt x="2848214" y="550610"/>
              </a:cubicBezTo>
              <a:cubicBezTo>
                <a:pt x="3318460" y="99899"/>
                <a:pt x="3351191" y="133198"/>
                <a:pt x="3655062" y="0"/>
              </a:cubicBezTo>
            </a:path>
          </a:pathLst>
        </a:custGeom>
        <a:noFill xmlns:a="http://schemas.openxmlformats.org/drawingml/2006/main"/>
        <a:ln xmlns:a="http://schemas.openxmlformats.org/drawingml/2006/main">
          <a:solidFill>
            <a:srgbClr val="FF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tlCol="0" anchor="t"/>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l"/>
          <a:endParaRPr lang="en-US" sz="1100"/>
        </a:p>
      </cdr:txBody>
    </cdr:sp>
  </cdr:relSizeAnchor>
</c:userShapes>
</file>

<file path=xl/drawings/drawing33.xml><?xml version="1.0" encoding="utf-8"?>
<xdr:wsDr xmlns:xdr="http://schemas.openxmlformats.org/drawingml/2006/spreadsheetDrawing" xmlns:a="http://schemas.openxmlformats.org/drawingml/2006/main">
  <xdr:twoCellAnchor editAs="oneCell">
    <xdr:from>
      <xdr:col>5</xdr:col>
      <xdr:colOff>0</xdr:colOff>
      <xdr:row>88</xdr:row>
      <xdr:rowOff>0</xdr:rowOff>
    </xdr:from>
    <xdr:to>
      <xdr:col>15</xdr:col>
      <xdr:colOff>124728</xdr:colOff>
      <xdr:row>121</xdr:row>
      <xdr:rowOff>174484</xdr:rowOff>
    </xdr:to>
    <xdr:pic>
      <xdr:nvPicPr>
        <xdr:cNvPr id="4" name="Picture 3">
          <a:extLst>
            <a:ext uri="{FF2B5EF4-FFF2-40B4-BE49-F238E27FC236}">
              <a16:creationId xmlns:a16="http://schemas.microsoft.com/office/drawing/2014/main" xmlns="" id="{00000000-0008-0000-0A00-000004000000}"/>
            </a:ext>
          </a:extLst>
        </xdr:cNvPr>
        <xdr:cNvPicPr>
          <a:picLocks noChangeAspect="1"/>
        </xdr:cNvPicPr>
      </xdr:nvPicPr>
      <xdr:blipFill>
        <a:blip xmlns:r="http://schemas.openxmlformats.org/officeDocument/2006/relationships" r:embed="rId1"/>
        <a:stretch>
          <a:fillRect/>
        </a:stretch>
      </xdr:blipFill>
      <xdr:spPr>
        <a:xfrm>
          <a:off x="5570220" y="16459200"/>
          <a:ext cx="8019048" cy="6209524"/>
        </a:xfrm>
        <a:prstGeom prst="rect">
          <a:avLst/>
        </a:prstGeom>
      </xdr:spPr>
    </xdr:pic>
    <xdr:clientData/>
  </xdr:twoCellAnchor>
  <xdr:twoCellAnchor>
    <xdr:from>
      <xdr:col>18</xdr:col>
      <xdr:colOff>65942</xdr:colOff>
      <xdr:row>22</xdr:row>
      <xdr:rowOff>23813</xdr:rowOff>
    </xdr:from>
    <xdr:to>
      <xdr:col>25</xdr:col>
      <xdr:colOff>549519</xdr:colOff>
      <xdr:row>37</xdr:row>
      <xdr:rowOff>161192</xdr:rowOff>
    </xdr:to>
    <xdr:graphicFrame macro="">
      <xdr:nvGraphicFramePr>
        <xdr:cNvPr id="9" name="Chart 8">
          <a:extLst>
            <a:ext uri="{FF2B5EF4-FFF2-40B4-BE49-F238E27FC236}">
              <a16:creationId xmlns:a16="http://schemas.microsoft.com/office/drawing/2014/main" xmlns="" id="{00000000-0008-0000-0A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593480</xdr:colOff>
      <xdr:row>23</xdr:row>
      <xdr:rowOff>36634</xdr:rowOff>
    </xdr:from>
    <xdr:to>
      <xdr:col>25</xdr:col>
      <xdr:colOff>43962</xdr:colOff>
      <xdr:row>35</xdr:row>
      <xdr:rowOff>51576</xdr:rowOff>
    </xdr:to>
    <xdr:sp macro="" textlink="">
      <xdr:nvSpPr>
        <xdr:cNvPr id="2" name="Freeform 1">
          <a:extLst>
            <a:ext uri="{FF2B5EF4-FFF2-40B4-BE49-F238E27FC236}">
              <a16:creationId xmlns:a16="http://schemas.microsoft.com/office/drawing/2014/main" xmlns="" id="{00000000-0008-0000-0A00-000002000000}"/>
            </a:ext>
          </a:extLst>
        </xdr:cNvPr>
        <xdr:cNvSpPr/>
      </xdr:nvSpPr>
      <xdr:spPr>
        <a:xfrm>
          <a:off x="18148788" y="4703884"/>
          <a:ext cx="3707424" cy="2213019"/>
        </a:xfrm>
        <a:custGeom>
          <a:avLst/>
          <a:gdLst>
            <a:gd name="connsiteX0" fmla="*/ 0 w 3245827"/>
            <a:gd name="connsiteY0" fmla="*/ 1758462 h 1838484"/>
            <a:gd name="connsiteX1" fmla="*/ 1069731 w 3245827"/>
            <a:gd name="connsiteY1" fmla="*/ 1714500 h 1838484"/>
            <a:gd name="connsiteX2" fmla="*/ 2557097 w 3245827"/>
            <a:gd name="connsiteY2" fmla="*/ 586154 h 1838484"/>
            <a:gd name="connsiteX3" fmla="*/ 3245827 w 3245827"/>
            <a:gd name="connsiteY3" fmla="*/ 0 h 1838484"/>
            <a:gd name="connsiteX0" fmla="*/ 0 w 3245827"/>
            <a:gd name="connsiteY0" fmla="*/ 1758462 h 1824720"/>
            <a:gd name="connsiteX1" fmla="*/ 1069731 w 3245827"/>
            <a:gd name="connsiteY1" fmla="*/ 1714500 h 1824720"/>
            <a:gd name="connsiteX2" fmla="*/ 2557097 w 3245827"/>
            <a:gd name="connsiteY2" fmla="*/ 586154 h 1824720"/>
            <a:gd name="connsiteX3" fmla="*/ 3245827 w 3245827"/>
            <a:gd name="connsiteY3" fmla="*/ 0 h 1824720"/>
            <a:gd name="connsiteX0" fmla="*/ 0 w 3245827"/>
            <a:gd name="connsiteY0" fmla="*/ 1758462 h 1774549"/>
            <a:gd name="connsiteX1" fmla="*/ 1069731 w 3245827"/>
            <a:gd name="connsiteY1" fmla="*/ 1714500 h 1774549"/>
            <a:gd name="connsiteX2" fmla="*/ 2557097 w 3245827"/>
            <a:gd name="connsiteY2" fmla="*/ 586154 h 1774549"/>
            <a:gd name="connsiteX3" fmla="*/ 3245827 w 3245827"/>
            <a:gd name="connsiteY3" fmla="*/ 0 h 1774549"/>
          </a:gdLst>
          <a:ahLst/>
          <a:cxnLst>
            <a:cxn ang="0">
              <a:pos x="connsiteX0" y="connsiteY0"/>
            </a:cxn>
            <a:cxn ang="0">
              <a:pos x="connsiteX1" y="connsiteY1"/>
            </a:cxn>
            <a:cxn ang="0">
              <a:pos x="connsiteX2" y="connsiteY2"/>
            </a:cxn>
            <a:cxn ang="0">
              <a:pos x="connsiteX3" y="connsiteY3"/>
            </a:cxn>
          </a:cxnLst>
          <a:rect l="l" t="t" r="r" b="b"/>
          <a:pathLst>
            <a:path w="3245827" h="1774549">
              <a:moveTo>
                <a:pt x="0" y="1758462"/>
              </a:moveTo>
              <a:cubicBezTo>
                <a:pt x="539872" y="1793046"/>
                <a:pt x="823159" y="1768879"/>
                <a:pt x="1069731" y="1714500"/>
              </a:cubicBezTo>
              <a:cubicBezTo>
                <a:pt x="1316303" y="1660121"/>
                <a:pt x="2194414" y="871904"/>
                <a:pt x="2557097" y="586154"/>
              </a:cubicBezTo>
              <a:cubicBezTo>
                <a:pt x="2919780" y="300404"/>
                <a:pt x="3082803" y="150202"/>
                <a:pt x="3245827" y="0"/>
              </a:cubicBezTo>
            </a:path>
          </a:pathLst>
        </a:cu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29</xdr:col>
      <xdr:colOff>187608</xdr:colOff>
      <xdr:row>19</xdr:row>
      <xdr:rowOff>98990</xdr:rowOff>
    </xdr:from>
    <xdr:to>
      <xdr:col>36</xdr:col>
      <xdr:colOff>478370</xdr:colOff>
      <xdr:row>34</xdr:row>
      <xdr:rowOff>135085</xdr:rowOff>
    </xdr:to>
    <xdr:graphicFrame macro="">
      <xdr:nvGraphicFramePr>
        <xdr:cNvPr id="5" name="Chart 4">
          <a:extLst>
            <a:ext uri="{FF2B5EF4-FFF2-40B4-BE49-F238E27FC236}">
              <a16:creationId xmlns:a16="http://schemas.microsoft.com/office/drawing/2014/main" xmlns="" id="{00000000-0008-0000-0A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33</xdr:col>
      <xdr:colOff>134471</xdr:colOff>
      <xdr:row>22</xdr:row>
      <xdr:rowOff>112059</xdr:rowOff>
    </xdr:from>
    <xdr:to>
      <xdr:col>35</xdr:col>
      <xdr:colOff>56030</xdr:colOff>
      <xdr:row>25</xdr:row>
      <xdr:rowOff>145676</xdr:rowOff>
    </xdr:to>
    <xdr:sp macro="" textlink="">
      <xdr:nvSpPr>
        <xdr:cNvPr id="6" name="TextBox 5">
          <a:extLst>
            <a:ext uri="{FF2B5EF4-FFF2-40B4-BE49-F238E27FC236}">
              <a16:creationId xmlns:a16="http://schemas.microsoft.com/office/drawing/2014/main" xmlns="" id="{00000000-0008-0000-0A00-000006000000}"/>
            </a:ext>
          </a:extLst>
        </xdr:cNvPr>
        <xdr:cNvSpPr txBox="1"/>
      </xdr:nvSpPr>
      <xdr:spPr>
        <a:xfrm>
          <a:off x="26748442" y="4549588"/>
          <a:ext cx="1131794" cy="571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0">
              <a:latin typeface="Arial" panose="020B0604020202020204" pitchFamily="34" charset="0"/>
              <a:cs typeface="Arial" panose="020B0604020202020204" pitchFamily="34" charset="0"/>
            </a:rPr>
            <a:t>Beginning of harvest</a:t>
          </a:r>
        </a:p>
      </xdr:txBody>
    </xdr:sp>
    <xdr:clientData/>
  </xdr:twoCellAnchor>
</xdr:wsDr>
</file>

<file path=xl/drawings/drawing34.xml><?xml version="1.0" encoding="utf-8"?>
<c:userShapes xmlns:c="http://schemas.openxmlformats.org/drawingml/2006/chart">
  <cdr:relSizeAnchor xmlns:cdr="http://schemas.openxmlformats.org/drawingml/2006/chartDrawing">
    <cdr:from>
      <cdr:x>0.14917</cdr:x>
      <cdr:y>0.05153</cdr:y>
    </cdr:from>
    <cdr:to>
      <cdr:x>0.95432</cdr:x>
      <cdr:y>0.78598</cdr:y>
    </cdr:to>
    <cdr:sp macro="" textlink="">
      <cdr:nvSpPr>
        <cdr:cNvPr id="2" name="Freeform 1"/>
        <cdr:cNvSpPr/>
      </cdr:nvSpPr>
      <cdr:spPr>
        <a:xfrm xmlns:a="http://schemas.openxmlformats.org/drawingml/2006/main">
          <a:off x="675245" y="140448"/>
          <a:ext cx="3644566" cy="2001740"/>
        </a:xfrm>
        <a:custGeom xmlns:a="http://schemas.openxmlformats.org/drawingml/2006/main">
          <a:avLst/>
          <a:gdLst>
            <a:gd name="connsiteX0" fmla="*/ 0 w 3245827"/>
            <a:gd name="connsiteY0" fmla="*/ 1758462 h 1838484"/>
            <a:gd name="connsiteX1" fmla="*/ 1069731 w 3245827"/>
            <a:gd name="connsiteY1" fmla="*/ 1714500 h 1838484"/>
            <a:gd name="connsiteX2" fmla="*/ 2557097 w 3245827"/>
            <a:gd name="connsiteY2" fmla="*/ 586154 h 1838484"/>
            <a:gd name="connsiteX3" fmla="*/ 3245827 w 3245827"/>
            <a:gd name="connsiteY3" fmla="*/ 0 h 1838484"/>
            <a:gd name="connsiteX0" fmla="*/ 0 w 3245827"/>
            <a:gd name="connsiteY0" fmla="*/ 1758462 h 1824720"/>
            <a:gd name="connsiteX1" fmla="*/ 1069731 w 3245827"/>
            <a:gd name="connsiteY1" fmla="*/ 1714500 h 1824720"/>
            <a:gd name="connsiteX2" fmla="*/ 2557097 w 3245827"/>
            <a:gd name="connsiteY2" fmla="*/ 586154 h 1824720"/>
            <a:gd name="connsiteX3" fmla="*/ 3245827 w 3245827"/>
            <a:gd name="connsiteY3" fmla="*/ 0 h 1824720"/>
            <a:gd name="connsiteX0" fmla="*/ 0 w 3245827"/>
            <a:gd name="connsiteY0" fmla="*/ 1758462 h 1774549"/>
            <a:gd name="connsiteX1" fmla="*/ 1069731 w 3245827"/>
            <a:gd name="connsiteY1" fmla="*/ 1714500 h 1774549"/>
            <a:gd name="connsiteX2" fmla="*/ 2557097 w 3245827"/>
            <a:gd name="connsiteY2" fmla="*/ 586154 h 1774549"/>
            <a:gd name="connsiteX3" fmla="*/ 3245827 w 3245827"/>
            <a:gd name="connsiteY3" fmla="*/ 0 h 1774549"/>
          </a:gdLst>
          <a:ahLst/>
          <a:cxnLst>
            <a:cxn ang="0">
              <a:pos x="connsiteX0" y="connsiteY0"/>
            </a:cxn>
            <a:cxn ang="0">
              <a:pos x="connsiteX1" y="connsiteY1"/>
            </a:cxn>
            <a:cxn ang="0">
              <a:pos x="connsiteX2" y="connsiteY2"/>
            </a:cxn>
            <a:cxn ang="0">
              <a:pos x="connsiteX3" y="connsiteY3"/>
            </a:cxn>
          </a:cxnLst>
          <a:rect l="l" t="t" r="r" b="b"/>
          <a:pathLst>
            <a:path w="3245827" h="1774549">
              <a:moveTo>
                <a:pt x="0" y="1758462"/>
              </a:moveTo>
              <a:cubicBezTo>
                <a:pt x="539872" y="1793046"/>
                <a:pt x="823159" y="1768879"/>
                <a:pt x="1069731" y="1714500"/>
              </a:cubicBezTo>
              <a:cubicBezTo>
                <a:pt x="1316303" y="1660121"/>
                <a:pt x="2194414" y="871904"/>
                <a:pt x="2557097" y="586154"/>
              </a:cubicBezTo>
              <a:cubicBezTo>
                <a:pt x="2919780" y="300404"/>
                <a:pt x="3082803" y="150202"/>
                <a:pt x="3245827" y="0"/>
              </a:cubicBezTo>
            </a:path>
          </a:pathLst>
        </a:custGeom>
        <a:noFill xmlns:a="http://schemas.openxmlformats.org/drawingml/2006/main"/>
        <a:ln xmlns:a="http://schemas.openxmlformats.org/drawingml/2006/main">
          <a:solidFill>
            <a:srgbClr val="FF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ot="0" spcFirstLastPara="0" vert="horz" wrap="square" lIns="91440" tIns="45720" rIns="91440" bIns="45720" numCol="1" spcCol="0" rtlCol="0" fromWordArt="0" anchor="t" anchorCtr="0" forceAA="0" compatLnSpc="1">
          <a:prstTxWarp prst="textNoShape">
            <a:avLst/>
          </a:prstTxWarp>
          <a:noAutofit/>
        </a:bodyP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l"/>
          <a:endParaRPr lang="en-US" sz="1100"/>
        </a:p>
      </cdr:txBody>
    </cdr:sp>
  </cdr:relSizeAnchor>
</c:userShapes>
</file>

<file path=xl/drawings/drawing35.xml><?xml version="1.0" encoding="utf-8"?>
<xdr:wsDr xmlns:xdr="http://schemas.openxmlformats.org/drawingml/2006/spreadsheetDrawing" xmlns:a="http://schemas.openxmlformats.org/drawingml/2006/main">
  <xdr:twoCellAnchor editAs="oneCell">
    <xdr:from>
      <xdr:col>0</xdr:col>
      <xdr:colOff>0</xdr:colOff>
      <xdr:row>97</xdr:row>
      <xdr:rowOff>0</xdr:rowOff>
    </xdr:from>
    <xdr:to>
      <xdr:col>2</xdr:col>
      <xdr:colOff>898785</xdr:colOff>
      <xdr:row>112</xdr:row>
      <xdr:rowOff>121934</xdr:rowOff>
    </xdr:to>
    <xdr:pic>
      <xdr:nvPicPr>
        <xdr:cNvPr id="4" name="Picture 3">
          <a:extLst>
            <a:ext uri="{FF2B5EF4-FFF2-40B4-BE49-F238E27FC236}">
              <a16:creationId xmlns:a16="http://schemas.microsoft.com/office/drawing/2014/main" xmlns="" id="{00000000-0008-0000-0B00-000004000000}"/>
            </a:ext>
          </a:extLst>
        </xdr:cNvPr>
        <xdr:cNvPicPr>
          <a:picLocks noChangeAspect="1"/>
        </xdr:cNvPicPr>
      </xdr:nvPicPr>
      <xdr:blipFill>
        <a:blip xmlns:r="http://schemas.openxmlformats.org/officeDocument/2006/relationships" r:embed="rId1"/>
        <a:stretch>
          <a:fillRect/>
        </a:stretch>
      </xdr:blipFill>
      <xdr:spPr>
        <a:xfrm>
          <a:off x="0" y="17716500"/>
          <a:ext cx="4126079" cy="2979434"/>
        </a:xfrm>
        <a:prstGeom prst="rect">
          <a:avLst/>
        </a:prstGeom>
      </xdr:spPr>
    </xdr:pic>
    <xdr:clientData/>
  </xdr:twoCellAnchor>
  <xdr:twoCellAnchor editAs="oneCell">
    <xdr:from>
      <xdr:col>3</xdr:col>
      <xdr:colOff>560616</xdr:colOff>
      <xdr:row>97</xdr:row>
      <xdr:rowOff>184401</xdr:rowOff>
    </xdr:from>
    <xdr:to>
      <xdr:col>7</xdr:col>
      <xdr:colOff>373180</xdr:colOff>
      <xdr:row>111</xdr:row>
      <xdr:rowOff>108857</xdr:rowOff>
    </xdr:to>
    <xdr:pic>
      <xdr:nvPicPr>
        <xdr:cNvPr id="5" name="Picture 4">
          <a:extLst>
            <a:ext uri="{FF2B5EF4-FFF2-40B4-BE49-F238E27FC236}">
              <a16:creationId xmlns:a16="http://schemas.microsoft.com/office/drawing/2014/main" xmlns="" id="{00000000-0008-0000-0B00-000005000000}"/>
            </a:ext>
          </a:extLst>
        </xdr:cNvPr>
        <xdr:cNvPicPr>
          <a:picLocks noChangeAspect="1"/>
        </xdr:cNvPicPr>
      </xdr:nvPicPr>
      <xdr:blipFill>
        <a:blip xmlns:r="http://schemas.openxmlformats.org/officeDocument/2006/relationships" r:embed="rId2"/>
        <a:stretch>
          <a:fillRect/>
        </a:stretch>
      </xdr:blipFill>
      <xdr:spPr>
        <a:xfrm>
          <a:off x="4887687" y="17900901"/>
          <a:ext cx="3064672" cy="2591456"/>
        </a:xfrm>
        <a:prstGeom prst="rect">
          <a:avLst/>
        </a:prstGeom>
      </xdr:spPr>
    </xdr:pic>
    <xdr:clientData/>
  </xdr:twoCellAnchor>
  <xdr:twoCellAnchor>
    <xdr:from>
      <xdr:col>18</xdr:col>
      <xdr:colOff>449035</xdr:colOff>
      <xdr:row>13</xdr:row>
      <xdr:rowOff>145596</xdr:rowOff>
    </xdr:from>
    <xdr:to>
      <xdr:col>26</xdr:col>
      <xdr:colOff>122464</xdr:colOff>
      <xdr:row>28</xdr:row>
      <xdr:rowOff>31296</xdr:rowOff>
    </xdr:to>
    <xdr:graphicFrame macro="">
      <xdr:nvGraphicFramePr>
        <xdr:cNvPr id="10" name="Chart 9">
          <a:extLst>
            <a:ext uri="{FF2B5EF4-FFF2-40B4-BE49-F238E27FC236}">
              <a16:creationId xmlns:a16="http://schemas.microsoft.com/office/drawing/2014/main" xmlns="" id="{00000000-0008-0000-0B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9</xdr:col>
      <xdr:colOff>0</xdr:colOff>
      <xdr:row>98</xdr:row>
      <xdr:rowOff>0</xdr:rowOff>
    </xdr:from>
    <xdr:to>
      <xdr:col>14</xdr:col>
      <xdr:colOff>258536</xdr:colOff>
      <xdr:row>117</xdr:row>
      <xdr:rowOff>73913</xdr:rowOff>
    </xdr:to>
    <xdr:pic>
      <xdr:nvPicPr>
        <xdr:cNvPr id="11" name="Picture 10">
          <a:extLst>
            <a:ext uri="{FF2B5EF4-FFF2-40B4-BE49-F238E27FC236}">
              <a16:creationId xmlns:a16="http://schemas.microsoft.com/office/drawing/2014/main" xmlns="" id="{00000000-0008-0000-0B00-00000B000000}"/>
            </a:ext>
          </a:extLst>
        </xdr:cNvPr>
        <xdr:cNvPicPr>
          <a:picLocks noChangeAspect="1"/>
        </xdr:cNvPicPr>
      </xdr:nvPicPr>
      <xdr:blipFill>
        <a:blip xmlns:r="http://schemas.openxmlformats.org/officeDocument/2006/relationships" r:embed="rId4"/>
        <a:stretch>
          <a:fillRect/>
        </a:stretch>
      </xdr:blipFill>
      <xdr:spPr>
        <a:xfrm>
          <a:off x="9075964" y="18478500"/>
          <a:ext cx="4122965" cy="3693413"/>
        </a:xfrm>
        <a:prstGeom prst="rect">
          <a:avLst/>
        </a:prstGeom>
      </xdr:spPr>
    </xdr:pic>
    <xdr:clientData/>
  </xdr:twoCellAnchor>
  <xdr:twoCellAnchor>
    <xdr:from>
      <xdr:col>19</xdr:col>
      <xdr:colOff>489857</xdr:colOff>
      <xdr:row>14</xdr:row>
      <xdr:rowOff>119859</xdr:rowOff>
    </xdr:from>
    <xdr:to>
      <xdr:col>25</xdr:col>
      <xdr:colOff>440871</xdr:colOff>
      <xdr:row>25</xdr:row>
      <xdr:rowOff>21771</xdr:rowOff>
    </xdr:to>
    <xdr:sp macro="" textlink="">
      <xdr:nvSpPr>
        <xdr:cNvPr id="12" name="Freeform 11">
          <a:extLst>
            <a:ext uri="{FF2B5EF4-FFF2-40B4-BE49-F238E27FC236}">
              <a16:creationId xmlns:a16="http://schemas.microsoft.com/office/drawing/2014/main" xmlns="" id="{00000000-0008-0000-0B00-00000C000000}"/>
            </a:ext>
          </a:extLst>
        </xdr:cNvPr>
        <xdr:cNvSpPr/>
      </xdr:nvSpPr>
      <xdr:spPr>
        <a:xfrm>
          <a:off x="19114895" y="3167859"/>
          <a:ext cx="3599822" cy="1997412"/>
        </a:xfrm>
        <a:custGeom>
          <a:avLst/>
          <a:gdLst>
            <a:gd name="connsiteX0" fmla="*/ 0 w 3608614"/>
            <a:gd name="connsiteY0" fmla="*/ 2019397 h 2019397"/>
            <a:gd name="connsiteX1" fmla="*/ 1475014 w 3608614"/>
            <a:gd name="connsiteY1" fmla="*/ 1861555 h 2019397"/>
            <a:gd name="connsiteX2" fmla="*/ 2313214 w 3608614"/>
            <a:gd name="connsiteY2" fmla="*/ 1300940 h 2019397"/>
            <a:gd name="connsiteX3" fmla="*/ 3194957 w 3608614"/>
            <a:gd name="connsiteY3" fmla="*/ 157940 h 2019397"/>
            <a:gd name="connsiteX4" fmla="*/ 3608614 w 3608614"/>
            <a:gd name="connsiteY4" fmla="*/ 38197 h 2019397"/>
            <a:gd name="connsiteX0" fmla="*/ 0 w 3608614"/>
            <a:gd name="connsiteY0" fmla="*/ 2019397 h 2019397"/>
            <a:gd name="connsiteX1" fmla="*/ 1475014 w 3608614"/>
            <a:gd name="connsiteY1" fmla="*/ 1861555 h 2019397"/>
            <a:gd name="connsiteX2" fmla="*/ 2313214 w 3608614"/>
            <a:gd name="connsiteY2" fmla="*/ 1300940 h 2019397"/>
            <a:gd name="connsiteX3" fmla="*/ 3194957 w 3608614"/>
            <a:gd name="connsiteY3" fmla="*/ 157940 h 2019397"/>
            <a:gd name="connsiteX4" fmla="*/ 3608614 w 3608614"/>
            <a:gd name="connsiteY4" fmla="*/ 38197 h 2019397"/>
            <a:gd name="connsiteX0" fmla="*/ 0 w 3608614"/>
            <a:gd name="connsiteY0" fmla="*/ 2019397 h 2019397"/>
            <a:gd name="connsiteX1" fmla="*/ 1475014 w 3608614"/>
            <a:gd name="connsiteY1" fmla="*/ 1861555 h 2019397"/>
            <a:gd name="connsiteX2" fmla="*/ 2313214 w 3608614"/>
            <a:gd name="connsiteY2" fmla="*/ 1300940 h 2019397"/>
            <a:gd name="connsiteX3" fmla="*/ 3194957 w 3608614"/>
            <a:gd name="connsiteY3" fmla="*/ 157940 h 2019397"/>
            <a:gd name="connsiteX4" fmla="*/ 3608614 w 3608614"/>
            <a:gd name="connsiteY4" fmla="*/ 38197 h 2019397"/>
            <a:gd name="connsiteX0" fmla="*/ 0 w 3608614"/>
            <a:gd name="connsiteY0" fmla="*/ 2019397 h 2019397"/>
            <a:gd name="connsiteX1" fmla="*/ 1475014 w 3608614"/>
            <a:gd name="connsiteY1" fmla="*/ 1861555 h 2019397"/>
            <a:gd name="connsiteX2" fmla="*/ 2313214 w 3608614"/>
            <a:gd name="connsiteY2" fmla="*/ 1300940 h 2019397"/>
            <a:gd name="connsiteX3" fmla="*/ 3194957 w 3608614"/>
            <a:gd name="connsiteY3" fmla="*/ 157940 h 2019397"/>
            <a:gd name="connsiteX4" fmla="*/ 3608614 w 3608614"/>
            <a:gd name="connsiteY4" fmla="*/ 38197 h 2019397"/>
            <a:gd name="connsiteX0" fmla="*/ 0 w 3608614"/>
            <a:gd name="connsiteY0" fmla="*/ 2019397 h 2019397"/>
            <a:gd name="connsiteX1" fmla="*/ 1475014 w 3608614"/>
            <a:gd name="connsiteY1" fmla="*/ 1861555 h 2019397"/>
            <a:gd name="connsiteX2" fmla="*/ 2313214 w 3608614"/>
            <a:gd name="connsiteY2" fmla="*/ 1300940 h 2019397"/>
            <a:gd name="connsiteX3" fmla="*/ 3194957 w 3608614"/>
            <a:gd name="connsiteY3" fmla="*/ 157940 h 2019397"/>
            <a:gd name="connsiteX4" fmla="*/ 3608614 w 3608614"/>
            <a:gd name="connsiteY4" fmla="*/ 38197 h 2019397"/>
            <a:gd name="connsiteX0" fmla="*/ 0 w 3608614"/>
            <a:gd name="connsiteY0" fmla="*/ 2015078 h 2015078"/>
            <a:gd name="connsiteX1" fmla="*/ 1475014 w 3608614"/>
            <a:gd name="connsiteY1" fmla="*/ 1857236 h 2015078"/>
            <a:gd name="connsiteX2" fmla="*/ 2313214 w 3608614"/>
            <a:gd name="connsiteY2" fmla="*/ 1296621 h 2015078"/>
            <a:gd name="connsiteX3" fmla="*/ 3254725 w 3608614"/>
            <a:gd name="connsiteY3" fmla="*/ 165527 h 2015078"/>
            <a:gd name="connsiteX4" fmla="*/ 3608614 w 3608614"/>
            <a:gd name="connsiteY4" fmla="*/ 33878 h 2015078"/>
            <a:gd name="connsiteX0" fmla="*/ 0 w 3608614"/>
            <a:gd name="connsiteY0" fmla="*/ 2001338 h 2001338"/>
            <a:gd name="connsiteX1" fmla="*/ 1475014 w 3608614"/>
            <a:gd name="connsiteY1" fmla="*/ 1843496 h 2001338"/>
            <a:gd name="connsiteX2" fmla="*/ 2313214 w 3608614"/>
            <a:gd name="connsiteY2" fmla="*/ 1282881 h 2001338"/>
            <a:gd name="connsiteX3" fmla="*/ 3254725 w 3608614"/>
            <a:gd name="connsiteY3" fmla="*/ 151787 h 2001338"/>
            <a:gd name="connsiteX4" fmla="*/ 3608614 w 3608614"/>
            <a:gd name="connsiteY4" fmla="*/ 20138 h 2001338"/>
            <a:gd name="connsiteX0" fmla="*/ 0 w 3608614"/>
            <a:gd name="connsiteY0" fmla="*/ 1995482 h 1995482"/>
            <a:gd name="connsiteX1" fmla="*/ 1475014 w 3608614"/>
            <a:gd name="connsiteY1" fmla="*/ 1837640 h 1995482"/>
            <a:gd name="connsiteX2" fmla="*/ 2313214 w 3608614"/>
            <a:gd name="connsiteY2" fmla="*/ 1277025 h 1995482"/>
            <a:gd name="connsiteX3" fmla="*/ 3254725 w 3608614"/>
            <a:gd name="connsiteY3" fmla="*/ 145931 h 1995482"/>
            <a:gd name="connsiteX4" fmla="*/ 3608614 w 3608614"/>
            <a:gd name="connsiteY4" fmla="*/ 14282 h 1995482"/>
            <a:gd name="connsiteX0" fmla="*/ 0 w 3608614"/>
            <a:gd name="connsiteY0" fmla="*/ 1995482 h 1995482"/>
            <a:gd name="connsiteX1" fmla="*/ 1475014 w 3608614"/>
            <a:gd name="connsiteY1" fmla="*/ 1837640 h 1995482"/>
            <a:gd name="connsiteX2" fmla="*/ 2313214 w 3608614"/>
            <a:gd name="connsiteY2" fmla="*/ 1277025 h 1995482"/>
            <a:gd name="connsiteX3" fmla="*/ 3212888 w 3608614"/>
            <a:gd name="connsiteY3" fmla="*/ 145931 h 1995482"/>
            <a:gd name="connsiteX4" fmla="*/ 3608614 w 3608614"/>
            <a:gd name="connsiteY4" fmla="*/ 14282 h 1995482"/>
            <a:gd name="connsiteX0" fmla="*/ 0 w 3608614"/>
            <a:gd name="connsiteY0" fmla="*/ 1991720 h 1991720"/>
            <a:gd name="connsiteX1" fmla="*/ 1475014 w 3608614"/>
            <a:gd name="connsiteY1" fmla="*/ 1833878 h 1991720"/>
            <a:gd name="connsiteX2" fmla="*/ 2313214 w 3608614"/>
            <a:gd name="connsiteY2" fmla="*/ 1273263 h 1991720"/>
            <a:gd name="connsiteX3" fmla="*/ 3290587 w 3608614"/>
            <a:gd name="connsiteY3" fmla="*/ 183841 h 1991720"/>
            <a:gd name="connsiteX4" fmla="*/ 3608614 w 3608614"/>
            <a:gd name="connsiteY4" fmla="*/ 10520 h 1991720"/>
            <a:gd name="connsiteX0" fmla="*/ 0 w 3608614"/>
            <a:gd name="connsiteY0" fmla="*/ 2001994 h 2001994"/>
            <a:gd name="connsiteX1" fmla="*/ 1475014 w 3608614"/>
            <a:gd name="connsiteY1" fmla="*/ 1844152 h 2001994"/>
            <a:gd name="connsiteX2" fmla="*/ 2210386 w 3608614"/>
            <a:gd name="connsiteY2" fmla="*/ 1232249 h 2001994"/>
            <a:gd name="connsiteX3" fmla="*/ 3290587 w 3608614"/>
            <a:gd name="connsiteY3" fmla="*/ 194115 h 2001994"/>
            <a:gd name="connsiteX4" fmla="*/ 3608614 w 3608614"/>
            <a:gd name="connsiteY4" fmla="*/ 20794 h 2001994"/>
            <a:gd name="connsiteX0" fmla="*/ 0 w 3608614"/>
            <a:gd name="connsiteY0" fmla="*/ 2001994 h 2001994"/>
            <a:gd name="connsiteX1" fmla="*/ 1460324 w 3608614"/>
            <a:gd name="connsiteY1" fmla="*/ 1807517 h 2001994"/>
            <a:gd name="connsiteX2" fmla="*/ 2210386 w 3608614"/>
            <a:gd name="connsiteY2" fmla="*/ 1232249 h 2001994"/>
            <a:gd name="connsiteX3" fmla="*/ 3290587 w 3608614"/>
            <a:gd name="connsiteY3" fmla="*/ 194115 h 2001994"/>
            <a:gd name="connsiteX4" fmla="*/ 3608614 w 3608614"/>
            <a:gd name="connsiteY4" fmla="*/ 20794 h 2001994"/>
            <a:gd name="connsiteX0" fmla="*/ 0 w 3608614"/>
            <a:gd name="connsiteY0" fmla="*/ 2001994 h 2001994"/>
            <a:gd name="connsiteX1" fmla="*/ 1460324 w 3608614"/>
            <a:gd name="connsiteY1" fmla="*/ 1807517 h 2001994"/>
            <a:gd name="connsiteX2" fmla="*/ 2210386 w 3608614"/>
            <a:gd name="connsiteY2" fmla="*/ 1232249 h 2001994"/>
            <a:gd name="connsiteX3" fmla="*/ 3290587 w 3608614"/>
            <a:gd name="connsiteY3" fmla="*/ 194115 h 2001994"/>
            <a:gd name="connsiteX4" fmla="*/ 3608614 w 3608614"/>
            <a:gd name="connsiteY4" fmla="*/ 20794 h 2001994"/>
            <a:gd name="connsiteX0" fmla="*/ 0 w 3608614"/>
            <a:gd name="connsiteY0" fmla="*/ 1993298 h 1993298"/>
            <a:gd name="connsiteX1" fmla="*/ 1460324 w 3608614"/>
            <a:gd name="connsiteY1" fmla="*/ 1798821 h 1993298"/>
            <a:gd name="connsiteX2" fmla="*/ 2210386 w 3608614"/>
            <a:gd name="connsiteY2" fmla="*/ 1223553 h 1993298"/>
            <a:gd name="connsiteX3" fmla="*/ 3268552 w 3608614"/>
            <a:gd name="connsiteY3" fmla="*/ 251361 h 1993298"/>
            <a:gd name="connsiteX4" fmla="*/ 3608614 w 3608614"/>
            <a:gd name="connsiteY4" fmla="*/ 12098 h 1993298"/>
            <a:gd name="connsiteX0" fmla="*/ 0 w 3608614"/>
            <a:gd name="connsiteY0" fmla="*/ 1996267 h 1996267"/>
            <a:gd name="connsiteX1" fmla="*/ 1460324 w 3608614"/>
            <a:gd name="connsiteY1" fmla="*/ 1801790 h 1996267"/>
            <a:gd name="connsiteX2" fmla="*/ 2210386 w 3608614"/>
            <a:gd name="connsiteY2" fmla="*/ 1226522 h 1996267"/>
            <a:gd name="connsiteX3" fmla="*/ 3187760 w 3608614"/>
            <a:gd name="connsiteY3" fmla="*/ 225022 h 1996267"/>
            <a:gd name="connsiteX4" fmla="*/ 3608614 w 3608614"/>
            <a:gd name="connsiteY4" fmla="*/ 15067 h 1996267"/>
            <a:gd name="connsiteX0" fmla="*/ 0 w 3608614"/>
            <a:gd name="connsiteY0" fmla="*/ 1996267 h 1996267"/>
            <a:gd name="connsiteX1" fmla="*/ 1489704 w 3608614"/>
            <a:gd name="connsiteY1" fmla="*/ 1845751 h 1996267"/>
            <a:gd name="connsiteX2" fmla="*/ 2210386 w 3608614"/>
            <a:gd name="connsiteY2" fmla="*/ 1226522 h 1996267"/>
            <a:gd name="connsiteX3" fmla="*/ 3187760 w 3608614"/>
            <a:gd name="connsiteY3" fmla="*/ 225022 h 1996267"/>
            <a:gd name="connsiteX4" fmla="*/ 3608614 w 3608614"/>
            <a:gd name="connsiteY4" fmla="*/ 15067 h 1996267"/>
            <a:gd name="connsiteX0" fmla="*/ 0 w 3608614"/>
            <a:gd name="connsiteY0" fmla="*/ 1997412 h 1997412"/>
            <a:gd name="connsiteX1" fmla="*/ 1489704 w 3608614"/>
            <a:gd name="connsiteY1" fmla="*/ 1846896 h 1997412"/>
            <a:gd name="connsiteX2" fmla="*/ 2210386 w 3608614"/>
            <a:gd name="connsiteY2" fmla="*/ 1286282 h 1997412"/>
            <a:gd name="connsiteX3" fmla="*/ 3187760 w 3608614"/>
            <a:gd name="connsiteY3" fmla="*/ 226167 h 1997412"/>
            <a:gd name="connsiteX4" fmla="*/ 3608614 w 3608614"/>
            <a:gd name="connsiteY4" fmla="*/ 16212 h 199741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3608614" h="1997412">
              <a:moveTo>
                <a:pt x="0" y="1997412"/>
              </a:moveTo>
              <a:cubicBezTo>
                <a:pt x="544739" y="1978362"/>
                <a:pt x="1121306" y="1965418"/>
                <a:pt x="1489704" y="1846896"/>
              </a:cubicBezTo>
              <a:cubicBezTo>
                <a:pt x="1858102" y="1728374"/>
                <a:pt x="1927377" y="1556404"/>
                <a:pt x="2210386" y="1286282"/>
              </a:cubicBezTo>
              <a:cubicBezTo>
                <a:pt x="2493395" y="1016160"/>
                <a:pt x="2954722" y="437845"/>
                <a:pt x="3187760" y="226167"/>
              </a:cubicBezTo>
              <a:cubicBezTo>
                <a:pt x="3420798" y="14489"/>
                <a:pt x="3509735" y="-29145"/>
                <a:pt x="3608614" y="16212"/>
              </a:cubicBezTo>
            </a:path>
          </a:pathLst>
        </a:cu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30</xdr:col>
      <xdr:colOff>410766</xdr:colOff>
      <xdr:row>8</xdr:row>
      <xdr:rowOff>113704</xdr:rowOff>
    </xdr:from>
    <xdr:to>
      <xdr:col>38</xdr:col>
      <xdr:colOff>125016</xdr:colOff>
      <xdr:row>22</xdr:row>
      <xdr:rowOff>189904</xdr:rowOff>
    </xdr:to>
    <xdr:graphicFrame macro="">
      <xdr:nvGraphicFramePr>
        <xdr:cNvPr id="15" name="Chart 14">
          <a:extLst>
            <a:ext uri="{FF2B5EF4-FFF2-40B4-BE49-F238E27FC236}">
              <a16:creationId xmlns:a16="http://schemas.microsoft.com/office/drawing/2014/main" xmlns="" id="{00000000-0008-0000-0B00-00000F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21</xdr:col>
      <xdr:colOff>85725</xdr:colOff>
      <xdr:row>19</xdr:row>
      <xdr:rowOff>104776</xdr:rowOff>
    </xdr:from>
    <xdr:to>
      <xdr:col>23</xdr:col>
      <xdr:colOff>238125</xdr:colOff>
      <xdr:row>20</xdr:row>
      <xdr:rowOff>180976</xdr:rowOff>
    </xdr:to>
    <xdr:sp macro="" textlink="">
      <xdr:nvSpPr>
        <xdr:cNvPr id="16" name="TextBox 15">
          <a:extLst>
            <a:ext uri="{FF2B5EF4-FFF2-40B4-BE49-F238E27FC236}">
              <a16:creationId xmlns:a16="http://schemas.microsoft.com/office/drawing/2014/main" xmlns="" id="{00000000-0008-0000-0B00-000010000000}"/>
            </a:ext>
          </a:extLst>
        </xdr:cNvPr>
        <xdr:cNvSpPr txBox="1"/>
      </xdr:nvSpPr>
      <xdr:spPr>
        <a:xfrm>
          <a:off x="19935825" y="4105276"/>
          <a:ext cx="137160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latin typeface="Arial" panose="020B0604020202020204" pitchFamily="34" charset="0"/>
              <a:cs typeface="Arial" panose="020B0604020202020204" pitchFamily="34" charset="0"/>
            </a:rPr>
            <a:t>Early</a:t>
          </a:r>
          <a:r>
            <a:rPr lang="en-US" sz="1200" b="1" baseline="0">
              <a:latin typeface="Arial" panose="020B0604020202020204" pitchFamily="34" charset="0"/>
              <a:cs typeface="Arial" panose="020B0604020202020204" pitchFamily="34" charset="0"/>
            </a:rPr>
            <a:t> flowering</a:t>
          </a:r>
          <a:endParaRPr lang="en-US" sz="1200" b="1">
            <a:latin typeface="Arial" panose="020B0604020202020204" pitchFamily="34" charset="0"/>
            <a:cs typeface="Arial" panose="020B0604020202020204" pitchFamily="34" charset="0"/>
          </a:endParaRPr>
        </a:p>
      </xdr:txBody>
    </xdr:sp>
    <xdr:clientData/>
  </xdr:twoCellAnchor>
  <xdr:twoCellAnchor editAs="oneCell">
    <xdr:from>
      <xdr:col>15</xdr:col>
      <xdr:colOff>0</xdr:colOff>
      <xdr:row>98</xdr:row>
      <xdr:rowOff>0</xdr:rowOff>
    </xdr:from>
    <xdr:to>
      <xdr:col>19</xdr:col>
      <xdr:colOff>101932</xdr:colOff>
      <xdr:row>118</xdr:row>
      <xdr:rowOff>85238</xdr:rowOff>
    </xdr:to>
    <xdr:pic>
      <xdr:nvPicPr>
        <xdr:cNvPr id="19" name="Picture 18">
          <a:extLst>
            <a:ext uri="{FF2B5EF4-FFF2-40B4-BE49-F238E27FC236}">
              <a16:creationId xmlns:a16="http://schemas.microsoft.com/office/drawing/2014/main" xmlns="" id="{00000000-0008-0000-0B00-000013000000}"/>
            </a:ext>
          </a:extLst>
        </xdr:cNvPr>
        <xdr:cNvPicPr>
          <a:picLocks noChangeAspect="1"/>
        </xdr:cNvPicPr>
      </xdr:nvPicPr>
      <xdr:blipFill>
        <a:blip xmlns:r="http://schemas.openxmlformats.org/officeDocument/2006/relationships" r:embed="rId6"/>
        <a:stretch>
          <a:fillRect/>
        </a:stretch>
      </xdr:blipFill>
      <xdr:spPr>
        <a:xfrm>
          <a:off x="13569462" y="18478500"/>
          <a:ext cx="5157508" cy="3895238"/>
        </a:xfrm>
        <a:prstGeom prst="rect">
          <a:avLst/>
        </a:prstGeom>
      </xdr:spPr>
    </xdr:pic>
    <xdr:clientData/>
  </xdr:twoCellAnchor>
</xdr:wsDr>
</file>

<file path=xl/drawings/drawing36.xml><?xml version="1.0" encoding="utf-8"?>
<c:userShapes xmlns:c="http://schemas.openxmlformats.org/drawingml/2006/chart">
  <cdr:relSizeAnchor xmlns:cdr="http://schemas.openxmlformats.org/drawingml/2006/chartDrawing">
    <cdr:from>
      <cdr:x>0.49053</cdr:x>
      <cdr:y>0.24074</cdr:y>
    </cdr:from>
    <cdr:to>
      <cdr:x>0.79197</cdr:x>
      <cdr:y>0.33796</cdr:y>
    </cdr:to>
    <cdr:sp macro="" textlink="">
      <cdr:nvSpPr>
        <cdr:cNvPr id="2" name="TextBox 15"/>
        <cdr:cNvSpPr txBox="1"/>
      </cdr:nvSpPr>
      <cdr:spPr>
        <a:xfrm xmlns:a="http://schemas.openxmlformats.org/drawingml/2006/main">
          <a:off x="2232025" y="660400"/>
          <a:ext cx="1371600" cy="266700"/>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200" b="1">
              <a:latin typeface="Arial" panose="020B0604020202020204" pitchFamily="34" charset="0"/>
              <a:cs typeface="Arial" panose="020B0604020202020204" pitchFamily="34" charset="0"/>
            </a:rPr>
            <a:t>Early fruiting</a:t>
          </a:r>
        </a:p>
      </cdr:txBody>
    </cdr:sp>
  </cdr:relSizeAnchor>
</c:userShapes>
</file>

<file path=xl/drawings/drawing37.xml><?xml version="1.0" encoding="utf-8"?>
<c:userShapes xmlns:c="http://schemas.openxmlformats.org/drawingml/2006/chart">
  <cdr:relSizeAnchor xmlns:cdr="http://schemas.openxmlformats.org/drawingml/2006/chartDrawing">
    <cdr:from>
      <cdr:x>0.33934</cdr:x>
      <cdr:y>0.47399</cdr:y>
    </cdr:from>
    <cdr:to>
      <cdr:x>0.53221</cdr:x>
      <cdr:y>0.6775</cdr:y>
    </cdr:to>
    <cdr:sp macro="" textlink="">
      <cdr:nvSpPr>
        <cdr:cNvPr id="3" name="TextBox 15"/>
        <cdr:cNvSpPr txBox="1"/>
      </cdr:nvSpPr>
      <cdr:spPr>
        <a:xfrm xmlns:a="http://schemas.openxmlformats.org/drawingml/2006/main">
          <a:off x="1545761" y="1300250"/>
          <a:ext cx="878562" cy="558280"/>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200" b="0">
              <a:latin typeface="Arial" panose="020B0604020202020204" pitchFamily="34" charset="0"/>
              <a:cs typeface="Arial" panose="020B0604020202020204" pitchFamily="34" charset="0"/>
            </a:rPr>
            <a:t>Early</a:t>
          </a:r>
          <a:r>
            <a:rPr lang="en-US" sz="1200" b="0" baseline="0">
              <a:latin typeface="Arial" panose="020B0604020202020204" pitchFamily="34" charset="0"/>
              <a:cs typeface="Arial" panose="020B0604020202020204" pitchFamily="34" charset="0"/>
            </a:rPr>
            <a:t> flowering</a:t>
          </a:r>
          <a:endParaRPr lang="en-US" sz="1200" b="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0.54501</cdr:x>
      <cdr:y>0.22583</cdr:y>
    </cdr:from>
    <cdr:to>
      <cdr:x>0.70195</cdr:x>
      <cdr:y>0.38339</cdr:y>
    </cdr:to>
    <cdr:sp macro="" textlink="">
      <cdr:nvSpPr>
        <cdr:cNvPr id="4" name="TextBox 15"/>
        <cdr:cNvSpPr txBox="1"/>
      </cdr:nvSpPr>
      <cdr:spPr>
        <a:xfrm xmlns:a="http://schemas.openxmlformats.org/drawingml/2006/main">
          <a:off x="2482629" y="619499"/>
          <a:ext cx="714898" cy="432208"/>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200" b="0">
              <a:latin typeface="Arial" panose="020B0604020202020204" pitchFamily="34" charset="0"/>
              <a:cs typeface="Arial" panose="020B0604020202020204" pitchFamily="34" charset="0"/>
            </a:rPr>
            <a:t>Early fruiting</a:t>
          </a:r>
        </a:p>
      </cdr:txBody>
    </cdr:sp>
  </cdr:relSizeAnchor>
  <cdr:relSizeAnchor xmlns:cdr="http://schemas.openxmlformats.org/drawingml/2006/chartDrawing">
    <cdr:from>
      <cdr:x>0.14808</cdr:x>
      <cdr:y>0.06464</cdr:y>
    </cdr:from>
    <cdr:to>
      <cdr:x>0.93401</cdr:x>
      <cdr:y>0.78736</cdr:y>
    </cdr:to>
    <cdr:sp macro="" textlink="">
      <cdr:nvSpPr>
        <cdr:cNvPr id="5" name="Freeform 4"/>
        <cdr:cNvSpPr/>
      </cdr:nvSpPr>
      <cdr:spPr>
        <a:xfrm xmlns:a="http://schemas.openxmlformats.org/drawingml/2006/main">
          <a:off x="681420" y="177314"/>
          <a:ext cx="3616497" cy="1982570"/>
        </a:xfrm>
        <a:custGeom xmlns:a="http://schemas.openxmlformats.org/drawingml/2006/main">
          <a:avLst/>
          <a:gdLst>
            <a:gd name="connsiteX0" fmla="*/ 0 w 3608614"/>
            <a:gd name="connsiteY0" fmla="*/ 2019397 h 2019397"/>
            <a:gd name="connsiteX1" fmla="*/ 1475014 w 3608614"/>
            <a:gd name="connsiteY1" fmla="*/ 1861555 h 2019397"/>
            <a:gd name="connsiteX2" fmla="*/ 2313214 w 3608614"/>
            <a:gd name="connsiteY2" fmla="*/ 1300940 h 2019397"/>
            <a:gd name="connsiteX3" fmla="*/ 3194957 w 3608614"/>
            <a:gd name="connsiteY3" fmla="*/ 157940 h 2019397"/>
            <a:gd name="connsiteX4" fmla="*/ 3608614 w 3608614"/>
            <a:gd name="connsiteY4" fmla="*/ 38197 h 2019397"/>
            <a:gd name="connsiteX0" fmla="*/ 0 w 3608614"/>
            <a:gd name="connsiteY0" fmla="*/ 2019397 h 2019397"/>
            <a:gd name="connsiteX1" fmla="*/ 1475014 w 3608614"/>
            <a:gd name="connsiteY1" fmla="*/ 1861555 h 2019397"/>
            <a:gd name="connsiteX2" fmla="*/ 2313214 w 3608614"/>
            <a:gd name="connsiteY2" fmla="*/ 1300940 h 2019397"/>
            <a:gd name="connsiteX3" fmla="*/ 3194957 w 3608614"/>
            <a:gd name="connsiteY3" fmla="*/ 157940 h 2019397"/>
            <a:gd name="connsiteX4" fmla="*/ 3608614 w 3608614"/>
            <a:gd name="connsiteY4" fmla="*/ 38197 h 2019397"/>
            <a:gd name="connsiteX0" fmla="*/ 0 w 3608614"/>
            <a:gd name="connsiteY0" fmla="*/ 2019397 h 2019397"/>
            <a:gd name="connsiteX1" fmla="*/ 1475014 w 3608614"/>
            <a:gd name="connsiteY1" fmla="*/ 1861555 h 2019397"/>
            <a:gd name="connsiteX2" fmla="*/ 2313214 w 3608614"/>
            <a:gd name="connsiteY2" fmla="*/ 1300940 h 2019397"/>
            <a:gd name="connsiteX3" fmla="*/ 3194957 w 3608614"/>
            <a:gd name="connsiteY3" fmla="*/ 157940 h 2019397"/>
            <a:gd name="connsiteX4" fmla="*/ 3608614 w 3608614"/>
            <a:gd name="connsiteY4" fmla="*/ 38197 h 2019397"/>
            <a:gd name="connsiteX0" fmla="*/ 0 w 3608614"/>
            <a:gd name="connsiteY0" fmla="*/ 2019397 h 2019397"/>
            <a:gd name="connsiteX1" fmla="*/ 1475014 w 3608614"/>
            <a:gd name="connsiteY1" fmla="*/ 1861555 h 2019397"/>
            <a:gd name="connsiteX2" fmla="*/ 2313214 w 3608614"/>
            <a:gd name="connsiteY2" fmla="*/ 1300940 h 2019397"/>
            <a:gd name="connsiteX3" fmla="*/ 3194957 w 3608614"/>
            <a:gd name="connsiteY3" fmla="*/ 157940 h 2019397"/>
            <a:gd name="connsiteX4" fmla="*/ 3608614 w 3608614"/>
            <a:gd name="connsiteY4" fmla="*/ 38197 h 2019397"/>
            <a:gd name="connsiteX0" fmla="*/ 0 w 3608614"/>
            <a:gd name="connsiteY0" fmla="*/ 2019397 h 2019397"/>
            <a:gd name="connsiteX1" fmla="*/ 1475014 w 3608614"/>
            <a:gd name="connsiteY1" fmla="*/ 1861555 h 2019397"/>
            <a:gd name="connsiteX2" fmla="*/ 2313214 w 3608614"/>
            <a:gd name="connsiteY2" fmla="*/ 1300940 h 2019397"/>
            <a:gd name="connsiteX3" fmla="*/ 3194957 w 3608614"/>
            <a:gd name="connsiteY3" fmla="*/ 157940 h 2019397"/>
            <a:gd name="connsiteX4" fmla="*/ 3608614 w 3608614"/>
            <a:gd name="connsiteY4" fmla="*/ 38197 h 2019397"/>
            <a:gd name="connsiteX0" fmla="*/ 0 w 3608614"/>
            <a:gd name="connsiteY0" fmla="*/ 2015078 h 2015078"/>
            <a:gd name="connsiteX1" fmla="*/ 1475014 w 3608614"/>
            <a:gd name="connsiteY1" fmla="*/ 1857236 h 2015078"/>
            <a:gd name="connsiteX2" fmla="*/ 2313214 w 3608614"/>
            <a:gd name="connsiteY2" fmla="*/ 1296621 h 2015078"/>
            <a:gd name="connsiteX3" fmla="*/ 3254725 w 3608614"/>
            <a:gd name="connsiteY3" fmla="*/ 165527 h 2015078"/>
            <a:gd name="connsiteX4" fmla="*/ 3608614 w 3608614"/>
            <a:gd name="connsiteY4" fmla="*/ 33878 h 2015078"/>
            <a:gd name="connsiteX0" fmla="*/ 0 w 3608614"/>
            <a:gd name="connsiteY0" fmla="*/ 2001338 h 2001338"/>
            <a:gd name="connsiteX1" fmla="*/ 1475014 w 3608614"/>
            <a:gd name="connsiteY1" fmla="*/ 1843496 h 2001338"/>
            <a:gd name="connsiteX2" fmla="*/ 2313214 w 3608614"/>
            <a:gd name="connsiteY2" fmla="*/ 1282881 h 2001338"/>
            <a:gd name="connsiteX3" fmla="*/ 3254725 w 3608614"/>
            <a:gd name="connsiteY3" fmla="*/ 151787 h 2001338"/>
            <a:gd name="connsiteX4" fmla="*/ 3608614 w 3608614"/>
            <a:gd name="connsiteY4" fmla="*/ 20138 h 2001338"/>
            <a:gd name="connsiteX0" fmla="*/ 0 w 3608614"/>
            <a:gd name="connsiteY0" fmla="*/ 1995482 h 1995482"/>
            <a:gd name="connsiteX1" fmla="*/ 1475014 w 3608614"/>
            <a:gd name="connsiteY1" fmla="*/ 1837640 h 1995482"/>
            <a:gd name="connsiteX2" fmla="*/ 2313214 w 3608614"/>
            <a:gd name="connsiteY2" fmla="*/ 1277025 h 1995482"/>
            <a:gd name="connsiteX3" fmla="*/ 3254725 w 3608614"/>
            <a:gd name="connsiteY3" fmla="*/ 145931 h 1995482"/>
            <a:gd name="connsiteX4" fmla="*/ 3608614 w 3608614"/>
            <a:gd name="connsiteY4" fmla="*/ 14282 h 1995482"/>
            <a:gd name="connsiteX0" fmla="*/ 0 w 3608614"/>
            <a:gd name="connsiteY0" fmla="*/ 1995482 h 1995482"/>
            <a:gd name="connsiteX1" fmla="*/ 1475014 w 3608614"/>
            <a:gd name="connsiteY1" fmla="*/ 1837640 h 1995482"/>
            <a:gd name="connsiteX2" fmla="*/ 2313214 w 3608614"/>
            <a:gd name="connsiteY2" fmla="*/ 1277025 h 1995482"/>
            <a:gd name="connsiteX3" fmla="*/ 3212888 w 3608614"/>
            <a:gd name="connsiteY3" fmla="*/ 145931 h 1995482"/>
            <a:gd name="connsiteX4" fmla="*/ 3608614 w 3608614"/>
            <a:gd name="connsiteY4" fmla="*/ 14282 h 1995482"/>
            <a:gd name="connsiteX0" fmla="*/ 0 w 3608614"/>
            <a:gd name="connsiteY0" fmla="*/ 1991720 h 1991720"/>
            <a:gd name="connsiteX1" fmla="*/ 1475014 w 3608614"/>
            <a:gd name="connsiteY1" fmla="*/ 1833878 h 1991720"/>
            <a:gd name="connsiteX2" fmla="*/ 2313214 w 3608614"/>
            <a:gd name="connsiteY2" fmla="*/ 1273263 h 1991720"/>
            <a:gd name="connsiteX3" fmla="*/ 3290587 w 3608614"/>
            <a:gd name="connsiteY3" fmla="*/ 183841 h 1991720"/>
            <a:gd name="connsiteX4" fmla="*/ 3608614 w 3608614"/>
            <a:gd name="connsiteY4" fmla="*/ 10520 h 1991720"/>
            <a:gd name="connsiteX0" fmla="*/ 0 w 3608614"/>
            <a:gd name="connsiteY0" fmla="*/ 2001994 h 2001994"/>
            <a:gd name="connsiteX1" fmla="*/ 1475014 w 3608614"/>
            <a:gd name="connsiteY1" fmla="*/ 1844152 h 2001994"/>
            <a:gd name="connsiteX2" fmla="*/ 2210386 w 3608614"/>
            <a:gd name="connsiteY2" fmla="*/ 1232249 h 2001994"/>
            <a:gd name="connsiteX3" fmla="*/ 3290587 w 3608614"/>
            <a:gd name="connsiteY3" fmla="*/ 194115 h 2001994"/>
            <a:gd name="connsiteX4" fmla="*/ 3608614 w 3608614"/>
            <a:gd name="connsiteY4" fmla="*/ 20794 h 2001994"/>
            <a:gd name="connsiteX0" fmla="*/ 0 w 3608614"/>
            <a:gd name="connsiteY0" fmla="*/ 2001994 h 2001994"/>
            <a:gd name="connsiteX1" fmla="*/ 1460324 w 3608614"/>
            <a:gd name="connsiteY1" fmla="*/ 1807517 h 2001994"/>
            <a:gd name="connsiteX2" fmla="*/ 2210386 w 3608614"/>
            <a:gd name="connsiteY2" fmla="*/ 1232249 h 2001994"/>
            <a:gd name="connsiteX3" fmla="*/ 3290587 w 3608614"/>
            <a:gd name="connsiteY3" fmla="*/ 194115 h 2001994"/>
            <a:gd name="connsiteX4" fmla="*/ 3608614 w 3608614"/>
            <a:gd name="connsiteY4" fmla="*/ 20794 h 2001994"/>
            <a:gd name="connsiteX0" fmla="*/ 0 w 3608614"/>
            <a:gd name="connsiteY0" fmla="*/ 2001994 h 2001994"/>
            <a:gd name="connsiteX1" fmla="*/ 1460324 w 3608614"/>
            <a:gd name="connsiteY1" fmla="*/ 1807517 h 2001994"/>
            <a:gd name="connsiteX2" fmla="*/ 2210386 w 3608614"/>
            <a:gd name="connsiteY2" fmla="*/ 1232249 h 2001994"/>
            <a:gd name="connsiteX3" fmla="*/ 3290587 w 3608614"/>
            <a:gd name="connsiteY3" fmla="*/ 194115 h 2001994"/>
            <a:gd name="connsiteX4" fmla="*/ 3608614 w 3608614"/>
            <a:gd name="connsiteY4" fmla="*/ 20794 h 2001994"/>
            <a:gd name="connsiteX0" fmla="*/ 0 w 3608614"/>
            <a:gd name="connsiteY0" fmla="*/ 1993298 h 1993298"/>
            <a:gd name="connsiteX1" fmla="*/ 1460324 w 3608614"/>
            <a:gd name="connsiteY1" fmla="*/ 1798821 h 1993298"/>
            <a:gd name="connsiteX2" fmla="*/ 2210386 w 3608614"/>
            <a:gd name="connsiteY2" fmla="*/ 1223553 h 1993298"/>
            <a:gd name="connsiteX3" fmla="*/ 3268552 w 3608614"/>
            <a:gd name="connsiteY3" fmla="*/ 251361 h 1993298"/>
            <a:gd name="connsiteX4" fmla="*/ 3608614 w 3608614"/>
            <a:gd name="connsiteY4" fmla="*/ 12098 h 1993298"/>
            <a:gd name="connsiteX0" fmla="*/ 0 w 3608614"/>
            <a:gd name="connsiteY0" fmla="*/ 1996267 h 1996267"/>
            <a:gd name="connsiteX1" fmla="*/ 1460324 w 3608614"/>
            <a:gd name="connsiteY1" fmla="*/ 1801790 h 1996267"/>
            <a:gd name="connsiteX2" fmla="*/ 2210386 w 3608614"/>
            <a:gd name="connsiteY2" fmla="*/ 1226522 h 1996267"/>
            <a:gd name="connsiteX3" fmla="*/ 3187760 w 3608614"/>
            <a:gd name="connsiteY3" fmla="*/ 225022 h 1996267"/>
            <a:gd name="connsiteX4" fmla="*/ 3608614 w 3608614"/>
            <a:gd name="connsiteY4" fmla="*/ 15067 h 1996267"/>
            <a:gd name="connsiteX0" fmla="*/ 0 w 3608614"/>
            <a:gd name="connsiteY0" fmla="*/ 1996267 h 1996267"/>
            <a:gd name="connsiteX1" fmla="*/ 1489704 w 3608614"/>
            <a:gd name="connsiteY1" fmla="*/ 1845751 h 1996267"/>
            <a:gd name="connsiteX2" fmla="*/ 2210386 w 3608614"/>
            <a:gd name="connsiteY2" fmla="*/ 1226522 h 1996267"/>
            <a:gd name="connsiteX3" fmla="*/ 3187760 w 3608614"/>
            <a:gd name="connsiteY3" fmla="*/ 225022 h 1996267"/>
            <a:gd name="connsiteX4" fmla="*/ 3608614 w 3608614"/>
            <a:gd name="connsiteY4" fmla="*/ 15067 h 1996267"/>
            <a:gd name="connsiteX0" fmla="*/ 0 w 3608614"/>
            <a:gd name="connsiteY0" fmla="*/ 1997412 h 1997412"/>
            <a:gd name="connsiteX1" fmla="*/ 1489704 w 3608614"/>
            <a:gd name="connsiteY1" fmla="*/ 1846896 h 1997412"/>
            <a:gd name="connsiteX2" fmla="*/ 2210386 w 3608614"/>
            <a:gd name="connsiteY2" fmla="*/ 1286282 h 1997412"/>
            <a:gd name="connsiteX3" fmla="*/ 3187760 w 3608614"/>
            <a:gd name="connsiteY3" fmla="*/ 226167 h 1997412"/>
            <a:gd name="connsiteX4" fmla="*/ 3608614 w 3608614"/>
            <a:gd name="connsiteY4" fmla="*/ 16212 h 1997412"/>
            <a:gd name="connsiteX0" fmla="*/ 0 w 3608614"/>
            <a:gd name="connsiteY0" fmla="*/ 1982570 h 1982570"/>
            <a:gd name="connsiteX1" fmla="*/ 1489704 w 3608614"/>
            <a:gd name="connsiteY1" fmla="*/ 1832054 h 1982570"/>
            <a:gd name="connsiteX2" fmla="*/ 2210386 w 3608614"/>
            <a:gd name="connsiteY2" fmla="*/ 1271440 h 1982570"/>
            <a:gd name="connsiteX3" fmla="*/ 3187760 w 3608614"/>
            <a:gd name="connsiteY3" fmla="*/ 211325 h 1982570"/>
            <a:gd name="connsiteX4" fmla="*/ 3608614 w 3608614"/>
            <a:gd name="connsiteY4" fmla="*/ 1370 h 198257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3608614" h="1982570">
              <a:moveTo>
                <a:pt x="0" y="1982570"/>
              </a:moveTo>
              <a:cubicBezTo>
                <a:pt x="544739" y="1963520"/>
                <a:pt x="1121306" y="1950576"/>
                <a:pt x="1489704" y="1832054"/>
              </a:cubicBezTo>
              <a:cubicBezTo>
                <a:pt x="1858102" y="1713532"/>
                <a:pt x="1927377" y="1541562"/>
                <a:pt x="2210386" y="1271440"/>
              </a:cubicBezTo>
              <a:cubicBezTo>
                <a:pt x="2493395" y="1001318"/>
                <a:pt x="2954722" y="423003"/>
                <a:pt x="3187760" y="211325"/>
              </a:cubicBezTo>
              <a:cubicBezTo>
                <a:pt x="3420798" y="-353"/>
                <a:pt x="3509735" y="-4573"/>
                <a:pt x="3608614" y="1370"/>
              </a:cubicBezTo>
            </a:path>
          </a:pathLst>
        </a:custGeom>
        <a:noFill xmlns:a="http://schemas.openxmlformats.org/drawingml/2006/main"/>
        <a:ln xmlns:a="http://schemas.openxmlformats.org/drawingml/2006/main">
          <a:solidFill>
            <a:srgbClr val="FF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ot="0" spcFirstLastPara="0" vert="horz" wrap="square" lIns="91440" tIns="45720" rIns="91440" bIns="45720" numCol="1" spcCol="0" rtlCol="0" fromWordArt="0" anchor="t" anchorCtr="0" forceAA="0" compatLnSpc="1">
          <a:prstTxWarp prst="textNoShape">
            <a:avLst/>
          </a:prstTxWarp>
          <a:noAutofit/>
        </a:bodyP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l"/>
          <a:endParaRPr lang="en-US" sz="1100"/>
        </a:p>
      </cdr:txBody>
    </cdr:sp>
  </cdr:relSizeAnchor>
</c:userShapes>
</file>

<file path=xl/drawings/drawing38.xml><?xml version="1.0" encoding="utf-8"?>
<xdr:wsDr xmlns:xdr="http://schemas.openxmlformats.org/drawingml/2006/spreadsheetDrawing" xmlns:a="http://schemas.openxmlformats.org/drawingml/2006/main">
  <xdr:twoCellAnchor editAs="oneCell">
    <xdr:from>
      <xdr:col>0</xdr:col>
      <xdr:colOff>0</xdr:colOff>
      <xdr:row>97</xdr:row>
      <xdr:rowOff>24848</xdr:rowOff>
    </xdr:from>
    <xdr:to>
      <xdr:col>3</xdr:col>
      <xdr:colOff>416915</xdr:colOff>
      <xdr:row>110</xdr:row>
      <xdr:rowOff>31867</xdr:rowOff>
    </xdr:to>
    <xdr:pic>
      <xdr:nvPicPr>
        <xdr:cNvPr id="4" name="Picture 3">
          <a:extLst>
            <a:ext uri="{FF2B5EF4-FFF2-40B4-BE49-F238E27FC236}">
              <a16:creationId xmlns:a16="http://schemas.microsoft.com/office/drawing/2014/main" xmlns="" id="{00000000-0008-0000-0C00-000004000000}"/>
            </a:ext>
          </a:extLst>
        </xdr:cNvPr>
        <xdr:cNvPicPr>
          <a:picLocks noChangeAspect="1"/>
        </xdr:cNvPicPr>
      </xdr:nvPicPr>
      <xdr:blipFill>
        <a:blip xmlns:r="http://schemas.openxmlformats.org/officeDocument/2006/relationships" r:embed="rId1"/>
        <a:stretch>
          <a:fillRect/>
        </a:stretch>
      </xdr:blipFill>
      <xdr:spPr>
        <a:xfrm>
          <a:off x="0" y="18122348"/>
          <a:ext cx="4268328" cy="2483519"/>
        </a:xfrm>
        <a:prstGeom prst="rect">
          <a:avLst/>
        </a:prstGeom>
      </xdr:spPr>
    </xdr:pic>
    <xdr:clientData/>
  </xdr:twoCellAnchor>
  <xdr:twoCellAnchor editAs="oneCell">
    <xdr:from>
      <xdr:col>4</xdr:col>
      <xdr:colOff>22412</xdr:colOff>
      <xdr:row>97</xdr:row>
      <xdr:rowOff>44824</xdr:rowOff>
    </xdr:from>
    <xdr:to>
      <xdr:col>8</xdr:col>
      <xdr:colOff>517373</xdr:colOff>
      <xdr:row>109</xdr:row>
      <xdr:rowOff>156883</xdr:rowOff>
    </xdr:to>
    <xdr:pic>
      <xdr:nvPicPr>
        <xdr:cNvPr id="6" name="Picture 5">
          <a:extLst>
            <a:ext uri="{FF2B5EF4-FFF2-40B4-BE49-F238E27FC236}">
              <a16:creationId xmlns:a16="http://schemas.microsoft.com/office/drawing/2014/main" xmlns="" id="{00000000-0008-0000-0C00-000006000000}"/>
            </a:ext>
          </a:extLst>
        </xdr:cNvPr>
        <xdr:cNvPicPr>
          <a:picLocks noChangeAspect="1"/>
        </xdr:cNvPicPr>
      </xdr:nvPicPr>
      <xdr:blipFill>
        <a:blip xmlns:r="http://schemas.openxmlformats.org/officeDocument/2006/relationships" r:embed="rId2"/>
        <a:stretch>
          <a:fillRect/>
        </a:stretch>
      </xdr:blipFill>
      <xdr:spPr>
        <a:xfrm>
          <a:off x="4538383" y="18142324"/>
          <a:ext cx="3744666" cy="2398059"/>
        </a:xfrm>
        <a:prstGeom prst="rect">
          <a:avLst/>
        </a:prstGeom>
      </xdr:spPr>
    </xdr:pic>
    <xdr:clientData/>
  </xdr:twoCellAnchor>
  <xdr:twoCellAnchor editAs="oneCell">
    <xdr:from>
      <xdr:col>9</xdr:col>
      <xdr:colOff>231914</xdr:colOff>
      <xdr:row>96</xdr:row>
      <xdr:rowOff>107673</xdr:rowOff>
    </xdr:from>
    <xdr:to>
      <xdr:col>13</xdr:col>
      <xdr:colOff>129685</xdr:colOff>
      <xdr:row>115</xdr:row>
      <xdr:rowOff>140803</xdr:rowOff>
    </xdr:to>
    <xdr:pic>
      <xdr:nvPicPr>
        <xdr:cNvPr id="8" name="Picture 7">
          <a:extLst>
            <a:ext uri="{FF2B5EF4-FFF2-40B4-BE49-F238E27FC236}">
              <a16:creationId xmlns:a16="http://schemas.microsoft.com/office/drawing/2014/main" xmlns="" id="{00000000-0008-0000-0C00-000008000000}"/>
            </a:ext>
          </a:extLst>
        </xdr:cNvPr>
        <xdr:cNvPicPr>
          <a:picLocks noChangeAspect="1"/>
        </xdr:cNvPicPr>
      </xdr:nvPicPr>
      <xdr:blipFill>
        <a:blip xmlns:r="http://schemas.openxmlformats.org/officeDocument/2006/relationships" r:embed="rId3"/>
        <a:stretch>
          <a:fillRect/>
        </a:stretch>
      </xdr:blipFill>
      <xdr:spPr>
        <a:xfrm>
          <a:off x="8829262" y="18014673"/>
          <a:ext cx="3061727" cy="3652630"/>
        </a:xfrm>
        <a:prstGeom prst="rect">
          <a:avLst/>
        </a:prstGeom>
      </xdr:spPr>
    </xdr:pic>
    <xdr:clientData/>
  </xdr:twoCellAnchor>
  <xdr:twoCellAnchor>
    <xdr:from>
      <xdr:col>25</xdr:col>
      <xdr:colOff>95249</xdr:colOff>
      <xdr:row>12</xdr:row>
      <xdr:rowOff>68035</xdr:rowOff>
    </xdr:from>
    <xdr:to>
      <xdr:col>32</xdr:col>
      <xdr:colOff>436298</xdr:colOff>
      <xdr:row>26</xdr:row>
      <xdr:rowOff>144235</xdr:rowOff>
    </xdr:to>
    <xdr:grpSp>
      <xdr:nvGrpSpPr>
        <xdr:cNvPr id="22" name="Group 21">
          <a:extLst>
            <a:ext uri="{FF2B5EF4-FFF2-40B4-BE49-F238E27FC236}">
              <a16:creationId xmlns:a16="http://schemas.microsoft.com/office/drawing/2014/main" xmlns="" id="{00000000-0008-0000-0C00-000016000000}"/>
            </a:ext>
          </a:extLst>
        </xdr:cNvPr>
        <xdr:cNvGrpSpPr/>
      </xdr:nvGrpSpPr>
      <xdr:grpSpPr>
        <a:xfrm>
          <a:off x="24479249" y="2544535"/>
          <a:ext cx="5008299" cy="2743200"/>
          <a:chOff x="2980764" y="21044647"/>
          <a:chExt cx="4576872" cy="2743200"/>
        </a:xfrm>
      </xdr:grpSpPr>
      <xdr:graphicFrame macro="">
        <xdr:nvGraphicFramePr>
          <xdr:cNvPr id="23" name="Chart 22">
            <a:extLst>
              <a:ext uri="{FF2B5EF4-FFF2-40B4-BE49-F238E27FC236}">
                <a16:creationId xmlns:a16="http://schemas.microsoft.com/office/drawing/2014/main" xmlns="" id="{00000000-0008-0000-0C00-000017000000}"/>
              </a:ext>
            </a:extLst>
          </xdr:cNvPr>
          <xdr:cNvGraphicFramePr>
            <a:graphicFrameLocks/>
          </xdr:cNvGraphicFramePr>
        </xdr:nvGraphicFramePr>
        <xdr:xfrm>
          <a:off x="2980764" y="21044647"/>
          <a:ext cx="4576872" cy="2743200"/>
        </xdr:xfrm>
        <a:graphic>
          <a:graphicData uri="http://schemas.openxmlformats.org/drawingml/2006/chart">
            <c:chart xmlns:c="http://schemas.openxmlformats.org/drawingml/2006/chart" xmlns:r="http://schemas.openxmlformats.org/officeDocument/2006/relationships" r:id="rId4"/>
          </a:graphicData>
        </a:graphic>
      </xdr:graphicFrame>
      <xdr:sp macro="" textlink="">
        <xdr:nvSpPr>
          <xdr:cNvPr id="24" name="Freeform 23">
            <a:extLst>
              <a:ext uri="{FF2B5EF4-FFF2-40B4-BE49-F238E27FC236}">
                <a16:creationId xmlns:a16="http://schemas.microsoft.com/office/drawing/2014/main" xmlns="" id="{00000000-0008-0000-0C00-000018000000}"/>
              </a:ext>
            </a:extLst>
          </xdr:cNvPr>
          <xdr:cNvSpPr/>
        </xdr:nvSpPr>
        <xdr:spPr>
          <a:xfrm>
            <a:off x="3643457" y="21224327"/>
            <a:ext cx="3607522" cy="1983827"/>
          </a:xfrm>
          <a:custGeom>
            <a:avLst/>
            <a:gdLst>
              <a:gd name="connsiteX0" fmla="*/ 0 w 3606362"/>
              <a:gd name="connsiteY0" fmla="*/ 1957551 h 2017143"/>
              <a:gd name="connsiteX1" fmla="*/ 1721069 w 3606362"/>
              <a:gd name="connsiteY1" fmla="*/ 1911569 h 2017143"/>
              <a:gd name="connsiteX2" fmla="*/ 2338552 w 3606362"/>
              <a:gd name="connsiteY2" fmla="*/ 985344 h 2017143"/>
              <a:gd name="connsiteX3" fmla="*/ 2772103 w 3606362"/>
              <a:gd name="connsiteY3" fmla="*/ 788275 h 2017143"/>
              <a:gd name="connsiteX4" fmla="*/ 3606362 w 3606362"/>
              <a:gd name="connsiteY4" fmla="*/ 0 h 2017143"/>
              <a:gd name="connsiteX5" fmla="*/ 3606362 w 3606362"/>
              <a:gd name="connsiteY5" fmla="*/ 0 h 2017143"/>
              <a:gd name="connsiteX6" fmla="*/ 3606362 w 3606362"/>
              <a:gd name="connsiteY6" fmla="*/ 0 h 2017143"/>
              <a:gd name="connsiteX0" fmla="*/ 0 w 3606362"/>
              <a:gd name="connsiteY0" fmla="*/ 1957551 h 1996220"/>
              <a:gd name="connsiteX1" fmla="*/ 1721069 w 3606362"/>
              <a:gd name="connsiteY1" fmla="*/ 1911569 h 1996220"/>
              <a:gd name="connsiteX2" fmla="*/ 2338552 w 3606362"/>
              <a:gd name="connsiteY2" fmla="*/ 985344 h 1996220"/>
              <a:gd name="connsiteX3" fmla="*/ 2772103 w 3606362"/>
              <a:gd name="connsiteY3" fmla="*/ 788275 h 1996220"/>
              <a:gd name="connsiteX4" fmla="*/ 3606362 w 3606362"/>
              <a:gd name="connsiteY4" fmla="*/ 0 h 1996220"/>
              <a:gd name="connsiteX5" fmla="*/ 3606362 w 3606362"/>
              <a:gd name="connsiteY5" fmla="*/ 0 h 1996220"/>
              <a:gd name="connsiteX6" fmla="*/ 3606362 w 3606362"/>
              <a:gd name="connsiteY6" fmla="*/ 0 h 1996220"/>
              <a:gd name="connsiteX0" fmla="*/ 0 w 3599793"/>
              <a:gd name="connsiteY0" fmla="*/ 1983827 h 2032420"/>
              <a:gd name="connsiteX1" fmla="*/ 1714500 w 3599793"/>
              <a:gd name="connsiteY1" fmla="*/ 1911569 h 2032420"/>
              <a:gd name="connsiteX2" fmla="*/ 2331983 w 3599793"/>
              <a:gd name="connsiteY2" fmla="*/ 985344 h 2032420"/>
              <a:gd name="connsiteX3" fmla="*/ 2765534 w 3599793"/>
              <a:gd name="connsiteY3" fmla="*/ 788275 h 2032420"/>
              <a:gd name="connsiteX4" fmla="*/ 3599793 w 3599793"/>
              <a:gd name="connsiteY4" fmla="*/ 0 h 2032420"/>
              <a:gd name="connsiteX5" fmla="*/ 3599793 w 3599793"/>
              <a:gd name="connsiteY5" fmla="*/ 0 h 2032420"/>
              <a:gd name="connsiteX6" fmla="*/ 3599793 w 3599793"/>
              <a:gd name="connsiteY6" fmla="*/ 0 h 2032420"/>
              <a:gd name="connsiteX0" fmla="*/ 0 w 3599793"/>
              <a:gd name="connsiteY0" fmla="*/ 1983827 h 2022055"/>
              <a:gd name="connsiteX1" fmla="*/ 1714500 w 3599793"/>
              <a:gd name="connsiteY1" fmla="*/ 1911569 h 2022055"/>
              <a:gd name="connsiteX2" fmla="*/ 2331983 w 3599793"/>
              <a:gd name="connsiteY2" fmla="*/ 985344 h 2022055"/>
              <a:gd name="connsiteX3" fmla="*/ 2765534 w 3599793"/>
              <a:gd name="connsiteY3" fmla="*/ 788275 h 2022055"/>
              <a:gd name="connsiteX4" fmla="*/ 3599793 w 3599793"/>
              <a:gd name="connsiteY4" fmla="*/ 0 h 2022055"/>
              <a:gd name="connsiteX5" fmla="*/ 3599793 w 3599793"/>
              <a:gd name="connsiteY5" fmla="*/ 0 h 2022055"/>
              <a:gd name="connsiteX6" fmla="*/ 3599793 w 3599793"/>
              <a:gd name="connsiteY6" fmla="*/ 0 h 2022055"/>
              <a:gd name="connsiteX0" fmla="*/ 0 w 3599793"/>
              <a:gd name="connsiteY0" fmla="*/ 1983827 h 2005501"/>
              <a:gd name="connsiteX1" fmla="*/ 1714500 w 3599793"/>
              <a:gd name="connsiteY1" fmla="*/ 1911569 h 2005501"/>
              <a:gd name="connsiteX2" fmla="*/ 2331983 w 3599793"/>
              <a:gd name="connsiteY2" fmla="*/ 985344 h 2005501"/>
              <a:gd name="connsiteX3" fmla="*/ 2765534 w 3599793"/>
              <a:gd name="connsiteY3" fmla="*/ 788275 h 2005501"/>
              <a:gd name="connsiteX4" fmla="*/ 3599793 w 3599793"/>
              <a:gd name="connsiteY4" fmla="*/ 0 h 2005501"/>
              <a:gd name="connsiteX5" fmla="*/ 3599793 w 3599793"/>
              <a:gd name="connsiteY5" fmla="*/ 0 h 2005501"/>
              <a:gd name="connsiteX6" fmla="*/ 3599793 w 3599793"/>
              <a:gd name="connsiteY6" fmla="*/ 0 h 2005501"/>
              <a:gd name="connsiteX0" fmla="*/ 0 w 3599793"/>
              <a:gd name="connsiteY0" fmla="*/ 1983827 h 1983827"/>
              <a:gd name="connsiteX1" fmla="*/ 1714500 w 3599793"/>
              <a:gd name="connsiteY1" fmla="*/ 1911569 h 1983827"/>
              <a:gd name="connsiteX2" fmla="*/ 2331983 w 3599793"/>
              <a:gd name="connsiteY2" fmla="*/ 985344 h 1983827"/>
              <a:gd name="connsiteX3" fmla="*/ 2765534 w 3599793"/>
              <a:gd name="connsiteY3" fmla="*/ 788275 h 1983827"/>
              <a:gd name="connsiteX4" fmla="*/ 3599793 w 3599793"/>
              <a:gd name="connsiteY4" fmla="*/ 0 h 1983827"/>
              <a:gd name="connsiteX5" fmla="*/ 3599793 w 3599793"/>
              <a:gd name="connsiteY5" fmla="*/ 0 h 1983827"/>
              <a:gd name="connsiteX6" fmla="*/ 3599793 w 3599793"/>
              <a:gd name="connsiteY6" fmla="*/ 0 h 1983827"/>
              <a:gd name="connsiteX0" fmla="*/ 0 w 3599793"/>
              <a:gd name="connsiteY0" fmla="*/ 1983827 h 1983827"/>
              <a:gd name="connsiteX1" fmla="*/ 1714500 w 3599793"/>
              <a:gd name="connsiteY1" fmla="*/ 1911569 h 1983827"/>
              <a:gd name="connsiteX2" fmla="*/ 2331983 w 3599793"/>
              <a:gd name="connsiteY2" fmla="*/ 985344 h 1983827"/>
              <a:gd name="connsiteX3" fmla="*/ 2765534 w 3599793"/>
              <a:gd name="connsiteY3" fmla="*/ 788275 h 1983827"/>
              <a:gd name="connsiteX4" fmla="*/ 3599793 w 3599793"/>
              <a:gd name="connsiteY4" fmla="*/ 0 h 1983827"/>
              <a:gd name="connsiteX5" fmla="*/ 3599793 w 3599793"/>
              <a:gd name="connsiteY5" fmla="*/ 0 h 1983827"/>
              <a:gd name="connsiteX6" fmla="*/ 3599793 w 3599793"/>
              <a:gd name="connsiteY6" fmla="*/ 0 h 1983827"/>
              <a:gd name="connsiteX0" fmla="*/ 0 w 3599793"/>
              <a:gd name="connsiteY0" fmla="*/ 1983827 h 1983827"/>
              <a:gd name="connsiteX1" fmla="*/ 1714500 w 3599793"/>
              <a:gd name="connsiteY1" fmla="*/ 1911569 h 1983827"/>
              <a:gd name="connsiteX2" fmla="*/ 2331983 w 3599793"/>
              <a:gd name="connsiteY2" fmla="*/ 985344 h 1983827"/>
              <a:gd name="connsiteX3" fmla="*/ 2765534 w 3599793"/>
              <a:gd name="connsiteY3" fmla="*/ 788275 h 1983827"/>
              <a:gd name="connsiteX4" fmla="*/ 3599793 w 3599793"/>
              <a:gd name="connsiteY4" fmla="*/ 0 h 1983827"/>
              <a:gd name="connsiteX5" fmla="*/ 3599793 w 3599793"/>
              <a:gd name="connsiteY5" fmla="*/ 0 h 1983827"/>
              <a:gd name="connsiteX6" fmla="*/ 3599793 w 3599793"/>
              <a:gd name="connsiteY6" fmla="*/ 0 h 1983827"/>
              <a:gd name="connsiteX0" fmla="*/ 0 w 3599793"/>
              <a:gd name="connsiteY0" fmla="*/ 1983827 h 1983827"/>
              <a:gd name="connsiteX1" fmla="*/ 1714500 w 3599793"/>
              <a:gd name="connsiteY1" fmla="*/ 1911569 h 1983827"/>
              <a:gd name="connsiteX2" fmla="*/ 2331983 w 3599793"/>
              <a:gd name="connsiteY2" fmla="*/ 985344 h 1983827"/>
              <a:gd name="connsiteX3" fmla="*/ 2765534 w 3599793"/>
              <a:gd name="connsiteY3" fmla="*/ 788275 h 1983827"/>
              <a:gd name="connsiteX4" fmla="*/ 3599793 w 3599793"/>
              <a:gd name="connsiteY4" fmla="*/ 0 h 1983827"/>
              <a:gd name="connsiteX5" fmla="*/ 3599793 w 3599793"/>
              <a:gd name="connsiteY5" fmla="*/ 0 h 1983827"/>
              <a:gd name="connsiteX6" fmla="*/ 3599793 w 3599793"/>
              <a:gd name="connsiteY6" fmla="*/ 0 h 1983827"/>
              <a:gd name="connsiteX0" fmla="*/ 0 w 3599793"/>
              <a:gd name="connsiteY0" fmla="*/ 1983827 h 1983827"/>
              <a:gd name="connsiteX1" fmla="*/ 1714500 w 3599793"/>
              <a:gd name="connsiteY1" fmla="*/ 1911569 h 1983827"/>
              <a:gd name="connsiteX2" fmla="*/ 2331983 w 3599793"/>
              <a:gd name="connsiteY2" fmla="*/ 985344 h 1983827"/>
              <a:gd name="connsiteX3" fmla="*/ 2765534 w 3599793"/>
              <a:gd name="connsiteY3" fmla="*/ 788275 h 1983827"/>
              <a:gd name="connsiteX4" fmla="*/ 3599793 w 3599793"/>
              <a:gd name="connsiteY4" fmla="*/ 0 h 1983827"/>
              <a:gd name="connsiteX5" fmla="*/ 3599793 w 3599793"/>
              <a:gd name="connsiteY5" fmla="*/ 0 h 1983827"/>
              <a:gd name="connsiteX6" fmla="*/ 3599793 w 3599793"/>
              <a:gd name="connsiteY6" fmla="*/ 0 h 1983827"/>
              <a:gd name="connsiteX0" fmla="*/ 0 w 3599793"/>
              <a:gd name="connsiteY0" fmla="*/ 1983827 h 1983827"/>
              <a:gd name="connsiteX1" fmla="*/ 1714500 w 3599793"/>
              <a:gd name="connsiteY1" fmla="*/ 1911569 h 1983827"/>
              <a:gd name="connsiteX2" fmla="*/ 2331983 w 3599793"/>
              <a:gd name="connsiteY2" fmla="*/ 985344 h 1983827"/>
              <a:gd name="connsiteX3" fmla="*/ 2765534 w 3599793"/>
              <a:gd name="connsiteY3" fmla="*/ 788275 h 1983827"/>
              <a:gd name="connsiteX4" fmla="*/ 3599793 w 3599793"/>
              <a:gd name="connsiteY4" fmla="*/ 0 h 1983827"/>
              <a:gd name="connsiteX5" fmla="*/ 3599793 w 3599793"/>
              <a:gd name="connsiteY5" fmla="*/ 0 h 1983827"/>
              <a:gd name="connsiteX6" fmla="*/ 3599793 w 3599793"/>
              <a:gd name="connsiteY6" fmla="*/ 0 h 1983827"/>
              <a:gd name="connsiteX0" fmla="*/ 0 w 3599793"/>
              <a:gd name="connsiteY0" fmla="*/ 1983827 h 1983827"/>
              <a:gd name="connsiteX1" fmla="*/ 1714500 w 3599793"/>
              <a:gd name="connsiteY1" fmla="*/ 1911569 h 1983827"/>
              <a:gd name="connsiteX2" fmla="*/ 2331983 w 3599793"/>
              <a:gd name="connsiteY2" fmla="*/ 985344 h 1983827"/>
              <a:gd name="connsiteX3" fmla="*/ 2698442 w 3599793"/>
              <a:gd name="connsiteY3" fmla="*/ 687422 h 1983827"/>
              <a:gd name="connsiteX4" fmla="*/ 3599793 w 3599793"/>
              <a:gd name="connsiteY4" fmla="*/ 0 h 1983827"/>
              <a:gd name="connsiteX5" fmla="*/ 3599793 w 3599793"/>
              <a:gd name="connsiteY5" fmla="*/ 0 h 1983827"/>
              <a:gd name="connsiteX6" fmla="*/ 3599793 w 3599793"/>
              <a:gd name="connsiteY6" fmla="*/ 0 h 1983827"/>
              <a:gd name="connsiteX0" fmla="*/ 0 w 3599793"/>
              <a:gd name="connsiteY0" fmla="*/ 1983827 h 2014801"/>
              <a:gd name="connsiteX1" fmla="*/ 1714500 w 3599793"/>
              <a:gd name="connsiteY1" fmla="*/ 1911569 h 2014801"/>
              <a:gd name="connsiteX2" fmla="*/ 2421438 w 3599793"/>
              <a:gd name="connsiteY2" fmla="*/ 850873 h 2014801"/>
              <a:gd name="connsiteX3" fmla="*/ 2698442 w 3599793"/>
              <a:gd name="connsiteY3" fmla="*/ 687422 h 2014801"/>
              <a:gd name="connsiteX4" fmla="*/ 3599793 w 3599793"/>
              <a:gd name="connsiteY4" fmla="*/ 0 h 2014801"/>
              <a:gd name="connsiteX5" fmla="*/ 3599793 w 3599793"/>
              <a:gd name="connsiteY5" fmla="*/ 0 h 2014801"/>
              <a:gd name="connsiteX6" fmla="*/ 3599793 w 3599793"/>
              <a:gd name="connsiteY6" fmla="*/ 0 h 2014801"/>
              <a:gd name="connsiteX0" fmla="*/ 0 w 3599793"/>
              <a:gd name="connsiteY0" fmla="*/ 1983827 h 2014801"/>
              <a:gd name="connsiteX1" fmla="*/ 1714500 w 3599793"/>
              <a:gd name="connsiteY1" fmla="*/ 1911569 h 2014801"/>
              <a:gd name="connsiteX2" fmla="*/ 2421438 w 3599793"/>
              <a:gd name="connsiteY2" fmla="*/ 850873 h 2014801"/>
              <a:gd name="connsiteX3" fmla="*/ 2698442 w 3599793"/>
              <a:gd name="connsiteY3" fmla="*/ 687422 h 2014801"/>
              <a:gd name="connsiteX4" fmla="*/ 3599793 w 3599793"/>
              <a:gd name="connsiteY4" fmla="*/ 0 h 2014801"/>
              <a:gd name="connsiteX5" fmla="*/ 3599793 w 3599793"/>
              <a:gd name="connsiteY5" fmla="*/ 0 h 2014801"/>
              <a:gd name="connsiteX6" fmla="*/ 3532701 w 3599793"/>
              <a:gd name="connsiteY6" fmla="*/ 0 h 2014801"/>
              <a:gd name="connsiteX0" fmla="*/ 0 w 3599793"/>
              <a:gd name="connsiteY0" fmla="*/ 1983827 h 2014801"/>
              <a:gd name="connsiteX1" fmla="*/ 1714500 w 3599793"/>
              <a:gd name="connsiteY1" fmla="*/ 1911569 h 2014801"/>
              <a:gd name="connsiteX2" fmla="*/ 2421438 w 3599793"/>
              <a:gd name="connsiteY2" fmla="*/ 850873 h 2014801"/>
              <a:gd name="connsiteX3" fmla="*/ 2799078 w 3599793"/>
              <a:gd name="connsiteY3" fmla="*/ 721040 h 2014801"/>
              <a:gd name="connsiteX4" fmla="*/ 3599793 w 3599793"/>
              <a:gd name="connsiteY4" fmla="*/ 0 h 2014801"/>
              <a:gd name="connsiteX5" fmla="*/ 3599793 w 3599793"/>
              <a:gd name="connsiteY5" fmla="*/ 0 h 2014801"/>
              <a:gd name="connsiteX6" fmla="*/ 3532701 w 3599793"/>
              <a:gd name="connsiteY6" fmla="*/ 0 h 2014801"/>
              <a:gd name="connsiteX0" fmla="*/ 0 w 3599793"/>
              <a:gd name="connsiteY0" fmla="*/ 1983827 h 2014801"/>
              <a:gd name="connsiteX1" fmla="*/ 1714500 w 3599793"/>
              <a:gd name="connsiteY1" fmla="*/ 1911569 h 2014801"/>
              <a:gd name="connsiteX2" fmla="*/ 2421438 w 3599793"/>
              <a:gd name="connsiteY2" fmla="*/ 850873 h 2014801"/>
              <a:gd name="connsiteX3" fmla="*/ 2799078 w 3599793"/>
              <a:gd name="connsiteY3" fmla="*/ 721040 h 2014801"/>
              <a:gd name="connsiteX4" fmla="*/ 3599793 w 3599793"/>
              <a:gd name="connsiteY4" fmla="*/ 0 h 2014801"/>
              <a:gd name="connsiteX5" fmla="*/ 3599793 w 3599793"/>
              <a:gd name="connsiteY5" fmla="*/ 0 h 2014801"/>
              <a:gd name="connsiteX6" fmla="*/ 3532701 w 3599793"/>
              <a:gd name="connsiteY6" fmla="*/ 0 h 2014801"/>
              <a:gd name="connsiteX0" fmla="*/ 0 w 3599793"/>
              <a:gd name="connsiteY0" fmla="*/ 1983827 h 2011677"/>
              <a:gd name="connsiteX1" fmla="*/ 1714500 w 3599793"/>
              <a:gd name="connsiteY1" fmla="*/ 1911569 h 2011677"/>
              <a:gd name="connsiteX2" fmla="*/ 2387893 w 3599793"/>
              <a:gd name="connsiteY2" fmla="*/ 895697 h 2011677"/>
              <a:gd name="connsiteX3" fmla="*/ 2799078 w 3599793"/>
              <a:gd name="connsiteY3" fmla="*/ 721040 h 2011677"/>
              <a:gd name="connsiteX4" fmla="*/ 3599793 w 3599793"/>
              <a:gd name="connsiteY4" fmla="*/ 0 h 2011677"/>
              <a:gd name="connsiteX5" fmla="*/ 3599793 w 3599793"/>
              <a:gd name="connsiteY5" fmla="*/ 0 h 2011677"/>
              <a:gd name="connsiteX6" fmla="*/ 3532701 w 3599793"/>
              <a:gd name="connsiteY6" fmla="*/ 0 h 2011677"/>
              <a:gd name="connsiteX0" fmla="*/ 0 w 3599793"/>
              <a:gd name="connsiteY0" fmla="*/ 1983827 h 2011677"/>
              <a:gd name="connsiteX1" fmla="*/ 1714500 w 3599793"/>
              <a:gd name="connsiteY1" fmla="*/ 1911569 h 2011677"/>
              <a:gd name="connsiteX2" fmla="*/ 2387893 w 3599793"/>
              <a:gd name="connsiteY2" fmla="*/ 895697 h 2011677"/>
              <a:gd name="connsiteX3" fmla="*/ 2955625 w 3599793"/>
              <a:gd name="connsiteY3" fmla="*/ 665010 h 2011677"/>
              <a:gd name="connsiteX4" fmla="*/ 3599793 w 3599793"/>
              <a:gd name="connsiteY4" fmla="*/ 0 h 2011677"/>
              <a:gd name="connsiteX5" fmla="*/ 3599793 w 3599793"/>
              <a:gd name="connsiteY5" fmla="*/ 0 h 2011677"/>
              <a:gd name="connsiteX6" fmla="*/ 3532701 w 3599793"/>
              <a:gd name="connsiteY6" fmla="*/ 0 h 2011677"/>
              <a:gd name="connsiteX0" fmla="*/ 0 w 3599793"/>
              <a:gd name="connsiteY0" fmla="*/ 1983827 h 2011677"/>
              <a:gd name="connsiteX1" fmla="*/ 1714500 w 3599793"/>
              <a:gd name="connsiteY1" fmla="*/ 1911569 h 2011677"/>
              <a:gd name="connsiteX2" fmla="*/ 2387893 w 3599793"/>
              <a:gd name="connsiteY2" fmla="*/ 895697 h 2011677"/>
              <a:gd name="connsiteX3" fmla="*/ 2955625 w 3599793"/>
              <a:gd name="connsiteY3" fmla="*/ 620187 h 2011677"/>
              <a:gd name="connsiteX4" fmla="*/ 3599793 w 3599793"/>
              <a:gd name="connsiteY4" fmla="*/ 0 h 2011677"/>
              <a:gd name="connsiteX5" fmla="*/ 3599793 w 3599793"/>
              <a:gd name="connsiteY5" fmla="*/ 0 h 2011677"/>
              <a:gd name="connsiteX6" fmla="*/ 3532701 w 3599793"/>
              <a:gd name="connsiteY6" fmla="*/ 0 h 2011677"/>
              <a:gd name="connsiteX0" fmla="*/ 0 w 3599793"/>
              <a:gd name="connsiteY0" fmla="*/ 1983827 h 1985419"/>
              <a:gd name="connsiteX1" fmla="*/ 1714500 w 3599793"/>
              <a:gd name="connsiteY1" fmla="*/ 1911569 h 1985419"/>
              <a:gd name="connsiteX2" fmla="*/ 2387893 w 3599793"/>
              <a:gd name="connsiteY2" fmla="*/ 895697 h 1985419"/>
              <a:gd name="connsiteX3" fmla="*/ 2955625 w 3599793"/>
              <a:gd name="connsiteY3" fmla="*/ 620187 h 1985419"/>
              <a:gd name="connsiteX4" fmla="*/ 3599793 w 3599793"/>
              <a:gd name="connsiteY4" fmla="*/ 0 h 1985419"/>
              <a:gd name="connsiteX5" fmla="*/ 3599793 w 3599793"/>
              <a:gd name="connsiteY5" fmla="*/ 0 h 1985419"/>
              <a:gd name="connsiteX6" fmla="*/ 3532701 w 3599793"/>
              <a:gd name="connsiteY6" fmla="*/ 0 h 1985419"/>
              <a:gd name="connsiteX0" fmla="*/ 0 w 3599793"/>
              <a:gd name="connsiteY0" fmla="*/ 1983827 h 1983827"/>
              <a:gd name="connsiteX1" fmla="*/ 1725682 w 3599793"/>
              <a:gd name="connsiteY1" fmla="*/ 1866746 h 1983827"/>
              <a:gd name="connsiteX2" fmla="*/ 2387893 w 3599793"/>
              <a:gd name="connsiteY2" fmla="*/ 895697 h 1983827"/>
              <a:gd name="connsiteX3" fmla="*/ 2955625 w 3599793"/>
              <a:gd name="connsiteY3" fmla="*/ 620187 h 1983827"/>
              <a:gd name="connsiteX4" fmla="*/ 3599793 w 3599793"/>
              <a:gd name="connsiteY4" fmla="*/ 0 h 1983827"/>
              <a:gd name="connsiteX5" fmla="*/ 3599793 w 3599793"/>
              <a:gd name="connsiteY5" fmla="*/ 0 h 1983827"/>
              <a:gd name="connsiteX6" fmla="*/ 3532701 w 3599793"/>
              <a:gd name="connsiteY6" fmla="*/ 0 h 1983827"/>
              <a:gd name="connsiteX0" fmla="*/ 0 w 3599793"/>
              <a:gd name="connsiteY0" fmla="*/ 1983827 h 1983827"/>
              <a:gd name="connsiteX1" fmla="*/ 1739113 w 3599793"/>
              <a:gd name="connsiteY1" fmla="*/ 1757889 h 1983827"/>
              <a:gd name="connsiteX2" fmla="*/ 2387893 w 3599793"/>
              <a:gd name="connsiteY2" fmla="*/ 895697 h 1983827"/>
              <a:gd name="connsiteX3" fmla="*/ 2955625 w 3599793"/>
              <a:gd name="connsiteY3" fmla="*/ 620187 h 1983827"/>
              <a:gd name="connsiteX4" fmla="*/ 3599793 w 3599793"/>
              <a:gd name="connsiteY4" fmla="*/ 0 h 1983827"/>
              <a:gd name="connsiteX5" fmla="*/ 3599793 w 3599793"/>
              <a:gd name="connsiteY5" fmla="*/ 0 h 1983827"/>
              <a:gd name="connsiteX6" fmla="*/ 3532701 w 3599793"/>
              <a:gd name="connsiteY6" fmla="*/ 0 h 1983827"/>
              <a:gd name="connsiteX0" fmla="*/ 0 w 3599793"/>
              <a:gd name="connsiteY0" fmla="*/ 1983827 h 1983827"/>
              <a:gd name="connsiteX1" fmla="*/ 1739113 w 3599793"/>
              <a:gd name="connsiteY1" fmla="*/ 1757889 h 1983827"/>
              <a:gd name="connsiteX2" fmla="*/ 2387893 w 3599793"/>
              <a:gd name="connsiteY2" fmla="*/ 895697 h 1983827"/>
              <a:gd name="connsiteX3" fmla="*/ 2955625 w 3599793"/>
              <a:gd name="connsiteY3" fmla="*/ 620187 h 1983827"/>
              <a:gd name="connsiteX4" fmla="*/ 3599793 w 3599793"/>
              <a:gd name="connsiteY4" fmla="*/ 0 h 1983827"/>
              <a:gd name="connsiteX5" fmla="*/ 3599793 w 3599793"/>
              <a:gd name="connsiteY5" fmla="*/ 0 h 1983827"/>
              <a:gd name="connsiteX6" fmla="*/ 3532701 w 3599793"/>
              <a:gd name="connsiteY6" fmla="*/ 0 h 1983827"/>
              <a:gd name="connsiteX0" fmla="*/ 0 w 3599793"/>
              <a:gd name="connsiteY0" fmla="*/ 1983827 h 1983827"/>
              <a:gd name="connsiteX1" fmla="*/ 1739113 w 3599793"/>
              <a:gd name="connsiteY1" fmla="*/ 1757889 h 1983827"/>
              <a:gd name="connsiteX2" fmla="*/ 2428184 w 3599793"/>
              <a:gd name="connsiteY2" fmla="*/ 950126 h 1983827"/>
              <a:gd name="connsiteX3" fmla="*/ 2955625 w 3599793"/>
              <a:gd name="connsiteY3" fmla="*/ 620187 h 1983827"/>
              <a:gd name="connsiteX4" fmla="*/ 3599793 w 3599793"/>
              <a:gd name="connsiteY4" fmla="*/ 0 h 1983827"/>
              <a:gd name="connsiteX5" fmla="*/ 3599793 w 3599793"/>
              <a:gd name="connsiteY5" fmla="*/ 0 h 1983827"/>
              <a:gd name="connsiteX6" fmla="*/ 3532701 w 3599793"/>
              <a:gd name="connsiteY6" fmla="*/ 0 h 1983827"/>
              <a:gd name="connsiteX0" fmla="*/ 0 w 3599793"/>
              <a:gd name="connsiteY0" fmla="*/ 1983827 h 1983827"/>
              <a:gd name="connsiteX1" fmla="*/ 1739113 w 3599793"/>
              <a:gd name="connsiteY1" fmla="*/ 1757889 h 1983827"/>
              <a:gd name="connsiteX2" fmla="*/ 2428184 w 3599793"/>
              <a:gd name="connsiteY2" fmla="*/ 950126 h 1983827"/>
              <a:gd name="connsiteX3" fmla="*/ 2848185 w 3599793"/>
              <a:gd name="connsiteY3" fmla="*/ 688223 h 1983827"/>
              <a:gd name="connsiteX4" fmla="*/ 3599793 w 3599793"/>
              <a:gd name="connsiteY4" fmla="*/ 0 h 1983827"/>
              <a:gd name="connsiteX5" fmla="*/ 3599793 w 3599793"/>
              <a:gd name="connsiteY5" fmla="*/ 0 h 1983827"/>
              <a:gd name="connsiteX6" fmla="*/ 3532701 w 3599793"/>
              <a:gd name="connsiteY6" fmla="*/ 0 h 1983827"/>
              <a:gd name="connsiteX0" fmla="*/ 0 w 3599793"/>
              <a:gd name="connsiteY0" fmla="*/ 1983827 h 1983827"/>
              <a:gd name="connsiteX1" fmla="*/ 1739113 w 3599793"/>
              <a:gd name="connsiteY1" fmla="*/ 1757889 h 1983827"/>
              <a:gd name="connsiteX2" fmla="*/ 2428184 w 3599793"/>
              <a:gd name="connsiteY2" fmla="*/ 950126 h 1983827"/>
              <a:gd name="connsiteX3" fmla="*/ 2888475 w 3599793"/>
              <a:gd name="connsiteY3" fmla="*/ 769866 h 1983827"/>
              <a:gd name="connsiteX4" fmla="*/ 3599793 w 3599793"/>
              <a:gd name="connsiteY4" fmla="*/ 0 h 1983827"/>
              <a:gd name="connsiteX5" fmla="*/ 3599793 w 3599793"/>
              <a:gd name="connsiteY5" fmla="*/ 0 h 1983827"/>
              <a:gd name="connsiteX6" fmla="*/ 3532701 w 3599793"/>
              <a:gd name="connsiteY6" fmla="*/ 0 h 1983827"/>
              <a:gd name="connsiteX0" fmla="*/ 0 w 3599793"/>
              <a:gd name="connsiteY0" fmla="*/ 1983827 h 1983827"/>
              <a:gd name="connsiteX1" fmla="*/ 1739113 w 3599793"/>
              <a:gd name="connsiteY1" fmla="*/ 1757889 h 1983827"/>
              <a:gd name="connsiteX2" fmla="*/ 2428184 w 3599793"/>
              <a:gd name="connsiteY2" fmla="*/ 950126 h 1983827"/>
              <a:gd name="connsiteX3" fmla="*/ 2875045 w 3599793"/>
              <a:gd name="connsiteY3" fmla="*/ 688223 h 1983827"/>
              <a:gd name="connsiteX4" fmla="*/ 3599793 w 3599793"/>
              <a:gd name="connsiteY4" fmla="*/ 0 h 1983827"/>
              <a:gd name="connsiteX5" fmla="*/ 3599793 w 3599793"/>
              <a:gd name="connsiteY5" fmla="*/ 0 h 1983827"/>
              <a:gd name="connsiteX6" fmla="*/ 3532701 w 3599793"/>
              <a:gd name="connsiteY6" fmla="*/ 0 h 1983827"/>
              <a:gd name="connsiteX0" fmla="*/ 0 w 3599793"/>
              <a:gd name="connsiteY0" fmla="*/ 1983827 h 1983827"/>
              <a:gd name="connsiteX1" fmla="*/ 1403362 w 3599793"/>
              <a:gd name="connsiteY1" fmla="*/ 1839532 h 1983827"/>
              <a:gd name="connsiteX2" fmla="*/ 2428184 w 3599793"/>
              <a:gd name="connsiteY2" fmla="*/ 950126 h 1983827"/>
              <a:gd name="connsiteX3" fmla="*/ 2875045 w 3599793"/>
              <a:gd name="connsiteY3" fmla="*/ 688223 h 1983827"/>
              <a:gd name="connsiteX4" fmla="*/ 3599793 w 3599793"/>
              <a:gd name="connsiteY4" fmla="*/ 0 h 1983827"/>
              <a:gd name="connsiteX5" fmla="*/ 3599793 w 3599793"/>
              <a:gd name="connsiteY5" fmla="*/ 0 h 1983827"/>
              <a:gd name="connsiteX6" fmla="*/ 3532701 w 3599793"/>
              <a:gd name="connsiteY6" fmla="*/ 0 h 1983827"/>
              <a:gd name="connsiteX0" fmla="*/ 0 w 3599793"/>
              <a:gd name="connsiteY0" fmla="*/ 1983827 h 1998189"/>
              <a:gd name="connsiteX1" fmla="*/ 1443651 w 3599793"/>
              <a:gd name="connsiteY1" fmla="*/ 1893961 h 1998189"/>
              <a:gd name="connsiteX2" fmla="*/ 2428184 w 3599793"/>
              <a:gd name="connsiteY2" fmla="*/ 950126 h 1998189"/>
              <a:gd name="connsiteX3" fmla="*/ 2875045 w 3599793"/>
              <a:gd name="connsiteY3" fmla="*/ 688223 h 1998189"/>
              <a:gd name="connsiteX4" fmla="*/ 3599793 w 3599793"/>
              <a:gd name="connsiteY4" fmla="*/ 0 h 1998189"/>
              <a:gd name="connsiteX5" fmla="*/ 3599793 w 3599793"/>
              <a:gd name="connsiteY5" fmla="*/ 0 h 1998189"/>
              <a:gd name="connsiteX6" fmla="*/ 3532701 w 3599793"/>
              <a:gd name="connsiteY6" fmla="*/ 0 h 1998189"/>
              <a:gd name="connsiteX0" fmla="*/ 0 w 3599793"/>
              <a:gd name="connsiteY0" fmla="*/ 1983827 h 1983827"/>
              <a:gd name="connsiteX1" fmla="*/ 1443651 w 3599793"/>
              <a:gd name="connsiteY1" fmla="*/ 1893961 h 1983827"/>
              <a:gd name="connsiteX2" fmla="*/ 2428184 w 3599793"/>
              <a:gd name="connsiteY2" fmla="*/ 950126 h 1983827"/>
              <a:gd name="connsiteX3" fmla="*/ 2875045 w 3599793"/>
              <a:gd name="connsiteY3" fmla="*/ 688223 h 1983827"/>
              <a:gd name="connsiteX4" fmla="*/ 3599793 w 3599793"/>
              <a:gd name="connsiteY4" fmla="*/ 0 h 1983827"/>
              <a:gd name="connsiteX5" fmla="*/ 3599793 w 3599793"/>
              <a:gd name="connsiteY5" fmla="*/ 0 h 1983827"/>
              <a:gd name="connsiteX6" fmla="*/ 3532701 w 3599793"/>
              <a:gd name="connsiteY6" fmla="*/ 0 h 1983827"/>
              <a:gd name="connsiteX0" fmla="*/ 0 w 3599793"/>
              <a:gd name="connsiteY0" fmla="*/ 1983827 h 1983827"/>
              <a:gd name="connsiteX1" fmla="*/ 1443651 w 3599793"/>
              <a:gd name="connsiteY1" fmla="*/ 1893961 h 1983827"/>
              <a:gd name="connsiteX2" fmla="*/ 2428184 w 3599793"/>
              <a:gd name="connsiteY2" fmla="*/ 950126 h 1983827"/>
              <a:gd name="connsiteX3" fmla="*/ 2875045 w 3599793"/>
              <a:gd name="connsiteY3" fmla="*/ 688223 h 1983827"/>
              <a:gd name="connsiteX4" fmla="*/ 3599793 w 3599793"/>
              <a:gd name="connsiteY4" fmla="*/ 0 h 1983827"/>
              <a:gd name="connsiteX5" fmla="*/ 3599793 w 3599793"/>
              <a:gd name="connsiteY5" fmla="*/ 0 h 1983827"/>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Lst>
            <a:rect l="l" t="t" r="r" b="b"/>
            <a:pathLst>
              <a:path w="3599793" h="1983827">
                <a:moveTo>
                  <a:pt x="0" y="1983827"/>
                </a:moveTo>
                <a:cubicBezTo>
                  <a:pt x="665655" y="1969594"/>
                  <a:pt x="1267264" y="1970994"/>
                  <a:pt x="1443651" y="1893961"/>
                </a:cubicBezTo>
                <a:cubicBezTo>
                  <a:pt x="1620038" y="1816928"/>
                  <a:pt x="2189618" y="1151082"/>
                  <a:pt x="2428184" y="950126"/>
                </a:cubicBezTo>
                <a:cubicBezTo>
                  <a:pt x="2666750" y="749170"/>
                  <a:pt x="2679777" y="846577"/>
                  <a:pt x="2875045" y="688223"/>
                </a:cubicBezTo>
                <a:cubicBezTo>
                  <a:pt x="3070313" y="529869"/>
                  <a:pt x="3492432" y="103365"/>
                  <a:pt x="3599793" y="0"/>
                </a:cubicBezTo>
                <a:lnTo>
                  <a:pt x="3599793" y="0"/>
                </a:lnTo>
              </a:path>
            </a:pathLst>
          </a:cu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28</xdr:col>
      <xdr:colOff>140213</xdr:colOff>
      <xdr:row>18</xdr:row>
      <xdr:rowOff>60936</xdr:rowOff>
    </xdr:from>
    <xdr:to>
      <xdr:col>29</xdr:col>
      <xdr:colOff>40822</xdr:colOff>
      <xdr:row>20</xdr:row>
      <xdr:rowOff>95251</xdr:rowOff>
    </xdr:to>
    <xdr:sp macro="" textlink="">
      <xdr:nvSpPr>
        <xdr:cNvPr id="16" name="TextBox 15">
          <a:extLst>
            <a:ext uri="{FF2B5EF4-FFF2-40B4-BE49-F238E27FC236}">
              <a16:creationId xmlns:a16="http://schemas.microsoft.com/office/drawing/2014/main" xmlns="" id="{00000000-0008-0000-0C00-000010000000}"/>
            </a:ext>
          </a:extLst>
        </xdr:cNvPr>
        <xdr:cNvSpPr txBox="1"/>
      </xdr:nvSpPr>
      <xdr:spPr>
        <a:xfrm>
          <a:off x="23571713" y="3870936"/>
          <a:ext cx="512930" cy="4153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latin typeface="Arial" panose="020B0604020202020204" pitchFamily="34" charset="0"/>
              <a:cs typeface="Arial" panose="020B0604020202020204" pitchFamily="34" charset="0"/>
            </a:rPr>
            <a:t>V5</a:t>
          </a:r>
        </a:p>
      </xdr:txBody>
    </xdr:sp>
    <xdr:clientData/>
  </xdr:twoCellAnchor>
  <xdr:twoCellAnchor>
    <xdr:from>
      <xdr:col>28</xdr:col>
      <xdr:colOff>586290</xdr:colOff>
      <xdr:row>16</xdr:row>
      <xdr:rowOff>166836</xdr:rowOff>
    </xdr:from>
    <xdr:to>
      <xdr:col>29</xdr:col>
      <xdr:colOff>354377</xdr:colOff>
      <xdr:row>18</xdr:row>
      <xdr:rowOff>34315</xdr:rowOff>
    </xdr:to>
    <xdr:sp macro="" textlink="">
      <xdr:nvSpPr>
        <xdr:cNvPr id="17" name="TextBox 16">
          <a:extLst>
            <a:ext uri="{FF2B5EF4-FFF2-40B4-BE49-F238E27FC236}">
              <a16:creationId xmlns:a16="http://schemas.microsoft.com/office/drawing/2014/main" xmlns="" id="{00000000-0008-0000-0C00-000011000000}"/>
            </a:ext>
          </a:extLst>
        </xdr:cNvPr>
        <xdr:cNvSpPr txBox="1"/>
      </xdr:nvSpPr>
      <xdr:spPr>
        <a:xfrm>
          <a:off x="24017790" y="3595836"/>
          <a:ext cx="380408" cy="2484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latin typeface="Arial" panose="020B0604020202020204" pitchFamily="34" charset="0"/>
              <a:cs typeface="Arial" panose="020B0604020202020204" pitchFamily="34" charset="0"/>
            </a:rPr>
            <a:t>V8</a:t>
          </a:r>
        </a:p>
      </xdr:txBody>
    </xdr:sp>
    <xdr:clientData/>
  </xdr:twoCellAnchor>
  <xdr:twoCellAnchor>
    <xdr:from>
      <xdr:col>30</xdr:col>
      <xdr:colOff>273917</xdr:colOff>
      <xdr:row>14</xdr:row>
      <xdr:rowOff>91108</xdr:rowOff>
    </xdr:from>
    <xdr:to>
      <xdr:col>31</xdr:col>
      <xdr:colOff>42005</xdr:colOff>
      <xdr:row>15</xdr:row>
      <xdr:rowOff>149087</xdr:rowOff>
    </xdr:to>
    <xdr:sp macro="" textlink="">
      <xdr:nvSpPr>
        <xdr:cNvPr id="18" name="TextBox 17">
          <a:extLst>
            <a:ext uri="{FF2B5EF4-FFF2-40B4-BE49-F238E27FC236}">
              <a16:creationId xmlns:a16="http://schemas.microsoft.com/office/drawing/2014/main" xmlns="" id="{00000000-0008-0000-0C00-000012000000}"/>
            </a:ext>
          </a:extLst>
        </xdr:cNvPr>
        <xdr:cNvSpPr txBox="1"/>
      </xdr:nvSpPr>
      <xdr:spPr>
        <a:xfrm>
          <a:off x="24930060" y="3139108"/>
          <a:ext cx="380409" cy="2484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latin typeface="Arial" panose="020B0604020202020204" pitchFamily="34" charset="0"/>
              <a:cs typeface="Arial" panose="020B0604020202020204" pitchFamily="34" charset="0"/>
            </a:rPr>
            <a:t>VT</a:t>
          </a:r>
        </a:p>
      </xdr:txBody>
    </xdr:sp>
    <xdr:clientData/>
  </xdr:twoCellAnchor>
  <xdr:twoCellAnchor>
    <xdr:from>
      <xdr:col>31</xdr:col>
      <xdr:colOff>111815</xdr:colOff>
      <xdr:row>13</xdr:row>
      <xdr:rowOff>73360</xdr:rowOff>
    </xdr:from>
    <xdr:to>
      <xdr:col>31</xdr:col>
      <xdr:colOff>492223</xdr:colOff>
      <xdr:row>14</xdr:row>
      <xdr:rowOff>131339</xdr:rowOff>
    </xdr:to>
    <xdr:sp macro="" textlink="">
      <xdr:nvSpPr>
        <xdr:cNvPr id="19" name="TextBox 18">
          <a:extLst>
            <a:ext uri="{FF2B5EF4-FFF2-40B4-BE49-F238E27FC236}">
              <a16:creationId xmlns:a16="http://schemas.microsoft.com/office/drawing/2014/main" xmlns="" id="{00000000-0008-0000-0C00-000013000000}"/>
            </a:ext>
          </a:extLst>
        </xdr:cNvPr>
        <xdr:cNvSpPr txBox="1"/>
      </xdr:nvSpPr>
      <xdr:spPr>
        <a:xfrm>
          <a:off x="25380279" y="2930860"/>
          <a:ext cx="380408" cy="2484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latin typeface="Arial" panose="020B0604020202020204" pitchFamily="34" charset="0"/>
              <a:cs typeface="Arial" panose="020B0604020202020204" pitchFamily="34" charset="0"/>
            </a:rPr>
            <a:t>R1</a:t>
          </a:r>
        </a:p>
      </xdr:txBody>
    </xdr:sp>
    <xdr:clientData/>
  </xdr:twoCellAnchor>
  <xdr:twoCellAnchor>
    <xdr:from>
      <xdr:col>36</xdr:col>
      <xdr:colOff>0</xdr:colOff>
      <xdr:row>12</xdr:row>
      <xdr:rowOff>0</xdr:rowOff>
    </xdr:from>
    <xdr:to>
      <xdr:col>43</xdr:col>
      <xdr:colOff>341050</xdr:colOff>
      <xdr:row>26</xdr:row>
      <xdr:rowOff>76200</xdr:rowOff>
    </xdr:to>
    <xdr:grpSp>
      <xdr:nvGrpSpPr>
        <xdr:cNvPr id="25" name="Group 24">
          <a:extLst>
            <a:ext uri="{FF2B5EF4-FFF2-40B4-BE49-F238E27FC236}">
              <a16:creationId xmlns:a16="http://schemas.microsoft.com/office/drawing/2014/main" xmlns="" id="{00000000-0008-0000-0C00-000019000000}"/>
            </a:ext>
          </a:extLst>
        </xdr:cNvPr>
        <xdr:cNvGrpSpPr/>
      </xdr:nvGrpSpPr>
      <xdr:grpSpPr>
        <a:xfrm>
          <a:off x="31718250" y="2476500"/>
          <a:ext cx="5008300" cy="2743200"/>
          <a:chOff x="2980764" y="21044647"/>
          <a:chExt cx="4576872" cy="2743200"/>
        </a:xfrm>
      </xdr:grpSpPr>
      <xdr:graphicFrame macro="">
        <xdr:nvGraphicFramePr>
          <xdr:cNvPr id="26" name="Chart 25">
            <a:extLst>
              <a:ext uri="{FF2B5EF4-FFF2-40B4-BE49-F238E27FC236}">
                <a16:creationId xmlns:a16="http://schemas.microsoft.com/office/drawing/2014/main" xmlns="" id="{00000000-0008-0000-0C00-00001A000000}"/>
              </a:ext>
            </a:extLst>
          </xdr:cNvPr>
          <xdr:cNvGraphicFramePr>
            <a:graphicFrameLocks/>
          </xdr:cNvGraphicFramePr>
        </xdr:nvGraphicFramePr>
        <xdr:xfrm>
          <a:off x="2980764" y="21044647"/>
          <a:ext cx="4576872" cy="2743200"/>
        </xdr:xfrm>
        <a:graphic>
          <a:graphicData uri="http://schemas.openxmlformats.org/drawingml/2006/chart">
            <c:chart xmlns:c="http://schemas.openxmlformats.org/drawingml/2006/chart" xmlns:r="http://schemas.openxmlformats.org/officeDocument/2006/relationships" r:id="rId5"/>
          </a:graphicData>
        </a:graphic>
      </xdr:graphicFrame>
      <xdr:sp macro="" textlink="">
        <xdr:nvSpPr>
          <xdr:cNvPr id="27" name="Freeform 26">
            <a:extLst>
              <a:ext uri="{FF2B5EF4-FFF2-40B4-BE49-F238E27FC236}">
                <a16:creationId xmlns:a16="http://schemas.microsoft.com/office/drawing/2014/main" xmlns="" id="{00000000-0008-0000-0C00-00001B000000}"/>
              </a:ext>
            </a:extLst>
          </xdr:cNvPr>
          <xdr:cNvSpPr/>
        </xdr:nvSpPr>
        <xdr:spPr>
          <a:xfrm>
            <a:off x="3643457" y="21224327"/>
            <a:ext cx="3607522" cy="1983827"/>
          </a:xfrm>
          <a:custGeom>
            <a:avLst/>
            <a:gdLst>
              <a:gd name="connsiteX0" fmla="*/ 0 w 3606362"/>
              <a:gd name="connsiteY0" fmla="*/ 1957551 h 2017143"/>
              <a:gd name="connsiteX1" fmla="*/ 1721069 w 3606362"/>
              <a:gd name="connsiteY1" fmla="*/ 1911569 h 2017143"/>
              <a:gd name="connsiteX2" fmla="*/ 2338552 w 3606362"/>
              <a:gd name="connsiteY2" fmla="*/ 985344 h 2017143"/>
              <a:gd name="connsiteX3" fmla="*/ 2772103 w 3606362"/>
              <a:gd name="connsiteY3" fmla="*/ 788275 h 2017143"/>
              <a:gd name="connsiteX4" fmla="*/ 3606362 w 3606362"/>
              <a:gd name="connsiteY4" fmla="*/ 0 h 2017143"/>
              <a:gd name="connsiteX5" fmla="*/ 3606362 w 3606362"/>
              <a:gd name="connsiteY5" fmla="*/ 0 h 2017143"/>
              <a:gd name="connsiteX6" fmla="*/ 3606362 w 3606362"/>
              <a:gd name="connsiteY6" fmla="*/ 0 h 2017143"/>
              <a:gd name="connsiteX0" fmla="*/ 0 w 3606362"/>
              <a:gd name="connsiteY0" fmla="*/ 1957551 h 1996220"/>
              <a:gd name="connsiteX1" fmla="*/ 1721069 w 3606362"/>
              <a:gd name="connsiteY1" fmla="*/ 1911569 h 1996220"/>
              <a:gd name="connsiteX2" fmla="*/ 2338552 w 3606362"/>
              <a:gd name="connsiteY2" fmla="*/ 985344 h 1996220"/>
              <a:gd name="connsiteX3" fmla="*/ 2772103 w 3606362"/>
              <a:gd name="connsiteY3" fmla="*/ 788275 h 1996220"/>
              <a:gd name="connsiteX4" fmla="*/ 3606362 w 3606362"/>
              <a:gd name="connsiteY4" fmla="*/ 0 h 1996220"/>
              <a:gd name="connsiteX5" fmla="*/ 3606362 w 3606362"/>
              <a:gd name="connsiteY5" fmla="*/ 0 h 1996220"/>
              <a:gd name="connsiteX6" fmla="*/ 3606362 w 3606362"/>
              <a:gd name="connsiteY6" fmla="*/ 0 h 1996220"/>
              <a:gd name="connsiteX0" fmla="*/ 0 w 3599793"/>
              <a:gd name="connsiteY0" fmla="*/ 1983827 h 2032420"/>
              <a:gd name="connsiteX1" fmla="*/ 1714500 w 3599793"/>
              <a:gd name="connsiteY1" fmla="*/ 1911569 h 2032420"/>
              <a:gd name="connsiteX2" fmla="*/ 2331983 w 3599793"/>
              <a:gd name="connsiteY2" fmla="*/ 985344 h 2032420"/>
              <a:gd name="connsiteX3" fmla="*/ 2765534 w 3599793"/>
              <a:gd name="connsiteY3" fmla="*/ 788275 h 2032420"/>
              <a:gd name="connsiteX4" fmla="*/ 3599793 w 3599793"/>
              <a:gd name="connsiteY4" fmla="*/ 0 h 2032420"/>
              <a:gd name="connsiteX5" fmla="*/ 3599793 w 3599793"/>
              <a:gd name="connsiteY5" fmla="*/ 0 h 2032420"/>
              <a:gd name="connsiteX6" fmla="*/ 3599793 w 3599793"/>
              <a:gd name="connsiteY6" fmla="*/ 0 h 2032420"/>
              <a:gd name="connsiteX0" fmla="*/ 0 w 3599793"/>
              <a:gd name="connsiteY0" fmla="*/ 1983827 h 2022055"/>
              <a:gd name="connsiteX1" fmla="*/ 1714500 w 3599793"/>
              <a:gd name="connsiteY1" fmla="*/ 1911569 h 2022055"/>
              <a:gd name="connsiteX2" fmla="*/ 2331983 w 3599793"/>
              <a:gd name="connsiteY2" fmla="*/ 985344 h 2022055"/>
              <a:gd name="connsiteX3" fmla="*/ 2765534 w 3599793"/>
              <a:gd name="connsiteY3" fmla="*/ 788275 h 2022055"/>
              <a:gd name="connsiteX4" fmla="*/ 3599793 w 3599793"/>
              <a:gd name="connsiteY4" fmla="*/ 0 h 2022055"/>
              <a:gd name="connsiteX5" fmla="*/ 3599793 w 3599793"/>
              <a:gd name="connsiteY5" fmla="*/ 0 h 2022055"/>
              <a:gd name="connsiteX6" fmla="*/ 3599793 w 3599793"/>
              <a:gd name="connsiteY6" fmla="*/ 0 h 2022055"/>
              <a:gd name="connsiteX0" fmla="*/ 0 w 3599793"/>
              <a:gd name="connsiteY0" fmla="*/ 1983827 h 2005501"/>
              <a:gd name="connsiteX1" fmla="*/ 1714500 w 3599793"/>
              <a:gd name="connsiteY1" fmla="*/ 1911569 h 2005501"/>
              <a:gd name="connsiteX2" fmla="*/ 2331983 w 3599793"/>
              <a:gd name="connsiteY2" fmla="*/ 985344 h 2005501"/>
              <a:gd name="connsiteX3" fmla="*/ 2765534 w 3599793"/>
              <a:gd name="connsiteY3" fmla="*/ 788275 h 2005501"/>
              <a:gd name="connsiteX4" fmla="*/ 3599793 w 3599793"/>
              <a:gd name="connsiteY4" fmla="*/ 0 h 2005501"/>
              <a:gd name="connsiteX5" fmla="*/ 3599793 w 3599793"/>
              <a:gd name="connsiteY5" fmla="*/ 0 h 2005501"/>
              <a:gd name="connsiteX6" fmla="*/ 3599793 w 3599793"/>
              <a:gd name="connsiteY6" fmla="*/ 0 h 2005501"/>
              <a:gd name="connsiteX0" fmla="*/ 0 w 3599793"/>
              <a:gd name="connsiteY0" fmla="*/ 1983827 h 1983827"/>
              <a:gd name="connsiteX1" fmla="*/ 1714500 w 3599793"/>
              <a:gd name="connsiteY1" fmla="*/ 1911569 h 1983827"/>
              <a:gd name="connsiteX2" fmla="*/ 2331983 w 3599793"/>
              <a:gd name="connsiteY2" fmla="*/ 985344 h 1983827"/>
              <a:gd name="connsiteX3" fmla="*/ 2765534 w 3599793"/>
              <a:gd name="connsiteY3" fmla="*/ 788275 h 1983827"/>
              <a:gd name="connsiteX4" fmla="*/ 3599793 w 3599793"/>
              <a:gd name="connsiteY4" fmla="*/ 0 h 1983827"/>
              <a:gd name="connsiteX5" fmla="*/ 3599793 w 3599793"/>
              <a:gd name="connsiteY5" fmla="*/ 0 h 1983827"/>
              <a:gd name="connsiteX6" fmla="*/ 3599793 w 3599793"/>
              <a:gd name="connsiteY6" fmla="*/ 0 h 1983827"/>
              <a:gd name="connsiteX0" fmla="*/ 0 w 3599793"/>
              <a:gd name="connsiteY0" fmla="*/ 1983827 h 1983827"/>
              <a:gd name="connsiteX1" fmla="*/ 1714500 w 3599793"/>
              <a:gd name="connsiteY1" fmla="*/ 1911569 h 1983827"/>
              <a:gd name="connsiteX2" fmla="*/ 2331983 w 3599793"/>
              <a:gd name="connsiteY2" fmla="*/ 985344 h 1983827"/>
              <a:gd name="connsiteX3" fmla="*/ 2765534 w 3599793"/>
              <a:gd name="connsiteY3" fmla="*/ 788275 h 1983827"/>
              <a:gd name="connsiteX4" fmla="*/ 3599793 w 3599793"/>
              <a:gd name="connsiteY4" fmla="*/ 0 h 1983827"/>
              <a:gd name="connsiteX5" fmla="*/ 3599793 w 3599793"/>
              <a:gd name="connsiteY5" fmla="*/ 0 h 1983827"/>
              <a:gd name="connsiteX6" fmla="*/ 3599793 w 3599793"/>
              <a:gd name="connsiteY6" fmla="*/ 0 h 1983827"/>
              <a:gd name="connsiteX0" fmla="*/ 0 w 3599793"/>
              <a:gd name="connsiteY0" fmla="*/ 1983827 h 1983827"/>
              <a:gd name="connsiteX1" fmla="*/ 1714500 w 3599793"/>
              <a:gd name="connsiteY1" fmla="*/ 1911569 h 1983827"/>
              <a:gd name="connsiteX2" fmla="*/ 2331983 w 3599793"/>
              <a:gd name="connsiteY2" fmla="*/ 985344 h 1983827"/>
              <a:gd name="connsiteX3" fmla="*/ 2765534 w 3599793"/>
              <a:gd name="connsiteY3" fmla="*/ 788275 h 1983827"/>
              <a:gd name="connsiteX4" fmla="*/ 3599793 w 3599793"/>
              <a:gd name="connsiteY4" fmla="*/ 0 h 1983827"/>
              <a:gd name="connsiteX5" fmla="*/ 3599793 w 3599793"/>
              <a:gd name="connsiteY5" fmla="*/ 0 h 1983827"/>
              <a:gd name="connsiteX6" fmla="*/ 3599793 w 3599793"/>
              <a:gd name="connsiteY6" fmla="*/ 0 h 1983827"/>
              <a:gd name="connsiteX0" fmla="*/ 0 w 3599793"/>
              <a:gd name="connsiteY0" fmla="*/ 1983827 h 1983827"/>
              <a:gd name="connsiteX1" fmla="*/ 1714500 w 3599793"/>
              <a:gd name="connsiteY1" fmla="*/ 1911569 h 1983827"/>
              <a:gd name="connsiteX2" fmla="*/ 2331983 w 3599793"/>
              <a:gd name="connsiteY2" fmla="*/ 985344 h 1983827"/>
              <a:gd name="connsiteX3" fmla="*/ 2765534 w 3599793"/>
              <a:gd name="connsiteY3" fmla="*/ 788275 h 1983827"/>
              <a:gd name="connsiteX4" fmla="*/ 3599793 w 3599793"/>
              <a:gd name="connsiteY4" fmla="*/ 0 h 1983827"/>
              <a:gd name="connsiteX5" fmla="*/ 3599793 w 3599793"/>
              <a:gd name="connsiteY5" fmla="*/ 0 h 1983827"/>
              <a:gd name="connsiteX6" fmla="*/ 3599793 w 3599793"/>
              <a:gd name="connsiteY6" fmla="*/ 0 h 1983827"/>
              <a:gd name="connsiteX0" fmla="*/ 0 w 3599793"/>
              <a:gd name="connsiteY0" fmla="*/ 1983827 h 1983827"/>
              <a:gd name="connsiteX1" fmla="*/ 1714500 w 3599793"/>
              <a:gd name="connsiteY1" fmla="*/ 1911569 h 1983827"/>
              <a:gd name="connsiteX2" fmla="*/ 2331983 w 3599793"/>
              <a:gd name="connsiteY2" fmla="*/ 985344 h 1983827"/>
              <a:gd name="connsiteX3" fmla="*/ 2765534 w 3599793"/>
              <a:gd name="connsiteY3" fmla="*/ 788275 h 1983827"/>
              <a:gd name="connsiteX4" fmla="*/ 3599793 w 3599793"/>
              <a:gd name="connsiteY4" fmla="*/ 0 h 1983827"/>
              <a:gd name="connsiteX5" fmla="*/ 3599793 w 3599793"/>
              <a:gd name="connsiteY5" fmla="*/ 0 h 1983827"/>
              <a:gd name="connsiteX6" fmla="*/ 3599793 w 3599793"/>
              <a:gd name="connsiteY6" fmla="*/ 0 h 1983827"/>
              <a:gd name="connsiteX0" fmla="*/ 0 w 3599793"/>
              <a:gd name="connsiteY0" fmla="*/ 1983827 h 1983827"/>
              <a:gd name="connsiteX1" fmla="*/ 1714500 w 3599793"/>
              <a:gd name="connsiteY1" fmla="*/ 1911569 h 1983827"/>
              <a:gd name="connsiteX2" fmla="*/ 2331983 w 3599793"/>
              <a:gd name="connsiteY2" fmla="*/ 985344 h 1983827"/>
              <a:gd name="connsiteX3" fmla="*/ 2765534 w 3599793"/>
              <a:gd name="connsiteY3" fmla="*/ 788275 h 1983827"/>
              <a:gd name="connsiteX4" fmla="*/ 3599793 w 3599793"/>
              <a:gd name="connsiteY4" fmla="*/ 0 h 1983827"/>
              <a:gd name="connsiteX5" fmla="*/ 3599793 w 3599793"/>
              <a:gd name="connsiteY5" fmla="*/ 0 h 1983827"/>
              <a:gd name="connsiteX6" fmla="*/ 3599793 w 3599793"/>
              <a:gd name="connsiteY6" fmla="*/ 0 h 1983827"/>
              <a:gd name="connsiteX0" fmla="*/ 0 w 3599793"/>
              <a:gd name="connsiteY0" fmla="*/ 1983827 h 1983827"/>
              <a:gd name="connsiteX1" fmla="*/ 1714500 w 3599793"/>
              <a:gd name="connsiteY1" fmla="*/ 1911569 h 1983827"/>
              <a:gd name="connsiteX2" fmla="*/ 2331983 w 3599793"/>
              <a:gd name="connsiteY2" fmla="*/ 985344 h 1983827"/>
              <a:gd name="connsiteX3" fmla="*/ 2698442 w 3599793"/>
              <a:gd name="connsiteY3" fmla="*/ 687422 h 1983827"/>
              <a:gd name="connsiteX4" fmla="*/ 3599793 w 3599793"/>
              <a:gd name="connsiteY4" fmla="*/ 0 h 1983827"/>
              <a:gd name="connsiteX5" fmla="*/ 3599793 w 3599793"/>
              <a:gd name="connsiteY5" fmla="*/ 0 h 1983827"/>
              <a:gd name="connsiteX6" fmla="*/ 3599793 w 3599793"/>
              <a:gd name="connsiteY6" fmla="*/ 0 h 1983827"/>
              <a:gd name="connsiteX0" fmla="*/ 0 w 3599793"/>
              <a:gd name="connsiteY0" fmla="*/ 1983827 h 2014801"/>
              <a:gd name="connsiteX1" fmla="*/ 1714500 w 3599793"/>
              <a:gd name="connsiteY1" fmla="*/ 1911569 h 2014801"/>
              <a:gd name="connsiteX2" fmla="*/ 2421438 w 3599793"/>
              <a:gd name="connsiteY2" fmla="*/ 850873 h 2014801"/>
              <a:gd name="connsiteX3" fmla="*/ 2698442 w 3599793"/>
              <a:gd name="connsiteY3" fmla="*/ 687422 h 2014801"/>
              <a:gd name="connsiteX4" fmla="*/ 3599793 w 3599793"/>
              <a:gd name="connsiteY4" fmla="*/ 0 h 2014801"/>
              <a:gd name="connsiteX5" fmla="*/ 3599793 w 3599793"/>
              <a:gd name="connsiteY5" fmla="*/ 0 h 2014801"/>
              <a:gd name="connsiteX6" fmla="*/ 3599793 w 3599793"/>
              <a:gd name="connsiteY6" fmla="*/ 0 h 2014801"/>
              <a:gd name="connsiteX0" fmla="*/ 0 w 3599793"/>
              <a:gd name="connsiteY0" fmla="*/ 1983827 h 2014801"/>
              <a:gd name="connsiteX1" fmla="*/ 1714500 w 3599793"/>
              <a:gd name="connsiteY1" fmla="*/ 1911569 h 2014801"/>
              <a:gd name="connsiteX2" fmla="*/ 2421438 w 3599793"/>
              <a:gd name="connsiteY2" fmla="*/ 850873 h 2014801"/>
              <a:gd name="connsiteX3" fmla="*/ 2698442 w 3599793"/>
              <a:gd name="connsiteY3" fmla="*/ 687422 h 2014801"/>
              <a:gd name="connsiteX4" fmla="*/ 3599793 w 3599793"/>
              <a:gd name="connsiteY4" fmla="*/ 0 h 2014801"/>
              <a:gd name="connsiteX5" fmla="*/ 3599793 w 3599793"/>
              <a:gd name="connsiteY5" fmla="*/ 0 h 2014801"/>
              <a:gd name="connsiteX6" fmla="*/ 3532701 w 3599793"/>
              <a:gd name="connsiteY6" fmla="*/ 0 h 2014801"/>
              <a:gd name="connsiteX0" fmla="*/ 0 w 3599793"/>
              <a:gd name="connsiteY0" fmla="*/ 1983827 h 2014801"/>
              <a:gd name="connsiteX1" fmla="*/ 1714500 w 3599793"/>
              <a:gd name="connsiteY1" fmla="*/ 1911569 h 2014801"/>
              <a:gd name="connsiteX2" fmla="*/ 2421438 w 3599793"/>
              <a:gd name="connsiteY2" fmla="*/ 850873 h 2014801"/>
              <a:gd name="connsiteX3" fmla="*/ 2799078 w 3599793"/>
              <a:gd name="connsiteY3" fmla="*/ 721040 h 2014801"/>
              <a:gd name="connsiteX4" fmla="*/ 3599793 w 3599793"/>
              <a:gd name="connsiteY4" fmla="*/ 0 h 2014801"/>
              <a:gd name="connsiteX5" fmla="*/ 3599793 w 3599793"/>
              <a:gd name="connsiteY5" fmla="*/ 0 h 2014801"/>
              <a:gd name="connsiteX6" fmla="*/ 3532701 w 3599793"/>
              <a:gd name="connsiteY6" fmla="*/ 0 h 2014801"/>
              <a:gd name="connsiteX0" fmla="*/ 0 w 3599793"/>
              <a:gd name="connsiteY0" fmla="*/ 1983827 h 2014801"/>
              <a:gd name="connsiteX1" fmla="*/ 1714500 w 3599793"/>
              <a:gd name="connsiteY1" fmla="*/ 1911569 h 2014801"/>
              <a:gd name="connsiteX2" fmla="*/ 2421438 w 3599793"/>
              <a:gd name="connsiteY2" fmla="*/ 850873 h 2014801"/>
              <a:gd name="connsiteX3" fmla="*/ 2799078 w 3599793"/>
              <a:gd name="connsiteY3" fmla="*/ 721040 h 2014801"/>
              <a:gd name="connsiteX4" fmla="*/ 3599793 w 3599793"/>
              <a:gd name="connsiteY4" fmla="*/ 0 h 2014801"/>
              <a:gd name="connsiteX5" fmla="*/ 3599793 w 3599793"/>
              <a:gd name="connsiteY5" fmla="*/ 0 h 2014801"/>
              <a:gd name="connsiteX6" fmla="*/ 3532701 w 3599793"/>
              <a:gd name="connsiteY6" fmla="*/ 0 h 2014801"/>
              <a:gd name="connsiteX0" fmla="*/ 0 w 3599793"/>
              <a:gd name="connsiteY0" fmla="*/ 1983827 h 2011677"/>
              <a:gd name="connsiteX1" fmla="*/ 1714500 w 3599793"/>
              <a:gd name="connsiteY1" fmla="*/ 1911569 h 2011677"/>
              <a:gd name="connsiteX2" fmla="*/ 2387893 w 3599793"/>
              <a:gd name="connsiteY2" fmla="*/ 895697 h 2011677"/>
              <a:gd name="connsiteX3" fmla="*/ 2799078 w 3599793"/>
              <a:gd name="connsiteY3" fmla="*/ 721040 h 2011677"/>
              <a:gd name="connsiteX4" fmla="*/ 3599793 w 3599793"/>
              <a:gd name="connsiteY4" fmla="*/ 0 h 2011677"/>
              <a:gd name="connsiteX5" fmla="*/ 3599793 w 3599793"/>
              <a:gd name="connsiteY5" fmla="*/ 0 h 2011677"/>
              <a:gd name="connsiteX6" fmla="*/ 3532701 w 3599793"/>
              <a:gd name="connsiteY6" fmla="*/ 0 h 2011677"/>
              <a:gd name="connsiteX0" fmla="*/ 0 w 3599793"/>
              <a:gd name="connsiteY0" fmla="*/ 1983827 h 2011677"/>
              <a:gd name="connsiteX1" fmla="*/ 1714500 w 3599793"/>
              <a:gd name="connsiteY1" fmla="*/ 1911569 h 2011677"/>
              <a:gd name="connsiteX2" fmla="*/ 2387893 w 3599793"/>
              <a:gd name="connsiteY2" fmla="*/ 895697 h 2011677"/>
              <a:gd name="connsiteX3" fmla="*/ 2955625 w 3599793"/>
              <a:gd name="connsiteY3" fmla="*/ 665010 h 2011677"/>
              <a:gd name="connsiteX4" fmla="*/ 3599793 w 3599793"/>
              <a:gd name="connsiteY4" fmla="*/ 0 h 2011677"/>
              <a:gd name="connsiteX5" fmla="*/ 3599793 w 3599793"/>
              <a:gd name="connsiteY5" fmla="*/ 0 h 2011677"/>
              <a:gd name="connsiteX6" fmla="*/ 3532701 w 3599793"/>
              <a:gd name="connsiteY6" fmla="*/ 0 h 2011677"/>
              <a:gd name="connsiteX0" fmla="*/ 0 w 3599793"/>
              <a:gd name="connsiteY0" fmla="*/ 1983827 h 2011677"/>
              <a:gd name="connsiteX1" fmla="*/ 1714500 w 3599793"/>
              <a:gd name="connsiteY1" fmla="*/ 1911569 h 2011677"/>
              <a:gd name="connsiteX2" fmla="*/ 2387893 w 3599793"/>
              <a:gd name="connsiteY2" fmla="*/ 895697 h 2011677"/>
              <a:gd name="connsiteX3" fmla="*/ 2955625 w 3599793"/>
              <a:gd name="connsiteY3" fmla="*/ 620187 h 2011677"/>
              <a:gd name="connsiteX4" fmla="*/ 3599793 w 3599793"/>
              <a:gd name="connsiteY4" fmla="*/ 0 h 2011677"/>
              <a:gd name="connsiteX5" fmla="*/ 3599793 w 3599793"/>
              <a:gd name="connsiteY5" fmla="*/ 0 h 2011677"/>
              <a:gd name="connsiteX6" fmla="*/ 3532701 w 3599793"/>
              <a:gd name="connsiteY6" fmla="*/ 0 h 2011677"/>
              <a:gd name="connsiteX0" fmla="*/ 0 w 3599793"/>
              <a:gd name="connsiteY0" fmla="*/ 1983827 h 1985419"/>
              <a:gd name="connsiteX1" fmla="*/ 1714500 w 3599793"/>
              <a:gd name="connsiteY1" fmla="*/ 1911569 h 1985419"/>
              <a:gd name="connsiteX2" fmla="*/ 2387893 w 3599793"/>
              <a:gd name="connsiteY2" fmla="*/ 895697 h 1985419"/>
              <a:gd name="connsiteX3" fmla="*/ 2955625 w 3599793"/>
              <a:gd name="connsiteY3" fmla="*/ 620187 h 1985419"/>
              <a:gd name="connsiteX4" fmla="*/ 3599793 w 3599793"/>
              <a:gd name="connsiteY4" fmla="*/ 0 h 1985419"/>
              <a:gd name="connsiteX5" fmla="*/ 3599793 w 3599793"/>
              <a:gd name="connsiteY5" fmla="*/ 0 h 1985419"/>
              <a:gd name="connsiteX6" fmla="*/ 3532701 w 3599793"/>
              <a:gd name="connsiteY6" fmla="*/ 0 h 1985419"/>
              <a:gd name="connsiteX0" fmla="*/ 0 w 3599793"/>
              <a:gd name="connsiteY0" fmla="*/ 1983827 h 1983827"/>
              <a:gd name="connsiteX1" fmla="*/ 1725682 w 3599793"/>
              <a:gd name="connsiteY1" fmla="*/ 1866746 h 1983827"/>
              <a:gd name="connsiteX2" fmla="*/ 2387893 w 3599793"/>
              <a:gd name="connsiteY2" fmla="*/ 895697 h 1983827"/>
              <a:gd name="connsiteX3" fmla="*/ 2955625 w 3599793"/>
              <a:gd name="connsiteY3" fmla="*/ 620187 h 1983827"/>
              <a:gd name="connsiteX4" fmla="*/ 3599793 w 3599793"/>
              <a:gd name="connsiteY4" fmla="*/ 0 h 1983827"/>
              <a:gd name="connsiteX5" fmla="*/ 3599793 w 3599793"/>
              <a:gd name="connsiteY5" fmla="*/ 0 h 1983827"/>
              <a:gd name="connsiteX6" fmla="*/ 3532701 w 3599793"/>
              <a:gd name="connsiteY6" fmla="*/ 0 h 1983827"/>
              <a:gd name="connsiteX0" fmla="*/ 0 w 3599793"/>
              <a:gd name="connsiteY0" fmla="*/ 1983827 h 1983827"/>
              <a:gd name="connsiteX1" fmla="*/ 1739113 w 3599793"/>
              <a:gd name="connsiteY1" fmla="*/ 1757889 h 1983827"/>
              <a:gd name="connsiteX2" fmla="*/ 2387893 w 3599793"/>
              <a:gd name="connsiteY2" fmla="*/ 895697 h 1983827"/>
              <a:gd name="connsiteX3" fmla="*/ 2955625 w 3599793"/>
              <a:gd name="connsiteY3" fmla="*/ 620187 h 1983827"/>
              <a:gd name="connsiteX4" fmla="*/ 3599793 w 3599793"/>
              <a:gd name="connsiteY4" fmla="*/ 0 h 1983827"/>
              <a:gd name="connsiteX5" fmla="*/ 3599793 w 3599793"/>
              <a:gd name="connsiteY5" fmla="*/ 0 h 1983827"/>
              <a:gd name="connsiteX6" fmla="*/ 3532701 w 3599793"/>
              <a:gd name="connsiteY6" fmla="*/ 0 h 1983827"/>
              <a:gd name="connsiteX0" fmla="*/ 0 w 3599793"/>
              <a:gd name="connsiteY0" fmla="*/ 1983827 h 1983827"/>
              <a:gd name="connsiteX1" fmla="*/ 1739113 w 3599793"/>
              <a:gd name="connsiteY1" fmla="*/ 1757889 h 1983827"/>
              <a:gd name="connsiteX2" fmla="*/ 2387893 w 3599793"/>
              <a:gd name="connsiteY2" fmla="*/ 895697 h 1983827"/>
              <a:gd name="connsiteX3" fmla="*/ 2955625 w 3599793"/>
              <a:gd name="connsiteY3" fmla="*/ 620187 h 1983827"/>
              <a:gd name="connsiteX4" fmla="*/ 3599793 w 3599793"/>
              <a:gd name="connsiteY4" fmla="*/ 0 h 1983827"/>
              <a:gd name="connsiteX5" fmla="*/ 3599793 w 3599793"/>
              <a:gd name="connsiteY5" fmla="*/ 0 h 1983827"/>
              <a:gd name="connsiteX6" fmla="*/ 3532701 w 3599793"/>
              <a:gd name="connsiteY6" fmla="*/ 0 h 1983827"/>
              <a:gd name="connsiteX0" fmla="*/ 0 w 3599793"/>
              <a:gd name="connsiteY0" fmla="*/ 1983827 h 1983827"/>
              <a:gd name="connsiteX1" fmla="*/ 1739113 w 3599793"/>
              <a:gd name="connsiteY1" fmla="*/ 1757889 h 1983827"/>
              <a:gd name="connsiteX2" fmla="*/ 2428184 w 3599793"/>
              <a:gd name="connsiteY2" fmla="*/ 950126 h 1983827"/>
              <a:gd name="connsiteX3" fmla="*/ 2955625 w 3599793"/>
              <a:gd name="connsiteY3" fmla="*/ 620187 h 1983827"/>
              <a:gd name="connsiteX4" fmla="*/ 3599793 w 3599793"/>
              <a:gd name="connsiteY4" fmla="*/ 0 h 1983827"/>
              <a:gd name="connsiteX5" fmla="*/ 3599793 w 3599793"/>
              <a:gd name="connsiteY5" fmla="*/ 0 h 1983827"/>
              <a:gd name="connsiteX6" fmla="*/ 3532701 w 3599793"/>
              <a:gd name="connsiteY6" fmla="*/ 0 h 1983827"/>
              <a:gd name="connsiteX0" fmla="*/ 0 w 3599793"/>
              <a:gd name="connsiteY0" fmla="*/ 1983827 h 1983827"/>
              <a:gd name="connsiteX1" fmla="*/ 1739113 w 3599793"/>
              <a:gd name="connsiteY1" fmla="*/ 1757889 h 1983827"/>
              <a:gd name="connsiteX2" fmla="*/ 2428184 w 3599793"/>
              <a:gd name="connsiteY2" fmla="*/ 950126 h 1983827"/>
              <a:gd name="connsiteX3" fmla="*/ 2848185 w 3599793"/>
              <a:gd name="connsiteY3" fmla="*/ 688223 h 1983827"/>
              <a:gd name="connsiteX4" fmla="*/ 3599793 w 3599793"/>
              <a:gd name="connsiteY4" fmla="*/ 0 h 1983827"/>
              <a:gd name="connsiteX5" fmla="*/ 3599793 w 3599793"/>
              <a:gd name="connsiteY5" fmla="*/ 0 h 1983827"/>
              <a:gd name="connsiteX6" fmla="*/ 3532701 w 3599793"/>
              <a:gd name="connsiteY6" fmla="*/ 0 h 1983827"/>
              <a:gd name="connsiteX0" fmla="*/ 0 w 3599793"/>
              <a:gd name="connsiteY0" fmla="*/ 1983827 h 1983827"/>
              <a:gd name="connsiteX1" fmla="*/ 1739113 w 3599793"/>
              <a:gd name="connsiteY1" fmla="*/ 1757889 h 1983827"/>
              <a:gd name="connsiteX2" fmla="*/ 2428184 w 3599793"/>
              <a:gd name="connsiteY2" fmla="*/ 950126 h 1983827"/>
              <a:gd name="connsiteX3" fmla="*/ 2888475 w 3599793"/>
              <a:gd name="connsiteY3" fmla="*/ 769866 h 1983827"/>
              <a:gd name="connsiteX4" fmla="*/ 3599793 w 3599793"/>
              <a:gd name="connsiteY4" fmla="*/ 0 h 1983827"/>
              <a:gd name="connsiteX5" fmla="*/ 3599793 w 3599793"/>
              <a:gd name="connsiteY5" fmla="*/ 0 h 1983827"/>
              <a:gd name="connsiteX6" fmla="*/ 3532701 w 3599793"/>
              <a:gd name="connsiteY6" fmla="*/ 0 h 1983827"/>
              <a:gd name="connsiteX0" fmla="*/ 0 w 3599793"/>
              <a:gd name="connsiteY0" fmla="*/ 1983827 h 1983827"/>
              <a:gd name="connsiteX1" fmla="*/ 1739113 w 3599793"/>
              <a:gd name="connsiteY1" fmla="*/ 1757889 h 1983827"/>
              <a:gd name="connsiteX2" fmla="*/ 2428184 w 3599793"/>
              <a:gd name="connsiteY2" fmla="*/ 950126 h 1983827"/>
              <a:gd name="connsiteX3" fmla="*/ 2875045 w 3599793"/>
              <a:gd name="connsiteY3" fmla="*/ 688223 h 1983827"/>
              <a:gd name="connsiteX4" fmla="*/ 3599793 w 3599793"/>
              <a:gd name="connsiteY4" fmla="*/ 0 h 1983827"/>
              <a:gd name="connsiteX5" fmla="*/ 3599793 w 3599793"/>
              <a:gd name="connsiteY5" fmla="*/ 0 h 1983827"/>
              <a:gd name="connsiteX6" fmla="*/ 3532701 w 3599793"/>
              <a:gd name="connsiteY6" fmla="*/ 0 h 1983827"/>
              <a:gd name="connsiteX0" fmla="*/ 0 w 3599793"/>
              <a:gd name="connsiteY0" fmla="*/ 1983827 h 1983827"/>
              <a:gd name="connsiteX1" fmla="*/ 1403362 w 3599793"/>
              <a:gd name="connsiteY1" fmla="*/ 1839532 h 1983827"/>
              <a:gd name="connsiteX2" fmla="*/ 2428184 w 3599793"/>
              <a:gd name="connsiteY2" fmla="*/ 950126 h 1983827"/>
              <a:gd name="connsiteX3" fmla="*/ 2875045 w 3599793"/>
              <a:gd name="connsiteY3" fmla="*/ 688223 h 1983827"/>
              <a:gd name="connsiteX4" fmla="*/ 3599793 w 3599793"/>
              <a:gd name="connsiteY4" fmla="*/ 0 h 1983827"/>
              <a:gd name="connsiteX5" fmla="*/ 3599793 w 3599793"/>
              <a:gd name="connsiteY5" fmla="*/ 0 h 1983827"/>
              <a:gd name="connsiteX6" fmla="*/ 3532701 w 3599793"/>
              <a:gd name="connsiteY6" fmla="*/ 0 h 1983827"/>
              <a:gd name="connsiteX0" fmla="*/ 0 w 3599793"/>
              <a:gd name="connsiteY0" fmla="*/ 1983827 h 1998189"/>
              <a:gd name="connsiteX1" fmla="*/ 1443651 w 3599793"/>
              <a:gd name="connsiteY1" fmla="*/ 1893961 h 1998189"/>
              <a:gd name="connsiteX2" fmla="*/ 2428184 w 3599793"/>
              <a:gd name="connsiteY2" fmla="*/ 950126 h 1998189"/>
              <a:gd name="connsiteX3" fmla="*/ 2875045 w 3599793"/>
              <a:gd name="connsiteY3" fmla="*/ 688223 h 1998189"/>
              <a:gd name="connsiteX4" fmla="*/ 3599793 w 3599793"/>
              <a:gd name="connsiteY4" fmla="*/ 0 h 1998189"/>
              <a:gd name="connsiteX5" fmla="*/ 3599793 w 3599793"/>
              <a:gd name="connsiteY5" fmla="*/ 0 h 1998189"/>
              <a:gd name="connsiteX6" fmla="*/ 3532701 w 3599793"/>
              <a:gd name="connsiteY6" fmla="*/ 0 h 1998189"/>
              <a:gd name="connsiteX0" fmla="*/ 0 w 3599793"/>
              <a:gd name="connsiteY0" fmla="*/ 1983827 h 1983827"/>
              <a:gd name="connsiteX1" fmla="*/ 1443651 w 3599793"/>
              <a:gd name="connsiteY1" fmla="*/ 1893961 h 1983827"/>
              <a:gd name="connsiteX2" fmla="*/ 2428184 w 3599793"/>
              <a:gd name="connsiteY2" fmla="*/ 950126 h 1983827"/>
              <a:gd name="connsiteX3" fmla="*/ 2875045 w 3599793"/>
              <a:gd name="connsiteY3" fmla="*/ 688223 h 1983827"/>
              <a:gd name="connsiteX4" fmla="*/ 3599793 w 3599793"/>
              <a:gd name="connsiteY4" fmla="*/ 0 h 1983827"/>
              <a:gd name="connsiteX5" fmla="*/ 3599793 w 3599793"/>
              <a:gd name="connsiteY5" fmla="*/ 0 h 1983827"/>
              <a:gd name="connsiteX6" fmla="*/ 3532701 w 3599793"/>
              <a:gd name="connsiteY6" fmla="*/ 0 h 1983827"/>
              <a:gd name="connsiteX0" fmla="*/ 0 w 3599793"/>
              <a:gd name="connsiteY0" fmla="*/ 1983827 h 1983827"/>
              <a:gd name="connsiteX1" fmla="*/ 1443651 w 3599793"/>
              <a:gd name="connsiteY1" fmla="*/ 1893961 h 1983827"/>
              <a:gd name="connsiteX2" fmla="*/ 2428184 w 3599793"/>
              <a:gd name="connsiteY2" fmla="*/ 950126 h 1983827"/>
              <a:gd name="connsiteX3" fmla="*/ 2875045 w 3599793"/>
              <a:gd name="connsiteY3" fmla="*/ 688223 h 1983827"/>
              <a:gd name="connsiteX4" fmla="*/ 3599793 w 3599793"/>
              <a:gd name="connsiteY4" fmla="*/ 0 h 1983827"/>
              <a:gd name="connsiteX5" fmla="*/ 3599793 w 3599793"/>
              <a:gd name="connsiteY5" fmla="*/ 0 h 1983827"/>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Lst>
            <a:rect l="l" t="t" r="r" b="b"/>
            <a:pathLst>
              <a:path w="3599793" h="1983827">
                <a:moveTo>
                  <a:pt x="0" y="1983827"/>
                </a:moveTo>
                <a:cubicBezTo>
                  <a:pt x="665655" y="1969594"/>
                  <a:pt x="1267264" y="1970994"/>
                  <a:pt x="1443651" y="1893961"/>
                </a:cubicBezTo>
                <a:cubicBezTo>
                  <a:pt x="1620038" y="1816928"/>
                  <a:pt x="2189618" y="1151082"/>
                  <a:pt x="2428184" y="950126"/>
                </a:cubicBezTo>
                <a:cubicBezTo>
                  <a:pt x="2666750" y="749170"/>
                  <a:pt x="2679777" y="846577"/>
                  <a:pt x="2875045" y="688223"/>
                </a:cubicBezTo>
                <a:cubicBezTo>
                  <a:pt x="3070313" y="529869"/>
                  <a:pt x="3492432" y="103365"/>
                  <a:pt x="3599793" y="0"/>
                </a:cubicBezTo>
                <a:lnTo>
                  <a:pt x="3599793" y="0"/>
                </a:lnTo>
              </a:path>
            </a:pathLst>
          </a:cu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39</xdr:col>
      <xdr:colOff>41414</xdr:colOff>
      <xdr:row>20</xdr:row>
      <xdr:rowOff>0</xdr:rowOff>
    </xdr:from>
    <xdr:to>
      <xdr:col>39</xdr:col>
      <xdr:colOff>554936</xdr:colOff>
      <xdr:row>22</xdr:row>
      <xdr:rowOff>34315</xdr:rowOff>
    </xdr:to>
    <xdr:sp macro="" textlink="">
      <xdr:nvSpPr>
        <xdr:cNvPr id="28" name="TextBox 27">
          <a:extLst>
            <a:ext uri="{FF2B5EF4-FFF2-40B4-BE49-F238E27FC236}">
              <a16:creationId xmlns:a16="http://schemas.microsoft.com/office/drawing/2014/main" xmlns="" id="{00000000-0008-0000-0C00-00001C000000}"/>
            </a:ext>
          </a:extLst>
        </xdr:cNvPr>
        <xdr:cNvSpPr txBox="1"/>
      </xdr:nvSpPr>
      <xdr:spPr>
        <a:xfrm>
          <a:off x="30181827" y="4191000"/>
          <a:ext cx="513522" cy="4153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0">
              <a:latin typeface="Arial" panose="020B0604020202020204" pitchFamily="34" charset="0"/>
              <a:cs typeface="Arial" panose="020B0604020202020204" pitchFamily="34" charset="0"/>
            </a:rPr>
            <a:t>V5</a:t>
          </a:r>
        </a:p>
      </xdr:txBody>
    </xdr:sp>
    <xdr:clientData/>
  </xdr:twoCellAnchor>
  <xdr:twoCellAnchor>
    <xdr:from>
      <xdr:col>39</xdr:col>
      <xdr:colOff>414130</xdr:colOff>
      <xdr:row>18</xdr:row>
      <xdr:rowOff>91108</xdr:rowOff>
    </xdr:from>
    <xdr:to>
      <xdr:col>40</xdr:col>
      <xdr:colOff>182217</xdr:colOff>
      <xdr:row>19</xdr:row>
      <xdr:rowOff>149087</xdr:rowOff>
    </xdr:to>
    <xdr:sp macro="" textlink="">
      <xdr:nvSpPr>
        <xdr:cNvPr id="29" name="TextBox 28">
          <a:extLst>
            <a:ext uri="{FF2B5EF4-FFF2-40B4-BE49-F238E27FC236}">
              <a16:creationId xmlns:a16="http://schemas.microsoft.com/office/drawing/2014/main" xmlns="" id="{00000000-0008-0000-0C00-00001D000000}"/>
            </a:ext>
          </a:extLst>
        </xdr:cNvPr>
        <xdr:cNvSpPr txBox="1"/>
      </xdr:nvSpPr>
      <xdr:spPr>
        <a:xfrm>
          <a:off x="30554543" y="3901108"/>
          <a:ext cx="381000" cy="2484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0">
              <a:latin typeface="Arial" panose="020B0604020202020204" pitchFamily="34" charset="0"/>
              <a:cs typeface="Arial" panose="020B0604020202020204" pitchFamily="34" charset="0"/>
            </a:rPr>
            <a:t>V8</a:t>
          </a:r>
        </a:p>
      </xdr:txBody>
    </xdr:sp>
    <xdr:clientData/>
  </xdr:twoCellAnchor>
  <xdr:twoCellAnchor>
    <xdr:from>
      <xdr:col>40</xdr:col>
      <xdr:colOff>345281</xdr:colOff>
      <xdr:row>15</xdr:row>
      <xdr:rowOff>24848</xdr:rowOff>
    </xdr:from>
    <xdr:to>
      <xdr:col>41</xdr:col>
      <xdr:colOff>240197</xdr:colOff>
      <xdr:row>16</xdr:row>
      <xdr:rowOff>95250</xdr:rowOff>
    </xdr:to>
    <xdr:sp macro="" textlink="">
      <xdr:nvSpPr>
        <xdr:cNvPr id="30" name="TextBox 29">
          <a:extLst>
            <a:ext uri="{FF2B5EF4-FFF2-40B4-BE49-F238E27FC236}">
              <a16:creationId xmlns:a16="http://schemas.microsoft.com/office/drawing/2014/main" xmlns="" id="{00000000-0008-0000-0C00-00001E000000}"/>
            </a:ext>
          </a:extLst>
        </xdr:cNvPr>
        <xdr:cNvSpPr txBox="1"/>
      </xdr:nvSpPr>
      <xdr:spPr>
        <a:xfrm>
          <a:off x="30968156" y="3263348"/>
          <a:ext cx="502135" cy="2609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0">
              <a:latin typeface="Arial" panose="020B0604020202020204" pitchFamily="34" charset="0"/>
              <a:cs typeface="Arial" panose="020B0604020202020204" pitchFamily="34" charset="0"/>
            </a:rPr>
            <a:t>VT</a:t>
          </a:r>
        </a:p>
      </xdr:txBody>
    </xdr:sp>
    <xdr:clientData/>
  </xdr:twoCellAnchor>
  <xdr:twoCellAnchor>
    <xdr:from>
      <xdr:col>41</xdr:col>
      <xdr:colOff>397565</xdr:colOff>
      <xdr:row>13</xdr:row>
      <xdr:rowOff>41413</xdr:rowOff>
    </xdr:from>
    <xdr:to>
      <xdr:col>42</xdr:col>
      <xdr:colOff>297656</xdr:colOff>
      <xdr:row>15</xdr:row>
      <xdr:rowOff>23813</xdr:rowOff>
    </xdr:to>
    <xdr:sp macro="" textlink="">
      <xdr:nvSpPr>
        <xdr:cNvPr id="31" name="TextBox 30">
          <a:extLst>
            <a:ext uri="{FF2B5EF4-FFF2-40B4-BE49-F238E27FC236}">
              <a16:creationId xmlns:a16="http://schemas.microsoft.com/office/drawing/2014/main" xmlns="" id="{00000000-0008-0000-0C00-00001F000000}"/>
            </a:ext>
          </a:extLst>
        </xdr:cNvPr>
        <xdr:cNvSpPr txBox="1"/>
      </xdr:nvSpPr>
      <xdr:spPr>
        <a:xfrm>
          <a:off x="31627659" y="2898913"/>
          <a:ext cx="507310" cy="363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0">
              <a:latin typeface="Arial" panose="020B0604020202020204" pitchFamily="34" charset="0"/>
              <a:cs typeface="Arial" panose="020B0604020202020204" pitchFamily="34" charset="0"/>
            </a:rPr>
            <a:t>R1</a:t>
          </a:r>
        </a:p>
      </xdr:txBody>
    </xdr:sp>
    <xdr:clientData/>
  </xdr:twoCellAnchor>
</xdr:wsDr>
</file>

<file path=xl/drawings/drawing39.xml><?xml version="1.0" encoding="utf-8"?>
<xdr:wsDr xmlns:xdr="http://schemas.openxmlformats.org/drawingml/2006/spreadsheetDrawing" xmlns:a="http://schemas.openxmlformats.org/drawingml/2006/main">
  <xdr:twoCellAnchor editAs="oneCell">
    <xdr:from>
      <xdr:col>1</xdr:col>
      <xdr:colOff>95250</xdr:colOff>
      <xdr:row>104</xdr:row>
      <xdr:rowOff>122464</xdr:rowOff>
    </xdr:from>
    <xdr:to>
      <xdr:col>7</xdr:col>
      <xdr:colOff>141034</xdr:colOff>
      <xdr:row>147</xdr:row>
      <xdr:rowOff>45250</xdr:rowOff>
    </xdr:to>
    <xdr:pic>
      <xdr:nvPicPr>
        <xdr:cNvPr id="6" name="Picture 5">
          <a:extLst>
            <a:ext uri="{FF2B5EF4-FFF2-40B4-BE49-F238E27FC236}">
              <a16:creationId xmlns:a16="http://schemas.microsoft.com/office/drawing/2014/main" xmlns="" id="{00000000-0008-0000-0D00-000006000000}"/>
            </a:ext>
          </a:extLst>
        </xdr:cNvPr>
        <xdr:cNvPicPr>
          <a:picLocks noChangeAspect="1"/>
        </xdr:cNvPicPr>
      </xdr:nvPicPr>
      <xdr:blipFill>
        <a:blip xmlns:r="http://schemas.openxmlformats.org/officeDocument/2006/relationships" r:embed="rId1"/>
        <a:stretch>
          <a:fillRect/>
        </a:stretch>
      </xdr:blipFill>
      <xdr:spPr>
        <a:xfrm>
          <a:off x="1483179" y="20315464"/>
          <a:ext cx="5774391" cy="8114286"/>
        </a:xfrm>
        <a:prstGeom prst="rect">
          <a:avLst/>
        </a:prstGeom>
      </xdr:spPr>
    </xdr:pic>
    <xdr:clientData/>
  </xdr:twoCellAnchor>
  <xdr:twoCellAnchor editAs="oneCell">
    <xdr:from>
      <xdr:col>8</xdr:col>
      <xdr:colOff>272142</xdr:colOff>
      <xdr:row>105</xdr:row>
      <xdr:rowOff>136071</xdr:rowOff>
    </xdr:from>
    <xdr:to>
      <xdr:col>16</xdr:col>
      <xdr:colOff>424119</xdr:colOff>
      <xdr:row>130</xdr:row>
      <xdr:rowOff>11667</xdr:rowOff>
    </xdr:to>
    <xdr:pic>
      <xdr:nvPicPr>
        <xdr:cNvPr id="8" name="Picture 7">
          <a:extLst>
            <a:ext uri="{FF2B5EF4-FFF2-40B4-BE49-F238E27FC236}">
              <a16:creationId xmlns:a16="http://schemas.microsoft.com/office/drawing/2014/main" xmlns="" id="{00000000-0008-0000-0D00-000008000000}"/>
            </a:ext>
          </a:extLst>
        </xdr:cNvPr>
        <xdr:cNvPicPr>
          <a:picLocks noChangeAspect="1"/>
        </xdr:cNvPicPr>
      </xdr:nvPicPr>
      <xdr:blipFill>
        <a:blip xmlns:r="http://schemas.openxmlformats.org/officeDocument/2006/relationships" r:embed="rId2"/>
        <a:stretch>
          <a:fillRect/>
        </a:stretch>
      </xdr:blipFill>
      <xdr:spPr>
        <a:xfrm>
          <a:off x="8069035" y="20519571"/>
          <a:ext cx="6601763" cy="4638096"/>
        </a:xfrm>
        <a:prstGeom prst="rect">
          <a:avLst/>
        </a:prstGeom>
      </xdr:spPr>
    </xdr:pic>
    <xdr:clientData/>
  </xdr:twoCellAnchor>
  <xdr:twoCellAnchor>
    <xdr:from>
      <xdr:col>17</xdr:col>
      <xdr:colOff>347383</xdr:colOff>
      <xdr:row>14</xdr:row>
      <xdr:rowOff>23532</xdr:rowOff>
    </xdr:from>
    <xdr:to>
      <xdr:col>25</xdr:col>
      <xdr:colOff>78442</xdr:colOff>
      <xdr:row>28</xdr:row>
      <xdr:rowOff>99732</xdr:rowOff>
    </xdr:to>
    <xdr:graphicFrame macro="">
      <xdr:nvGraphicFramePr>
        <xdr:cNvPr id="12" name="Chart 11">
          <a:extLst>
            <a:ext uri="{FF2B5EF4-FFF2-40B4-BE49-F238E27FC236}">
              <a16:creationId xmlns:a16="http://schemas.microsoft.com/office/drawing/2014/main" xmlns="" id="{00000000-0008-0000-0D00-00000C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16</xdr:col>
      <xdr:colOff>1061357</xdr:colOff>
      <xdr:row>104</xdr:row>
      <xdr:rowOff>68036</xdr:rowOff>
    </xdr:from>
    <xdr:to>
      <xdr:col>19</xdr:col>
      <xdr:colOff>381235</xdr:colOff>
      <xdr:row>152</xdr:row>
      <xdr:rowOff>95465</xdr:rowOff>
    </xdr:to>
    <xdr:pic>
      <xdr:nvPicPr>
        <xdr:cNvPr id="13" name="Picture 12">
          <a:extLst>
            <a:ext uri="{FF2B5EF4-FFF2-40B4-BE49-F238E27FC236}">
              <a16:creationId xmlns:a16="http://schemas.microsoft.com/office/drawing/2014/main" xmlns="" id="{00000000-0008-0000-0D00-00000D000000}"/>
            </a:ext>
          </a:extLst>
        </xdr:cNvPr>
        <xdr:cNvPicPr>
          <a:picLocks noChangeAspect="1"/>
        </xdr:cNvPicPr>
      </xdr:nvPicPr>
      <xdr:blipFill>
        <a:blip xmlns:r="http://schemas.openxmlformats.org/officeDocument/2006/relationships" r:embed="rId4"/>
        <a:stretch>
          <a:fillRect/>
        </a:stretch>
      </xdr:blipFill>
      <xdr:spPr>
        <a:xfrm>
          <a:off x="15308036" y="20261036"/>
          <a:ext cx="3293163" cy="9171429"/>
        </a:xfrm>
        <a:prstGeom prst="rect">
          <a:avLst/>
        </a:prstGeom>
      </xdr:spPr>
    </xdr:pic>
    <xdr:clientData/>
  </xdr:twoCellAnchor>
  <xdr:twoCellAnchor>
    <xdr:from>
      <xdr:col>18</xdr:col>
      <xdr:colOff>381000</xdr:colOff>
      <xdr:row>15</xdr:row>
      <xdr:rowOff>33182</xdr:rowOff>
    </xdr:from>
    <xdr:to>
      <xdr:col>24</xdr:col>
      <xdr:colOff>394608</xdr:colOff>
      <xdr:row>25</xdr:row>
      <xdr:rowOff>109099</xdr:rowOff>
    </xdr:to>
    <xdr:sp macro="" textlink="">
      <xdr:nvSpPr>
        <xdr:cNvPr id="2" name="Freeform 1">
          <a:extLst>
            <a:ext uri="{FF2B5EF4-FFF2-40B4-BE49-F238E27FC236}">
              <a16:creationId xmlns:a16="http://schemas.microsoft.com/office/drawing/2014/main" xmlns="" id="{00000000-0008-0000-0D00-000002000000}"/>
            </a:ext>
          </a:extLst>
        </xdr:cNvPr>
        <xdr:cNvSpPr/>
      </xdr:nvSpPr>
      <xdr:spPr>
        <a:xfrm>
          <a:off x="17988643" y="3271682"/>
          <a:ext cx="3687536" cy="1980917"/>
        </a:xfrm>
        <a:custGeom>
          <a:avLst/>
          <a:gdLst>
            <a:gd name="connsiteX0" fmla="*/ 0 w 3687536"/>
            <a:gd name="connsiteY0" fmla="*/ 2090960 h 2096402"/>
            <a:gd name="connsiteX1" fmla="*/ 1387928 w 3687536"/>
            <a:gd name="connsiteY1" fmla="*/ 1791603 h 2096402"/>
            <a:gd name="connsiteX2" fmla="*/ 3279321 w 3687536"/>
            <a:gd name="connsiteY2" fmla="*/ 131532 h 2096402"/>
            <a:gd name="connsiteX3" fmla="*/ 3687536 w 3687536"/>
            <a:gd name="connsiteY3" fmla="*/ 226782 h 2096402"/>
            <a:gd name="connsiteX0" fmla="*/ 0 w 3687536"/>
            <a:gd name="connsiteY0" fmla="*/ 2001811 h 2007253"/>
            <a:gd name="connsiteX1" fmla="*/ 1387928 w 3687536"/>
            <a:gd name="connsiteY1" fmla="*/ 1702454 h 2007253"/>
            <a:gd name="connsiteX2" fmla="*/ 3279321 w 3687536"/>
            <a:gd name="connsiteY2" fmla="*/ 42383 h 2007253"/>
            <a:gd name="connsiteX3" fmla="*/ 3687536 w 3687536"/>
            <a:gd name="connsiteY3" fmla="*/ 137633 h 2007253"/>
            <a:gd name="connsiteX0" fmla="*/ 0 w 3687536"/>
            <a:gd name="connsiteY0" fmla="*/ 1984921 h 1990363"/>
            <a:gd name="connsiteX1" fmla="*/ 1387928 w 3687536"/>
            <a:gd name="connsiteY1" fmla="*/ 1685564 h 1990363"/>
            <a:gd name="connsiteX2" fmla="*/ 3279321 w 3687536"/>
            <a:gd name="connsiteY2" fmla="*/ 25493 h 1990363"/>
            <a:gd name="connsiteX3" fmla="*/ 3687536 w 3687536"/>
            <a:gd name="connsiteY3" fmla="*/ 120743 h 1990363"/>
            <a:gd name="connsiteX0" fmla="*/ 0 w 3687536"/>
            <a:gd name="connsiteY0" fmla="*/ 2095972 h 2114905"/>
            <a:gd name="connsiteX1" fmla="*/ 898071 w 3687536"/>
            <a:gd name="connsiteY1" fmla="*/ 1864650 h 2114905"/>
            <a:gd name="connsiteX2" fmla="*/ 3279321 w 3687536"/>
            <a:gd name="connsiteY2" fmla="*/ 136544 h 2114905"/>
            <a:gd name="connsiteX3" fmla="*/ 3687536 w 3687536"/>
            <a:gd name="connsiteY3" fmla="*/ 231794 h 2114905"/>
            <a:gd name="connsiteX0" fmla="*/ 0 w 3687536"/>
            <a:gd name="connsiteY0" fmla="*/ 2095972 h 2097949"/>
            <a:gd name="connsiteX1" fmla="*/ 898071 w 3687536"/>
            <a:gd name="connsiteY1" fmla="*/ 1864650 h 2097949"/>
            <a:gd name="connsiteX2" fmla="*/ 3279321 w 3687536"/>
            <a:gd name="connsiteY2" fmla="*/ 136544 h 2097949"/>
            <a:gd name="connsiteX3" fmla="*/ 3687536 w 3687536"/>
            <a:gd name="connsiteY3" fmla="*/ 231794 h 2097949"/>
            <a:gd name="connsiteX0" fmla="*/ 0 w 3687536"/>
            <a:gd name="connsiteY0" fmla="*/ 2049983 h 2050184"/>
            <a:gd name="connsiteX1" fmla="*/ 1850571 w 3687536"/>
            <a:gd name="connsiteY1" fmla="*/ 1192733 h 2050184"/>
            <a:gd name="connsiteX2" fmla="*/ 3279321 w 3687536"/>
            <a:gd name="connsiteY2" fmla="*/ 90555 h 2050184"/>
            <a:gd name="connsiteX3" fmla="*/ 3687536 w 3687536"/>
            <a:gd name="connsiteY3" fmla="*/ 185805 h 2050184"/>
            <a:gd name="connsiteX0" fmla="*/ 0 w 3687536"/>
            <a:gd name="connsiteY0" fmla="*/ 2049983 h 2050324"/>
            <a:gd name="connsiteX1" fmla="*/ 1850571 w 3687536"/>
            <a:gd name="connsiteY1" fmla="*/ 1192733 h 2050324"/>
            <a:gd name="connsiteX2" fmla="*/ 3279321 w 3687536"/>
            <a:gd name="connsiteY2" fmla="*/ 90555 h 2050324"/>
            <a:gd name="connsiteX3" fmla="*/ 3687536 w 3687536"/>
            <a:gd name="connsiteY3" fmla="*/ 185805 h 2050324"/>
            <a:gd name="connsiteX0" fmla="*/ 0 w 3687536"/>
            <a:gd name="connsiteY0" fmla="*/ 1991384 h 1991725"/>
            <a:gd name="connsiteX1" fmla="*/ 1850571 w 3687536"/>
            <a:gd name="connsiteY1" fmla="*/ 1134134 h 1991725"/>
            <a:gd name="connsiteX2" fmla="*/ 3279321 w 3687536"/>
            <a:gd name="connsiteY2" fmla="*/ 31956 h 1991725"/>
            <a:gd name="connsiteX3" fmla="*/ 3687536 w 3687536"/>
            <a:gd name="connsiteY3" fmla="*/ 127206 h 1991725"/>
            <a:gd name="connsiteX0" fmla="*/ 0 w 3687536"/>
            <a:gd name="connsiteY0" fmla="*/ 1931474 h 1931711"/>
            <a:gd name="connsiteX1" fmla="*/ 1850571 w 3687536"/>
            <a:gd name="connsiteY1" fmla="*/ 1074224 h 1931711"/>
            <a:gd name="connsiteX2" fmla="*/ 3116035 w 3687536"/>
            <a:gd name="connsiteY2" fmla="*/ 148939 h 1931711"/>
            <a:gd name="connsiteX3" fmla="*/ 3687536 w 3687536"/>
            <a:gd name="connsiteY3" fmla="*/ 67296 h 1931711"/>
            <a:gd name="connsiteX0" fmla="*/ 0 w 3687536"/>
            <a:gd name="connsiteY0" fmla="*/ 1976768 h 1977005"/>
            <a:gd name="connsiteX1" fmla="*/ 1850571 w 3687536"/>
            <a:gd name="connsiteY1" fmla="*/ 1119518 h 1977005"/>
            <a:gd name="connsiteX2" fmla="*/ 3116035 w 3687536"/>
            <a:gd name="connsiteY2" fmla="*/ 194233 h 1977005"/>
            <a:gd name="connsiteX3" fmla="*/ 3687536 w 3687536"/>
            <a:gd name="connsiteY3" fmla="*/ 112590 h 1977005"/>
            <a:gd name="connsiteX0" fmla="*/ 0 w 3687536"/>
            <a:gd name="connsiteY0" fmla="*/ 1976768 h 1977005"/>
            <a:gd name="connsiteX1" fmla="*/ 1850571 w 3687536"/>
            <a:gd name="connsiteY1" fmla="*/ 1119518 h 1977005"/>
            <a:gd name="connsiteX2" fmla="*/ 3020785 w 3687536"/>
            <a:gd name="connsiteY2" fmla="*/ 194233 h 1977005"/>
            <a:gd name="connsiteX3" fmla="*/ 3687536 w 3687536"/>
            <a:gd name="connsiteY3" fmla="*/ 112590 h 1977005"/>
            <a:gd name="connsiteX0" fmla="*/ 0 w 3687536"/>
            <a:gd name="connsiteY0" fmla="*/ 1972582 h 1972819"/>
            <a:gd name="connsiteX1" fmla="*/ 1850571 w 3687536"/>
            <a:gd name="connsiteY1" fmla="*/ 1115332 h 1972819"/>
            <a:gd name="connsiteX2" fmla="*/ 3020785 w 3687536"/>
            <a:gd name="connsiteY2" fmla="*/ 190047 h 1972819"/>
            <a:gd name="connsiteX3" fmla="*/ 3687536 w 3687536"/>
            <a:gd name="connsiteY3" fmla="*/ 108404 h 1972819"/>
            <a:gd name="connsiteX0" fmla="*/ 0 w 3687536"/>
            <a:gd name="connsiteY0" fmla="*/ 1935387 h 1935615"/>
            <a:gd name="connsiteX1" fmla="*/ 1850571 w 3687536"/>
            <a:gd name="connsiteY1" fmla="*/ 1078137 h 1935615"/>
            <a:gd name="connsiteX2" fmla="*/ 3129643 w 3687536"/>
            <a:gd name="connsiteY2" fmla="*/ 288923 h 1935615"/>
            <a:gd name="connsiteX3" fmla="*/ 3687536 w 3687536"/>
            <a:gd name="connsiteY3" fmla="*/ 71209 h 1935615"/>
            <a:gd name="connsiteX0" fmla="*/ 0 w 3687536"/>
            <a:gd name="connsiteY0" fmla="*/ 2077476 h 2077727"/>
            <a:gd name="connsiteX1" fmla="*/ 1850571 w 3687536"/>
            <a:gd name="connsiteY1" fmla="*/ 1220226 h 2077727"/>
            <a:gd name="connsiteX2" fmla="*/ 2966357 w 3687536"/>
            <a:gd name="connsiteY2" fmla="*/ 104441 h 2077727"/>
            <a:gd name="connsiteX3" fmla="*/ 3687536 w 3687536"/>
            <a:gd name="connsiteY3" fmla="*/ 213298 h 2077727"/>
            <a:gd name="connsiteX0" fmla="*/ 0 w 3687536"/>
            <a:gd name="connsiteY0" fmla="*/ 1993893 h 1994144"/>
            <a:gd name="connsiteX1" fmla="*/ 1850571 w 3687536"/>
            <a:gd name="connsiteY1" fmla="*/ 1136643 h 1994144"/>
            <a:gd name="connsiteX2" fmla="*/ 2966357 w 3687536"/>
            <a:gd name="connsiteY2" fmla="*/ 20858 h 1994144"/>
            <a:gd name="connsiteX3" fmla="*/ 3687536 w 3687536"/>
            <a:gd name="connsiteY3" fmla="*/ 129715 h 1994144"/>
            <a:gd name="connsiteX0" fmla="*/ 0 w 3687536"/>
            <a:gd name="connsiteY0" fmla="*/ 2002809 h 2003061"/>
            <a:gd name="connsiteX1" fmla="*/ 1850571 w 3687536"/>
            <a:gd name="connsiteY1" fmla="*/ 1145559 h 2003061"/>
            <a:gd name="connsiteX2" fmla="*/ 3184071 w 3687536"/>
            <a:gd name="connsiteY2" fmla="*/ 16167 h 2003061"/>
            <a:gd name="connsiteX3" fmla="*/ 3687536 w 3687536"/>
            <a:gd name="connsiteY3" fmla="*/ 138631 h 2003061"/>
            <a:gd name="connsiteX0" fmla="*/ 0 w 3687536"/>
            <a:gd name="connsiteY0" fmla="*/ 2067114 h 2067354"/>
            <a:gd name="connsiteX1" fmla="*/ 1796142 w 3687536"/>
            <a:gd name="connsiteY1" fmla="*/ 1182650 h 2067354"/>
            <a:gd name="connsiteX2" fmla="*/ 3184071 w 3687536"/>
            <a:gd name="connsiteY2" fmla="*/ 80472 h 2067354"/>
            <a:gd name="connsiteX3" fmla="*/ 3687536 w 3687536"/>
            <a:gd name="connsiteY3" fmla="*/ 202936 h 2067354"/>
            <a:gd name="connsiteX0" fmla="*/ 0 w 3687536"/>
            <a:gd name="connsiteY0" fmla="*/ 2012815 h 2013055"/>
            <a:gd name="connsiteX1" fmla="*/ 1796142 w 3687536"/>
            <a:gd name="connsiteY1" fmla="*/ 1128351 h 2013055"/>
            <a:gd name="connsiteX2" fmla="*/ 3184071 w 3687536"/>
            <a:gd name="connsiteY2" fmla="*/ 26173 h 2013055"/>
            <a:gd name="connsiteX3" fmla="*/ 3687536 w 3687536"/>
            <a:gd name="connsiteY3" fmla="*/ 148637 h 2013055"/>
            <a:gd name="connsiteX0" fmla="*/ 0 w 3687536"/>
            <a:gd name="connsiteY0" fmla="*/ 1995143 h 1995381"/>
            <a:gd name="connsiteX1" fmla="*/ 1796142 w 3687536"/>
            <a:gd name="connsiteY1" fmla="*/ 1110679 h 1995381"/>
            <a:gd name="connsiteX2" fmla="*/ 3265714 w 3687536"/>
            <a:gd name="connsiteY2" fmla="*/ 35716 h 1995381"/>
            <a:gd name="connsiteX3" fmla="*/ 3687536 w 3687536"/>
            <a:gd name="connsiteY3" fmla="*/ 130965 h 1995381"/>
            <a:gd name="connsiteX0" fmla="*/ 0 w 3687536"/>
            <a:gd name="connsiteY0" fmla="*/ 2003623 h 2003862"/>
            <a:gd name="connsiteX1" fmla="*/ 1796142 w 3687536"/>
            <a:gd name="connsiteY1" fmla="*/ 1119159 h 2003862"/>
            <a:gd name="connsiteX2" fmla="*/ 3170464 w 3687536"/>
            <a:gd name="connsiteY2" fmla="*/ 30589 h 2003862"/>
            <a:gd name="connsiteX3" fmla="*/ 3687536 w 3687536"/>
            <a:gd name="connsiteY3" fmla="*/ 139445 h 2003862"/>
            <a:gd name="connsiteX0" fmla="*/ 0 w 3687536"/>
            <a:gd name="connsiteY0" fmla="*/ 1980678 h 1980917"/>
            <a:gd name="connsiteX1" fmla="*/ 1796142 w 3687536"/>
            <a:gd name="connsiteY1" fmla="*/ 1096214 h 1980917"/>
            <a:gd name="connsiteX2" fmla="*/ 3170464 w 3687536"/>
            <a:gd name="connsiteY2" fmla="*/ 7644 h 1980917"/>
            <a:gd name="connsiteX3" fmla="*/ 3687536 w 3687536"/>
            <a:gd name="connsiteY3" fmla="*/ 116500 h 1980917"/>
            <a:gd name="connsiteX0" fmla="*/ 0 w 3687536"/>
            <a:gd name="connsiteY0" fmla="*/ 1980678 h 1980917"/>
            <a:gd name="connsiteX1" fmla="*/ 1796142 w 3687536"/>
            <a:gd name="connsiteY1" fmla="*/ 1096214 h 1980917"/>
            <a:gd name="connsiteX2" fmla="*/ 3279321 w 3687536"/>
            <a:gd name="connsiteY2" fmla="*/ 7644 h 1980917"/>
            <a:gd name="connsiteX3" fmla="*/ 3687536 w 3687536"/>
            <a:gd name="connsiteY3" fmla="*/ 116500 h 1980917"/>
          </a:gdLst>
          <a:ahLst/>
          <a:cxnLst>
            <a:cxn ang="0">
              <a:pos x="connsiteX0" y="connsiteY0"/>
            </a:cxn>
            <a:cxn ang="0">
              <a:pos x="connsiteX1" y="connsiteY1"/>
            </a:cxn>
            <a:cxn ang="0">
              <a:pos x="connsiteX2" y="connsiteY2"/>
            </a:cxn>
            <a:cxn ang="0">
              <a:pos x="connsiteX3" y="connsiteY3"/>
            </a:cxn>
          </a:cxnLst>
          <a:rect l="l" t="t" r="r" b="b"/>
          <a:pathLst>
            <a:path w="3687536" h="1980917">
              <a:moveTo>
                <a:pt x="0" y="1980678"/>
              </a:moveTo>
              <a:cubicBezTo>
                <a:pt x="420687" y="1994285"/>
                <a:pt x="1249589" y="1425053"/>
                <a:pt x="1796142" y="1096214"/>
              </a:cubicBezTo>
              <a:cubicBezTo>
                <a:pt x="2342695" y="767375"/>
                <a:pt x="2868839" y="-5962"/>
                <a:pt x="3279321" y="7644"/>
              </a:cubicBezTo>
              <a:cubicBezTo>
                <a:pt x="3689803" y="21250"/>
                <a:pt x="3675062" y="-61527"/>
                <a:pt x="3687536" y="116500"/>
              </a:cubicBezTo>
            </a:path>
          </a:pathLst>
        </a:cu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26</xdr:col>
      <xdr:colOff>0</xdr:colOff>
      <xdr:row>14</xdr:row>
      <xdr:rowOff>0</xdr:rowOff>
    </xdr:from>
    <xdr:to>
      <xdr:col>33</xdr:col>
      <xdr:colOff>343381</xdr:colOff>
      <xdr:row>28</xdr:row>
      <xdr:rowOff>76200</xdr:rowOff>
    </xdr:to>
    <xdr:graphicFrame macro="">
      <xdr:nvGraphicFramePr>
        <xdr:cNvPr id="7" name="Chart 6">
          <a:extLst>
            <a:ext uri="{FF2B5EF4-FFF2-40B4-BE49-F238E27FC236}">
              <a16:creationId xmlns:a16="http://schemas.microsoft.com/office/drawing/2014/main" xmlns="" id="{00000000-0008-0000-0D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19</xdr:col>
      <xdr:colOff>149679</xdr:colOff>
      <xdr:row>17</xdr:row>
      <xdr:rowOff>95250</xdr:rowOff>
    </xdr:from>
    <xdr:to>
      <xdr:col>22</xdr:col>
      <xdr:colOff>449035</xdr:colOff>
      <xdr:row>18</xdr:row>
      <xdr:rowOff>176893</xdr:rowOff>
    </xdr:to>
    <xdr:sp macro="" textlink="">
      <xdr:nvSpPr>
        <xdr:cNvPr id="3" name="TextBox 2">
          <a:extLst>
            <a:ext uri="{FF2B5EF4-FFF2-40B4-BE49-F238E27FC236}">
              <a16:creationId xmlns:a16="http://schemas.microsoft.com/office/drawing/2014/main" xmlns="" id="{00000000-0008-0000-0D00-000003000000}"/>
            </a:ext>
          </a:extLst>
        </xdr:cNvPr>
        <xdr:cNvSpPr txBox="1"/>
      </xdr:nvSpPr>
      <xdr:spPr>
        <a:xfrm>
          <a:off x="18369643" y="3714750"/>
          <a:ext cx="2136321" cy="2721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0">
              <a:latin typeface="Arial" panose="020B0604020202020204" pitchFamily="34" charset="0"/>
              <a:cs typeface="Arial" panose="020B0604020202020204" pitchFamily="34" charset="0"/>
            </a:rPr>
            <a:t>Storage</a:t>
          </a:r>
          <a:r>
            <a:rPr lang="en-US" sz="1200" b="0" baseline="0">
              <a:latin typeface="Arial" panose="020B0604020202020204" pitchFamily="34" charset="0"/>
              <a:cs typeface="Arial" panose="020B0604020202020204" pitchFamily="34" charset="0"/>
            </a:rPr>
            <a:t> root initiaion</a:t>
          </a:r>
          <a:endParaRPr lang="en-US" sz="1200" b="0">
            <a:latin typeface="Arial" panose="020B0604020202020204" pitchFamily="34" charset="0"/>
            <a:cs typeface="Arial" panose="020B0604020202020204" pitchFamily="34" charset="0"/>
          </a:endParaRPr>
        </a:p>
      </xdr:txBody>
    </xdr:sp>
    <xdr:clientData/>
  </xdr:twoCellAnchor>
  <xdr:twoCellAnchor>
    <xdr:from>
      <xdr:col>20</xdr:col>
      <xdr:colOff>299356</xdr:colOff>
      <xdr:row>18</xdr:row>
      <xdr:rowOff>176895</xdr:rowOff>
    </xdr:from>
    <xdr:to>
      <xdr:col>21</xdr:col>
      <xdr:colOff>122464</xdr:colOff>
      <xdr:row>19</xdr:row>
      <xdr:rowOff>163287</xdr:rowOff>
    </xdr:to>
    <xdr:sp macro="" textlink="">
      <xdr:nvSpPr>
        <xdr:cNvPr id="4" name="Left Brace 3">
          <a:extLst>
            <a:ext uri="{FF2B5EF4-FFF2-40B4-BE49-F238E27FC236}">
              <a16:creationId xmlns:a16="http://schemas.microsoft.com/office/drawing/2014/main" xmlns="" id="{00000000-0008-0000-0D00-000004000000}"/>
            </a:ext>
          </a:extLst>
        </xdr:cNvPr>
        <xdr:cNvSpPr/>
      </xdr:nvSpPr>
      <xdr:spPr>
        <a:xfrm rot="5400000">
          <a:off x="19260911" y="3857626"/>
          <a:ext cx="176892" cy="435429"/>
        </a:xfrm>
        <a:prstGeom prst="leftBrace">
          <a:avLst/>
        </a:prstGeom>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18</xdr:col>
      <xdr:colOff>381000</xdr:colOff>
      <xdr:row>33</xdr:row>
      <xdr:rowOff>68035</xdr:rowOff>
    </xdr:from>
    <xdr:to>
      <xdr:col>28</xdr:col>
      <xdr:colOff>201386</xdr:colOff>
      <xdr:row>52</xdr:row>
      <xdr:rowOff>106135</xdr:rowOff>
    </xdr:to>
    <xdr:graphicFrame macro="">
      <xdr:nvGraphicFramePr>
        <xdr:cNvPr id="17" name="Chart 16">
          <a:extLst>
            <a:ext uri="{FF2B5EF4-FFF2-40B4-BE49-F238E27FC236}">
              <a16:creationId xmlns:a16="http://schemas.microsoft.com/office/drawing/2014/main" xmlns="" id="{00000000-0008-0000-0100-000011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381000</xdr:colOff>
      <xdr:row>13</xdr:row>
      <xdr:rowOff>27215</xdr:rowOff>
    </xdr:from>
    <xdr:to>
      <xdr:col>28</xdr:col>
      <xdr:colOff>201386</xdr:colOff>
      <xdr:row>32</xdr:row>
      <xdr:rowOff>65315</xdr:rowOff>
    </xdr:to>
    <xdr:graphicFrame macro="">
      <xdr:nvGraphicFramePr>
        <xdr:cNvPr id="16" name="Chart 15">
          <a:extLst>
            <a:ext uri="{FF2B5EF4-FFF2-40B4-BE49-F238E27FC236}">
              <a16:creationId xmlns:a16="http://schemas.microsoft.com/office/drawing/2014/main" xmlns="" id="{00000000-0008-0000-0100-00001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6</xdr:col>
      <xdr:colOff>447281</xdr:colOff>
      <xdr:row>91</xdr:row>
      <xdr:rowOff>139092</xdr:rowOff>
    </xdr:from>
    <xdr:to>
      <xdr:col>29</xdr:col>
      <xdr:colOff>366786</xdr:colOff>
      <xdr:row>113</xdr:row>
      <xdr:rowOff>138568</xdr:rowOff>
    </xdr:to>
    <xdr:pic>
      <xdr:nvPicPr>
        <xdr:cNvPr id="3" name="Picture 2">
          <a:extLst>
            <a:ext uri="{FF2B5EF4-FFF2-40B4-BE49-F238E27FC236}">
              <a16:creationId xmlns:a16="http://schemas.microsoft.com/office/drawing/2014/main" xmlns="" id="{00000000-0008-0000-0100-000003000000}"/>
            </a:ext>
          </a:extLst>
        </xdr:cNvPr>
        <xdr:cNvPicPr>
          <a:picLocks noChangeAspect="1"/>
        </xdr:cNvPicPr>
      </xdr:nvPicPr>
      <xdr:blipFill>
        <a:blip xmlns:r="http://schemas.openxmlformats.org/officeDocument/2006/relationships" r:embed="rId3"/>
        <a:stretch>
          <a:fillRect/>
        </a:stretch>
      </xdr:blipFill>
      <xdr:spPr>
        <a:xfrm>
          <a:off x="5400281" y="17093592"/>
          <a:ext cx="18026901" cy="4190476"/>
        </a:xfrm>
        <a:prstGeom prst="rect">
          <a:avLst/>
        </a:prstGeom>
      </xdr:spPr>
    </xdr:pic>
    <xdr:clientData/>
  </xdr:twoCellAnchor>
  <xdr:twoCellAnchor editAs="oneCell">
    <xdr:from>
      <xdr:col>6</xdr:col>
      <xdr:colOff>631167</xdr:colOff>
      <xdr:row>110</xdr:row>
      <xdr:rowOff>54609</xdr:rowOff>
    </xdr:from>
    <xdr:to>
      <xdr:col>30</xdr:col>
      <xdr:colOff>335811</xdr:colOff>
      <xdr:row>114</xdr:row>
      <xdr:rowOff>102133</xdr:rowOff>
    </xdr:to>
    <xdr:pic>
      <xdr:nvPicPr>
        <xdr:cNvPr id="4" name="Picture 3">
          <a:extLst>
            <a:ext uri="{FF2B5EF4-FFF2-40B4-BE49-F238E27FC236}">
              <a16:creationId xmlns:a16="http://schemas.microsoft.com/office/drawing/2014/main" xmlns="" id="{00000000-0008-0000-0100-000004000000}"/>
            </a:ext>
          </a:extLst>
        </xdr:cNvPr>
        <xdr:cNvPicPr>
          <a:picLocks noChangeAspect="1"/>
        </xdr:cNvPicPr>
      </xdr:nvPicPr>
      <xdr:blipFill>
        <a:blip xmlns:r="http://schemas.openxmlformats.org/officeDocument/2006/relationships" r:embed="rId4"/>
        <a:stretch>
          <a:fillRect/>
        </a:stretch>
      </xdr:blipFill>
      <xdr:spPr>
        <a:xfrm>
          <a:off x="5284810" y="20628609"/>
          <a:ext cx="18424362" cy="809524"/>
        </a:xfrm>
        <a:prstGeom prst="rect">
          <a:avLst/>
        </a:prstGeom>
      </xdr:spPr>
    </xdr:pic>
    <xdr:clientData/>
  </xdr:twoCellAnchor>
  <xdr:twoCellAnchor editAs="oneCell">
    <xdr:from>
      <xdr:col>0</xdr:col>
      <xdr:colOff>161684</xdr:colOff>
      <xdr:row>89</xdr:row>
      <xdr:rowOff>159298</xdr:rowOff>
    </xdr:from>
    <xdr:to>
      <xdr:col>4</xdr:col>
      <xdr:colOff>881263</xdr:colOff>
      <xdr:row>110</xdr:row>
      <xdr:rowOff>180830</xdr:rowOff>
    </xdr:to>
    <xdr:pic>
      <xdr:nvPicPr>
        <xdr:cNvPr id="2" name="Picture 1">
          <a:extLst>
            <a:ext uri="{FF2B5EF4-FFF2-40B4-BE49-F238E27FC236}">
              <a16:creationId xmlns:a16="http://schemas.microsoft.com/office/drawing/2014/main" xmlns="" id="{00000000-0008-0000-0100-000002000000}"/>
            </a:ext>
          </a:extLst>
        </xdr:cNvPr>
        <xdr:cNvPicPr>
          <a:picLocks noChangeAspect="1"/>
        </xdr:cNvPicPr>
      </xdr:nvPicPr>
      <xdr:blipFill>
        <a:blip xmlns:r="http://schemas.openxmlformats.org/officeDocument/2006/relationships" r:embed="rId5"/>
        <a:stretch>
          <a:fillRect/>
        </a:stretch>
      </xdr:blipFill>
      <xdr:spPr>
        <a:xfrm>
          <a:off x="161684" y="16732798"/>
          <a:ext cx="4965008" cy="4022032"/>
        </a:xfrm>
        <a:prstGeom prst="rect">
          <a:avLst/>
        </a:prstGeom>
      </xdr:spPr>
    </xdr:pic>
    <xdr:clientData/>
  </xdr:twoCellAnchor>
  <xdr:twoCellAnchor>
    <xdr:from>
      <xdr:col>22</xdr:col>
      <xdr:colOff>19049</xdr:colOff>
      <xdr:row>21</xdr:row>
      <xdr:rowOff>93890</xdr:rowOff>
    </xdr:from>
    <xdr:to>
      <xdr:col>25</xdr:col>
      <xdr:colOff>223156</xdr:colOff>
      <xdr:row>23</xdr:row>
      <xdr:rowOff>93890</xdr:rowOff>
    </xdr:to>
    <xdr:sp macro="" textlink="">
      <xdr:nvSpPr>
        <xdr:cNvPr id="15" name="TextBox 14">
          <a:extLst>
            <a:ext uri="{FF2B5EF4-FFF2-40B4-BE49-F238E27FC236}">
              <a16:creationId xmlns:a16="http://schemas.microsoft.com/office/drawing/2014/main" xmlns="" id="{00000000-0008-0000-0100-00000F000000}"/>
            </a:ext>
          </a:extLst>
        </xdr:cNvPr>
        <xdr:cNvSpPr txBox="1"/>
      </xdr:nvSpPr>
      <xdr:spPr>
        <a:xfrm>
          <a:off x="19885478" y="8353426"/>
          <a:ext cx="2041071"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a:latin typeface="Arial" panose="020B0604020202020204" pitchFamily="34" charset="0"/>
              <a:cs typeface="Arial" panose="020B0604020202020204" pitchFamily="34" charset="0"/>
            </a:rPr>
            <a:t>Beginning</a:t>
          </a:r>
          <a:r>
            <a:rPr lang="en-US" sz="1000" b="0" baseline="0">
              <a:latin typeface="Arial" panose="020B0604020202020204" pitchFamily="34" charset="0"/>
              <a:cs typeface="Arial" panose="020B0604020202020204" pitchFamily="34" charset="0"/>
            </a:rPr>
            <a:t> of harvest</a:t>
          </a:r>
          <a:endParaRPr lang="en-US" sz="1000" b="0">
            <a:latin typeface="Arial" panose="020B0604020202020204" pitchFamily="34" charset="0"/>
            <a:cs typeface="Arial" panose="020B0604020202020204" pitchFamily="34" charset="0"/>
          </a:endParaRPr>
        </a:p>
      </xdr:txBody>
    </xdr:sp>
    <xdr:clientData/>
  </xdr:twoCellAnchor>
  <xdr:twoCellAnchor>
    <xdr:from>
      <xdr:col>20</xdr:col>
      <xdr:colOff>435429</xdr:colOff>
      <xdr:row>42</xdr:row>
      <xdr:rowOff>9526</xdr:rowOff>
    </xdr:from>
    <xdr:to>
      <xdr:col>24</xdr:col>
      <xdr:colOff>29937</xdr:colOff>
      <xdr:row>44</xdr:row>
      <xdr:rowOff>9526</xdr:rowOff>
    </xdr:to>
    <xdr:sp macro="" textlink="">
      <xdr:nvSpPr>
        <xdr:cNvPr id="11" name="TextBox 10">
          <a:extLst>
            <a:ext uri="{FF2B5EF4-FFF2-40B4-BE49-F238E27FC236}">
              <a16:creationId xmlns:a16="http://schemas.microsoft.com/office/drawing/2014/main" xmlns="" id="{00000000-0008-0000-0100-00000B000000}"/>
            </a:ext>
          </a:extLst>
        </xdr:cNvPr>
        <xdr:cNvSpPr txBox="1"/>
      </xdr:nvSpPr>
      <xdr:spPr>
        <a:xfrm>
          <a:off x="19077215" y="12269562"/>
          <a:ext cx="2043793"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a:latin typeface="Arial" panose="020B0604020202020204" pitchFamily="34" charset="0"/>
              <a:cs typeface="Arial" panose="020B0604020202020204" pitchFamily="34" charset="0"/>
            </a:rPr>
            <a:t>Beginning</a:t>
          </a:r>
          <a:r>
            <a:rPr lang="en-US" sz="1000" b="0" baseline="0">
              <a:latin typeface="Arial" panose="020B0604020202020204" pitchFamily="34" charset="0"/>
              <a:cs typeface="Arial" panose="020B0604020202020204" pitchFamily="34" charset="0"/>
            </a:rPr>
            <a:t> of harvest</a:t>
          </a:r>
          <a:endParaRPr lang="en-US" sz="1000" b="0">
            <a:latin typeface="Arial" panose="020B0604020202020204" pitchFamily="34" charset="0"/>
            <a:cs typeface="Arial" panose="020B0604020202020204" pitchFamily="34" charset="0"/>
          </a:endParaRPr>
        </a:p>
      </xdr:txBody>
    </xdr:sp>
    <xdr:clientData/>
  </xdr:twoCellAnchor>
  <xdr:twoCellAnchor>
    <xdr:from>
      <xdr:col>30</xdr:col>
      <xdr:colOff>190500</xdr:colOff>
      <xdr:row>18</xdr:row>
      <xdr:rowOff>145596</xdr:rowOff>
    </xdr:from>
    <xdr:to>
      <xdr:col>40</xdr:col>
      <xdr:colOff>10886</xdr:colOff>
      <xdr:row>37</xdr:row>
      <xdr:rowOff>183696</xdr:rowOff>
    </xdr:to>
    <xdr:graphicFrame macro="">
      <xdr:nvGraphicFramePr>
        <xdr:cNvPr id="19" name="Chart 18">
          <a:extLst>
            <a:ext uri="{FF2B5EF4-FFF2-40B4-BE49-F238E27FC236}">
              <a16:creationId xmlns:a16="http://schemas.microsoft.com/office/drawing/2014/main" xmlns="" id="{00000000-0008-0000-0100-00001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30</xdr:col>
      <xdr:colOff>544286</xdr:colOff>
      <xdr:row>19</xdr:row>
      <xdr:rowOff>149678</xdr:rowOff>
    </xdr:from>
    <xdr:to>
      <xdr:col>39</xdr:col>
      <xdr:colOff>367393</xdr:colOff>
      <xdr:row>36</xdr:row>
      <xdr:rowOff>68035</xdr:rowOff>
    </xdr:to>
    <xdr:sp macro="" textlink="">
      <xdr:nvSpPr>
        <xdr:cNvPr id="20" name="Freeform 19">
          <a:extLst>
            <a:ext uri="{FF2B5EF4-FFF2-40B4-BE49-F238E27FC236}">
              <a16:creationId xmlns:a16="http://schemas.microsoft.com/office/drawing/2014/main" xmlns="" id="{00000000-0008-0000-0100-000014000000}"/>
            </a:ext>
          </a:extLst>
        </xdr:cNvPr>
        <xdr:cNvSpPr/>
      </xdr:nvSpPr>
      <xdr:spPr>
        <a:xfrm>
          <a:off x="25309286" y="4218214"/>
          <a:ext cx="5334000" cy="3156857"/>
        </a:xfrm>
        <a:custGeom>
          <a:avLst/>
          <a:gdLst>
            <a:gd name="connsiteX0" fmla="*/ 0 w 3876261"/>
            <a:gd name="connsiteY0" fmla="*/ 3313043 h 3333796"/>
            <a:gd name="connsiteX1" fmla="*/ 695740 w 3876261"/>
            <a:gd name="connsiteY1" fmla="*/ 3271630 h 3333796"/>
            <a:gd name="connsiteX2" fmla="*/ 1515718 w 3876261"/>
            <a:gd name="connsiteY2" fmla="*/ 2791239 h 3333796"/>
            <a:gd name="connsiteX3" fmla="*/ 3271631 w 3876261"/>
            <a:gd name="connsiteY3" fmla="*/ 505239 h 3333796"/>
            <a:gd name="connsiteX4" fmla="*/ 3876261 w 3876261"/>
            <a:gd name="connsiteY4" fmla="*/ 0 h 3333796"/>
            <a:gd name="connsiteX5" fmla="*/ 3876261 w 3876261"/>
            <a:gd name="connsiteY5" fmla="*/ 0 h 3333796"/>
            <a:gd name="connsiteX0" fmla="*/ 0 w 3876261"/>
            <a:gd name="connsiteY0" fmla="*/ 3313043 h 3321425"/>
            <a:gd name="connsiteX1" fmla="*/ 695740 w 3876261"/>
            <a:gd name="connsiteY1" fmla="*/ 3271630 h 3321425"/>
            <a:gd name="connsiteX2" fmla="*/ 1515718 w 3876261"/>
            <a:gd name="connsiteY2" fmla="*/ 2791239 h 3321425"/>
            <a:gd name="connsiteX3" fmla="*/ 3271631 w 3876261"/>
            <a:gd name="connsiteY3" fmla="*/ 505239 h 3321425"/>
            <a:gd name="connsiteX4" fmla="*/ 3876261 w 3876261"/>
            <a:gd name="connsiteY4" fmla="*/ 0 h 3321425"/>
            <a:gd name="connsiteX5" fmla="*/ 3876261 w 3876261"/>
            <a:gd name="connsiteY5" fmla="*/ 0 h 3321425"/>
            <a:gd name="connsiteX0" fmla="*/ 0 w 3876261"/>
            <a:gd name="connsiteY0" fmla="*/ 3313043 h 3313043"/>
            <a:gd name="connsiteX1" fmla="*/ 695740 w 3876261"/>
            <a:gd name="connsiteY1" fmla="*/ 3271630 h 3313043"/>
            <a:gd name="connsiteX2" fmla="*/ 1515718 w 3876261"/>
            <a:gd name="connsiteY2" fmla="*/ 2791239 h 3313043"/>
            <a:gd name="connsiteX3" fmla="*/ 3271631 w 3876261"/>
            <a:gd name="connsiteY3" fmla="*/ 505239 h 3313043"/>
            <a:gd name="connsiteX4" fmla="*/ 3876261 w 3876261"/>
            <a:gd name="connsiteY4" fmla="*/ 0 h 3313043"/>
            <a:gd name="connsiteX5" fmla="*/ 3876261 w 3876261"/>
            <a:gd name="connsiteY5" fmla="*/ 0 h 3313043"/>
            <a:gd name="connsiteX0" fmla="*/ 0 w 3876261"/>
            <a:gd name="connsiteY0" fmla="*/ 3313043 h 3313043"/>
            <a:gd name="connsiteX1" fmla="*/ 695740 w 3876261"/>
            <a:gd name="connsiteY1" fmla="*/ 3271630 h 3313043"/>
            <a:gd name="connsiteX2" fmla="*/ 1515718 w 3876261"/>
            <a:gd name="connsiteY2" fmla="*/ 2791239 h 3313043"/>
            <a:gd name="connsiteX3" fmla="*/ 3271631 w 3876261"/>
            <a:gd name="connsiteY3" fmla="*/ 505239 h 3313043"/>
            <a:gd name="connsiteX4" fmla="*/ 3876261 w 3876261"/>
            <a:gd name="connsiteY4" fmla="*/ 0 h 3313043"/>
            <a:gd name="connsiteX5" fmla="*/ 3876261 w 3876261"/>
            <a:gd name="connsiteY5" fmla="*/ 0 h 3313043"/>
            <a:gd name="connsiteX0" fmla="*/ 0 w 3876261"/>
            <a:gd name="connsiteY0" fmla="*/ 3313043 h 3315182"/>
            <a:gd name="connsiteX1" fmla="*/ 695740 w 3876261"/>
            <a:gd name="connsiteY1" fmla="*/ 3271630 h 3315182"/>
            <a:gd name="connsiteX2" fmla="*/ 1441174 w 3876261"/>
            <a:gd name="connsiteY2" fmla="*/ 2741544 h 3315182"/>
            <a:gd name="connsiteX3" fmla="*/ 3271631 w 3876261"/>
            <a:gd name="connsiteY3" fmla="*/ 505239 h 3315182"/>
            <a:gd name="connsiteX4" fmla="*/ 3876261 w 3876261"/>
            <a:gd name="connsiteY4" fmla="*/ 0 h 3315182"/>
            <a:gd name="connsiteX5" fmla="*/ 3876261 w 3876261"/>
            <a:gd name="connsiteY5" fmla="*/ 0 h 3315182"/>
            <a:gd name="connsiteX0" fmla="*/ 0 w 3876261"/>
            <a:gd name="connsiteY0" fmla="*/ 3313043 h 3315182"/>
            <a:gd name="connsiteX1" fmla="*/ 695740 w 3876261"/>
            <a:gd name="connsiteY1" fmla="*/ 3271630 h 3315182"/>
            <a:gd name="connsiteX2" fmla="*/ 1441174 w 3876261"/>
            <a:gd name="connsiteY2" fmla="*/ 2741544 h 3315182"/>
            <a:gd name="connsiteX3" fmla="*/ 3213653 w 3876261"/>
            <a:gd name="connsiteY3" fmla="*/ 480391 h 3315182"/>
            <a:gd name="connsiteX4" fmla="*/ 3876261 w 3876261"/>
            <a:gd name="connsiteY4" fmla="*/ 0 h 3315182"/>
            <a:gd name="connsiteX5" fmla="*/ 3876261 w 3876261"/>
            <a:gd name="connsiteY5" fmla="*/ 0 h 3315182"/>
            <a:gd name="connsiteX0" fmla="*/ 0 w 3876261"/>
            <a:gd name="connsiteY0" fmla="*/ 3313043 h 3315182"/>
            <a:gd name="connsiteX1" fmla="*/ 695740 w 3876261"/>
            <a:gd name="connsiteY1" fmla="*/ 3271630 h 3315182"/>
            <a:gd name="connsiteX2" fmla="*/ 1441174 w 3876261"/>
            <a:gd name="connsiteY2" fmla="*/ 2741544 h 3315182"/>
            <a:gd name="connsiteX3" fmla="*/ 3213653 w 3876261"/>
            <a:gd name="connsiteY3" fmla="*/ 480391 h 3315182"/>
            <a:gd name="connsiteX4" fmla="*/ 3876261 w 3876261"/>
            <a:gd name="connsiteY4" fmla="*/ 0 h 3315182"/>
            <a:gd name="connsiteX5" fmla="*/ 3876261 w 3876261"/>
            <a:gd name="connsiteY5" fmla="*/ 0 h 3315182"/>
            <a:gd name="connsiteX0" fmla="*/ 0 w 3876261"/>
            <a:gd name="connsiteY0" fmla="*/ 3313043 h 3315182"/>
            <a:gd name="connsiteX1" fmla="*/ 695740 w 3876261"/>
            <a:gd name="connsiteY1" fmla="*/ 3271630 h 3315182"/>
            <a:gd name="connsiteX2" fmla="*/ 1491516 w 3876261"/>
            <a:gd name="connsiteY2" fmla="*/ 2741544 h 3315182"/>
            <a:gd name="connsiteX3" fmla="*/ 3213653 w 3876261"/>
            <a:gd name="connsiteY3" fmla="*/ 480391 h 3315182"/>
            <a:gd name="connsiteX4" fmla="*/ 3876261 w 3876261"/>
            <a:gd name="connsiteY4" fmla="*/ 0 h 3315182"/>
            <a:gd name="connsiteX5" fmla="*/ 3876261 w 3876261"/>
            <a:gd name="connsiteY5" fmla="*/ 0 h 331518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Lst>
          <a:rect l="l" t="t" r="r" b="b"/>
          <a:pathLst>
            <a:path w="3876261" h="3315182">
              <a:moveTo>
                <a:pt x="0" y="3313043"/>
              </a:moveTo>
              <a:cubicBezTo>
                <a:pt x="287821" y="3269559"/>
                <a:pt x="447154" y="3366880"/>
                <a:pt x="695740" y="3271630"/>
              </a:cubicBezTo>
              <a:cubicBezTo>
                <a:pt x="944326" y="3176380"/>
                <a:pt x="1071864" y="3206750"/>
                <a:pt x="1491516" y="2741544"/>
              </a:cubicBezTo>
              <a:cubicBezTo>
                <a:pt x="1911168" y="2276338"/>
                <a:pt x="2816196" y="937315"/>
                <a:pt x="3213653" y="480391"/>
              </a:cubicBezTo>
              <a:cubicBezTo>
                <a:pt x="3611110" y="23467"/>
                <a:pt x="3765826" y="80065"/>
                <a:pt x="3876261" y="0"/>
              </a:cubicBezTo>
              <a:lnTo>
                <a:pt x="3876261" y="0"/>
              </a:lnTo>
            </a:path>
          </a:pathLst>
        </a:cu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clientData/>
  </xdr:twoCellAnchor>
  <xdr:twoCellAnchor>
    <xdr:from>
      <xdr:col>30</xdr:col>
      <xdr:colOff>0</xdr:colOff>
      <xdr:row>40</xdr:row>
      <xdr:rowOff>0</xdr:rowOff>
    </xdr:from>
    <xdr:to>
      <xdr:col>39</xdr:col>
      <xdr:colOff>429986</xdr:colOff>
      <xdr:row>59</xdr:row>
      <xdr:rowOff>38100</xdr:rowOff>
    </xdr:to>
    <xdr:graphicFrame macro="">
      <xdr:nvGraphicFramePr>
        <xdr:cNvPr id="21" name="Chart 20">
          <a:extLst>
            <a:ext uri="{FF2B5EF4-FFF2-40B4-BE49-F238E27FC236}">
              <a16:creationId xmlns:a16="http://schemas.microsoft.com/office/drawing/2014/main" xmlns="" id="{00000000-0008-0000-0100-00001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33</xdr:col>
      <xdr:colOff>521154</xdr:colOff>
      <xdr:row>29</xdr:row>
      <xdr:rowOff>9525</xdr:rowOff>
    </xdr:from>
    <xdr:to>
      <xdr:col>35</xdr:col>
      <xdr:colOff>295276</xdr:colOff>
      <xdr:row>32</xdr:row>
      <xdr:rowOff>28574</xdr:rowOff>
    </xdr:to>
    <xdr:sp macro="" textlink="">
      <xdr:nvSpPr>
        <xdr:cNvPr id="22" name="TextBox 21">
          <a:extLst>
            <a:ext uri="{FF2B5EF4-FFF2-40B4-BE49-F238E27FC236}">
              <a16:creationId xmlns:a16="http://schemas.microsoft.com/office/drawing/2014/main" xmlns="" id="{00000000-0008-0000-0100-000016000000}"/>
            </a:ext>
          </a:extLst>
        </xdr:cNvPr>
        <xdr:cNvSpPr txBox="1"/>
      </xdr:nvSpPr>
      <xdr:spPr>
        <a:xfrm>
          <a:off x="27029229" y="5981700"/>
          <a:ext cx="993322" cy="5905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0">
              <a:latin typeface="Arial" panose="020B0604020202020204" pitchFamily="34" charset="0"/>
              <a:cs typeface="Arial" panose="020B0604020202020204" pitchFamily="34" charset="0"/>
            </a:rPr>
            <a:t>Beginning</a:t>
          </a:r>
          <a:r>
            <a:rPr lang="en-US" sz="1000" b="0" baseline="0">
              <a:latin typeface="Arial" panose="020B0604020202020204" pitchFamily="34" charset="0"/>
              <a:cs typeface="Arial" panose="020B0604020202020204" pitchFamily="34" charset="0"/>
            </a:rPr>
            <a:t> of harvest</a:t>
          </a:r>
          <a:endParaRPr lang="en-US" sz="1000" b="0">
            <a:latin typeface="Arial" panose="020B0604020202020204" pitchFamily="34" charset="0"/>
            <a:cs typeface="Arial" panose="020B0604020202020204" pitchFamily="34" charset="0"/>
          </a:endParaRPr>
        </a:p>
      </xdr:txBody>
    </xdr:sp>
    <xdr:clientData/>
  </xdr:twoCellAnchor>
</xdr:wsDr>
</file>

<file path=xl/drawings/drawing40.xml><?xml version="1.0" encoding="utf-8"?>
<c:userShapes xmlns:c="http://schemas.openxmlformats.org/drawingml/2006/chart">
  <cdr:relSizeAnchor xmlns:cdr="http://schemas.openxmlformats.org/drawingml/2006/chartDrawing">
    <cdr:from>
      <cdr:x>0.45772</cdr:x>
      <cdr:y>0.07308</cdr:y>
    </cdr:from>
    <cdr:to>
      <cdr:x>0.91917</cdr:x>
      <cdr:y>0.22685</cdr:y>
    </cdr:to>
    <cdr:sp macro="" textlink="">
      <cdr:nvSpPr>
        <cdr:cNvPr id="2" name="TextBox 2"/>
        <cdr:cNvSpPr txBox="1"/>
      </cdr:nvSpPr>
      <cdr:spPr>
        <a:xfrm xmlns:a="http://schemas.openxmlformats.org/drawingml/2006/main">
          <a:off x="2119086" y="200479"/>
          <a:ext cx="2136321" cy="421821"/>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200" b="0">
              <a:latin typeface="Arial" panose="020B0604020202020204" pitchFamily="34" charset="0"/>
              <a:cs typeface="Arial" panose="020B0604020202020204" pitchFamily="34" charset="0"/>
            </a:rPr>
            <a:t>Rapid root bulking</a:t>
          </a:r>
        </a:p>
      </cdr:txBody>
    </cdr:sp>
  </cdr:relSizeAnchor>
  <cdr:relSizeAnchor xmlns:cdr="http://schemas.openxmlformats.org/drawingml/2006/chartDrawing">
    <cdr:from>
      <cdr:x>0.58704</cdr:x>
      <cdr:y>0.15245</cdr:y>
    </cdr:from>
    <cdr:to>
      <cdr:x>0.6811</cdr:x>
      <cdr:y>0.21693</cdr:y>
    </cdr:to>
    <cdr:sp macro="" textlink="">
      <cdr:nvSpPr>
        <cdr:cNvPr id="3" name="Left Brace 2"/>
        <cdr:cNvSpPr/>
      </cdr:nvSpPr>
      <cdr:spPr>
        <a:xfrm xmlns:a="http://schemas.openxmlformats.org/drawingml/2006/main" rot="5400000">
          <a:off x="2847069" y="288925"/>
          <a:ext cx="176892" cy="435429"/>
        </a:xfrm>
        <a:prstGeom xmlns:a="http://schemas.openxmlformats.org/drawingml/2006/main" prst="leftBrace">
          <a:avLst/>
        </a:prstGeom>
      </cdr:spPr>
      <cdr:style>
        <a:lnRef xmlns:a="http://schemas.openxmlformats.org/drawingml/2006/main" idx="1">
          <a:schemeClr val="dk1"/>
        </a:lnRef>
        <a:fillRef xmlns:a="http://schemas.openxmlformats.org/drawingml/2006/main" idx="0">
          <a:schemeClr val="dk1"/>
        </a:fillRef>
        <a:effectRef xmlns:a="http://schemas.openxmlformats.org/drawingml/2006/main" idx="0">
          <a:schemeClr val="dk1"/>
        </a:effectRef>
        <a:fontRef xmlns:a="http://schemas.openxmlformats.org/drawingml/2006/main" idx="minor">
          <a:schemeClr val="tx1"/>
        </a:fontRef>
      </cdr:style>
      <cdr:txBody>
        <a:bodyPr xmlns:a="http://schemas.openxmlformats.org/drawingml/2006/main" rot="0" spcFirstLastPara="0" vert="horz" wrap="square" lIns="91440" tIns="45720" rIns="91440" bIns="45720" numCol="1" spcCol="0" rtlCol="0" fromWordArt="0" anchor="t" anchorCtr="0" forceAA="0" compatLnSpc="1">
          <a:prstTxWarp prst="textNoShape">
            <a:avLst/>
          </a:prstTxWarp>
          <a:noAutofit/>
        </a:bodyPr>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pPr algn="l"/>
          <a:endParaRPr lang="en-US" sz="1100"/>
        </a:p>
      </cdr:txBody>
    </cdr:sp>
  </cdr:relSizeAnchor>
</c:userShapes>
</file>

<file path=xl/drawings/drawing41.xml><?xml version="1.0" encoding="utf-8"?>
<c:userShapes xmlns:c="http://schemas.openxmlformats.org/drawingml/2006/chart">
  <cdr:relSizeAnchor xmlns:cdr="http://schemas.openxmlformats.org/drawingml/2006/chartDrawing">
    <cdr:from>
      <cdr:x>0.15109</cdr:x>
      <cdr:y>0.06099</cdr:y>
    </cdr:from>
    <cdr:to>
      <cdr:x>0.93878</cdr:x>
      <cdr:y>0.78528</cdr:y>
    </cdr:to>
    <cdr:sp macro="" textlink="">
      <cdr:nvSpPr>
        <cdr:cNvPr id="2" name="Freeform 1"/>
        <cdr:cNvSpPr/>
      </cdr:nvSpPr>
      <cdr:spPr>
        <a:xfrm xmlns:a="http://schemas.openxmlformats.org/drawingml/2006/main">
          <a:off x="761875" y="175053"/>
          <a:ext cx="3971833" cy="2078858"/>
        </a:xfrm>
        <a:custGeom xmlns:a="http://schemas.openxmlformats.org/drawingml/2006/main">
          <a:avLst/>
          <a:gdLst>
            <a:gd name="connsiteX0" fmla="*/ 0 w 3687536"/>
            <a:gd name="connsiteY0" fmla="*/ 2090960 h 2096402"/>
            <a:gd name="connsiteX1" fmla="*/ 1387928 w 3687536"/>
            <a:gd name="connsiteY1" fmla="*/ 1791603 h 2096402"/>
            <a:gd name="connsiteX2" fmla="*/ 3279321 w 3687536"/>
            <a:gd name="connsiteY2" fmla="*/ 131532 h 2096402"/>
            <a:gd name="connsiteX3" fmla="*/ 3687536 w 3687536"/>
            <a:gd name="connsiteY3" fmla="*/ 226782 h 2096402"/>
            <a:gd name="connsiteX0" fmla="*/ 0 w 3687536"/>
            <a:gd name="connsiteY0" fmla="*/ 2001811 h 2007253"/>
            <a:gd name="connsiteX1" fmla="*/ 1387928 w 3687536"/>
            <a:gd name="connsiteY1" fmla="*/ 1702454 h 2007253"/>
            <a:gd name="connsiteX2" fmla="*/ 3279321 w 3687536"/>
            <a:gd name="connsiteY2" fmla="*/ 42383 h 2007253"/>
            <a:gd name="connsiteX3" fmla="*/ 3687536 w 3687536"/>
            <a:gd name="connsiteY3" fmla="*/ 137633 h 2007253"/>
            <a:gd name="connsiteX0" fmla="*/ 0 w 3687536"/>
            <a:gd name="connsiteY0" fmla="*/ 1984921 h 1990363"/>
            <a:gd name="connsiteX1" fmla="*/ 1387928 w 3687536"/>
            <a:gd name="connsiteY1" fmla="*/ 1685564 h 1990363"/>
            <a:gd name="connsiteX2" fmla="*/ 3279321 w 3687536"/>
            <a:gd name="connsiteY2" fmla="*/ 25493 h 1990363"/>
            <a:gd name="connsiteX3" fmla="*/ 3687536 w 3687536"/>
            <a:gd name="connsiteY3" fmla="*/ 120743 h 1990363"/>
            <a:gd name="connsiteX0" fmla="*/ 0 w 3687536"/>
            <a:gd name="connsiteY0" fmla="*/ 2095972 h 2114905"/>
            <a:gd name="connsiteX1" fmla="*/ 898071 w 3687536"/>
            <a:gd name="connsiteY1" fmla="*/ 1864650 h 2114905"/>
            <a:gd name="connsiteX2" fmla="*/ 3279321 w 3687536"/>
            <a:gd name="connsiteY2" fmla="*/ 136544 h 2114905"/>
            <a:gd name="connsiteX3" fmla="*/ 3687536 w 3687536"/>
            <a:gd name="connsiteY3" fmla="*/ 231794 h 2114905"/>
            <a:gd name="connsiteX0" fmla="*/ 0 w 3687536"/>
            <a:gd name="connsiteY0" fmla="*/ 2095972 h 2097949"/>
            <a:gd name="connsiteX1" fmla="*/ 898071 w 3687536"/>
            <a:gd name="connsiteY1" fmla="*/ 1864650 h 2097949"/>
            <a:gd name="connsiteX2" fmla="*/ 3279321 w 3687536"/>
            <a:gd name="connsiteY2" fmla="*/ 136544 h 2097949"/>
            <a:gd name="connsiteX3" fmla="*/ 3687536 w 3687536"/>
            <a:gd name="connsiteY3" fmla="*/ 231794 h 2097949"/>
            <a:gd name="connsiteX0" fmla="*/ 0 w 3687536"/>
            <a:gd name="connsiteY0" fmla="*/ 2049983 h 2050184"/>
            <a:gd name="connsiteX1" fmla="*/ 1850571 w 3687536"/>
            <a:gd name="connsiteY1" fmla="*/ 1192733 h 2050184"/>
            <a:gd name="connsiteX2" fmla="*/ 3279321 w 3687536"/>
            <a:gd name="connsiteY2" fmla="*/ 90555 h 2050184"/>
            <a:gd name="connsiteX3" fmla="*/ 3687536 w 3687536"/>
            <a:gd name="connsiteY3" fmla="*/ 185805 h 2050184"/>
            <a:gd name="connsiteX0" fmla="*/ 0 w 3687536"/>
            <a:gd name="connsiteY0" fmla="*/ 2049983 h 2050324"/>
            <a:gd name="connsiteX1" fmla="*/ 1850571 w 3687536"/>
            <a:gd name="connsiteY1" fmla="*/ 1192733 h 2050324"/>
            <a:gd name="connsiteX2" fmla="*/ 3279321 w 3687536"/>
            <a:gd name="connsiteY2" fmla="*/ 90555 h 2050324"/>
            <a:gd name="connsiteX3" fmla="*/ 3687536 w 3687536"/>
            <a:gd name="connsiteY3" fmla="*/ 185805 h 2050324"/>
            <a:gd name="connsiteX0" fmla="*/ 0 w 3687536"/>
            <a:gd name="connsiteY0" fmla="*/ 1991384 h 1991725"/>
            <a:gd name="connsiteX1" fmla="*/ 1850571 w 3687536"/>
            <a:gd name="connsiteY1" fmla="*/ 1134134 h 1991725"/>
            <a:gd name="connsiteX2" fmla="*/ 3279321 w 3687536"/>
            <a:gd name="connsiteY2" fmla="*/ 31956 h 1991725"/>
            <a:gd name="connsiteX3" fmla="*/ 3687536 w 3687536"/>
            <a:gd name="connsiteY3" fmla="*/ 127206 h 1991725"/>
            <a:gd name="connsiteX0" fmla="*/ 0 w 3687536"/>
            <a:gd name="connsiteY0" fmla="*/ 1931474 h 1931711"/>
            <a:gd name="connsiteX1" fmla="*/ 1850571 w 3687536"/>
            <a:gd name="connsiteY1" fmla="*/ 1074224 h 1931711"/>
            <a:gd name="connsiteX2" fmla="*/ 3116035 w 3687536"/>
            <a:gd name="connsiteY2" fmla="*/ 148939 h 1931711"/>
            <a:gd name="connsiteX3" fmla="*/ 3687536 w 3687536"/>
            <a:gd name="connsiteY3" fmla="*/ 67296 h 1931711"/>
            <a:gd name="connsiteX0" fmla="*/ 0 w 3687536"/>
            <a:gd name="connsiteY0" fmla="*/ 1976768 h 1977005"/>
            <a:gd name="connsiteX1" fmla="*/ 1850571 w 3687536"/>
            <a:gd name="connsiteY1" fmla="*/ 1119518 h 1977005"/>
            <a:gd name="connsiteX2" fmla="*/ 3116035 w 3687536"/>
            <a:gd name="connsiteY2" fmla="*/ 194233 h 1977005"/>
            <a:gd name="connsiteX3" fmla="*/ 3687536 w 3687536"/>
            <a:gd name="connsiteY3" fmla="*/ 112590 h 1977005"/>
            <a:gd name="connsiteX0" fmla="*/ 0 w 3687536"/>
            <a:gd name="connsiteY0" fmla="*/ 1976768 h 1977005"/>
            <a:gd name="connsiteX1" fmla="*/ 1850571 w 3687536"/>
            <a:gd name="connsiteY1" fmla="*/ 1119518 h 1977005"/>
            <a:gd name="connsiteX2" fmla="*/ 3020785 w 3687536"/>
            <a:gd name="connsiteY2" fmla="*/ 194233 h 1977005"/>
            <a:gd name="connsiteX3" fmla="*/ 3687536 w 3687536"/>
            <a:gd name="connsiteY3" fmla="*/ 112590 h 1977005"/>
            <a:gd name="connsiteX0" fmla="*/ 0 w 3687536"/>
            <a:gd name="connsiteY0" fmla="*/ 1972582 h 1972819"/>
            <a:gd name="connsiteX1" fmla="*/ 1850571 w 3687536"/>
            <a:gd name="connsiteY1" fmla="*/ 1115332 h 1972819"/>
            <a:gd name="connsiteX2" fmla="*/ 3020785 w 3687536"/>
            <a:gd name="connsiteY2" fmla="*/ 190047 h 1972819"/>
            <a:gd name="connsiteX3" fmla="*/ 3687536 w 3687536"/>
            <a:gd name="connsiteY3" fmla="*/ 108404 h 1972819"/>
            <a:gd name="connsiteX0" fmla="*/ 0 w 3687536"/>
            <a:gd name="connsiteY0" fmla="*/ 1935387 h 1935615"/>
            <a:gd name="connsiteX1" fmla="*/ 1850571 w 3687536"/>
            <a:gd name="connsiteY1" fmla="*/ 1078137 h 1935615"/>
            <a:gd name="connsiteX2" fmla="*/ 3129643 w 3687536"/>
            <a:gd name="connsiteY2" fmla="*/ 288923 h 1935615"/>
            <a:gd name="connsiteX3" fmla="*/ 3687536 w 3687536"/>
            <a:gd name="connsiteY3" fmla="*/ 71209 h 1935615"/>
            <a:gd name="connsiteX0" fmla="*/ 0 w 3687536"/>
            <a:gd name="connsiteY0" fmla="*/ 2077476 h 2077727"/>
            <a:gd name="connsiteX1" fmla="*/ 1850571 w 3687536"/>
            <a:gd name="connsiteY1" fmla="*/ 1220226 h 2077727"/>
            <a:gd name="connsiteX2" fmla="*/ 2966357 w 3687536"/>
            <a:gd name="connsiteY2" fmla="*/ 104441 h 2077727"/>
            <a:gd name="connsiteX3" fmla="*/ 3687536 w 3687536"/>
            <a:gd name="connsiteY3" fmla="*/ 213298 h 2077727"/>
            <a:gd name="connsiteX0" fmla="*/ 0 w 3687536"/>
            <a:gd name="connsiteY0" fmla="*/ 1993893 h 1994144"/>
            <a:gd name="connsiteX1" fmla="*/ 1850571 w 3687536"/>
            <a:gd name="connsiteY1" fmla="*/ 1136643 h 1994144"/>
            <a:gd name="connsiteX2" fmla="*/ 2966357 w 3687536"/>
            <a:gd name="connsiteY2" fmla="*/ 20858 h 1994144"/>
            <a:gd name="connsiteX3" fmla="*/ 3687536 w 3687536"/>
            <a:gd name="connsiteY3" fmla="*/ 129715 h 1994144"/>
            <a:gd name="connsiteX0" fmla="*/ 0 w 3687536"/>
            <a:gd name="connsiteY0" fmla="*/ 2002809 h 2003061"/>
            <a:gd name="connsiteX1" fmla="*/ 1850571 w 3687536"/>
            <a:gd name="connsiteY1" fmla="*/ 1145559 h 2003061"/>
            <a:gd name="connsiteX2" fmla="*/ 3184071 w 3687536"/>
            <a:gd name="connsiteY2" fmla="*/ 16167 h 2003061"/>
            <a:gd name="connsiteX3" fmla="*/ 3687536 w 3687536"/>
            <a:gd name="connsiteY3" fmla="*/ 138631 h 2003061"/>
            <a:gd name="connsiteX0" fmla="*/ 0 w 3687536"/>
            <a:gd name="connsiteY0" fmla="*/ 2067114 h 2067354"/>
            <a:gd name="connsiteX1" fmla="*/ 1796142 w 3687536"/>
            <a:gd name="connsiteY1" fmla="*/ 1182650 h 2067354"/>
            <a:gd name="connsiteX2" fmla="*/ 3184071 w 3687536"/>
            <a:gd name="connsiteY2" fmla="*/ 80472 h 2067354"/>
            <a:gd name="connsiteX3" fmla="*/ 3687536 w 3687536"/>
            <a:gd name="connsiteY3" fmla="*/ 202936 h 2067354"/>
            <a:gd name="connsiteX0" fmla="*/ 0 w 3687536"/>
            <a:gd name="connsiteY0" fmla="*/ 2012815 h 2013055"/>
            <a:gd name="connsiteX1" fmla="*/ 1796142 w 3687536"/>
            <a:gd name="connsiteY1" fmla="*/ 1128351 h 2013055"/>
            <a:gd name="connsiteX2" fmla="*/ 3184071 w 3687536"/>
            <a:gd name="connsiteY2" fmla="*/ 26173 h 2013055"/>
            <a:gd name="connsiteX3" fmla="*/ 3687536 w 3687536"/>
            <a:gd name="connsiteY3" fmla="*/ 148637 h 2013055"/>
            <a:gd name="connsiteX0" fmla="*/ 0 w 3687536"/>
            <a:gd name="connsiteY0" fmla="*/ 1995143 h 1995381"/>
            <a:gd name="connsiteX1" fmla="*/ 1796142 w 3687536"/>
            <a:gd name="connsiteY1" fmla="*/ 1110679 h 1995381"/>
            <a:gd name="connsiteX2" fmla="*/ 3265714 w 3687536"/>
            <a:gd name="connsiteY2" fmla="*/ 35716 h 1995381"/>
            <a:gd name="connsiteX3" fmla="*/ 3687536 w 3687536"/>
            <a:gd name="connsiteY3" fmla="*/ 130965 h 1995381"/>
            <a:gd name="connsiteX0" fmla="*/ 0 w 3687536"/>
            <a:gd name="connsiteY0" fmla="*/ 2003623 h 2003862"/>
            <a:gd name="connsiteX1" fmla="*/ 1796142 w 3687536"/>
            <a:gd name="connsiteY1" fmla="*/ 1119159 h 2003862"/>
            <a:gd name="connsiteX2" fmla="*/ 3170464 w 3687536"/>
            <a:gd name="connsiteY2" fmla="*/ 30589 h 2003862"/>
            <a:gd name="connsiteX3" fmla="*/ 3687536 w 3687536"/>
            <a:gd name="connsiteY3" fmla="*/ 139445 h 2003862"/>
            <a:gd name="connsiteX0" fmla="*/ 0 w 3687536"/>
            <a:gd name="connsiteY0" fmla="*/ 1980678 h 1980917"/>
            <a:gd name="connsiteX1" fmla="*/ 1796142 w 3687536"/>
            <a:gd name="connsiteY1" fmla="*/ 1096214 h 1980917"/>
            <a:gd name="connsiteX2" fmla="*/ 3170464 w 3687536"/>
            <a:gd name="connsiteY2" fmla="*/ 7644 h 1980917"/>
            <a:gd name="connsiteX3" fmla="*/ 3687536 w 3687536"/>
            <a:gd name="connsiteY3" fmla="*/ 116500 h 1980917"/>
            <a:gd name="connsiteX0" fmla="*/ 0 w 3687536"/>
            <a:gd name="connsiteY0" fmla="*/ 1980678 h 1980917"/>
            <a:gd name="connsiteX1" fmla="*/ 1796142 w 3687536"/>
            <a:gd name="connsiteY1" fmla="*/ 1096214 h 1980917"/>
            <a:gd name="connsiteX2" fmla="*/ 3279321 w 3687536"/>
            <a:gd name="connsiteY2" fmla="*/ 7644 h 1980917"/>
            <a:gd name="connsiteX3" fmla="*/ 3687536 w 3687536"/>
            <a:gd name="connsiteY3" fmla="*/ 116500 h 1980917"/>
            <a:gd name="connsiteX0" fmla="*/ 0 w 3279321"/>
            <a:gd name="connsiteY0" fmla="*/ 1973212 h 1973451"/>
            <a:gd name="connsiteX1" fmla="*/ 1796142 w 3279321"/>
            <a:gd name="connsiteY1" fmla="*/ 1088748 h 1973451"/>
            <a:gd name="connsiteX2" fmla="*/ 3279321 w 3279321"/>
            <a:gd name="connsiteY2" fmla="*/ 178 h 1973451"/>
            <a:gd name="connsiteX0" fmla="*/ 0 w 3646714"/>
            <a:gd name="connsiteY0" fmla="*/ 1986815 h 1987055"/>
            <a:gd name="connsiteX1" fmla="*/ 1796142 w 3646714"/>
            <a:gd name="connsiteY1" fmla="*/ 1102351 h 1987055"/>
            <a:gd name="connsiteX2" fmla="*/ 3646714 w 3646714"/>
            <a:gd name="connsiteY2" fmla="*/ 174 h 1987055"/>
            <a:gd name="connsiteX0" fmla="*/ 0 w 3646714"/>
            <a:gd name="connsiteY0" fmla="*/ 2005527 h 2005762"/>
            <a:gd name="connsiteX1" fmla="*/ 1796142 w 3646714"/>
            <a:gd name="connsiteY1" fmla="*/ 1121063 h 2005762"/>
            <a:gd name="connsiteX2" fmla="*/ 2983592 w 3646714"/>
            <a:gd name="connsiteY2" fmla="*/ 96514 h 2005762"/>
            <a:gd name="connsiteX3" fmla="*/ 3646714 w 3646714"/>
            <a:gd name="connsiteY3" fmla="*/ 18886 h 2005762"/>
            <a:gd name="connsiteX0" fmla="*/ 0 w 3646714"/>
            <a:gd name="connsiteY0" fmla="*/ 1986641 h 1986876"/>
            <a:gd name="connsiteX1" fmla="*/ 1796142 w 3646714"/>
            <a:gd name="connsiteY1" fmla="*/ 1102177 h 1986876"/>
            <a:gd name="connsiteX2" fmla="*/ 2983592 w 3646714"/>
            <a:gd name="connsiteY2" fmla="*/ 77628 h 1986876"/>
            <a:gd name="connsiteX3" fmla="*/ 3646714 w 3646714"/>
            <a:gd name="connsiteY3" fmla="*/ 0 h 1986876"/>
          </a:gdLst>
          <a:ahLst/>
          <a:cxnLst>
            <a:cxn ang="0">
              <a:pos x="connsiteX0" y="connsiteY0"/>
            </a:cxn>
            <a:cxn ang="0">
              <a:pos x="connsiteX1" y="connsiteY1"/>
            </a:cxn>
            <a:cxn ang="0">
              <a:pos x="connsiteX2" y="connsiteY2"/>
            </a:cxn>
            <a:cxn ang="0">
              <a:pos x="connsiteX3" y="connsiteY3"/>
            </a:cxn>
          </a:cxnLst>
          <a:rect l="l" t="t" r="r" b="b"/>
          <a:pathLst>
            <a:path w="3646714" h="1986876">
              <a:moveTo>
                <a:pt x="0" y="1986641"/>
              </a:moveTo>
              <a:cubicBezTo>
                <a:pt x="420687" y="2000248"/>
                <a:pt x="1298877" y="1420346"/>
                <a:pt x="1796142" y="1102177"/>
              </a:cubicBezTo>
              <a:cubicBezTo>
                <a:pt x="2293407" y="784008"/>
                <a:pt x="2675163" y="261324"/>
                <a:pt x="2983592" y="77628"/>
              </a:cubicBezTo>
              <a:cubicBezTo>
                <a:pt x="3305628" y="-24425"/>
                <a:pt x="3549801" y="35617"/>
                <a:pt x="3646714" y="0"/>
              </a:cubicBezTo>
            </a:path>
          </a:pathLst>
        </a:custGeom>
        <a:noFill xmlns:a="http://schemas.openxmlformats.org/drawingml/2006/main"/>
        <a:ln xmlns:a="http://schemas.openxmlformats.org/drawingml/2006/main">
          <a:solidFill>
            <a:srgbClr val="FF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ot="0" spcFirstLastPara="0" vert="horz" wrap="square" lIns="91440" tIns="45720" rIns="91440" bIns="45720" numCol="1" spcCol="0" rtlCol="0" fromWordArt="0" anchor="t" anchorCtr="0" forceAA="0" compatLnSpc="1">
          <a:prstTxWarp prst="textNoShape">
            <a:avLst/>
          </a:prstTxWarp>
          <a:noAutofit/>
        </a:bodyP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l"/>
          <a:endParaRPr lang="en-US" sz="1100"/>
        </a:p>
      </cdr:txBody>
    </cdr:sp>
  </cdr:relSizeAnchor>
  <cdr:relSizeAnchor xmlns:cdr="http://schemas.openxmlformats.org/drawingml/2006/chartDrawing">
    <cdr:from>
      <cdr:x>0.22259</cdr:x>
      <cdr:y>0.3459</cdr:y>
    </cdr:from>
    <cdr:to>
      <cdr:x>0.68404</cdr:x>
      <cdr:y>0.44511</cdr:y>
    </cdr:to>
    <cdr:sp macro="" textlink="">
      <cdr:nvSpPr>
        <cdr:cNvPr id="3" name="TextBox 2"/>
        <cdr:cNvSpPr txBox="1"/>
      </cdr:nvSpPr>
      <cdr:spPr>
        <a:xfrm xmlns:a="http://schemas.openxmlformats.org/drawingml/2006/main">
          <a:off x="1030514" y="948872"/>
          <a:ext cx="2136321" cy="272143"/>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200" b="0">
              <a:latin typeface="Arial" panose="020B0604020202020204" pitchFamily="34" charset="0"/>
              <a:cs typeface="Arial" panose="020B0604020202020204" pitchFamily="34" charset="0"/>
            </a:rPr>
            <a:t>Storage</a:t>
          </a:r>
          <a:r>
            <a:rPr lang="en-US" sz="1200" b="0" baseline="0">
              <a:latin typeface="Arial" panose="020B0604020202020204" pitchFamily="34" charset="0"/>
              <a:cs typeface="Arial" panose="020B0604020202020204" pitchFamily="34" charset="0"/>
            </a:rPr>
            <a:t> root initiaion</a:t>
          </a:r>
          <a:endParaRPr lang="en-US" sz="1200" b="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0.3813</cdr:x>
      <cdr:y>0.43519</cdr:y>
    </cdr:from>
    <cdr:to>
      <cdr:x>0.47536</cdr:x>
      <cdr:y>0.49967</cdr:y>
    </cdr:to>
    <cdr:sp macro="" textlink="">
      <cdr:nvSpPr>
        <cdr:cNvPr id="4" name="Left Brace 3"/>
        <cdr:cNvSpPr/>
      </cdr:nvSpPr>
      <cdr:spPr>
        <a:xfrm xmlns:a="http://schemas.openxmlformats.org/drawingml/2006/main" rot="5400000">
          <a:off x="1894569" y="1064532"/>
          <a:ext cx="176892" cy="435429"/>
        </a:xfrm>
        <a:prstGeom xmlns:a="http://schemas.openxmlformats.org/drawingml/2006/main" prst="leftBrace">
          <a:avLst/>
        </a:prstGeom>
      </cdr:spPr>
      <cdr:style>
        <a:lnRef xmlns:a="http://schemas.openxmlformats.org/drawingml/2006/main" idx="1">
          <a:schemeClr val="dk1"/>
        </a:lnRef>
        <a:fillRef xmlns:a="http://schemas.openxmlformats.org/drawingml/2006/main" idx="0">
          <a:schemeClr val="dk1"/>
        </a:fillRef>
        <a:effectRef xmlns:a="http://schemas.openxmlformats.org/drawingml/2006/main" idx="0">
          <a:schemeClr val="dk1"/>
        </a:effectRef>
        <a:fontRef xmlns:a="http://schemas.openxmlformats.org/drawingml/2006/main" idx="minor">
          <a:schemeClr val="tx1"/>
        </a:fontRef>
      </cdr:style>
      <cdr:txBody>
        <a:bodyPr xmlns:a="http://schemas.openxmlformats.org/drawingml/2006/main" rot="0" spcFirstLastPara="0" vert="horz" wrap="square" lIns="91440" tIns="45720" rIns="91440" bIns="45720" numCol="1" spcCol="0" rtlCol="0" fromWordArt="0" anchor="t" anchorCtr="0" forceAA="0" compatLnSpc="1">
          <a:prstTxWarp prst="textNoShape">
            <a:avLst/>
          </a:prstTxWarp>
          <a:noAutofit/>
        </a:bodyPr>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pPr algn="l"/>
          <a:endParaRPr lang="en-US" sz="1100"/>
        </a:p>
      </cdr:txBody>
    </cdr:sp>
  </cdr:relSizeAnchor>
  <cdr:relSizeAnchor xmlns:cdr="http://schemas.openxmlformats.org/drawingml/2006/chartDrawing">
    <cdr:from>
      <cdr:x>0.29098</cdr:x>
      <cdr:y>0.0582</cdr:y>
    </cdr:from>
    <cdr:to>
      <cdr:x>0.74948</cdr:x>
      <cdr:y>0.27778</cdr:y>
    </cdr:to>
    <cdr:sp macro="" textlink="">
      <cdr:nvSpPr>
        <cdr:cNvPr id="5" name="TextBox 2"/>
        <cdr:cNvSpPr txBox="1"/>
      </cdr:nvSpPr>
      <cdr:spPr>
        <a:xfrm xmlns:a="http://schemas.openxmlformats.org/drawingml/2006/main">
          <a:off x="1347107" y="159657"/>
          <a:ext cx="2122715" cy="602343"/>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200" b="0">
              <a:latin typeface="Arial" panose="020B0604020202020204" pitchFamily="34" charset="0"/>
              <a:cs typeface="Arial" panose="020B0604020202020204" pitchFamily="34" charset="0"/>
            </a:rPr>
            <a:t>Start of</a:t>
          </a:r>
          <a:r>
            <a:rPr lang="en-US" sz="1200" b="0" baseline="0">
              <a:latin typeface="Arial" panose="020B0604020202020204" pitchFamily="34" charset="0"/>
              <a:cs typeface="Arial" panose="020B0604020202020204" pitchFamily="34" charset="0"/>
            </a:rPr>
            <a:t> r</a:t>
          </a:r>
          <a:r>
            <a:rPr lang="en-US" sz="1200" b="0">
              <a:latin typeface="Arial" panose="020B0604020202020204" pitchFamily="34" charset="0"/>
              <a:cs typeface="Arial" panose="020B0604020202020204" pitchFamily="34" charset="0"/>
            </a:rPr>
            <a:t>apid root bulking</a:t>
          </a:r>
        </a:p>
      </cdr:txBody>
    </cdr:sp>
  </cdr:relSizeAnchor>
  <cdr:relSizeAnchor xmlns:cdr="http://schemas.openxmlformats.org/drawingml/2006/chartDrawing">
    <cdr:from>
      <cdr:x>0.56941</cdr:x>
      <cdr:y>0.16237</cdr:y>
    </cdr:from>
    <cdr:to>
      <cdr:x>0.66346</cdr:x>
      <cdr:y>0.22685</cdr:y>
    </cdr:to>
    <cdr:sp macro="" textlink="">
      <cdr:nvSpPr>
        <cdr:cNvPr id="6" name="Left Brace 5"/>
        <cdr:cNvSpPr/>
      </cdr:nvSpPr>
      <cdr:spPr>
        <a:xfrm xmlns:a="http://schemas.openxmlformats.org/drawingml/2006/main" rot="5400000">
          <a:off x="2765427" y="316139"/>
          <a:ext cx="176892" cy="435429"/>
        </a:xfrm>
        <a:prstGeom xmlns:a="http://schemas.openxmlformats.org/drawingml/2006/main" prst="leftBrace">
          <a:avLst/>
        </a:prstGeom>
      </cdr:spPr>
      <cdr:style>
        <a:lnRef xmlns:a="http://schemas.openxmlformats.org/drawingml/2006/main" idx="1">
          <a:schemeClr val="dk1"/>
        </a:lnRef>
        <a:fillRef xmlns:a="http://schemas.openxmlformats.org/drawingml/2006/main" idx="0">
          <a:schemeClr val="dk1"/>
        </a:fillRef>
        <a:effectRef xmlns:a="http://schemas.openxmlformats.org/drawingml/2006/main" idx="0">
          <a:schemeClr val="dk1"/>
        </a:effectRef>
        <a:fontRef xmlns:a="http://schemas.openxmlformats.org/drawingml/2006/main" idx="minor">
          <a:schemeClr val="tx1"/>
        </a:fontRef>
      </cdr:style>
      <cdr:txBody>
        <a:bodyPr xmlns:a="http://schemas.openxmlformats.org/drawingml/2006/main" rot="0" spcFirstLastPara="0" vert="horz" wrap="square" lIns="91440" tIns="45720" rIns="91440" bIns="45720" numCol="1" spcCol="0" rtlCol="0" fromWordArt="0" anchor="t" anchorCtr="0" forceAA="0" compatLnSpc="1">
          <a:prstTxWarp prst="textNoShape">
            <a:avLst/>
          </a:prstTxWarp>
          <a:noAutofit/>
        </a:bodyPr>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pPr algn="l"/>
          <a:endParaRPr lang="en-US" sz="1100"/>
        </a:p>
      </cdr:txBody>
    </cdr:sp>
  </cdr:relSizeAnchor>
</c:userShapes>
</file>

<file path=xl/drawings/drawing42.xml><?xml version="1.0" encoding="utf-8"?>
<xdr:wsDr xmlns:xdr="http://schemas.openxmlformats.org/drawingml/2006/spreadsheetDrawing" xmlns:a="http://schemas.openxmlformats.org/drawingml/2006/main">
  <xdr:twoCellAnchor>
    <xdr:from>
      <xdr:col>18</xdr:col>
      <xdr:colOff>0</xdr:colOff>
      <xdr:row>20</xdr:row>
      <xdr:rowOff>172810</xdr:rowOff>
    </xdr:from>
    <xdr:to>
      <xdr:col>25</xdr:col>
      <xdr:colOff>285750</xdr:colOff>
      <xdr:row>35</xdr:row>
      <xdr:rowOff>58510</xdr:rowOff>
    </xdr:to>
    <xdr:graphicFrame macro="">
      <xdr:nvGraphicFramePr>
        <xdr:cNvPr id="4" name="Chart 3">
          <a:extLst>
            <a:ext uri="{FF2B5EF4-FFF2-40B4-BE49-F238E27FC236}">
              <a16:creationId xmlns:a16="http://schemas.microsoft.com/office/drawing/2014/main" xmlns="" id="{00000000-0008-0000-0E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143</xdr:row>
      <xdr:rowOff>95249</xdr:rowOff>
    </xdr:from>
    <xdr:to>
      <xdr:col>6</xdr:col>
      <xdr:colOff>93406</xdr:colOff>
      <xdr:row>165</xdr:row>
      <xdr:rowOff>71107</xdr:rowOff>
    </xdr:to>
    <xdr:pic>
      <xdr:nvPicPr>
        <xdr:cNvPr id="5" name="Picture 4">
          <a:extLst>
            <a:ext uri="{FF2B5EF4-FFF2-40B4-BE49-F238E27FC236}">
              <a16:creationId xmlns:a16="http://schemas.microsoft.com/office/drawing/2014/main" xmlns="" id="{00000000-0008-0000-0E00-000005000000}"/>
            </a:ext>
          </a:extLst>
        </xdr:cNvPr>
        <xdr:cNvPicPr>
          <a:picLocks noChangeAspect="1"/>
        </xdr:cNvPicPr>
      </xdr:nvPicPr>
      <xdr:blipFill>
        <a:blip xmlns:r="http://schemas.openxmlformats.org/officeDocument/2006/relationships" r:embed="rId2"/>
        <a:stretch>
          <a:fillRect/>
        </a:stretch>
      </xdr:blipFill>
      <xdr:spPr>
        <a:xfrm>
          <a:off x="0" y="17811749"/>
          <a:ext cx="6434335" cy="4166858"/>
        </a:xfrm>
        <a:prstGeom prst="rect">
          <a:avLst/>
        </a:prstGeom>
      </xdr:spPr>
    </xdr:pic>
    <xdr:clientData/>
  </xdr:twoCellAnchor>
  <xdr:twoCellAnchor editAs="oneCell">
    <xdr:from>
      <xdr:col>7</xdr:col>
      <xdr:colOff>95250</xdr:colOff>
      <xdr:row>144</xdr:row>
      <xdr:rowOff>122465</xdr:rowOff>
    </xdr:from>
    <xdr:to>
      <xdr:col>17</xdr:col>
      <xdr:colOff>573227</xdr:colOff>
      <xdr:row>163</xdr:row>
      <xdr:rowOff>93441</xdr:rowOff>
    </xdr:to>
    <xdr:pic>
      <xdr:nvPicPr>
        <xdr:cNvPr id="8" name="Picture 7">
          <a:extLst>
            <a:ext uri="{FF2B5EF4-FFF2-40B4-BE49-F238E27FC236}">
              <a16:creationId xmlns:a16="http://schemas.microsoft.com/office/drawing/2014/main" xmlns="" id="{00000000-0008-0000-0E00-000008000000}"/>
            </a:ext>
          </a:extLst>
        </xdr:cNvPr>
        <xdr:cNvPicPr>
          <a:picLocks noChangeAspect="1"/>
        </xdr:cNvPicPr>
      </xdr:nvPicPr>
      <xdr:blipFill>
        <a:blip xmlns:r="http://schemas.openxmlformats.org/officeDocument/2006/relationships" r:embed="rId3"/>
        <a:stretch>
          <a:fillRect/>
        </a:stretch>
      </xdr:blipFill>
      <xdr:spPr>
        <a:xfrm>
          <a:off x="7211786" y="18029465"/>
          <a:ext cx="10356762" cy="3590476"/>
        </a:xfrm>
        <a:prstGeom prst="rect">
          <a:avLst/>
        </a:prstGeom>
      </xdr:spPr>
    </xdr:pic>
    <xdr:clientData/>
  </xdr:twoCellAnchor>
  <xdr:twoCellAnchor>
    <xdr:from>
      <xdr:col>19</xdr:col>
      <xdr:colOff>65485</xdr:colOff>
      <xdr:row>21</xdr:row>
      <xdr:rowOff>168955</xdr:rowOff>
    </xdr:from>
    <xdr:to>
      <xdr:col>24</xdr:col>
      <xdr:colOff>601266</xdr:colOff>
      <xdr:row>32</xdr:row>
      <xdr:rowOff>41672</xdr:rowOff>
    </xdr:to>
    <xdr:sp macro="" textlink="">
      <xdr:nvSpPr>
        <xdr:cNvPr id="10" name="Freeform 9">
          <a:extLst>
            <a:ext uri="{FF2B5EF4-FFF2-40B4-BE49-F238E27FC236}">
              <a16:creationId xmlns:a16="http://schemas.microsoft.com/office/drawing/2014/main" xmlns="" id="{00000000-0008-0000-0E00-00000A000000}"/>
            </a:ext>
          </a:extLst>
        </xdr:cNvPr>
        <xdr:cNvSpPr/>
      </xdr:nvSpPr>
      <xdr:spPr>
        <a:xfrm>
          <a:off x="18253222" y="4550455"/>
          <a:ext cx="3593807" cy="1968217"/>
        </a:xfrm>
        <a:custGeom>
          <a:avLst/>
          <a:gdLst>
            <a:gd name="connsiteX0" fmla="*/ 0 w 3571875"/>
            <a:gd name="connsiteY0" fmla="*/ 1898620 h 1920683"/>
            <a:gd name="connsiteX1" fmla="*/ 636984 w 3571875"/>
            <a:gd name="connsiteY1" fmla="*/ 1761698 h 1920683"/>
            <a:gd name="connsiteX2" fmla="*/ 1529953 w 3571875"/>
            <a:gd name="connsiteY2" fmla="*/ 713948 h 1920683"/>
            <a:gd name="connsiteX3" fmla="*/ 2160984 w 3571875"/>
            <a:gd name="connsiteY3" fmla="*/ 243651 h 1920683"/>
            <a:gd name="connsiteX4" fmla="*/ 2678906 w 3571875"/>
            <a:gd name="connsiteY4" fmla="*/ 11479 h 1920683"/>
            <a:gd name="connsiteX5" fmla="*/ 3113484 w 3571875"/>
            <a:gd name="connsiteY5" fmla="*/ 65057 h 1920683"/>
            <a:gd name="connsiteX6" fmla="*/ 3559969 w 3571875"/>
            <a:gd name="connsiteY6" fmla="*/ 321042 h 1920683"/>
            <a:gd name="connsiteX7" fmla="*/ 3559969 w 3571875"/>
            <a:gd name="connsiteY7" fmla="*/ 321042 h 1920683"/>
            <a:gd name="connsiteX8" fmla="*/ 3571875 w 3571875"/>
            <a:gd name="connsiteY8" fmla="*/ 326995 h 1920683"/>
            <a:gd name="connsiteX0" fmla="*/ 0 w 3571875"/>
            <a:gd name="connsiteY0" fmla="*/ 1898620 h 1908618"/>
            <a:gd name="connsiteX1" fmla="*/ 636984 w 3571875"/>
            <a:gd name="connsiteY1" fmla="*/ 1761698 h 1908618"/>
            <a:gd name="connsiteX2" fmla="*/ 1529953 w 3571875"/>
            <a:gd name="connsiteY2" fmla="*/ 713948 h 1908618"/>
            <a:gd name="connsiteX3" fmla="*/ 2160984 w 3571875"/>
            <a:gd name="connsiteY3" fmla="*/ 243651 h 1908618"/>
            <a:gd name="connsiteX4" fmla="*/ 2678906 w 3571875"/>
            <a:gd name="connsiteY4" fmla="*/ 11479 h 1908618"/>
            <a:gd name="connsiteX5" fmla="*/ 3113484 w 3571875"/>
            <a:gd name="connsiteY5" fmla="*/ 65057 h 1908618"/>
            <a:gd name="connsiteX6" fmla="*/ 3559969 w 3571875"/>
            <a:gd name="connsiteY6" fmla="*/ 321042 h 1908618"/>
            <a:gd name="connsiteX7" fmla="*/ 3559969 w 3571875"/>
            <a:gd name="connsiteY7" fmla="*/ 321042 h 1908618"/>
            <a:gd name="connsiteX8" fmla="*/ 3571875 w 3571875"/>
            <a:gd name="connsiteY8" fmla="*/ 326995 h 1908618"/>
            <a:gd name="connsiteX0" fmla="*/ 0 w 3571875"/>
            <a:gd name="connsiteY0" fmla="*/ 1898620 h 1898620"/>
            <a:gd name="connsiteX1" fmla="*/ 636984 w 3571875"/>
            <a:gd name="connsiteY1" fmla="*/ 1761698 h 1898620"/>
            <a:gd name="connsiteX2" fmla="*/ 1529953 w 3571875"/>
            <a:gd name="connsiteY2" fmla="*/ 713948 h 1898620"/>
            <a:gd name="connsiteX3" fmla="*/ 2160984 w 3571875"/>
            <a:gd name="connsiteY3" fmla="*/ 243651 h 1898620"/>
            <a:gd name="connsiteX4" fmla="*/ 2678906 w 3571875"/>
            <a:gd name="connsiteY4" fmla="*/ 11479 h 1898620"/>
            <a:gd name="connsiteX5" fmla="*/ 3113484 w 3571875"/>
            <a:gd name="connsiteY5" fmla="*/ 65057 h 1898620"/>
            <a:gd name="connsiteX6" fmla="*/ 3559969 w 3571875"/>
            <a:gd name="connsiteY6" fmla="*/ 321042 h 1898620"/>
            <a:gd name="connsiteX7" fmla="*/ 3559969 w 3571875"/>
            <a:gd name="connsiteY7" fmla="*/ 321042 h 1898620"/>
            <a:gd name="connsiteX8" fmla="*/ 3571875 w 3571875"/>
            <a:gd name="connsiteY8" fmla="*/ 326995 h 1898620"/>
            <a:gd name="connsiteX0" fmla="*/ 0 w 3571875"/>
            <a:gd name="connsiteY0" fmla="*/ 1972814 h 1972814"/>
            <a:gd name="connsiteX1" fmla="*/ 636984 w 3571875"/>
            <a:gd name="connsiteY1" fmla="*/ 1835892 h 1972814"/>
            <a:gd name="connsiteX2" fmla="*/ 1529953 w 3571875"/>
            <a:gd name="connsiteY2" fmla="*/ 788142 h 1972814"/>
            <a:gd name="connsiteX3" fmla="*/ 2160984 w 3571875"/>
            <a:gd name="connsiteY3" fmla="*/ 317845 h 1972814"/>
            <a:gd name="connsiteX4" fmla="*/ 2668941 w 3571875"/>
            <a:gd name="connsiteY4" fmla="*/ 5462 h 1972814"/>
            <a:gd name="connsiteX5" fmla="*/ 3113484 w 3571875"/>
            <a:gd name="connsiteY5" fmla="*/ 139251 h 1972814"/>
            <a:gd name="connsiteX6" fmla="*/ 3559969 w 3571875"/>
            <a:gd name="connsiteY6" fmla="*/ 395236 h 1972814"/>
            <a:gd name="connsiteX7" fmla="*/ 3559969 w 3571875"/>
            <a:gd name="connsiteY7" fmla="*/ 395236 h 1972814"/>
            <a:gd name="connsiteX8" fmla="*/ 3571875 w 3571875"/>
            <a:gd name="connsiteY8" fmla="*/ 401189 h 1972814"/>
            <a:gd name="connsiteX0" fmla="*/ 0 w 3571875"/>
            <a:gd name="connsiteY0" fmla="*/ 1969587 h 1969587"/>
            <a:gd name="connsiteX1" fmla="*/ 636984 w 3571875"/>
            <a:gd name="connsiteY1" fmla="*/ 1832665 h 1969587"/>
            <a:gd name="connsiteX2" fmla="*/ 1529953 w 3571875"/>
            <a:gd name="connsiteY2" fmla="*/ 784915 h 1969587"/>
            <a:gd name="connsiteX3" fmla="*/ 2116141 w 3571875"/>
            <a:gd name="connsiteY3" fmla="*/ 239420 h 1969587"/>
            <a:gd name="connsiteX4" fmla="*/ 2668941 w 3571875"/>
            <a:gd name="connsiteY4" fmla="*/ 2235 h 1969587"/>
            <a:gd name="connsiteX5" fmla="*/ 3113484 w 3571875"/>
            <a:gd name="connsiteY5" fmla="*/ 136024 h 1969587"/>
            <a:gd name="connsiteX6" fmla="*/ 3559969 w 3571875"/>
            <a:gd name="connsiteY6" fmla="*/ 392009 h 1969587"/>
            <a:gd name="connsiteX7" fmla="*/ 3559969 w 3571875"/>
            <a:gd name="connsiteY7" fmla="*/ 392009 h 1969587"/>
            <a:gd name="connsiteX8" fmla="*/ 3571875 w 3571875"/>
            <a:gd name="connsiteY8" fmla="*/ 397962 h 1969587"/>
            <a:gd name="connsiteX0" fmla="*/ 0 w 3571875"/>
            <a:gd name="connsiteY0" fmla="*/ 1979443 h 1979443"/>
            <a:gd name="connsiteX1" fmla="*/ 636984 w 3571875"/>
            <a:gd name="connsiteY1" fmla="*/ 1842521 h 1979443"/>
            <a:gd name="connsiteX2" fmla="*/ 1529953 w 3571875"/>
            <a:gd name="connsiteY2" fmla="*/ 794771 h 1979443"/>
            <a:gd name="connsiteX3" fmla="*/ 2116141 w 3571875"/>
            <a:gd name="connsiteY3" fmla="*/ 249276 h 1979443"/>
            <a:gd name="connsiteX4" fmla="*/ 2544377 w 3571875"/>
            <a:gd name="connsiteY4" fmla="*/ 2064 h 1979443"/>
            <a:gd name="connsiteX5" fmla="*/ 3113484 w 3571875"/>
            <a:gd name="connsiteY5" fmla="*/ 145880 h 1979443"/>
            <a:gd name="connsiteX6" fmla="*/ 3559969 w 3571875"/>
            <a:gd name="connsiteY6" fmla="*/ 401865 h 1979443"/>
            <a:gd name="connsiteX7" fmla="*/ 3559969 w 3571875"/>
            <a:gd name="connsiteY7" fmla="*/ 401865 h 1979443"/>
            <a:gd name="connsiteX8" fmla="*/ 3571875 w 3571875"/>
            <a:gd name="connsiteY8" fmla="*/ 407818 h 1979443"/>
            <a:gd name="connsiteX0" fmla="*/ 0 w 3571875"/>
            <a:gd name="connsiteY0" fmla="*/ 1984673 h 1984673"/>
            <a:gd name="connsiteX1" fmla="*/ 636984 w 3571875"/>
            <a:gd name="connsiteY1" fmla="*/ 1847751 h 1984673"/>
            <a:gd name="connsiteX2" fmla="*/ 1529953 w 3571875"/>
            <a:gd name="connsiteY2" fmla="*/ 800001 h 1984673"/>
            <a:gd name="connsiteX3" fmla="*/ 2116141 w 3571875"/>
            <a:gd name="connsiteY3" fmla="*/ 254506 h 1984673"/>
            <a:gd name="connsiteX4" fmla="*/ 2544377 w 3571875"/>
            <a:gd name="connsiteY4" fmla="*/ 7294 h 1984673"/>
            <a:gd name="connsiteX5" fmla="*/ 3113484 w 3571875"/>
            <a:gd name="connsiteY5" fmla="*/ 151110 h 1984673"/>
            <a:gd name="connsiteX6" fmla="*/ 3559969 w 3571875"/>
            <a:gd name="connsiteY6" fmla="*/ 407095 h 1984673"/>
            <a:gd name="connsiteX7" fmla="*/ 3559969 w 3571875"/>
            <a:gd name="connsiteY7" fmla="*/ 407095 h 1984673"/>
            <a:gd name="connsiteX8" fmla="*/ 3571875 w 3571875"/>
            <a:gd name="connsiteY8" fmla="*/ 413048 h 1984673"/>
            <a:gd name="connsiteX0" fmla="*/ 0 w 3571875"/>
            <a:gd name="connsiteY0" fmla="*/ 1975091 h 1975091"/>
            <a:gd name="connsiteX1" fmla="*/ 636984 w 3571875"/>
            <a:gd name="connsiteY1" fmla="*/ 1838169 h 1975091"/>
            <a:gd name="connsiteX2" fmla="*/ 1529953 w 3571875"/>
            <a:gd name="connsiteY2" fmla="*/ 790419 h 1975091"/>
            <a:gd name="connsiteX3" fmla="*/ 2116141 w 3571875"/>
            <a:gd name="connsiteY3" fmla="*/ 244924 h 1975091"/>
            <a:gd name="connsiteX4" fmla="*/ 2614133 w 3571875"/>
            <a:gd name="connsiteY4" fmla="*/ 7738 h 1975091"/>
            <a:gd name="connsiteX5" fmla="*/ 3113484 w 3571875"/>
            <a:gd name="connsiteY5" fmla="*/ 141528 h 1975091"/>
            <a:gd name="connsiteX6" fmla="*/ 3559969 w 3571875"/>
            <a:gd name="connsiteY6" fmla="*/ 397513 h 1975091"/>
            <a:gd name="connsiteX7" fmla="*/ 3559969 w 3571875"/>
            <a:gd name="connsiteY7" fmla="*/ 397513 h 1975091"/>
            <a:gd name="connsiteX8" fmla="*/ 3571875 w 3571875"/>
            <a:gd name="connsiteY8" fmla="*/ 403466 h 1975091"/>
            <a:gd name="connsiteX0" fmla="*/ 0 w 3571875"/>
            <a:gd name="connsiteY0" fmla="*/ 1968587 h 1968587"/>
            <a:gd name="connsiteX1" fmla="*/ 636984 w 3571875"/>
            <a:gd name="connsiteY1" fmla="*/ 1831665 h 1968587"/>
            <a:gd name="connsiteX2" fmla="*/ 1529953 w 3571875"/>
            <a:gd name="connsiteY2" fmla="*/ 783915 h 1968587"/>
            <a:gd name="connsiteX3" fmla="*/ 2116141 w 3571875"/>
            <a:gd name="connsiteY3" fmla="*/ 238420 h 1968587"/>
            <a:gd name="connsiteX4" fmla="*/ 2614133 w 3571875"/>
            <a:gd name="connsiteY4" fmla="*/ 1234 h 1968587"/>
            <a:gd name="connsiteX5" fmla="*/ 3113484 w 3571875"/>
            <a:gd name="connsiteY5" fmla="*/ 135024 h 1968587"/>
            <a:gd name="connsiteX6" fmla="*/ 3559969 w 3571875"/>
            <a:gd name="connsiteY6" fmla="*/ 391009 h 1968587"/>
            <a:gd name="connsiteX7" fmla="*/ 3559969 w 3571875"/>
            <a:gd name="connsiteY7" fmla="*/ 391009 h 1968587"/>
            <a:gd name="connsiteX8" fmla="*/ 3571875 w 3571875"/>
            <a:gd name="connsiteY8" fmla="*/ 396962 h 1968587"/>
            <a:gd name="connsiteX0" fmla="*/ 0 w 3571875"/>
            <a:gd name="connsiteY0" fmla="*/ 1968217 h 1968217"/>
            <a:gd name="connsiteX1" fmla="*/ 636984 w 3571875"/>
            <a:gd name="connsiteY1" fmla="*/ 1831295 h 1968217"/>
            <a:gd name="connsiteX2" fmla="*/ 1529953 w 3571875"/>
            <a:gd name="connsiteY2" fmla="*/ 783545 h 1968217"/>
            <a:gd name="connsiteX3" fmla="*/ 2116141 w 3571875"/>
            <a:gd name="connsiteY3" fmla="*/ 238050 h 1968217"/>
            <a:gd name="connsiteX4" fmla="*/ 2614133 w 3571875"/>
            <a:gd name="connsiteY4" fmla="*/ 864 h 1968217"/>
            <a:gd name="connsiteX5" fmla="*/ 3113484 w 3571875"/>
            <a:gd name="connsiteY5" fmla="*/ 134654 h 1968217"/>
            <a:gd name="connsiteX6" fmla="*/ 3559969 w 3571875"/>
            <a:gd name="connsiteY6" fmla="*/ 390639 h 1968217"/>
            <a:gd name="connsiteX7" fmla="*/ 3559969 w 3571875"/>
            <a:gd name="connsiteY7" fmla="*/ 390639 h 1968217"/>
            <a:gd name="connsiteX8" fmla="*/ 3571875 w 3571875"/>
            <a:gd name="connsiteY8" fmla="*/ 396592 h 1968217"/>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3571875" h="1968217">
              <a:moveTo>
                <a:pt x="0" y="1968217"/>
              </a:moveTo>
              <a:cubicBezTo>
                <a:pt x="276437" y="1941328"/>
                <a:pt x="448445" y="1962065"/>
                <a:pt x="636984" y="1831295"/>
              </a:cubicBezTo>
              <a:cubicBezTo>
                <a:pt x="825523" y="1700525"/>
                <a:pt x="1283427" y="1049086"/>
                <a:pt x="1529953" y="783545"/>
              </a:cubicBezTo>
              <a:cubicBezTo>
                <a:pt x="1776479" y="518004"/>
                <a:pt x="1935444" y="368497"/>
                <a:pt x="2116141" y="238050"/>
              </a:cubicBezTo>
              <a:cubicBezTo>
                <a:pt x="2296838" y="107603"/>
                <a:pt x="2472823" y="13083"/>
                <a:pt x="2614133" y="864"/>
              </a:cubicBezTo>
              <a:cubicBezTo>
                <a:pt x="2755443" y="-11355"/>
                <a:pt x="3050514" y="109797"/>
                <a:pt x="3113484" y="134654"/>
              </a:cubicBezTo>
              <a:cubicBezTo>
                <a:pt x="3176454" y="159511"/>
                <a:pt x="3559969" y="390639"/>
                <a:pt x="3559969" y="390639"/>
              </a:cubicBezTo>
              <a:lnTo>
                <a:pt x="3559969" y="390639"/>
              </a:lnTo>
              <a:lnTo>
                <a:pt x="3571875" y="396592"/>
              </a:lnTo>
            </a:path>
          </a:pathLst>
        </a:cu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19</xdr:col>
      <xdr:colOff>356152</xdr:colOff>
      <xdr:row>28</xdr:row>
      <xdr:rowOff>115956</xdr:rowOff>
    </xdr:from>
    <xdr:to>
      <xdr:col>21</xdr:col>
      <xdr:colOff>99391</xdr:colOff>
      <xdr:row>30</xdr:row>
      <xdr:rowOff>16565</xdr:rowOff>
    </xdr:to>
    <xdr:sp macro="" textlink="">
      <xdr:nvSpPr>
        <xdr:cNvPr id="11" name="TextBox 10">
          <a:extLst>
            <a:ext uri="{FF2B5EF4-FFF2-40B4-BE49-F238E27FC236}">
              <a16:creationId xmlns:a16="http://schemas.microsoft.com/office/drawing/2014/main" xmlns="" id="{00000000-0008-0000-0E00-00000B000000}"/>
            </a:ext>
          </a:extLst>
        </xdr:cNvPr>
        <xdr:cNvSpPr txBox="1"/>
      </xdr:nvSpPr>
      <xdr:spPr>
        <a:xfrm>
          <a:off x="18536478" y="5830956"/>
          <a:ext cx="969065" cy="2816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1">
              <a:latin typeface="Arial" panose="020B0604020202020204" pitchFamily="34" charset="0"/>
              <a:cs typeface="Arial" panose="020B0604020202020204" pitchFamily="34" charset="0"/>
            </a:rPr>
            <a:t>Tillering</a:t>
          </a:r>
        </a:p>
      </xdr:txBody>
    </xdr:sp>
    <xdr:clientData/>
  </xdr:twoCellAnchor>
  <xdr:twoCellAnchor>
    <xdr:from>
      <xdr:col>30</xdr:col>
      <xdr:colOff>0</xdr:colOff>
      <xdr:row>20</xdr:row>
      <xdr:rowOff>0</xdr:rowOff>
    </xdr:from>
    <xdr:to>
      <xdr:col>37</xdr:col>
      <xdr:colOff>285750</xdr:colOff>
      <xdr:row>34</xdr:row>
      <xdr:rowOff>76200</xdr:rowOff>
    </xdr:to>
    <xdr:graphicFrame macro="">
      <xdr:nvGraphicFramePr>
        <xdr:cNvPr id="9" name="Chart 8">
          <a:extLst>
            <a:ext uri="{FF2B5EF4-FFF2-40B4-BE49-F238E27FC236}">
              <a16:creationId xmlns:a16="http://schemas.microsoft.com/office/drawing/2014/main" xmlns="" id="{00000000-0008-0000-0E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1904858</xdr:colOff>
      <xdr:row>23</xdr:row>
      <xdr:rowOff>93910</xdr:rowOff>
    </xdr:from>
    <xdr:to>
      <xdr:col>20</xdr:col>
      <xdr:colOff>639549</xdr:colOff>
      <xdr:row>33</xdr:row>
      <xdr:rowOff>151354</xdr:rowOff>
    </xdr:to>
    <xdr:sp macro="" textlink="">
      <xdr:nvSpPr>
        <xdr:cNvPr id="12" name="Freeform 11">
          <a:extLst>
            <a:ext uri="{FF2B5EF4-FFF2-40B4-BE49-F238E27FC236}">
              <a16:creationId xmlns:a16="http://schemas.microsoft.com/office/drawing/2014/main" xmlns="" id="{00000000-0008-0000-0E00-00000A000000}"/>
            </a:ext>
          </a:extLst>
        </xdr:cNvPr>
        <xdr:cNvSpPr/>
      </xdr:nvSpPr>
      <xdr:spPr>
        <a:xfrm>
          <a:off x="18253222" y="4550455"/>
          <a:ext cx="3883963" cy="1904717"/>
        </a:xfrm>
        <a:custGeom>
          <a:avLst/>
          <a:gdLst>
            <a:gd name="connsiteX0" fmla="*/ 0 w 3571875"/>
            <a:gd name="connsiteY0" fmla="*/ 1898620 h 1920683"/>
            <a:gd name="connsiteX1" fmla="*/ 636984 w 3571875"/>
            <a:gd name="connsiteY1" fmla="*/ 1761698 h 1920683"/>
            <a:gd name="connsiteX2" fmla="*/ 1529953 w 3571875"/>
            <a:gd name="connsiteY2" fmla="*/ 713948 h 1920683"/>
            <a:gd name="connsiteX3" fmla="*/ 2160984 w 3571875"/>
            <a:gd name="connsiteY3" fmla="*/ 243651 h 1920683"/>
            <a:gd name="connsiteX4" fmla="*/ 2678906 w 3571875"/>
            <a:gd name="connsiteY4" fmla="*/ 11479 h 1920683"/>
            <a:gd name="connsiteX5" fmla="*/ 3113484 w 3571875"/>
            <a:gd name="connsiteY5" fmla="*/ 65057 h 1920683"/>
            <a:gd name="connsiteX6" fmla="*/ 3559969 w 3571875"/>
            <a:gd name="connsiteY6" fmla="*/ 321042 h 1920683"/>
            <a:gd name="connsiteX7" fmla="*/ 3559969 w 3571875"/>
            <a:gd name="connsiteY7" fmla="*/ 321042 h 1920683"/>
            <a:gd name="connsiteX8" fmla="*/ 3571875 w 3571875"/>
            <a:gd name="connsiteY8" fmla="*/ 326995 h 1920683"/>
            <a:gd name="connsiteX0" fmla="*/ 0 w 3571875"/>
            <a:gd name="connsiteY0" fmla="*/ 1898620 h 1908618"/>
            <a:gd name="connsiteX1" fmla="*/ 636984 w 3571875"/>
            <a:gd name="connsiteY1" fmla="*/ 1761698 h 1908618"/>
            <a:gd name="connsiteX2" fmla="*/ 1529953 w 3571875"/>
            <a:gd name="connsiteY2" fmla="*/ 713948 h 1908618"/>
            <a:gd name="connsiteX3" fmla="*/ 2160984 w 3571875"/>
            <a:gd name="connsiteY3" fmla="*/ 243651 h 1908618"/>
            <a:gd name="connsiteX4" fmla="*/ 2678906 w 3571875"/>
            <a:gd name="connsiteY4" fmla="*/ 11479 h 1908618"/>
            <a:gd name="connsiteX5" fmla="*/ 3113484 w 3571875"/>
            <a:gd name="connsiteY5" fmla="*/ 65057 h 1908618"/>
            <a:gd name="connsiteX6" fmla="*/ 3559969 w 3571875"/>
            <a:gd name="connsiteY6" fmla="*/ 321042 h 1908618"/>
            <a:gd name="connsiteX7" fmla="*/ 3559969 w 3571875"/>
            <a:gd name="connsiteY7" fmla="*/ 321042 h 1908618"/>
            <a:gd name="connsiteX8" fmla="*/ 3571875 w 3571875"/>
            <a:gd name="connsiteY8" fmla="*/ 326995 h 1908618"/>
            <a:gd name="connsiteX0" fmla="*/ 0 w 3571875"/>
            <a:gd name="connsiteY0" fmla="*/ 1898620 h 1898620"/>
            <a:gd name="connsiteX1" fmla="*/ 636984 w 3571875"/>
            <a:gd name="connsiteY1" fmla="*/ 1761698 h 1898620"/>
            <a:gd name="connsiteX2" fmla="*/ 1529953 w 3571875"/>
            <a:gd name="connsiteY2" fmla="*/ 713948 h 1898620"/>
            <a:gd name="connsiteX3" fmla="*/ 2160984 w 3571875"/>
            <a:gd name="connsiteY3" fmla="*/ 243651 h 1898620"/>
            <a:gd name="connsiteX4" fmla="*/ 2678906 w 3571875"/>
            <a:gd name="connsiteY4" fmla="*/ 11479 h 1898620"/>
            <a:gd name="connsiteX5" fmla="*/ 3113484 w 3571875"/>
            <a:gd name="connsiteY5" fmla="*/ 65057 h 1898620"/>
            <a:gd name="connsiteX6" fmla="*/ 3559969 w 3571875"/>
            <a:gd name="connsiteY6" fmla="*/ 321042 h 1898620"/>
            <a:gd name="connsiteX7" fmla="*/ 3559969 w 3571875"/>
            <a:gd name="connsiteY7" fmla="*/ 321042 h 1898620"/>
            <a:gd name="connsiteX8" fmla="*/ 3571875 w 3571875"/>
            <a:gd name="connsiteY8" fmla="*/ 326995 h 1898620"/>
            <a:gd name="connsiteX0" fmla="*/ 0 w 3571875"/>
            <a:gd name="connsiteY0" fmla="*/ 1972814 h 1972814"/>
            <a:gd name="connsiteX1" fmla="*/ 636984 w 3571875"/>
            <a:gd name="connsiteY1" fmla="*/ 1835892 h 1972814"/>
            <a:gd name="connsiteX2" fmla="*/ 1529953 w 3571875"/>
            <a:gd name="connsiteY2" fmla="*/ 788142 h 1972814"/>
            <a:gd name="connsiteX3" fmla="*/ 2160984 w 3571875"/>
            <a:gd name="connsiteY3" fmla="*/ 317845 h 1972814"/>
            <a:gd name="connsiteX4" fmla="*/ 2668941 w 3571875"/>
            <a:gd name="connsiteY4" fmla="*/ 5462 h 1972814"/>
            <a:gd name="connsiteX5" fmla="*/ 3113484 w 3571875"/>
            <a:gd name="connsiteY5" fmla="*/ 139251 h 1972814"/>
            <a:gd name="connsiteX6" fmla="*/ 3559969 w 3571875"/>
            <a:gd name="connsiteY6" fmla="*/ 395236 h 1972814"/>
            <a:gd name="connsiteX7" fmla="*/ 3559969 w 3571875"/>
            <a:gd name="connsiteY7" fmla="*/ 395236 h 1972814"/>
            <a:gd name="connsiteX8" fmla="*/ 3571875 w 3571875"/>
            <a:gd name="connsiteY8" fmla="*/ 401189 h 1972814"/>
            <a:gd name="connsiteX0" fmla="*/ 0 w 3571875"/>
            <a:gd name="connsiteY0" fmla="*/ 1969587 h 1969587"/>
            <a:gd name="connsiteX1" fmla="*/ 636984 w 3571875"/>
            <a:gd name="connsiteY1" fmla="*/ 1832665 h 1969587"/>
            <a:gd name="connsiteX2" fmla="*/ 1529953 w 3571875"/>
            <a:gd name="connsiteY2" fmla="*/ 784915 h 1969587"/>
            <a:gd name="connsiteX3" fmla="*/ 2116141 w 3571875"/>
            <a:gd name="connsiteY3" fmla="*/ 239420 h 1969587"/>
            <a:gd name="connsiteX4" fmla="*/ 2668941 w 3571875"/>
            <a:gd name="connsiteY4" fmla="*/ 2235 h 1969587"/>
            <a:gd name="connsiteX5" fmla="*/ 3113484 w 3571875"/>
            <a:gd name="connsiteY5" fmla="*/ 136024 h 1969587"/>
            <a:gd name="connsiteX6" fmla="*/ 3559969 w 3571875"/>
            <a:gd name="connsiteY6" fmla="*/ 392009 h 1969587"/>
            <a:gd name="connsiteX7" fmla="*/ 3559969 w 3571875"/>
            <a:gd name="connsiteY7" fmla="*/ 392009 h 1969587"/>
            <a:gd name="connsiteX8" fmla="*/ 3571875 w 3571875"/>
            <a:gd name="connsiteY8" fmla="*/ 397962 h 1969587"/>
            <a:gd name="connsiteX0" fmla="*/ 0 w 3571875"/>
            <a:gd name="connsiteY0" fmla="*/ 1979443 h 1979443"/>
            <a:gd name="connsiteX1" fmla="*/ 636984 w 3571875"/>
            <a:gd name="connsiteY1" fmla="*/ 1842521 h 1979443"/>
            <a:gd name="connsiteX2" fmla="*/ 1529953 w 3571875"/>
            <a:gd name="connsiteY2" fmla="*/ 794771 h 1979443"/>
            <a:gd name="connsiteX3" fmla="*/ 2116141 w 3571875"/>
            <a:gd name="connsiteY3" fmla="*/ 249276 h 1979443"/>
            <a:gd name="connsiteX4" fmla="*/ 2544377 w 3571875"/>
            <a:gd name="connsiteY4" fmla="*/ 2064 h 1979443"/>
            <a:gd name="connsiteX5" fmla="*/ 3113484 w 3571875"/>
            <a:gd name="connsiteY5" fmla="*/ 145880 h 1979443"/>
            <a:gd name="connsiteX6" fmla="*/ 3559969 w 3571875"/>
            <a:gd name="connsiteY6" fmla="*/ 401865 h 1979443"/>
            <a:gd name="connsiteX7" fmla="*/ 3559969 w 3571875"/>
            <a:gd name="connsiteY7" fmla="*/ 401865 h 1979443"/>
            <a:gd name="connsiteX8" fmla="*/ 3571875 w 3571875"/>
            <a:gd name="connsiteY8" fmla="*/ 407818 h 1979443"/>
            <a:gd name="connsiteX0" fmla="*/ 0 w 3571875"/>
            <a:gd name="connsiteY0" fmla="*/ 1984673 h 1984673"/>
            <a:gd name="connsiteX1" fmla="*/ 636984 w 3571875"/>
            <a:gd name="connsiteY1" fmla="*/ 1847751 h 1984673"/>
            <a:gd name="connsiteX2" fmla="*/ 1529953 w 3571875"/>
            <a:gd name="connsiteY2" fmla="*/ 800001 h 1984673"/>
            <a:gd name="connsiteX3" fmla="*/ 2116141 w 3571875"/>
            <a:gd name="connsiteY3" fmla="*/ 254506 h 1984673"/>
            <a:gd name="connsiteX4" fmla="*/ 2544377 w 3571875"/>
            <a:gd name="connsiteY4" fmla="*/ 7294 h 1984673"/>
            <a:gd name="connsiteX5" fmla="*/ 3113484 w 3571875"/>
            <a:gd name="connsiteY5" fmla="*/ 151110 h 1984673"/>
            <a:gd name="connsiteX6" fmla="*/ 3559969 w 3571875"/>
            <a:gd name="connsiteY6" fmla="*/ 407095 h 1984673"/>
            <a:gd name="connsiteX7" fmla="*/ 3559969 w 3571875"/>
            <a:gd name="connsiteY7" fmla="*/ 407095 h 1984673"/>
            <a:gd name="connsiteX8" fmla="*/ 3571875 w 3571875"/>
            <a:gd name="connsiteY8" fmla="*/ 413048 h 1984673"/>
            <a:gd name="connsiteX0" fmla="*/ 0 w 3571875"/>
            <a:gd name="connsiteY0" fmla="*/ 1975091 h 1975091"/>
            <a:gd name="connsiteX1" fmla="*/ 636984 w 3571875"/>
            <a:gd name="connsiteY1" fmla="*/ 1838169 h 1975091"/>
            <a:gd name="connsiteX2" fmla="*/ 1529953 w 3571875"/>
            <a:gd name="connsiteY2" fmla="*/ 790419 h 1975091"/>
            <a:gd name="connsiteX3" fmla="*/ 2116141 w 3571875"/>
            <a:gd name="connsiteY3" fmla="*/ 244924 h 1975091"/>
            <a:gd name="connsiteX4" fmla="*/ 2614133 w 3571875"/>
            <a:gd name="connsiteY4" fmla="*/ 7738 h 1975091"/>
            <a:gd name="connsiteX5" fmla="*/ 3113484 w 3571875"/>
            <a:gd name="connsiteY5" fmla="*/ 141528 h 1975091"/>
            <a:gd name="connsiteX6" fmla="*/ 3559969 w 3571875"/>
            <a:gd name="connsiteY6" fmla="*/ 397513 h 1975091"/>
            <a:gd name="connsiteX7" fmla="*/ 3559969 w 3571875"/>
            <a:gd name="connsiteY7" fmla="*/ 397513 h 1975091"/>
            <a:gd name="connsiteX8" fmla="*/ 3571875 w 3571875"/>
            <a:gd name="connsiteY8" fmla="*/ 403466 h 1975091"/>
            <a:gd name="connsiteX0" fmla="*/ 0 w 3571875"/>
            <a:gd name="connsiteY0" fmla="*/ 1968587 h 1968587"/>
            <a:gd name="connsiteX1" fmla="*/ 636984 w 3571875"/>
            <a:gd name="connsiteY1" fmla="*/ 1831665 h 1968587"/>
            <a:gd name="connsiteX2" fmla="*/ 1529953 w 3571875"/>
            <a:gd name="connsiteY2" fmla="*/ 783915 h 1968587"/>
            <a:gd name="connsiteX3" fmla="*/ 2116141 w 3571875"/>
            <a:gd name="connsiteY3" fmla="*/ 238420 h 1968587"/>
            <a:gd name="connsiteX4" fmla="*/ 2614133 w 3571875"/>
            <a:gd name="connsiteY4" fmla="*/ 1234 h 1968587"/>
            <a:gd name="connsiteX5" fmla="*/ 3113484 w 3571875"/>
            <a:gd name="connsiteY5" fmla="*/ 135024 h 1968587"/>
            <a:gd name="connsiteX6" fmla="*/ 3559969 w 3571875"/>
            <a:gd name="connsiteY6" fmla="*/ 391009 h 1968587"/>
            <a:gd name="connsiteX7" fmla="*/ 3559969 w 3571875"/>
            <a:gd name="connsiteY7" fmla="*/ 391009 h 1968587"/>
            <a:gd name="connsiteX8" fmla="*/ 3571875 w 3571875"/>
            <a:gd name="connsiteY8" fmla="*/ 396962 h 1968587"/>
            <a:gd name="connsiteX0" fmla="*/ 0 w 3571875"/>
            <a:gd name="connsiteY0" fmla="*/ 1968217 h 1968217"/>
            <a:gd name="connsiteX1" fmla="*/ 636984 w 3571875"/>
            <a:gd name="connsiteY1" fmla="*/ 1831295 h 1968217"/>
            <a:gd name="connsiteX2" fmla="*/ 1529953 w 3571875"/>
            <a:gd name="connsiteY2" fmla="*/ 783545 h 1968217"/>
            <a:gd name="connsiteX3" fmla="*/ 2116141 w 3571875"/>
            <a:gd name="connsiteY3" fmla="*/ 238050 h 1968217"/>
            <a:gd name="connsiteX4" fmla="*/ 2614133 w 3571875"/>
            <a:gd name="connsiteY4" fmla="*/ 864 h 1968217"/>
            <a:gd name="connsiteX5" fmla="*/ 3113484 w 3571875"/>
            <a:gd name="connsiteY5" fmla="*/ 134654 h 1968217"/>
            <a:gd name="connsiteX6" fmla="*/ 3559969 w 3571875"/>
            <a:gd name="connsiteY6" fmla="*/ 390639 h 1968217"/>
            <a:gd name="connsiteX7" fmla="*/ 3559969 w 3571875"/>
            <a:gd name="connsiteY7" fmla="*/ 390639 h 1968217"/>
            <a:gd name="connsiteX8" fmla="*/ 3571875 w 3571875"/>
            <a:gd name="connsiteY8" fmla="*/ 396592 h 1968217"/>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3571875" h="1968217">
              <a:moveTo>
                <a:pt x="0" y="1968217"/>
              </a:moveTo>
              <a:cubicBezTo>
                <a:pt x="276437" y="1941328"/>
                <a:pt x="448445" y="1962065"/>
                <a:pt x="636984" y="1831295"/>
              </a:cubicBezTo>
              <a:cubicBezTo>
                <a:pt x="825523" y="1700525"/>
                <a:pt x="1283427" y="1049086"/>
                <a:pt x="1529953" y="783545"/>
              </a:cubicBezTo>
              <a:cubicBezTo>
                <a:pt x="1776479" y="518004"/>
                <a:pt x="1935444" y="368497"/>
                <a:pt x="2116141" y="238050"/>
              </a:cubicBezTo>
              <a:cubicBezTo>
                <a:pt x="2296838" y="107603"/>
                <a:pt x="2472823" y="13083"/>
                <a:pt x="2614133" y="864"/>
              </a:cubicBezTo>
              <a:cubicBezTo>
                <a:pt x="2755443" y="-11355"/>
                <a:pt x="3050514" y="109797"/>
                <a:pt x="3113484" y="134654"/>
              </a:cubicBezTo>
              <a:cubicBezTo>
                <a:pt x="3176454" y="159511"/>
                <a:pt x="3559969" y="390639"/>
                <a:pt x="3559969" y="390639"/>
              </a:cubicBezTo>
              <a:lnTo>
                <a:pt x="3559969" y="390639"/>
              </a:lnTo>
              <a:lnTo>
                <a:pt x="3571875" y="396592"/>
              </a:lnTo>
            </a:path>
          </a:pathLst>
        </a:cu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45</xdr:col>
      <xdr:colOff>0</xdr:colOff>
      <xdr:row>53</xdr:row>
      <xdr:rowOff>0</xdr:rowOff>
    </xdr:from>
    <xdr:to>
      <xdr:col>50</xdr:col>
      <xdr:colOff>535781</xdr:colOff>
      <xdr:row>63</xdr:row>
      <xdr:rowOff>57445</xdr:rowOff>
    </xdr:to>
    <xdr:sp macro="" textlink="">
      <xdr:nvSpPr>
        <xdr:cNvPr id="13" name="Freeform 12">
          <a:extLst>
            <a:ext uri="{FF2B5EF4-FFF2-40B4-BE49-F238E27FC236}">
              <a16:creationId xmlns:a16="http://schemas.microsoft.com/office/drawing/2014/main" xmlns="" id="{00000000-0008-0000-0E00-00000A000000}"/>
            </a:ext>
          </a:extLst>
        </xdr:cNvPr>
        <xdr:cNvSpPr/>
      </xdr:nvSpPr>
      <xdr:spPr>
        <a:xfrm>
          <a:off x="38238545" y="9998364"/>
          <a:ext cx="3883963" cy="1904717"/>
        </a:xfrm>
        <a:custGeom>
          <a:avLst/>
          <a:gdLst>
            <a:gd name="connsiteX0" fmla="*/ 0 w 3571875"/>
            <a:gd name="connsiteY0" fmla="*/ 1898620 h 1920683"/>
            <a:gd name="connsiteX1" fmla="*/ 636984 w 3571875"/>
            <a:gd name="connsiteY1" fmla="*/ 1761698 h 1920683"/>
            <a:gd name="connsiteX2" fmla="*/ 1529953 w 3571875"/>
            <a:gd name="connsiteY2" fmla="*/ 713948 h 1920683"/>
            <a:gd name="connsiteX3" fmla="*/ 2160984 w 3571875"/>
            <a:gd name="connsiteY3" fmla="*/ 243651 h 1920683"/>
            <a:gd name="connsiteX4" fmla="*/ 2678906 w 3571875"/>
            <a:gd name="connsiteY4" fmla="*/ 11479 h 1920683"/>
            <a:gd name="connsiteX5" fmla="*/ 3113484 w 3571875"/>
            <a:gd name="connsiteY5" fmla="*/ 65057 h 1920683"/>
            <a:gd name="connsiteX6" fmla="*/ 3559969 w 3571875"/>
            <a:gd name="connsiteY6" fmla="*/ 321042 h 1920683"/>
            <a:gd name="connsiteX7" fmla="*/ 3559969 w 3571875"/>
            <a:gd name="connsiteY7" fmla="*/ 321042 h 1920683"/>
            <a:gd name="connsiteX8" fmla="*/ 3571875 w 3571875"/>
            <a:gd name="connsiteY8" fmla="*/ 326995 h 1920683"/>
            <a:gd name="connsiteX0" fmla="*/ 0 w 3571875"/>
            <a:gd name="connsiteY0" fmla="*/ 1898620 h 1908618"/>
            <a:gd name="connsiteX1" fmla="*/ 636984 w 3571875"/>
            <a:gd name="connsiteY1" fmla="*/ 1761698 h 1908618"/>
            <a:gd name="connsiteX2" fmla="*/ 1529953 w 3571875"/>
            <a:gd name="connsiteY2" fmla="*/ 713948 h 1908618"/>
            <a:gd name="connsiteX3" fmla="*/ 2160984 w 3571875"/>
            <a:gd name="connsiteY3" fmla="*/ 243651 h 1908618"/>
            <a:gd name="connsiteX4" fmla="*/ 2678906 w 3571875"/>
            <a:gd name="connsiteY4" fmla="*/ 11479 h 1908618"/>
            <a:gd name="connsiteX5" fmla="*/ 3113484 w 3571875"/>
            <a:gd name="connsiteY5" fmla="*/ 65057 h 1908618"/>
            <a:gd name="connsiteX6" fmla="*/ 3559969 w 3571875"/>
            <a:gd name="connsiteY6" fmla="*/ 321042 h 1908618"/>
            <a:gd name="connsiteX7" fmla="*/ 3559969 w 3571875"/>
            <a:gd name="connsiteY7" fmla="*/ 321042 h 1908618"/>
            <a:gd name="connsiteX8" fmla="*/ 3571875 w 3571875"/>
            <a:gd name="connsiteY8" fmla="*/ 326995 h 1908618"/>
            <a:gd name="connsiteX0" fmla="*/ 0 w 3571875"/>
            <a:gd name="connsiteY0" fmla="*/ 1898620 h 1898620"/>
            <a:gd name="connsiteX1" fmla="*/ 636984 w 3571875"/>
            <a:gd name="connsiteY1" fmla="*/ 1761698 h 1898620"/>
            <a:gd name="connsiteX2" fmla="*/ 1529953 w 3571875"/>
            <a:gd name="connsiteY2" fmla="*/ 713948 h 1898620"/>
            <a:gd name="connsiteX3" fmla="*/ 2160984 w 3571875"/>
            <a:gd name="connsiteY3" fmla="*/ 243651 h 1898620"/>
            <a:gd name="connsiteX4" fmla="*/ 2678906 w 3571875"/>
            <a:gd name="connsiteY4" fmla="*/ 11479 h 1898620"/>
            <a:gd name="connsiteX5" fmla="*/ 3113484 w 3571875"/>
            <a:gd name="connsiteY5" fmla="*/ 65057 h 1898620"/>
            <a:gd name="connsiteX6" fmla="*/ 3559969 w 3571875"/>
            <a:gd name="connsiteY6" fmla="*/ 321042 h 1898620"/>
            <a:gd name="connsiteX7" fmla="*/ 3559969 w 3571875"/>
            <a:gd name="connsiteY7" fmla="*/ 321042 h 1898620"/>
            <a:gd name="connsiteX8" fmla="*/ 3571875 w 3571875"/>
            <a:gd name="connsiteY8" fmla="*/ 326995 h 1898620"/>
            <a:gd name="connsiteX0" fmla="*/ 0 w 3571875"/>
            <a:gd name="connsiteY0" fmla="*/ 1972814 h 1972814"/>
            <a:gd name="connsiteX1" fmla="*/ 636984 w 3571875"/>
            <a:gd name="connsiteY1" fmla="*/ 1835892 h 1972814"/>
            <a:gd name="connsiteX2" fmla="*/ 1529953 w 3571875"/>
            <a:gd name="connsiteY2" fmla="*/ 788142 h 1972814"/>
            <a:gd name="connsiteX3" fmla="*/ 2160984 w 3571875"/>
            <a:gd name="connsiteY3" fmla="*/ 317845 h 1972814"/>
            <a:gd name="connsiteX4" fmla="*/ 2668941 w 3571875"/>
            <a:gd name="connsiteY4" fmla="*/ 5462 h 1972814"/>
            <a:gd name="connsiteX5" fmla="*/ 3113484 w 3571875"/>
            <a:gd name="connsiteY5" fmla="*/ 139251 h 1972814"/>
            <a:gd name="connsiteX6" fmla="*/ 3559969 w 3571875"/>
            <a:gd name="connsiteY6" fmla="*/ 395236 h 1972814"/>
            <a:gd name="connsiteX7" fmla="*/ 3559969 w 3571875"/>
            <a:gd name="connsiteY7" fmla="*/ 395236 h 1972814"/>
            <a:gd name="connsiteX8" fmla="*/ 3571875 w 3571875"/>
            <a:gd name="connsiteY8" fmla="*/ 401189 h 1972814"/>
            <a:gd name="connsiteX0" fmla="*/ 0 w 3571875"/>
            <a:gd name="connsiteY0" fmla="*/ 1969587 h 1969587"/>
            <a:gd name="connsiteX1" fmla="*/ 636984 w 3571875"/>
            <a:gd name="connsiteY1" fmla="*/ 1832665 h 1969587"/>
            <a:gd name="connsiteX2" fmla="*/ 1529953 w 3571875"/>
            <a:gd name="connsiteY2" fmla="*/ 784915 h 1969587"/>
            <a:gd name="connsiteX3" fmla="*/ 2116141 w 3571875"/>
            <a:gd name="connsiteY3" fmla="*/ 239420 h 1969587"/>
            <a:gd name="connsiteX4" fmla="*/ 2668941 w 3571875"/>
            <a:gd name="connsiteY4" fmla="*/ 2235 h 1969587"/>
            <a:gd name="connsiteX5" fmla="*/ 3113484 w 3571875"/>
            <a:gd name="connsiteY5" fmla="*/ 136024 h 1969587"/>
            <a:gd name="connsiteX6" fmla="*/ 3559969 w 3571875"/>
            <a:gd name="connsiteY6" fmla="*/ 392009 h 1969587"/>
            <a:gd name="connsiteX7" fmla="*/ 3559969 w 3571875"/>
            <a:gd name="connsiteY7" fmla="*/ 392009 h 1969587"/>
            <a:gd name="connsiteX8" fmla="*/ 3571875 w 3571875"/>
            <a:gd name="connsiteY8" fmla="*/ 397962 h 1969587"/>
            <a:gd name="connsiteX0" fmla="*/ 0 w 3571875"/>
            <a:gd name="connsiteY0" fmla="*/ 1979443 h 1979443"/>
            <a:gd name="connsiteX1" fmla="*/ 636984 w 3571875"/>
            <a:gd name="connsiteY1" fmla="*/ 1842521 h 1979443"/>
            <a:gd name="connsiteX2" fmla="*/ 1529953 w 3571875"/>
            <a:gd name="connsiteY2" fmla="*/ 794771 h 1979443"/>
            <a:gd name="connsiteX3" fmla="*/ 2116141 w 3571875"/>
            <a:gd name="connsiteY3" fmla="*/ 249276 h 1979443"/>
            <a:gd name="connsiteX4" fmla="*/ 2544377 w 3571875"/>
            <a:gd name="connsiteY4" fmla="*/ 2064 h 1979443"/>
            <a:gd name="connsiteX5" fmla="*/ 3113484 w 3571875"/>
            <a:gd name="connsiteY5" fmla="*/ 145880 h 1979443"/>
            <a:gd name="connsiteX6" fmla="*/ 3559969 w 3571875"/>
            <a:gd name="connsiteY6" fmla="*/ 401865 h 1979443"/>
            <a:gd name="connsiteX7" fmla="*/ 3559969 w 3571875"/>
            <a:gd name="connsiteY7" fmla="*/ 401865 h 1979443"/>
            <a:gd name="connsiteX8" fmla="*/ 3571875 w 3571875"/>
            <a:gd name="connsiteY8" fmla="*/ 407818 h 1979443"/>
            <a:gd name="connsiteX0" fmla="*/ 0 w 3571875"/>
            <a:gd name="connsiteY0" fmla="*/ 1984673 h 1984673"/>
            <a:gd name="connsiteX1" fmla="*/ 636984 w 3571875"/>
            <a:gd name="connsiteY1" fmla="*/ 1847751 h 1984673"/>
            <a:gd name="connsiteX2" fmla="*/ 1529953 w 3571875"/>
            <a:gd name="connsiteY2" fmla="*/ 800001 h 1984673"/>
            <a:gd name="connsiteX3" fmla="*/ 2116141 w 3571875"/>
            <a:gd name="connsiteY3" fmla="*/ 254506 h 1984673"/>
            <a:gd name="connsiteX4" fmla="*/ 2544377 w 3571875"/>
            <a:gd name="connsiteY4" fmla="*/ 7294 h 1984673"/>
            <a:gd name="connsiteX5" fmla="*/ 3113484 w 3571875"/>
            <a:gd name="connsiteY5" fmla="*/ 151110 h 1984673"/>
            <a:gd name="connsiteX6" fmla="*/ 3559969 w 3571875"/>
            <a:gd name="connsiteY6" fmla="*/ 407095 h 1984673"/>
            <a:gd name="connsiteX7" fmla="*/ 3559969 w 3571875"/>
            <a:gd name="connsiteY7" fmla="*/ 407095 h 1984673"/>
            <a:gd name="connsiteX8" fmla="*/ 3571875 w 3571875"/>
            <a:gd name="connsiteY8" fmla="*/ 413048 h 1984673"/>
            <a:gd name="connsiteX0" fmla="*/ 0 w 3571875"/>
            <a:gd name="connsiteY0" fmla="*/ 1975091 h 1975091"/>
            <a:gd name="connsiteX1" fmla="*/ 636984 w 3571875"/>
            <a:gd name="connsiteY1" fmla="*/ 1838169 h 1975091"/>
            <a:gd name="connsiteX2" fmla="*/ 1529953 w 3571875"/>
            <a:gd name="connsiteY2" fmla="*/ 790419 h 1975091"/>
            <a:gd name="connsiteX3" fmla="*/ 2116141 w 3571875"/>
            <a:gd name="connsiteY3" fmla="*/ 244924 h 1975091"/>
            <a:gd name="connsiteX4" fmla="*/ 2614133 w 3571875"/>
            <a:gd name="connsiteY4" fmla="*/ 7738 h 1975091"/>
            <a:gd name="connsiteX5" fmla="*/ 3113484 w 3571875"/>
            <a:gd name="connsiteY5" fmla="*/ 141528 h 1975091"/>
            <a:gd name="connsiteX6" fmla="*/ 3559969 w 3571875"/>
            <a:gd name="connsiteY6" fmla="*/ 397513 h 1975091"/>
            <a:gd name="connsiteX7" fmla="*/ 3559969 w 3571875"/>
            <a:gd name="connsiteY7" fmla="*/ 397513 h 1975091"/>
            <a:gd name="connsiteX8" fmla="*/ 3571875 w 3571875"/>
            <a:gd name="connsiteY8" fmla="*/ 403466 h 1975091"/>
            <a:gd name="connsiteX0" fmla="*/ 0 w 3571875"/>
            <a:gd name="connsiteY0" fmla="*/ 1968587 h 1968587"/>
            <a:gd name="connsiteX1" fmla="*/ 636984 w 3571875"/>
            <a:gd name="connsiteY1" fmla="*/ 1831665 h 1968587"/>
            <a:gd name="connsiteX2" fmla="*/ 1529953 w 3571875"/>
            <a:gd name="connsiteY2" fmla="*/ 783915 h 1968587"/>
            <a:gd name="connsiteX3" fmla="*/ 2116141 w 3571875"/>
            <a:gd name="connsiteY3" fmla="*/ 238420 h 1968587"/>
            <a:gd name="connsiteX4" fmla="*/ 2614133 w 3571875"/>
            <a:gd name="connsiteY4" fmla="*/ 1234 h 1968587"/>
            <a:gd name="connsiteX5" fmla="*/ 3113484 w 3571875"/>
            <a:gd name="connsiteY5" fmla="*/ 135024 h 1968587"/>
            <a:gd name="connsiteX6" fmla="*/ 3559969 w 3571875"/>
            <a:gd name="connsiteY6" fmla="*/ 391009 h 1968587"/>
            <a:gd name="connsiteX7" fmla="*/ 3559969 w 3571875"/>
            <a:gd name="connsiteY7" fmla="*/ 391009 h 1968587"/>
            <a:gd name="connsiteX8" fmla="*/ 3571875 w 3571875"/>
            <a:gd name="connsiteY8" fmla="*/ 396962 h 1968587"/>
            <a:gd name="connsiteX0" fmla="*/ 0 w 3571875"/>
            <a:gd name="connsiteY0" fmla="*/ 1968217 h 1968217"/>
            <a:gd name="connsiteX1" fmla="*/ 636984 w 3571875"/>
            <a:gd name="connsiteY1" fmla="*/ 1831295 h 1968217"/>
            <a:gd name="connsiteX2" fmla="*/ 1529953 w 3571875"/>
            <a:gd name="connsiteY2" fmla="*/ 783545 h 1968217"/>
            <a:gd name="connsiteX3" fmla="*/ 2116141 w 3571875"/>
            <a:gd name="connsiteY3" fmla="*/ 238050 h 1968217"/>
            <a:gd name="connsiteX4" fmla="*/ 2614133 w 3571875"/>
            <a:gd name="connsiteY4" fmla="*/ 864 h 1968217"/>
            <a:gd name="connsiteX5" fmla="*/ 3113484 w 3571875"/>
            <a:gd name="connsiteY5" fmla="*/ 134654 h 1968217"/>
            <a:gd name="connsiteX6" fmla="*/ 3559969 w 3571875"/>
            <a:gd name="connsiteY6" fmla="*/ 390639 h 1968217"/>
            <a:gd name="connsiteX7" fmla="*/ 3559969 w 3571875"/>
            <a:gd name="connsiteY7" fmla="*/ 390639 h 1968217"/>
            <a:gd name="connsiteX8" fmla="*/ 3571875 w 3571875"/>
            <a:gd name="connsiteY8" fmla="*/ 396592 h 1968217"/>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3571875" h="1968217">
              <a:moveTo>
                <a:pt x="0" y="1968217"/>
              </a:moveTo>
              <a:cubicBezTo>
                <a:pt x="276437" y="1941328"/>
                <a:pt x="448445" y="1962065"/>
                <a:pt x="636984" y="1831295"/>
              </a:cubicBezTo>
              <a:cubicBezTo>
                <a:pt x="825523" y="1700525"/>
                <a:pt x="1283427" y="1049086"/>
                <a:pt x="1529953" y="783545"/>
              </a:cubicBezTo>
              <a:cubicBezTo>
                <a:pt x="1776479" y="518004"/>
                <a:pt x="1935444" y="368497"/>
                <a:pt x="2116141" y="238050"/>
              </a:cubicBezTo>
              <a:cubicBezTo>
                <a:pt x="2296838" y="107603"/>
                <a:pt x="2472823" y="13083"/>
                <a:pt x="2614133" y="864"/>
              </a:cubicBezTo>
              <a:cubicBezTo>
                <a:pt x="2755443" y="-11355"/>
                <a:pt x="3050514" y="109797"/>
                <a:pt x="3113484" y="134654"/>
              </a:cubicBezTo>
              <a:cubicBezTo>
                <a:pt x="3176454" y="159511"/>
                <a:pt x="3559969" y="390639"/>
                <a:pt x="3559969" y="390639"/>
              </a:cubicBezTo>
              <a:lnTo>
                <a:pt x="3559969" y="390639"/>
              </a:lnTo>
              <a:lnTo>
                <a:pt x="3571875" y="396592"/>
              </a:lnTo>
            </a:path>
          </a:pathLst>
        </a:cu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43.xml><?xml version="1.0" encoding="utf-8"?>
<c:userShapes xmlns:c="http://schemas.openxmlformats.org/drawingml/2006/chart">
  <cdr:relSizeAnchor xmlns:cdr="http://schemas.openxmlformats.org/drawingml/2006/chartDrawing">
    <cdr:from>
      <cdr:x>0.59753</cdr:x>
      <cdr:y>0.25705</cdr:y>
    </cdr:from>
    <cdr:to>
      <cdr:x>0.80929</cdr:x>
      <cdr:y>0.35367</cdr:y>
    </cdr:to>
    <cdr:sp macro="" textlink="">
      <cdr:nvSpPr>
        <cdr:cNvPr id="2" name="TextBox 10"/>
        <cdr:cNvSpPr txBox="1"/>
      </cdr:nvSpPr>
      <cdr:spPr>
        <a:xfrm xmlns:a="http://schemas.openxmlformats.org/drawingml/2006/main">
          <a:off x="2734364" y="705127"/>
          <a:ext cx="969065" cy="265064"/>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000" b="1">
              <a:latin typeface="Arial" panose="020B0604020202020204" pitchFamily="34" charset="0"/>
              <a:cs typeface="Arial" panose="020B0604020202020204" pitchFamily="34" charset="0"/>
            </a:rPr>
            <a:t>Flowering</a:t>
          </a:r>
        </a:p>
      </cdr:txBody>
    </cdr:sp>
  </cdr:relSizeAnchor>
  <cdr:relSizeAnchor xmlns:cdr="http://schemas.openxmlformats.org/drawingml/2006/chartDrawing">
    <cdr:from>
      <cdr:x>0.40386</cdr:x>
      <cdr:y>0.13325</cdr:y>
    </cdr:from>
    <cdr:to>
      <cdr:x>0.61563</cdr:x>
      <cdr:y>0.23591</cdr:y>
    </cdr:to>
    <cdr:sp macro="" textlink="">
      <cdr:nvSpPr>
        <cdr:cNvPr id="3" name="TextBox 10"/>
        <cdr:cNvSpPr txBox="1"/>
      </cdr:nvSpPr>
      <cdr:spPr>
        <a:xfrm xmlns:a="http://schemas.openxmlformats.org/drawingml/2006/main">
          <a:off x="1848126" y="365539"/>
          <a:ext cx="969065" cy="281609"/>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000" b="1">
              <a:latin typeface="Arial" panose="020B0604020202020204" pitchFamily="34" charset="0"/>
              <a:cs typeface="Arial" panose="020B0604020202020204" pitchFamily="34" charset="0"/>
            </a:rPr>
            <a:t>Booting</a:t>
          </a:r>
        </a:p>
      </cdr:txBody>
    </cdr:sp>
  </cdr:relSizeAnchor>
  <cdr:relSizeAnchor xmlns:cdr="http://schemas.openxmlformats.org/drawingml/2006/chartDrawing">
    <cdr:from>
      <cdr:x>0.82715</cdr:x>
      <cdr:y>0.37178</cdr:y>
    </cdr:from>
    <cdr:to>
      <cdr:x>1</cdr:x>
      <cdr:y>0.46841</cdr:y>
    </cdr:to>
    <cdr:sp macro="" textlink="">
      <cdr:nvSpPr>
        <cdr:cNvPr id="4" name="TextBox 10"/>
        <cdr:cNvSpPr txBox="1"/>
      </cdr:nvSpPr>
      <cdr:spPr>
        <a:xfrm xmlns:a="http://schemas.openxmlformats.org/drawingml/2006/main">
          <a:off x="3785152" y="1019866"/>
          <a:ext cx="790989" cy="265064"/>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000" b="1">
              <a:latin typeface="Arial" panose="020B0604020202020204" pitchFamily="34" charset="0"/>
              <a:cs typeface="Arial" panose="020B0604020202020204" pitchFamily="34" charset="0"/>
            </a:rPr>
            <a:t>Ripening</a:t>
          </a:r>
        </a:p>
      </cdr:txBody>
    </cdr:sp>
  </cdr:relSizeAnchor>
</c:userShapes>
</file>

<file path=xl/drawings/drawing44.xml><?xml version="1.0" encoding="utf-8"?>
<c:userShapes xmlns:c="http://schemas.openxmlformats.org/drawingml/2006/chart">
  <cdr:relSizeAnchor xmlns:cdr="http://schemas.openxmlformats.org/drawingml/2006/chartDrawing">
    <cdr:from>
      <cdr:x>0.61836</cdr:x>
      <cdr:y>0.14296</cdr:y>
    </cdr:from>
    <cdr:to>
      <cdr:x>0.83012</cdr:x>
      <cdr:y>0.23958</cdr:y>
    </cdr:to>
    <cdr:sp macro="" textlink="">
      <cdr:nvSpPr>
        <cdr:cNvPr id="2" name="TextBox 10"/>
        <cdr:cNvSpPr txBox="1"/>
      </cdr:nvSpPr>
      <cdr:spPr>
        <a:xfrm xmlns:a="http://schemas.openxmlformats.org/drawingml/2006/main">
          <a:off x="2827158" y="392177"/>
          <a:ext cx="968167" cy="265048"/>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200" b="0">
              <a:latin typeface="Arial" panose="020B0604020202020204" pitchFamily="34" charset="0"/>
              <a:cs typeface="Arial" panose="020B0604020202020204" pitchFamily="34" charset="0"/>
            </a:rPr>
            <a:t>Flowering</a:t>
          </a:r>
        </a:p>
      </cdr:txBody>
    </cdr:sp>
  </cdr:relSizeAnchor>
  <cdr:relSizeAnchor xmlns:cdr="http://schemas.openxmlformats.org/drawingml/2006/chartDrawing">
    <cdr:from>
      <cdr:x>0.40386</cdr:x>
      <cdr:y>0.13325</cdr:y>
    </cdr:from>
    <cdr:to>
      <cdr:x>0.61563</cdr:x>
      <cdr:y>0.23591</cdr:y>
    </cdr:to>
    <cdr:sp macro="" textlink="">
      <cdr:nvSpPr>
        <cdr:cNvPr id="3" name="TextBox 10"/>
        <cdr:cNvSpPr txBox="1"/>
      </cdr:nvSpPr>
      <cdr:spPr>
        <a:xfrm xmlns:a="http://schemas.openxmlformats.org/drawingml/2006/main">
          <a:off x="1848126" y="365539"/>
          <a:ext cx="969065" cy="281609"/>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200" b="0">
              <a:latin typeface="Arial" panose="020B0604020202020204" pitchFamily="34" charset="0"/>
              <a:cs typeface="Arial" panose="020B0604020202020204" pitchFamily="34" charset="0"/>
            </a:rPr>
            <a:t>Booting</a:t>
          </a:r>
        </a:p>
      </cdr:txBody>
    </cdr:sp>
  </cdr:relSizeAnchor>
  <cdr:relSizeAnchor xmlns:cdr="http://schemas.openxmlformats.org/drawingml/2006/chartDrawing">
    <cdr:from>
      <cdr:x>0.78011</cdr:x>
      <cdr:y>0.26265</cdr:y>
    </cdr:from>
    <cdr:to>
      <cdr:x>0.99702</cdr:x>
      <cdr:y>0.3346</cdr:y>
    </cdr:to>
    <cdr:sp macro="" textlink="">
      <cdr:nvSpPr>
        <cdr:cNvPr id="4" name="TextBox 10"/>
        <cdr:cNvSpPr txBox="1"/>
      </cdr:nvSpPr>
      <cdr:spPr>
        <a:xfrm xmlns:a="http://schemas.openxmlformats.org/drawingml/2006/main">
          <a:off x="3532909" y="720501"/>
          <a:ext cx="982299" cy="197363"/>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200" b="0">
              <a:latin typeface="Arial" panose="020B0604020202020204" pitchFamily="34" charset="0"/>
              <a:cs typeface="Arial" panose="020B0604020202020204" pitchFamily="34" charset="0"/>
            </a:rPr>
            <a:t>Ripening</a:t>
          </a:r>
        </a:p>
      </cdr:txBody>
    </cdr:sp>
  </cdr:relSizeAnchor>
  <cdr:relSizeAnchor xmlns:cdr="http://schemas.openxmlformats.org/drawingml/2006/chartDrawing">
    <cdr:from>
      <cdr:x>0.14206</cdr:x>
      <cdr:y>0.07308</cdr:y>
    </cdr:from>
    <cdr:to>
      <cdr:x>0.92889</cdr:x>
      <cdr:y>0.79057</cdr:y>
    </cdr:to>
    <cdr:sp macro="" textlink="">
      <cdr:nvSpPr>
        <cdr:cNvPr id="5" name="Freeform 4"/>
        <cdr:cNvSpPr/>
      </cdr:nvSpPr>
      <cdr:spPr>
        <a:xfrm xmlns:a="http://schemas.openxmlformats.org/drawingml/2006/main">
          <a:off x="649514" y="200479"/>
          <a:ext cx="3597388" cy="1968217"/>
        </a:xfrm>
        <a:custGeom xmlns:a="http://schemas.openxmlformats.org/drawingml/2006/main">
          <a:avLst/>
          <a:gdLst>
            <a:gd name="connsiteX0" fmla="*/ 0 w 3571875"/>
            <a:gd name="connsiteY0" fmla="*/ 1898620 h 1920683"/>
            <a:gd name="connsiteX1" fmla="*/ 636984 w 3571875"/>
            <a:gd name="connsiteY1" fmla="*/ 1761698 h 1920683"/>
            <a:gd name="connsiteX2" fmla="*/ 1529953 w 3571875"/>
            <a:gd name="connsiteY2" fmla="*/ 713948 h 1920683"/>
            <a:gd name="connsiteX3" fmla="*/ 2160984 w 3571875"/>
            <a:gd name="connsiteY3" fmla="*/ 243651 h 1920683"/>
            <a:gd name="connsiteX4" fmla="*/ 2678906 w 3571875"/>
            <a:gd name="connsiteY4" fmla="*/ 11479 h 1920683"/>
            <a:gd name="connsiteX5" fmla="*/ 3113484 w 3571875"/>
            <a:gd name="connsiteY5" fmla="*/ 65057 h 1920683"/>
            <a:gd name="connsiteX6" fmla="*/ 3559969 w 3571875"/>
            <a:gd name="connsiteY6" fmla="*/ 321042 h 1920683"/>
            <a:gd name="connsiteX7" fmla="*/ 3559969 w 3571875"/>
            <a:gd name="connsiteY7" fmla="*/ 321042 h 1920683"/>
            <a:gd name="connsiteX8" fmla="*/ 3571875 w 3571875"/>
            <a:gd name="connsiteY8" fmla="*/ 326995 h 1920683"/>
            <a:gd name="connsiteX0" fmla="*/ 0 w 3571875"/>
            <a:gd name="connsiteY0" fmla="*/ 1898620 h 1908618"/>
            <a:gd name="connsiteX1" fmla="*/ 636984 w 3571875"/>
            <a:gd name="connsiteY1" fmla="*/ 1761698 h 1908618"/>
            <a:gd name="connsiteX2" fmla="*/ 1529953 w 3571875"/>
            <a:gd name="connsiteY2" fmla="*/ 713948 h 1908618"/>
            <a:gd name="connsiteX3" fmla="*/ 2160984 w 3571875"/>
            <a:gd name="connsiteY3" fmla="*/ 243651 h 1908618"/>
            <a:gd name="connsiteX4" fmla="*/ 2678906 w 3571875"/>
            <a:gd name="connsiteY4" fmla="*/ 11479 h 1908618"/>
            <a:gd name="connsiteX5" fmla="*/ 3113484 w 3571875"/>
            <a:gd name="connsiteY5" fmla="*/ 65057 h 1908618"/>
            <a:gd name="connsiteX6" fmla="*/ 3559969 w 3571875"/>
            <a:gd name="connsiteY6" fmla="*/ 321042 h 1908618"/>
            <a:gd name="connsiteX7" fmla="*/ 3559969 w 3571875"/>
            <a:gd name="connsiteY7" fmla="*/ 321042 h 1908618"/>
            <a:gd name="connsiteX8" fmla="*/ 3571875 w 3571875"/>
            <a:gd name="connsiteY8" fmla="*/ 326995 h 1908618"/>
            <a:gd name="connsiteX0" fmla="*/ 0 w 3571875"/>
            <a:gd name="connsiteY0" fmla="*/ 1898620 h 1898620"/>
            <a:gd name="connsiteX1" fmla="*/ 636984 w 3571875"/>
            <a:gd name="connsiteY1" fmla="*/ 1761698 h 1898620"/>
            <a:gd name="connsiteX2" fmla="*/ 1529953 w 3571875"/>
            <a:gd name="connsiteY2" fmla="*/ 713948 h 1898620"/>
            <a:gd name="connsiteX3" fmla="*/ 2160984 w 3571875"/>
            <a:gd name="connsiteY3" fmla="*/ 243651 h 1898620"/>
            <a:gd name="connsiteX4" fmla="*/ 2678906 w 3571875"/>
            <a:gd name="connsiteY4" fmla="*/ 11479 h 1898620"/>
            <a:gd name="connsiteX5" fmla="*/ 3113484 w 3571875"/>
            <a:gd name="connsiteY5" fmla="*/ 65057 h 1898620"/>
            <a:gd name="connsiteX6" fmla="*/ 3559969 w 3571875"/>
            <a:gd name="connsiteY6" fmla="*/ 321042 h 1898620"/>
            <a:gd name="connsiteX7" fmla="*/ 3559969 w 3571875"/>
            <a:gd name="connsiteY7" fmla="*/ 321042 h 1898620"/>
            <a:gd name="connsiteX8" fmla="*/ 3571875 w 3571875"/>
            <a:gd name="connsiteY8" fmla="*/ 326995 h 1898620"/>
            <a:gd name="connsiteX0" fmla="*/ 0 w 3571875"/>
            <a:gd name="connsiteY0" fmla="*/ 1972814 h 1972814"/>
            <a:gd name="connsiteX1" fmla="*/ 636984 w 3571875"/>
            <a:gd name="connsiteY1" fmla="*/ 1835892 h 1972814"/>
            <a:gd name="connsiteX2" fmla="*/ 1529953 w 3571875"/>
            <a:gd name="connsiteY2" fmla="*/ 788142 h 1972814"/>
            <a:gd name="connsiteX3" fmla="*/ 2160984 w 3571875"/>
            <a:gd name="connsiteY3" fmla="*/ 317845 h 1972814"/>
            <a:gd name="connsiteX4" fmla="*/ 2668941 w 3571875"/>
            <a:gd name="connsiteY4" fmla="*/ 5462 h 1972814"/>
            <a:gd name="connsiteX5" fmla="*/ 3113484 w 3571875"/>
            <a:gd name="connsiteY5" fmla="*/ 139251 h 1972814"/>
            <a:gd name="connsiteX6" fmla="*/ 3559969 w 3571875"/>
            <a:gd name="connsiteY6" fmla="*/ 395236 h 1972814"/>
            <a:gd name="connsiteX7" fmla="*/ 3559969 w 3571875"/>
            <a:gd name="connsiteY7" fmla="*/ 395236 h 1972814"/>
            <a:gd name="connsiteX8" fmla="*/ 3571875 w 3571875"/>
            <a:gd name="connsiteY8" fmla="*/ 401189 h 1972814"/>
            <a:gd name="connsiteX0" fmla="*/ 0 w 3571875"/>
            <a:gd name="connsiteY0" fmla="*/ 1969587 h 1969587"/>
            <a:gd name="connsiteX1" fmla="*/ 636984 w 3571875"/>
            <a:gd name="connsiteY1" fmla="*/ 1832665 h 1969587"/>
            <a:gd name="connsiteX2" fmla="*/ 1529953 w 3571875"/>
            <a:gd name="connsiteY2" fmla="*/ 784915 h 1969587"/>
            <a:gd name="connsiteX3" fmla="*/ 2116141 w 3571875"/>
            <a:gd name="connsiteY3" fmla="*/ 239420 h 1969587"/>
            <a:gd name="connsiteX4" fmla="*/ 2668941 w 3571875"/>
            <a:gd name="connsiteY4" fmla="*/ 2235 h 1969587"/>
            <a:gd name="connsiteX5" fmla="*/ 3113484 w 3571875"/>
            <a:gd name="connsiteY5" fmla="*/ 136024 h 1969587"/>
            <a:gd name="connsiteX6" fmla="*/ 3559969 w 3571875"/>
            <a:gd name="connsiteY6" fmla="*/ 392009 h 1969587"/>
            <a:gd name="connsiteX7" fmla="*/ 3559969 w 3571875"/>
            <a:gd name="connsiteY7" fmla="*/ 392009 h 1969587"/>
            <a:gd name="connsiteX8" fmla="*/ 3571875 w 3571875"/>
            <a:gd name="connsiteY8" fmla="*/ 397962 h 1969587"/>
            <a:gd name="connsiteX0" fmla="*/ 0 w 3571875"/>
            <a:gd name="connsiteY0" fmla="*/ 1979443 h 1979443"/>
            <a:gd name="connsiteX1" fmla="*/ 636984 w 3571875"/>
            <a:gd name="connsiteY1" fmla="*/ 1842521 h 1979443"/>
            <a:gd name="connsiteX2" fmla="*/ 1529953 w 3571875"/>
            <a:gd name="connsiteY2" fmla="*/ 794771 h 1979443"/>
            <a:gd name="connsiteX3" fmla="*/ 2116141 w 3571875"/>
            <a:gd name="connsiteY3" fmla="*/ 249276 h 1979443"/>
            <a:gd name="connsiteX4" fmla="*/ 2544377 w 3571875"/>
            <a:gd name="connsiteY4" fmla="*/ 2064 h 1979443"/>
            <a:gd name="connsiteX5" fmla="*/ 3113484 w 3571875"/>
            <a:gd name="connsiteY5" fmla="*/ 145880 h 1979443"/>
            <a:gd name="connsiteX6" fmla="*/ 3559969 w 3571875"/>
            <a:gd name="connsiteY6" fmla="*/ 401865 h 1979443"/>
            <a:gd name="connsiteX7" fmla="*/ 3559969 w 3571875"/>
            <a:gd name="connsiteY7" fmla="*/ 401865 h 1979443"/>
            <a:gd name="connsiteX8" fmla="*/ 3571875 w 3571875"/>
            <a:gd name="connsiteY8" fmla="*/ 407818 h 1979443"/>
            <a:gd name="connsiteX0" fmla="*/ 0 w 3571875"/>
            <a:gd name="connsiteY0" fmla="*/ 1984673 h 1984673"/>
            <a:gd name="connsiteX1" fmla="*/ 636984 w 3571875"/>
            <a:gd name="connsiteY1" fmla="*/ 1847751 h 1984673"/>
            <a:gd name="connsiteX2" fmla="*/ 1529953 w 3571875"/>
            <a:gd name="connsiteY2" fmla="*/ 800001 h 1984673"/>
            <a:gd name="connsiteX3" fmla="*/ 2116141 w 3571875"/>
            <a:gd name="connsiteY3" fmla="*/ 254506 h 1984673"/>
            <a:gd name="connsiteX4" fmla="*/ 2544377 w 3571875"/>
            <a:gd name="connsiteY4" fmla="*/ 7294 h 1984673"/>
            <a:gd name="connsiteX5" fmla="*/ 3113484 w 3571875"/>
            <a:gd name="connsiteY5" fmla="*/ 151110 h 1984673"/>
            <a:gd name="connsiteX6" fmla="*/ 3559969 w 3571875"/>
            <a:gd name="connsiteY6" fmla="*/ 407095 h 1984673"/>
            <a:gd name="connsiteX7" fmla="*/ 3559969 w 3571875"/>
            <a:gd name="connsiteY7" fmla="*/ 407095 h 1984673"/>
            <a:gd name="connsiteX8" fmla="*/ 3571875 w 3571875"/>
            <a:gd name="connsiteY8" fmla="*/ 413048 h 1984673"/>
            <a:gd name="connsiteX0" fmla="*/ 0 w 3571875"/>
            <a:gd name="connsiteY0" fmla="*/ 1975091 h 1975091"/>
            <a:gd name="connsiteX1" fmla="*/ 636984 w 3571875"/>
            <a:gd name="connsiteY1" fmla="*/ 1838169 h 1975091"/>
            <a:gd name="connsiteX2" fmla="*/ 1529953 w 3571875"/>
            <a:gd name="connsiteY2" fmla="*/ 790419 h 1975091"/>
            <a:gd name="connsiteX3" fmla="*/ 2116141 w 3571875"/>
            <a:gd name="connsiteY3" fmla="*/ 244924 h 1975091"/>
            <a:gd name="connsiteX4" fmla="*/ 2614133 w 3571875"/>
            <a:gd name="connsiteY4" fmla="*/ 7738 h 1975091"/>
            <a:gd name="connsiteX5" fmla="*/ 3113484 w 3571875"/>
            <a:gd name="connsiteY5" fmla="*/ 141528 h 1975091"/>
            <a:gd name="connsiteX6" fmla="*/ 3559969 w 3571875"/>
            <a:gd name="connsiteY6" fmla="*/ 397513 h 1975091"/>
            <a:gd name="connsiteX7" fmla="*/ 3559969 w 3571875"/>
            <a:gd name="connsiteY7" fmla="*/ 397513 h 1975091"/>
            <a:gd name="connsiteX8" fmla="*/ 3571875 w 3571875"/>
            <a:gd name="connsiteY8" fmla="*/ 403466 h 1975091"/>
            <a:gd name="connsiteX0" fmla="*/ 0 w 3571875"/>
            <a:gd name="connsiteY0" fmla="*/ 1968587 h 1968587"/>
            <a:gd name="connsiteX1" fmla="*/ 636984 w 3571875"/>
            <a:gd name="connsiteY1" fmla="*/ 1831665 h 1968587"/>
            <a:gd name="connsiteX2" fmla="*/ 1529953 w 3571875"/>
            <a:gd name="connsiteY2" fmla="*/ 783915 h 1968587"/>
            <a:gd name="connsiteX3" fmla="*/ 2116141 w 3571875"/>
            <a:gd name="connsiteY3" fmla="*/ 238420 h 1968587"/>
            <a:gd name="connsiteX4" fmla="*/ 2614133 w 3571875"/>
            <a:gd name="connsiteY4" fmla="*/ 1234 h 1968587"/>
            <a:gd name="connsiteX5" fmla="*/ 3113484 w 3571875"/>
            <a:gd name="connsiteY5" fmla="*/ 135024 h 1968587"/>
            <a:gd name="connsiteX6" fmla="*/ 3559969 w 3571875"/>
            <a:gd name="connsiteY6" fmla="*/ 391009 h 1968587"/>
            <a:gd name="connsiteX7" fmla="*/ 3559969 w 3571875"/>
            <a:gd name="connsiteY7" fmla="*/ 391009 h 1968587"/>
            <a:gd name="connsiteX8" fmla="*/ 3571875 w 3571875"/>
            <a:gd name="connsiteY8" fmla="*/ 396962 h 1968587"/>
            <a:gd name="connsiteX0" fmla="*/ 0 w 3571875"/>
            <a:gd name="connsiteY0" fmla="*/ 1968217 h 1968217"/>
            <a:gd name="connsiteX1" fmla="*/ 636984 w 3571875"/>
            <a:gd name="connsiteY1" fmla="*/ 1831295 h 1968217"/>
            <a:gd name="connsiteX2" fmla="*/ 1529953 w 3571875"/>
            <a:gd name="connsiteY2" fmla="*/ 783545 h 1968217"/>
            <a:gd name="connsiteX3" fmla="*/ 2116141 w 3571875"/>
            <a:gd name="connsiteY3" fmla="*/ 238050 h 1968217"/>
            <a:gd name="connsiteX4" fmla="*/ 2614133 w 3571875"/>
            <a:gd name="connsiteY4" fmla="*/ 864 h 1968217"/>
            <a:gd name="connsiteX5" fmla="*/ 3113484 w 3571875"/>
            <a:gd name="connsiteY5" fmla="*/ 134654 h 1968217"/>
            <a:gd name="connsiteX6" fmla="*/ 3559969 w 3571875"/>
            <a:gd name="connsiteY6" fmla="*/ 390639 h 1968217"/>
            <a:gd name="connsiteX7" fmla="*/ 3559969 w 3571875"/>
            <a:gd name="connsiteY7" fmla="*/ 390639 h 1968217"/>
            <a:gd name="connsiteX8" fmla="*/ 3571875 w 3571875"/>
            <a:gd name="connsiteY8" fmla="*/ 396592 h 1968217"/>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3571875" h="1968217">
              <a:moveTo>
                <a:pt x="0" y="1968217"/>
              </a:moveTo>
              <a:cubicBezTo>
                <a:pt x="276437" y="1941328"/>
                <a:pt x="448445" y="1962065"/>
                <a:pt x="636984" y="1831295"/>
              </a:cubicBezTo>
              <a:cubicBezTo>
                <a:pt x="825523" y="1700525"/>
                <a:pt x="1283427" y="1049086"/>
                <a:pt x="1529953" y="783545"/>
              </a:cubicBezTo>
              <a:cubicBezTo>
                <a:pt x="1776479" y="518004"/>
                <a:pt x="1935444" y="368497"/>
                <a:pt x="2116141" y="238050"/>
              </a:cubicBezTo>
              <a:cubicBezTo>
                <a:pt x="2296838" y="107603"/>
                <a:pt x="2472823" y="13083"/>
                <a:pt x="2614133" y="864"/>
              </a:cubicBezTo>
              <a:cubicBezTo>
                <a:pt x="2755443" y="-11355"/>
                <a:pt x="3050514" y="109797"/>
                <a:pt x="3113484" y="134654"/>
              </a:cubicBezTo>
              <a:cubicBezTo>
                <a:pt x="3176454" y="159511"/>
                <a:pt x="3559969" y="390639"/>
                <a:pt x="3559969" y="390639"/>
              </a:cubicBezTo>
              <a:lnTo>
                <a:pt x="3559969" y="390639"/>
              </a:lnTo>
              <a:lnTo>
                <a:pt x="3571875" y="396592"/>
              </a:lnTo>
            </a:path>
          </a:pathLst>
        </a:custGeom>
        <a:noFill xmlns:a="http://schemas.openxmlformats.org/drawingml/2006/main"/>
        <a:ln xmlns:a="http://schemas.openxmlformats.org/drawingml/2006/main">
          <a:solidFill>
            <a:srgbClr val="FF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tlCol="0" anchor="t"/>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l"/>
          <a:endParaRPr lang="en-US" sz="1100"/>
        </a:p>
      </cdr:txBody>
    </cdr:sp>
  </cdr:relSizeAnchor>
  <cdr:relSizeAnchor xmlns:cdr="http://schemas.openxmlformats.org/drawingml/2006/chartDrawing">
    <cdr:from>
      <cdr:x>0.19563</cdr:x>
      <cdr:y>0.53439</cdr:y>
    </cdr:from>
    <cdr:to>
      <cdr:x>0.40733</cdr:x>
      <cdr:y>0.63705</cdr:y>
    </cdr:to>
    <cdr:sp macro="" textlink="">
      <cdr:nvSpPr>
        <cdr:cNvPr id="6" name="TextBox 10"/>
        <cdr:cNvSpPr txBox="1"/>
      </cdr:nvSpPr>
      <cdr:spPr>
        <a:xfrm xmlns:a="http://schemas.openxmlformats.org/drawingml/2006/main">
          <a:off x="894442" y="1465943"/>
          <a:ext cx="967882" cy="281609"/>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200" b="0">
              <a:latin typeface="Arial" panose="020B0604020202020204" pitchFamily="34" charset="0"/>
              <a:cs typeface="Arial" panose="020B0604020202020204" pitchFamily="34" charset="0"/>
            </a:rPr>
            <a:t>Tillering</a:t>
          </a:r>
        </a:p>
      </cdr:txBody>
    </cdr:sp>
  </cdr:relSizeAnchor>
</c:userShapes>
</file>

<file path=xl/drawings/drawing45.xml><?xml version="1.0" encoding="utf-8"?>
<xdr:wsDr xmlns:xdr="http://schemas.openxmlformats.org/drawingml/2006/spreadsheetDrawing" xmlns:a="http://schemas.openxmlformats.org/drawingml/2006/main">
  <xdr:twoCellAnchor editAs="oneCell">
    <xdr:from>
      <xdr:col>0</xdr:col>
      <xdr:colOff>0</xdr:colOff>
      <xdr:row>96</xdr:row>
      <xdr:rowOff>100595</xdr:rowOff>
    </xdr:from>
    <xdr:to>
      <xdr:col>2</xdr:col>
      <xdr:colOff>930519</xdr:colOff>
      <xdr:row>114</xdr:row>
      <xdr:rowOff>160455</xdr:rowOff>
    </xdr:to>
    <xdr:pic>
      <xdr:nvPicPr>
        <xdr:cNvPr id="4" name="Picture 3">
          <a:extLst>
            <a:ext uri="{FF2B5EF4-FFF2-40B4-BE49-F238E27FC236}">
              <a16:creationId xmlns:a16="http://schemas.microsoft.com/office/drawing/2014/main" xmlns="" id="{00000000-0008-0000-0F00-000004000000}"/>
            </a:ext>
          </a:extLst>
        </xdr:cNvPr>
        <xdr:cNvPicPr>
          <a:picLocks noChangeAspect="1"/>
        </xdr:cNvPicPr>
      </xdr:nvPicPr>
      <xdr:blipFill>
        <a:blip xmlns:r="http://schemas.openxmlformats.org/officeDocument/2006/relationships" r:embed="rId1"/>
        <a:stretch>
          <a:fillRect/>
        </a:stretch>
      </xdr:blipFill>
      <xdr:spPr>
        <a:xfrm>
          <a:off x="0" y="18007595"/>
          <a:ext cx="3700096" cy="3488860"/>
        </a:xfrm>
        <a:prstGeom prst="rect">
          <a:avLst/>
        </a:prstGeom>
      </xdr:spPr>
    </xdr:pic>
    <xdr:clientData/>
  </xdr:twoCellAnchor>
  <xdr:twoCellAnchor editAs="oneCell">
    <xdr:from>
      <xdr:col>3</xdr:col>
      <xdr:colOff>285749</xdr:colOff>
      <xdr:row>95</xdr:row>
      <xdr:rowOff>68036</xdr:rowOff>
    </xdr:from>
    <xdr:to>
      <xdr:col>9</xdr:col>
      <xdr:colOff>506513</xdr:colOff>
      <xdr:row>115</xdr:row>
      <xdr:rowOff>118241</xdr:rowOff>
    </xdr:to>
    <xdr:pic>
      <xdr:nvPicPr>
        <xdr:cNvPr id="7" name="Picture 6">
          <a:extLst>
            <a:ext uri="{FF2B5EF4-FFF2-40B4-BE49-F238E27FC236}">
              <a16:creationId xmlns:a16="http://schemas.microsoft.com/office/drawing/2014/main" xmlns="" id="{00000000-0008-0000-0F00-000007000000}"/>
            </a:ext>
          </a:extLst>
        </xdr:cNvPr>
        <xdr:cNvPicPr>
          <a:picLocks noChangeAspect="1"/>
        </xdr:cNvPicPr>
      </xdr:nvPicPr>
      <xdr:blipFill>
        <a:blip xmlns:r="http://schemas.openxmlformats.org/officeDocument/2006/relationships" r:embed="rId2"/>
        <a:stretch>
          <a:fillRect/>
        </a:stretch>
      </xdr:blipFill>
      <xdr:spPr>
        <a:xfrm>
          <a:off x="4150178" y="17784536"/>
          <a:ext cx="4969656" cy="3860205"/>
        </a:xfrm>
        <a:prstGeom prst="rect">
          <a:avLst/>
        </a:prstGeom>
      </xdr:spPr>
    </xdr:pic>
    <xdr:clientData/>
  </xdr:twoCellAnchor>
  <xdr:twoCellAnchor>
    <xdr:from>
      <xdr:col>21</xdr:col>
      <xdr:colOff>0</xdr:colOff>
      <xdr:row>11</xdr:row>
      <xdr:rowOff>0</xdr:rowOff>
    </xdr:from>
    <xdr:to>
      <xdr:col>28</xdr:col>
      <xdr:colOff>286342</xdr:colOff>
      <xdr:row>25</xdr:row>
      <xdr:rowOff>76200</xdr:rowOff>
    </xdr:to>
    <xdr:graphicFrame macro="">
      <xdr:nvGraphicFramePr>
        <xdr:cNvPr id="14" name="Chart 13">
          <a:extLst>
            <a:ext uri="{FF2B5EF4-FFF2-40B4-BE49-F238E27FC236}">
              <a16:creationId xmlns:a16="http://schemas.microsoft.com/office/drawing/2014/main" xmlns="" id="{00000000-0008-0000-0F00-00000E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25</xdr:col>
      <xdr:colOff>317614</xdr:colOff>
      <xdr:row>11</xdr:row>
      <xdr:rowOff>157480</xdr:rowOff>
    </xdr:from>
    <xdr:to>
      <xdr:col>27</xdr:col>
      <xdr:colOff>849</xdr:colOff>
      <xdr:row>13</xdr:row>
      <xdr:rowOff>68184</xdr:rowOff>
    </xdr:to>
    <xdr:sp macro="" textlink="">
      <xdr:nvSpPr>
        <xdr:cNvPr id="16" name="TextBox 15">
          <a:extLst>
            <a:ext uri="{FF2B5EF4-FFF2-40B4-BE49-F238E27FC236}">
              <a16:creationId xmlns:a16="http://schemas.microsoft.com/office/drawing/2014/main" xmlns="" id="{00000000-0008-0000-0F00-000010000000}"/>
            </a:ext>
          </a:extLst>
        </xdr:cNvPr>
        <xdr:cNvSpPr txBox="1"/>
      </xdr:nvSpPr>
      <xdr:spPr>
        <a:xfrm>
          <a:off x="22946293" y="2633980"/>
          <a:ext cx="907877" cy="2917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1">
              <a:latin typeface="Arial" panose="020B0604020202020204" pitchFamily="34" charset="0"/>
              <a:cs typeface="Arial" panose="020B0604020202020204" pitchFamily="34" charset="0"/>
            </a:rPr>
            <a:t>Flowering</a:t>
          </a:r>
        </a:p>
      </xdr:txBody>
    </xdr:sp>
    <xdr:clientData/>
  </xdr:twoCellAnchor>
  <xdr:twoCellAnchor>
    <xdr:from>
      <xdr:col>33</xdr:col>
      <xdr:colOff>607218</xdr:colOff>
      <xdr:row>10</xdr:row>
      <xdr:rowOff>0</xdr:rowOff>
    </xdr:from>
    <xdr:to>
      <xdr:col>41</xdr:col>
      <xdr:colOff>286341</xdr:colOff>
      <xdr:row>24</xdr:row>
      <xdr:rowOff>76200</xdr:rowOff>
    </xdr:to>
    <xdr:graphicFrame macro="">
      <xdr:nvGraphicFramePr>
        <xdr:cNvPr id="21" name="Chart 20">
          <a:extLst>
            <a:ext uri="{FF2B5EF4-FFF2-40B4-BE49-F238E27FC236}">
              <a16:creationId xmlns:a16="http://schemas.microsoft.com/office/drawing/2014/main" xmlns="" id="{00000000-0008-0000-0F00-00001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36</xdr:col>
      <xdr:colOff>324970</xdr:colOff>
      <xdr:row>12</xdr:row>
      <xdr:rowOff>189525</xdr:rowOff>
    </xdr:from>
    <xdr:to>
      <xdr:col>38</xdr:col>
      <xdr:colOff>602316</xdr:colOff>
      <xdr:row>15</xdr:row>
      <xdr:rowOff>22837</xdr:rowOff>
    </xdr:to>
    <xdr:sp macro="" textlink="">
      <xdr:nvSpPr>
        <xdr:cNvPr id="23" name="TextBox 22">
          <a:extLst>
            <a:ext uri="{FF2B5EF4-FFF2-40B4-BE49-F238E27FC236}">
              <a16:creationId xmlns:a16="http://schemas.microsoft.com/office/drawing/2014/main" xmlns="" id="{00000000-0008-0000-0F00-000017000000}"/>
            </a:ext>
          </a:extLst>
        </xdr:cNvPr>
        <xdr:cNvSpPr txBox="1"/>
      </xdr:nvSpPr>
      <xdr:spPr>
        <a:xfrm>
          <a:off x="29673176" y="2856525"/>
          <a:ext cx="1487581" cy="4048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0">
              <a:latin typeface="Arial" panose="020B0604020202020204" pitchFamily="34" charset="0"/>
              <a:cs typeface="Arial" panose="020B0604020202020204" pitchFamily="34" charset="0"/>
            </a:rPr>
            <a:t>Stem extension</a:t>
          </a:r>
        </a:p>
      </xdr:txBody>
    </xdr:sp>
    <xdr:clientData/>
  </xdr:twoCellAnchor>
  <xdr:twoCellAnchor>
    <xdr:from>
      <xdr:col>38</xdr:col>
      <xdr:colOff>473726</xdr:colOff>
      <xdr:row>10</xdr:row>
      <xdr:rowOff>95068</xdr:rowOff>
    </xdr:from>
    <xdr:to>
      <xdr:col>40</xdr:col>
      <xdr:colOff>164164</xdr:colOff>
      <xdr:row>12</xdr:row>
      <xdr:rowOff>5772</xdr:rowOff>
    </xdr:to>
    <xdr:sp macro="" textlink="">
      <xdr:nvSpPr>
        <xdr:cNvPr id="24" name="TextBox 23">
          <a:extLst>
            <a:ext uri="{FF2B5EF4-FFF2-40B4-BE49-F238E27FC236}">
              <a16:creationId xmlns:a16="http://schemas.microsoft.com/office/drawing/2014/main" xmlns="" id="{00000000-0008-0000-0F00-000018000000}"/>
            </a:ext>
          </a:extLst>
        </xdr:cNvPr>
        <xdr:cNvSpPr txBox="1"/>
      </xdr:nvSpPr>
      <xdr:spPr>
        <a:xfrm>
          <a:off x="31032167" y="2381068"/>
          <a:ext cx="900673" cy="2917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0">
              <a:latin typeface="Arial" panose="020B0604020202020204" pitchFamily="34" charset="0"/>
              <a:cs typeface="Arial" panose="020B0604020202020204" pitchFamily="34" charset="0"/>
            </a:rPr>
            <a:t>Heading</a:t>
          </a:r>
        </a:p>
      </xdr:txBody>
    </xdr:sp>
    <xdr:clientData/>
  </xdr:twoCellAnchor>
  <xdr:twoCellAnchor>
    <xdr:from>
      <xdr:col>35</xdr:col>
      <xdr:colOff>549088</xdr:colOff>
      <xdr:row>18</xdr:row>
      <xdr:rowOff>10719</xdr:rowOff>
    </xdr:from>
    <xdr:to>
      <xdr:col>37</xdr:col>
      <xdr:colOff>241170</xdr:colOff>
      <xdr:row>19</xdr:row>
      <xdr:rowOff>111923</xdr:rowOff>
    </xdr:to>
    <xdr:sp macro="" textlink="">
      <xdr:nvSpPr>
        <xdr:cNvPr id="25" name="TextBox 24">
          <a:extLst>
            <a:ext uri="{FF2B5EF4-FFF2-40B4-BE49-F238E27FC236}">
              <a16:creationId xmlns:a16="http://schemas.microsoft.com/office/drawing/2014/main" xmlns="" id="{00000000-0008-0000-0F00-000019000000}"/>
            </a:ext>
          </a:extLst>
        </xdr:cNvPr>
        <xdr:cNvSpPr txBox="1"/>
      </xdr:nvSpPr>
      <xdr:spPr>
        <a:xfrm>
          <a:off x="29292176" y="3820719"/>
          <a:ext cx="902318" cy="2917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0">
              <a:latin typeface="Arial" panose="020B0604020202020204" pitchFamily="34" charset="0"/>
              <a:cs typeface="Arial" panose="020B0604020202020204" pitchFamily="34" charset="0"/>
            </a:rPr>
            <a:t>Tillering</a:t>
          </a:r>
        </a:p>
      </xdr:txBody>
    </xdr:sp>
    <xdr:clientData/>
  </xdr:twoCellAnchor>
  <xdr:twoCellAnchor editAs="oneCell">
    <xdr:from>
      <xdr:col>10</xdr:col>
      <xdr:colOff>598714</xdr:colOff>
      <xdr:row>94</xdr:row>
      <xdr:rowOff>163286</xdr:rowOff>
    </xdr:from>
    <xdr:to>
      <xdr:col>19</xdr:col>
      <xdr:colOff>184820</xdr:colOff>
      <xdr:row>112</xdr:row>
      <xdr:rowOff>47372</xdr:rowOff>
    </xdr:to>
    <xdr:pic>
      <xdr:nvPicPr>
        <xdr:cNvPr id="26" name="Picture 25">
          <a:extLst>
            <a:ext uri="{FF2B5EF4-FFF2-40B4-BE49-F238E27FC236}">
              <a16:creationId xmlns:a16="http://schemas.microsoft.com/office/drawing/2014/main" xmlns="" id="{00000000-0008-0000-0F00-00001A000000}"/>
            </a:ext>
          </a:extLst>
        </xdr:cNvPr>
        <xdr:cNvPicPr>
          <a:picLocks noChangeAspect="1"/>
        </xdr:cNvPicPr>
      </xdr:nvPicPr>
      <xdr:blipFill>
        <a:blip xmlns:r="http://schemas.openxmlformats.org/officeDocument/2006/relationships" r:embed="rId5"/>
        <a:stretch>
          <a:fillRect/>
        </a:stretch>
      </xdr:blipFill>
      <xdr:spPr>
        <a:xfrm>
          <a:off x="9892393" y="17689286"/>
          <a:ext cx="7042820" cy="3313086"/>
        </a:xfrm>
        <a:prstGeom prst="rect">
          <a:avLst/>
        </a:prstGeom>
      </xdr:spPr>
    </xdr:pic>
    <xdr:clientData/>
  </xdr:twoCellAnchor>
  <xdr:twoCellAnchor editAs="oneCell">
    <xdr:from>
      <xdr:col>20</xdr:col>
      <xdr:colOff>462645</xdr:colOff>
      <xdr:row>29</xdr:row>
      <xdr:rowOff>45628</xdr:rowOff>
    </xdr:from>
    <xdr:to>
      <xdr:col>36</xdr:col>
      <xdr:colOff>40823</xdr:colOff>
      <xdr:row>52</xdr:row>
      <xdr:rowOff>80975</xdr:rowOff>
    </xdr:to>
    <xdr:pic>
      <xdr:nvPicPr>
        <xdr:cNvPr id="9" name="Picture 8">
          <a:extLst>
            <a:ext uri="{FF2B5EF4-FFF2-40B4-BE49-F238E27FC236}">
              <a16:creationId xmlns:a16="http://schemas.microsoft.com/office/drawing/2014/main" xmlns="" id="{00000000-0008-0000-0F00-000009000000}"/>
            </a:ext>
          </a:extLst>
        </xdr:cNvPr>
        <xdr:cNvPicPr>
          <a:picLocks noChangeAspect="1"/>
        </xdr:cNvPicPr>
      </xdr:nvPicPr>
      <xdr:blipFill>
        <a:blip xmlns:r="http://schemas.openxmlformats.org/officeDocument/2006/relationships" r:embed="rId6"/>
        <a:stretch>
          <a:fillRect/>
        </a:stretch>
      </xdr:blipFill>
      <xdr:spPr>
        <a:xfrm>
          <a:off x="17457966" y="5951128"/>
          <a:ext cx="9606642" cy="4416847"/>
        </a:xfrm>
        <a:prstGeom prst="rect">
          <a:avLst/>
        </a:prstGeom>
      </xdr:spPr>
    </xdr:pic>
    <xdr:clientData/>
  </xdr:twoCellAnchor>
  <xdr:twoCellAnchor editAs="oneCell">
    <xdr:from>
      <xdr:col>20</xdr:col>
      <xdr:colOff>311727</xdr:colOff>
      <xdr:row>63</xdr:row>
      <xdr:rowOff>0</xdr:rowOff>
    </xdr:from>
    <xdr:to>
      <xdr:col>36</xdr:col>
      <xdr:colOff>9524</xdr:colOff>
      <xdr:row>92</xdr:row>
      <xdr:rowOff>180975</xdr:rowOff>
    </xdr:to>
    <xdr:pic>
      <xdr:nvPicPr>
        <xdr:cNvPr id="30" name="Picture 29" descr="Image result for feekes scale">
          <a:extLst>
            <a:ext uri="{FF2B5EF4-FFF2-40B4-BE49-F238E27FC236}">
              <a16:creationId xmlns:a16="http://schemas.microsoft.com/office/drawing/2014/main" xmlns="" id="{00000000-0008-0000-0F00-00001E000000}"/>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9742727" y="12382500"/>
          <a:ext cx="9655752" cy="57054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22</xdr:col>
      <xdr:colOff>32844</xdr:colOff>
      <xdr:row>11</xdr:row>
      <xdr:rowOff>177216</xdr:rowOff>
    </xdr:from>
    <xdr:to>
      <xdr:col>28</xdr:col>
      <xdr:colOff>13138</xdr:colOff>
      <xdr:row>22</xdr:row>
      <xdr:rowOff>59179</xdr:rowOff>
    </xdr:to>
    <xdr:sp macro="" textlink="">
      <xdr:nvSpPr>
        <xdr:cNvPr id="11" name="Freeform 10">
          <a:extLst>
            <a:ext uri="{FF2B5EF4-FFF2-40B4-BE49-F238E27FC236}">
              <a16:creationId xmlns:a16="http://schemas.microsoft.com/office/drawing/2014/main" xmlns="" id="{00000000-0008-0000-0F00-00000B000000}"/>
            </a:ext>
          </a:extLst>
        </xdr:cNvPr>
        <xdr:cNvSpPr/>
      </xdr:nvSpPr>
      <xdr:spPr>
        <a:xfrm>
          <a:off x="20683044" y="2653716"/>
          <a:ext cx="3714094" cy="1977463"/>
        </a:xfrm>
        <a:custGeom>
          <a:avLst/>
          <a:gdLst>
            <a:gd name="connsiteX0" fmla="*/ 0 w 3718035"/>
            <a:gd name="connsiteY0" fmla="*/ 2031480 h 2058761"/>
            <a:gd name="connsiteX1" fmla="*/ 748862 w 3718035"/>
            <a:gd name="connsiteY1" fmla="*/ 2038049 h 2058761"/>
            <a:gd name="connsiteX2" fmla="*/ 2108638 w 3718035"/>
            <a:gd name="connsiteY2" fmla="*/ 1801566 h 2058761"/>
            <a:gd name="connsiteX3" fmla="*/ 2896914 w 3718035"/>
            <a:gd name="connsiteY3" fmla="*/ 80497 h 2058761"/>
            <a:gd name="connsiteX4" fmla="*/ 3718035 w 3718035"/>
            <a:gd name="connsiteY4" fmla="*/ 441790 h 2058761"/>
            <a:gd name="connsiteX0" fmla="*/ 0 w 3718035"/>
            <a:gd name="connsiteY0" fmla="*/ 2031480 h 2049846"/>
            <a:gd name="connsiteX1" fmla="*/ 748862 w 3718035"/>
            <a:gd name="connsiteY1" fmla="*/ 2038049 h 2049846"/>
            <a:gd name="connsiteX2" fmla="*/ 2108638 w 3718035"/>
            <a:gd name="connsiteY2" fmla="*/ 1801566 h 2049846"/>
            <a:gd name="connsiteX3" fmla="*/ 2896914 w 3718035"/>
            <a:gd name="connsiteY3" fmla="*/ 80497 h 2049846"/>
            <a:gd name="connsiteX4" fmla="*/ 3718035 w 3718035"/>
            <a:gd name="connsiteY4" fmla="*/ 441790 h 2049846"/>
            <a:gd name="connsiteX0" fmla="*/ 0 w 3718035"/>
            <a:gd name="connsiteY0" fmla="*/ 2031480 h 2049846"/>
            <a:gd name="connsiteX1" fmla="*/ 748862 w 3718035"/>
            <a:gd name="connsiteY1" fmla="*/ 2038049 h 2049846"/>
            <a:gd name="connsiteX2" fmla="*/ 2108638 w 3718035"/>
            <a:gd name="connsiteY2" fmla="*/ 1801566 h 2049846"/>
            <a:gd name="connsiteX3" fmla="*/ 2896914 w 3718035"/>
            <a:gd name="connsiteY3" fmla="*/ 80497 h 2049846"/>
            <a:gd name="connsiteX4" fmla="*/ 3718035 w 3718035"/>
            <a:gd name="connsiteY4" fmla="*/ 441790 h 2049846"/>
            <a:gd name="connsiteX0" fmla="*/ 0 w 3718035"/>
            <a:gd name="connsiteY0" fmla="*/ 2032864 h 2053881"/>
            <a:gd name="connsiteX1" fmla="*/ 748862 w 3718035"/>
            <a:gd name="connsiteY1" fmla="*/ 2039433 h 2053881"/>
            <a:gd name="connsiteX2" fmla="*/ 1905000 w 3718035"/>
            <a:gd name="connsiteY2" fmla="*/ 1822657 h 2053881"/>
            <a:gd name="connsiteX3" fmla="*/ 2896914 w 3718035"/>
            <a:gd name="connsiteY3" fmla="*/ 81881 h 2053881"/>
            <a:gd name="connsiteX4" fmla="*/ 3718035 w 3718035"/>
            <a:gd name="connsiteY4" fmla="*/ 443174 h 2053881"/>
            <a:gd name="connsiteX0" fmla="*/ 0 w 3718035"/>
            <a:gd name="connsiteY0" fmla="*/ 1965184 h 1986201"/>
            <a:gd name="connsiteX1" fmla="*/ 748862 w 3718035"/>
            <a:gd name="connsiteY1" fmla="*/ 1971753 h 1986201"/>
            <a:gd name="connsiteX2" fmla="*/ 1905000 w 3718035"/>
            <a:gd name="connsiteY2" fmla="*/ 1754977 h 1986201"/>
            <a:gd name="connsiteX3" fmla="*/ 2896914 w 3718035"/>
            <a:gd name="connsiteY3" fmla="*/ 14201 h 1986201"/>
            <a:gd name="connsiteX4" fmla="*/ 3718035 w 3718035"/>
            <a:gd name="connsiteY4" fmla="*/ 375494 h 1986201"/>
            <a:gd name="connsiteX0" fmla="*/ 0 w 3718035"/>
            <a:gd name="connsiteY0" fmla="*/ 2016916 h 2054819"/>
            <a:gd name="connsiteX1" fmla="*/ 748862 w 3718035"/>
            <a:gd name="connsiteY1" fmla="*/ 2023485 h 2054819"/>
            <a:gd name="connsiteX2" fmla="*/ 2391291 w 3718035"/>
            <a:gd name="connsiteY2" fmla="*/ 1578109 h 2054819"/>
            <a:gd name="connsiteX3" fmla="*/ 2896914 w 3718035"/>
            <a:gd name="connsiteY3" fmla="*/ 65933 h 2054819"/>
            <a:gd name="connsiteX4" fmla="*/ 3718035 w 3718035"/>
            <a:gd name="connsiteY4" fmla="*/ 427226 h 2054819"/>
            <a:gd name="connsiteX0" fmla="*/ 0 w 3718035"/>
            <a:gd name="connsiteY0" fmla="*/ 2025094 h 2062997"/>
            <a:gd name="connsiteX1" fmla="*/ 748862 w 3718035"/>
            <a:gd name="connsiteY1" fmla="*/ 2031663 h 2062997"/>
            <a:gd name="connsiteX2" fmla="*/ 2391291 w 3718035"/>
            <a:gd name="connsiteY2" fmla="*/ 1586287 h 2062997"/>
            <a:gd name="connsiteX3" fmla="*/ 3259249 w 3718035"/>
            <a:gd name="connsiteY3" fmla="*/ 64586 h 2062997"/>
            <a:gd name="connsiteX4" fmla="*/ 3718035 w 3718035"/>
            <a:gd name="connsiteY4" fmla="*/ 435404 h 2062997"/>
            <a:gd name="connsiteX0" fmla="*/ 0 w 3718035"/>
            <a:gd name="connsiteY0" fmla="*/ 1961386 h 1999289"/>
            <a:gd name="connsiteX1" fmla="*/ 748862 w 3718035"/>
            <a:gd name="connsiteY1" fmla="*/ 1967955 h 1999289"/>
            <a:gd name="connsiteX2" fmla="*/ 2391291 w 3718035"/>
            <a:gd name="connsiteY2" fmla="*/ 1522579 h 1999289"/>
            <a:gd name="connsiteX3" fmla="*/ 3259249 w 3718035"/>
            <a:gd name="connsiteY3" fmla="*/ 878 h 1999289"/>
            <a:gd name="connsiteX4" fmla="*/ 3718035 w 3718035"/>
            <a:gd name="connsiteY4" fmla="*/ 371696 h 1999289"/>
            <a:gd name="connsiteX0" fmla="*/ 0 w 3718035"/>
            <a:gd name="connsiteY0" fmla="*/ 1961386 h 1968011"/>
            <a:gd name="connsiteX1" fmla="*/ 748862 w 3718035"/>
            <a:gd name="connsiteY1" fmla="*/ 1967955 h 1968011"/>
            <a:gd name="connsiteX2" fmla="*/ 2391291 w 3718035"/>
            <a:gd name="connsiteY2" fmla="*/ 1522579 h 1968011"/>
            <a:gd name="connsiteX3" fmla="*/ 3259249 w 3718035"/>
            <a:gd name="connsiteY3" fmla="*/ 878 h 1968011"/>
            <a:gd name="connsiteX4" fmla="*/ 3718035 w 3718035"/>
            <a:gd name="connsiteY4" fmla="*/ 371696 h 1968011"/>
            <a:gd name="connsiteX0" fmla="*/ 0 w 3718035"/>
            <a:gd name="connsiteY0" fmla="*/ 1951947 h 1958572"/>
            <a:gd name="connsiteX1" fmla="*/ 748862 w 3718035"/>
            <a:gd name="connsiteY1" fmla="*/ 1958516 h 1958572"/>
            <a:gd name="connsiteX2" fmla="*/ 2391291 w 3718035"/>
            <a:gd name="connsiteY2" fmla="*/ 1513140 h 1958572"/>
            <a:gd name="connsiteX3" fmla="*/ 3259249 w 3718035"/>
            <a:gd name="connsiteY3" fmla="*/ 964 h 1958572"/>
            <a:gd name="connsiteX4" fmla="*/ 3718035 w 3718035"/>
            <a:gd name="connsiteY4" fmla="*/ 362257 h 1958572"/>
            <a:gd name="connsiteX0" fmla="*/ 0 w 3718035"/>
            <a:gd name="connsiteY0" fmla="*/ 1970837 h 1977463"/>
            <a:gd name="connsiteX1" fmla="*/ 748862 w 3718035"/>
            <a:gd name="connsiteY1" fmla="*/ 1977406 h 1977463"/>
            <a:gd name="connsiteX2" fmla="*/ 2391291 w 3718035"/>
            <a:gd name="connsiteY2" fmla="*/ 1532030 h 1977463"/>
            <a:gd name="connsiteX3" fmla="*/ 3230643 w 3718035"/>
            <a:gd name="connsiteY3" fmla="*/ 804 h 1977463"/>
            <a:gd name="connsiteX4" fmla="*/ 3718035 w 3718035"/>
            <a:gd name="connsiteY4" fmla="*/ 381147 h 1977463"/>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3718035" h="1977463">
              <a:moveTo>
                <a:pt x="0" y="1970837"/>
              </a:moveTo>
              <a:lnTo>
                <a:pt x="748862" y="1977406"/>
              </a:lnTo>
              <a:cubicBezTo>
                <a:pt x="1128339" y="1980472"/>
                <a:pt x="1977661" y="1861464"/>
                <a:pt x="2391291" y="1532030"/>
              </a:cubicBezTo>
              <a:cubicBezTo>
                <a:pt x="2804921" y="1202596"/>
                <a:pt x="2952308" y="11643"/>
                <a:pt x="3230643" y="804"/>
              </a:cubicBezTo>
              <a:cubicBezTo>
                <a:pt x="3508978" y="-10035"/>
                <a:pt x="3441591" y="87186"/>
                <a:pt x="3718035" y="381147"/>
              </a:cubicBezTo>
            </a:path>
          </a:pathLst>
        </a:cu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35</xdr:col>
      <xdr:colOff>78441</xdr:colOff>
      <xdr:row>10</xdr:row>
      <xdr:rowOff>173935</xdr:rowOff>
    </xdr:from>
    <xdr:to>
      <xdr:col>41</xdr:col>
      <xdr:colOff>0</xdr:colOff>
      <xdr:row>21</xdr:row>
      <xdr:rowOff>55898</xdr:rowOff>
    </xdr:to>
    <xdr:sp macro="" textlink="">
      <xdr:nvSpPr>
        <xdr:cNvPr id="17" name="Freeform 16">
          <a:extLst>
            <a:ext uri="{FF2B5EF4-FFF2-40B4-BE49-F238E27FC236}">
              <a16:creationId xmlns:a16="http://schemas.microsoft.com/office/drawing/2014/main" xmlns="" id="{00000000-0008-0000-0F00-000011000000}"/>
            </a:ext>
          </a:extLst>
        </xdr:cNvPr>
        <xdr:cNvSpPr/>
      </xdr:nvSpPr>
      <xdr:spPr>
        <a:xfrm>
          <a:off x="28821529" y="2459935"/>
          <a:ext cx="3552265" cy="1977463"/>
        </a:xfrm>
        <a:custGeom>
          <a:avLst/>
          <a:gdLst>
            <a:gd name="connsiteX0" fmla="*/ 0 w 3718035"/>
            <a:gd name="connsiteY0" fmla="*/ 2031480 h 2058761"/>
            <a:gd name="connsiteX1" fmla="*/ 748862 w 3718035"/>
            <a:gd name="connsiteY1" fmla="*/ 2038049 h 2058761"/>
            <a:gd name="connsiteX2" fmla="*/ 2108638 w 3718035"/>
            <a:gd name="connsiteY2" fmla="*/ 1801566 h 2058761"/>
            <a:gd name="connsiteX3" fmla="*/ 2896914 w 3718035"/>
            <a:gd name="connsiteY3" fmla="*/ 80497 h 2058761"/>
            <a:gd name="connsiteX4" fmla="*/ 3718035 w 3718035"/>
            <a:gd name="connsiteY4" fmla="*/ 441790 h 2058761"/>
            <a:gd name="connsiteX0" fmla="*/ 0 w 3718035"/>
            <a:gd name="connsiteY0" fmla="*/ 2031480 h 2049846"/>
            <a:gd name="connsiteX1" fmla="*/ 748862 w 3718035"/>
            <a:gd name="connsiteY1" fmla="*/ 2038049 h 2049846"/>
            <a:gd name="connsiteX2" fmla="*/ 2108638 w 3718035"/>
            <a:gd name="connsiteY2" fmla="*/ 1801566 h 2049846"/>
            <a:gd name="connsiteX3" fmla="*/ 2896914 w 3718035"/>
            <a:gd name="connsiteY3" fmla="*/ 80497 h 2049846"/>
            <a:gd name="connsiteX4" fmla="*/ 3718035 w 3718035"/>
            <a:gd name="connsiteY4" fmla="*/ 441790 h 2049846"/>
            <a:gd name="connsiteX0" fmla="*/ 0 w 3718035"/>
            <a:gd name="connsiteY0" fmla="*/ 2031480 h 2049846"/>
            <a:gd name="connsiteX1" fmla="*/ 748862 w 3718035"/>
            <a:gd name="connsiteY1" fmla="*/ 2038049 h 2049846"/>
            <a:gd name="connsiteX2" fmla="*/ 2108638 w 3718035"/>
            <a:gd name="connsiteY2" fmla="*/ 1801566 h 2049846"/>
            <a:gd name="connsiteX3" fmla="*/ 2896914 w 3718035"/>
            <a:gd name="connsiteY3" fmla="*/ 80497 h 2049846"/>
            <a:gd name="connsiteX4" fmla="*/ 3718035 w 3718035"/>
            <a:gd name="connsiteY4" fmla="*/ 441790 h 2049846"/>
            <a:gd name="connsiteX0" fmla="*/ 0 w 3718035"/>
            <a:gd name="connsiteY0" fmla="*/ 2032864 h 2053881"/>
            <a:gd name="connsiteX1" fmla="*/ 748862 w 3718035"/>
            <a:gd name="connsiteY1" fmla="*/ 2039433 h 2053881"/>
            <a:gd name="connsiteX2" fmla="*/ 1905000 w 3718035"/>
            <a:gd name="connsiteY2" fmla="*/ 1822657 h 2053881"/>
            <a:gd name="connsiteX3" fmla="*/ 2896914 w 3718035"/>
            <a:gd name="connsiteY3" fmla="*/ 81881 h 2053881"/>
            <a:gd name="connsiteX4" fmla="*/ 3718035 w 3718035"/>
            <a:gd name="connsiteY4" fmla="*/ 443174 h 2053881"/>
            <a:gd name="connsiteX0" fmla="*/ 0 w 3718035"/>
            <a:gd name="connsiteY0" fmla="*/ 1965184 h 1986201"/>
            <a:gd name="connsiteX1" fmla="*/ 748862 w 3718035"/>
            <a:gd name="connsiteY1" fmla="*/ 1971753 h 1986201"/>
            <a:gd name="connsiteX2" fmla="*/ 1905000 w 3718035"/>
            <a:gd name="connsiteY2" fmla="*/ 1754977 h 1986201"/>
            <a:gd name="connsiteX3" fmla="*/ 2896914 w 3718035"/>
            <a:gd name="connsiteY3" fmla="*/ 14201 h 1986201"/>
            <a:gd name="connsiteX4" fmla="*/ 3718035 w 3718035"/>
            <a:gd name="connsiteY4" fmla="*/ 375494 h 1986201"/>
            <a:gd name="connsiteX0" fmla="*/ 0 w 3718035"/>
            <a:gd name="connsiteY0" fmla="*/ 2016916 h 2054819"/>
            <a:gd name="connsiteX1" fmla="*/ 748862 w 3718035"/>
            <a:gd name="connsiteY1" fmla="*/ 2023485 h 2054819"/>
            <a:gd name="connsiteX2" fmla="*/ 2391291 w 3718035"/>
            <a:gd name="connsiteY2" fmla="*/ 1578109 h 2054819"/>
            <a:gd name="connsiteX3" fmla="*/ 2896914 w 3718035"/>
            <a:gd name="connsiteY3" fmla="*/ 65933 h 2054819"/>
            <a:gd name="connsiteX4" fmla="*/ 3718035 w 3718035"/>
            <a:gd name="connsiteY4" fmla="*/ 427226 h 2054819"/>
            <a:gd name="connsiteX0" fmla="*/ 0 w 3718035"/>
            <a:gd name="connsiteY0" fmla="*/ 2025094 h 2062997"/>
            <a:gd name="connsiteX1" fmla="*/ 748862 w 3718035"/>
            <a:gd name="connsiteY1" fmla="*/ 2031663 h 2062997"/>
            <a:gd name="connsiteX2" fmla="*/ 2391291 w 3718035"/>
            <a:gd name="connsiteY2" fmla="*/ 1586287 h 2062997"/>
            <a:gd name="connsiteX3" fmla="*/ 3259249 w 3718035"/>
            <a:gd name="connsiteY3" fmla="*/ 64586 h 2062997"/>
            <a:gd name="connsiteX4" fmla="*/ 3718035 w 3718035"/>
            <a:gd name="connsiteY4" fmla="*/ 435404 h 2062997"/>
            <a:gd name="connsiteX0" fmla="*/ 0 w 3718035"/>
            <a:gd name="connsiteY0" fmla="*/ 1961386 h 1999289"/>
            <a:gd name="connsiteX1" fmla="*/ 748862 w 3718035"/>
            <a:gd name="connsiteY1" fmla="*/ 1967955 h 1999289"/>
            <a:gd name="connsiteX2" fmla="*/ 2391291 w 3718035"/>
            <a:gd name="connsiteY2" fmla="*/ 1522579 h 1999289"/>
            <a:gd name="connsiteX3" fmla="*/ 3259249 w 3718035"/>
            <a:gd name="connsiteY3" fmla="*/ 878 h 1999289"/>
            <a:gd name="connsiteX4" fmla="*/ 3718035 w 3718035"/>
            <a:gd name="connsiteY4" fmla="*/ 371696 h 1999289"/>
            <a:gd name="connsiteX0" fmla="*/ 0 w 3718035"/>
            <a:gd name="connsiteY0" fmla="*/ 1961386 h 1968011"/>
            <a:gd name="connsiteX1" fmla="*/ 748862 w 3718035"/>
            <a:gd name="connsiteY1" fmla="*/ 1967955 h 1968011"/>
            <a:gd name="connsiteX2" fmla="*/ 2391291 w 3718035"/>
            <a:gd name="connsiteY2" fmla="*/ 1522579 h 1968011"/>
            <a:gd name="connsiteX3" fmla="*/ 3259249 w 3718035"/>
            <a:gd name="connsiteY3" fmla="*/ 878 h 1968011"/>
            <a:gd name="connsiteX4" fmla="*/ 3718035 w 3718035"/>
            <a:gd name="connsiteY4" fmla="*/ 371696 h 1968011"/>
            <a:gd name="connsiteX0" fmla="*/ 0 w 3718035"/>
            <a:gd name="connsiteY0" fmla="*/ 1951947 h 1958572"/>
            <a:gd name="connsiteX1" fmla="*/ 748862 w 3718035"/>
            <a:gd name="connsiteY1" fmla="*/ 1958516 h 1958572"/>
            <a:gd name="connsiteX2" fmla="*/ 2391291 w 3718035"/>
            <a:gd name="connsiteY2" fmla="*/ 1513140 h 1958572"/>
            <a:gd name="connsiteX3" fmla="*/ 3259249 w 3718035"/>
            <a:gd name="connsiteY3" fmla="*/ 964 h 1958572"/>
            <a:gd name="connsiteX4" fmla="*/ 3718035 w 3718035"/>
            <a:gd name="connsiteY4" fmla="*/ 362257 h 1958572"/>
            <a:gd name="connsiteX0" fmla="*/ 0 w 3718035"/>
            <a:gd name="connsiteY0" fmla="*/ 1970837 h 1977463"/>
            <a:gd name="connsiteX1" fmla="*/ 748862 w 3718035"/>
            <a:gd name="connsiteY1" fmla="*/ 1977406 h 1977463"/>
            <a:gd name="connsiteX2" fmla="*/ 2391291 w 3718035"/>
            <a:gd name="connsiteY2" fmla="*/ 1532030 h 1977463"/>
            <a:gd name="connsiteX3" fmla="*/ 3230643 w 3718035"/>
            <a:gd name="connsiteY3" fmla="*/ 804 h 1977463"/>
            <a:gd name="connsiteX4" fmla="*/ 3718035 w 3718035"/>
            <a:gd name="connsiteY4" fmla="*/ 381147 h 1977463"/>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3718035" h="1977463">
              <a:moveTo>
                <a:pt x="0" y="1970837"/>
              </a:moveTo>
              <a:lnTo>
                <a:pt x="748862" y="1977406"/>
              </a:lnTo>
              <a:cubicBezTo>
                <a:pt x="1128339" y="1980472"/>
                <a:pt x="1977661" y="1861464"/>
                <a:pt x="2391291" y="1532030"/>
              </a:cubicBezTo>
              <a:cubicBezTo>
                <a:pt x="2804921" y="1202596"/>
                <a:pt x="2952308" y="11643"/>
                <a:pt x="3230643" y="804"/>
              </a:cubicBezTo>
              <a:cubicBezTo>
                <a:pt x="3508978" y="-10035"/>
                <a:pt x="3441591" y="87186"/>
                <a:pt x="3718035" y="381147"/>
              </a:cubicBezTo>
            </a:path>
          </a:pathLst>
        </a:cu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46.xml><?xml version="1.0" encoding="utf-8"?>
<c:userShapes xmlns:c="http://schemas.openxmlformats.org/drawingml/2006/chart">
  <cdr:relSizeAnchor xmlns:cdr="http://schemas.openxmlformats.org/drawingml/2006/chartDrawing">
    <cdr:from>
      <cdr:x>0.6832</cdr:x>
      <cdr:y>0.11773</cdr:y>
    </cdr:from>
    <cdr:to>
      <cdr:x>0.76949</cdr:x>
      <cdr:y>0.21329</cdr:y>
    </cdr:to>
    <cdr:sp macro="" textlink="">
      <cdr:nvSpPr>
        <cdr:cNvPr id="2" name="Left Brace 1"/>
        <cdr:cNvSpPr/>
      </cdr:nvSpPr>
      <cdr:spPr>
        <a:xfrm xmlns:a="http://schemas.openxmlformats.org/drawingml/2006/main" rot="5400000">
          <a:off x="3239609" y="253800"/>
          <a:ext cx="262164" cy="400456"/>
        </a:xfrm>
        <a:prstGeom xmlns:a="http://schemas.openxmlformats.org/drawingml/2006/main" prst="leftBrace">
          <a:avLst/>
        </a:prstGeom>
      </cdr:spPr>
      <cdr:style>
        <a:lnRef xmlns:a="http://schemas.openxmlformats.org/drawingml/2006/main" idx="1">
          <a:schemeClr val="dk1"/>
        </a:lnRef>
        <a:fillRef xmlns:a="http://schemas.openxmlformats.org/drawingml/2006/main" idx="0">
          <a:schemeClr val="dk1"/>
        </a:fillRef>
        <a:effectRef xmlns:a="http://schemas.openxmlformats.org/drawingml/2006/main" idx="0">
          <a:schemeClr val="dk1"/>
        </a:effectRef>
        <a:fontRef xmlns:a="http://schemas.openxmlformats.org/drawingml/2006/main" idx="minor">
          <a:schemeClr val="tx1"/>
        </a:fontRef>
      </cdr:style>
      <cdr:txBody>
        <a:bodyPr xmlns:a="http://schemas.openxmlformats.org/drawingml/2006/main" rtlCol="0" anchor="t"/>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endParaRPr lang="en-US"/>
        </a:p>
      </cdr:txBody>
    </cdr:sp>
  </cdr:relSizeAnchor>
  <cdr:relSizeAnchor xmlns:cdr="http://schemas.openxmlformats.org/drawingml/2006/chartDrawing">
    <cdr:from>
      <cdr:x>0.28364</cdr:x>
      <cdr:y>0.61872</cdr:y>
    </cdr:from>
    <cdr:to>
      <cdr:x>0.39878</cdr:x>
      <cdr:y>0.71429</cdr:y>
    </cdr:to>
    <cdr:sp macro="" textlink="">
      <cdr:nvSpPr>
        <cdr:cNvPr id="3" name="Left Brace 2"/>
        <cdr:cNvSpPr/>
      </cdr:nvSpPr>
      <cdr:spPr>
        <a:xfrm xmlns:a="http://schemas.openxmlformats.org/drawingml/2006/main" rot="5400000">
          <a:off x="1452335" y="1561192"/>
          <a:ext cx="262165" cy="534308"/>
        </a:xfrm>
        <a:prstGeom xmlns:a="http://schemas.openxmlformats.org/drawingml/2006/main" prst="leftBrace">
          <a:avLst/>
        </a:prstGeom>
      </cdr:spPr>
      <cdr:style>
        <a:lnRef xmlns:a="http://schemas.openxmlformats.org/drawingml/2006/main" idx="1">
          <a:schemeClr val="dk1"/>
        </a:lnRef>
        <a:fillRef xmlns:a="http://schemas.openxmlformats.org/drawingml/2006/main" idx="0">
          <a:schemeClr val="dk1"/>
        </a:fillRef>
        <a:effectRef xmlns:a="http://schemas.openxmlformats.org/drawingml/2006/main" idx="0">
          <a:schemeClr val="dk1"/>
        </a:effectRef>
        <a:fontRef xmlns:a="http://schemas.openxmlformats.org/drawingml/2006/main" idx="minor">
          <a:schemeClr val="tx1"/>
        </a:fontRef>
      </cdr:style>
      <cdr:txBody>
        <a:bodyPr xmlns:a="http://schemas.openxmlformats.org/drawingml/2006/main" rtlCol="0" anchor="t"/>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endParaRPr lang="en-US"/>
        </a:p>
      </cdr:txBody>
    </cdr:sp>
  </cdr:relSizeAnchor>
  <cdr:relSizeAnchor xmlns:cdr="http://schemas.openxmlformats.org/drawingml/2006/chartDrawing">
    <cdr:from>
      <cdr:x>0.26018</cdr:x>
      <cdr:y>0.50959</cdr:y>
    </cdr:from>
    <cdr:to>
      <cdr:x>0.45582</cdr:x>
      <cdr:y>0.61593</cdr:y>
    </cdr:to>
    <cdr:sp macro="" textlink="">
      <cdr:nvSpPr>
        <cdr:cNvPr id="4" name="TextBox 15"/>
        <cdr:cNvSpPr txBox="1"/>
      </cdr:nvSpPr>
      <cdr:spPr>
        <a:xfrm xmlns:a="http://schemas.openxmlformats.org/drawingml/2006/main">
          <a:off x="1207407" y="1397908"/>
          <a:ext cx="907877" cy="291704"/>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000" b="1">
              <a:latin typeface="Arial" panose="020B0604020202020204" pitchFamily="34" charset="0"/>
              <a:cs typeface="Arial" panose="020B0604020202020204" pitchFamily="34" charset="0"/>
            </a:rPr>
            <a:t>Tillering</a:t>
          </a:r>
        </a:p>
      </cdr:txBody>
    </cdr:sp>
  </cdr:relSizeAnchor>
  <cdr:relSizeAnchor xmlns:cdr="http://schemas.openxmlformats.org/drawingml/2006/chartDrawing">
    <cdr:from>
      <cdr:x>0.41009</cdr:x>
      <cdr:y>0.13283</cdr:y>
    </cdr:from>
    <cdr:to>
      <cdr:x>0.67985</cdr:x>
      <cdr:y>0.23336</cdr:y>
    </cdr:to>
    <cdr:sp macro="" textlink="">
      <cdr:nvSpPr>
        <cdr:cNvPr id="5" name="TextBox 15"/>
        <cdr:cNvSpPr txBox="1"/>
      </cdr:nvSpPr>
      <cdr:spPr>
        <a:xfrm xmlns:a="http://schemas.openxmlformats.org/drawingml/2006/main">
          <a:off x="1900011" y="364384"/>
          <a:ext cx="1249855" cy="275771"/>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000" b="1">
              <a:latin typeface="Arial" panose="020B0604020202020204" pitchFamily="34" charset="0"/>
              <a:cs typeface="Arial" panose="020B0604020202020204" pitchFamily="34" charset="0"/>
            </a:rPr>
            <a:t>Stem elongation</a:t>
          </a:r>
        </a:p>
      </cdr:txBody>
    </cdr:sp>
  </cdr:relSizeAnchor>
  <cdr:relSizeAnchor xmlns:cdr="http://schemas.openxmlformats.org/drawingml/2006/chartDrawing">
    <cdr:from>
      <cdr:x>0.44574</cdr:x>
      <cdr:y>0.23852</cdr:y>
    </cdr:from>
    <cdr:to>
      <cdr:x>0.64791</cdr:x>
      <cdr:y>0.31046</cdr:y>
    </cdr:to>
    <cdr:sp macro="" textlink="">
      <cdr:nvSpPr>
        <cdr:cNvPr id="6" name="Left Brace 5"/>
        <cdr:cNvSpPr/>
      </cdr:nvSpPr>
      <cdr:spPr>
        <a:xfrm xmlns:a="http://schemas.openxmlformats.org/drawingml/2006/main" rot="5400000">
          <a:off x="2417055" y="287940"/>
          <a:ext cx="197327" cy="930087"/>
        </a:xfrm>
        <a:prstGeom xmlns:a="http://schemas.openxmlformats.org/drawingml/2006/main" prst="leftBrace">
          <a:avLst/>
        </a:prstGeom>
      </cdr:spPr>
      <cdr:style>
        <a:lnRef xmlns:a="http://schemas.openxmlformats.org/drawingml/2006/main" idx="1">
          <a:schemeClr val="dk1"/>
        </a:lnRef>
        <a:fillRef xmlns:a="http://schemas.openxmlformats.org/drawingml/2006/main" idx="0">
          <a:schemeClr val="dk1"/>
        </a:fillRef>
        <a:effectRef xmlns:a="http://schemas.openxmlformats.org/drawingml/2006/main" idx="0">
          <a:schemeClr val="dk1"/>
        </a:effectRef>
        <a:fontRef xmlns:a="http://schemas.openxmlformats.org/drawingml/2006/main" idx="minor">
          <a:schemeClr val="tx1"/>
        </a:fontRef>
      </cdr:style>
      <cdr:txBody>
        <a:bodyPr xmlns:a="http://schemas.openxmlformats.org/drawingml/2006/main" rtlCol="0" anchor="t"/>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endParaRPr lang="en-US"/>
        </a:p>
      </cdr:txBody>
    </cdr:sp>
  </cdr:relSizeAnchor>
</c:userShapes>
</file>

<file path=xl/drawings/drawing47.xml><?xml version="1.0" encoding="utf-8"?>
<c:userShapes xmlns:c="http://schemas.openxmlformats.org/drawingml/2006/chart">
  <cdr:relSizeAnchor xmlns:cdr="http://schemas.openxmlformats.org/drawingml/2006/chartDrawing">
    <cdr:from>
      <cdr:x>0.68649</cdr:x>
      <cdr:y>0.11085</cdr:y>
    </cdr:from>
    <cdr:to>
      <cdr:x>0.77618</cdr:x>
      <cdr:y>0.16447</cdr:y>
    </cdr:to>
    <cdr:sp macro="" textlink="">
      <cdr:nvSpPr>
        <cdr:cNvPr id="3" name="Left Brace 2"/>
        <cdr:cNvSpPr/>
      </cdr:nvSpPr>
      <cdr:spPr>
        <a:xfrm xmlns:a="http://schemas.openxmlformats.org/drawingml/2006/main" rot="5400000">
          <a:off x="3270091" y="172588"/>
          <a:ext cx="147112" cy="410085"/>
        </a:xfrm>
        <a:prstGeom xmlns:a="http://schemas.openxmlformats.org/drawingml/2006/main" prst="leftBrace">
          <a:avLst/>
        </a:prstGeom>
      </cdr:spPr>
      <cdr:style>
        <a:lnRef xmlns:a="http://schemas.openxmlformats.org/drawingml/2006/main" idx="1">
          <a:schemeClr val="dk1"/>
        </a:lnRef>
        <a:fillRef xmlns:a="http://schemas.openxmlformats.org/drawingml/2006/main" idx="0">
          <a:schemeClr val="dk1"/>
        </a:fillRef>
        <a:effectRef xmlns:a="http://schemas.openxmlformats.org/drawingml/2006/main" idx="0">
          <a:schemeClr val="dk1"/>
        </a:effectRef>
        <a:fontRef xmlns:a="http://schemas.openxmlformats.org/drawingml/2006/main" idx="minor">
          <a:schemeClr val="tx1"/>
        </a:fontRef>
      </cdr:style>
      <cdr:txBody>
        <a:bodyPr xmlns:a="http://schemas.openxmlformats.org/drawingml/2006/main" rtlCol="0" anchor="t"/>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endParaRPr lang="en-US"/>
        </a:p>
      </cdr:txBody>
    </cdr:sp>
  </cdr:relSizeAnchor>
  <cdr:relSizeAnchor xmlns:cdr="http://schemas.openxmlformats.org/drawingml/2006/chartDrawing">
    <cdr:from>
      <cdr:x>0.45501</cdr:x>
      <cdr:y>0.35757</cdr:y>
    </cdr:from>
    <cdr:to>
      <cdr:x>0.66077</cdr:x>
      <cdr:y>0.4295</cdr:y>
    </cdr:to>
    <cdr:sp macro="" textlink="">
      <cdr:nvSpPr>
        <cdr:cNvPr id="4" name="Left Brace 3"/>
        <cdr:cNvSpPr/>
      </cdr:nvSpPr>
      <cdr:spPr>
        <a:xfrm xmlns:a="http://schemas.openxmlformats.org/drawingml/2006/main" rot="5400000">
          <a:off x="2423033" y="614508"/>
          <a:ext cx="197327" cy="930087"/>
        </a:xfrm>
        <a:prstGeom xmlns:a="http://schemas.openxmlformats.org/drawingml/2006/main" prst="leftBrace">
          <a:avLst/>
        </a:prstGeom>
      </cdr:spPr>
      <cdr:style>
        <a:lnRef xmlns:a="http://schemas.openxmlformats.org/drawingml/2006/main" idx="1">
          <a:schemeClr val="dk1"/>
        </a:lnRef>
        <a:fillRef xmlns:a="http://schemas.openxmlformats.org/drawingml/2006/main" idx="0">
          <a:schemeClr val="dk1"/>
        </a:fillRef>
        <a:effectRef xmlns:a="http://schemas.openxmlformats.org/drawingml/2006/main" idx="0">
          <a:schemeClr val="dk1"/>
        </a:effectRef>
        <a:fontRef xmlns:a="http://schemas.openxmlformats.org/drawingml/2006/main" idx="minor">
          <a:schemeClr val="tx1"/>
        </a:fontRef>
      </cdr:style>
      <cdr:txBody>
        <a:bodyPr xmlns:a="http://schemas.openxmlformats.org/drawingml/2006/main" rtlCol="0" anchor="t"/>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endParaRPr lang="en-US"/>
        </a:p>
      </cdr:txBody>
    </cdr:sp>
  </cdr:relSizeAnchor>
  <cdr:relSizeAnchor xmlns:cdr="http://schemas.openxmlformats.org/drawingml/2006/chartDrawing">
    <cdr:from>
      <cdr:x>0.29386</cdr:x>
      <cdr:y>0.63535</cdr:y>
    </cdr:from>
    <cdr:to>
      <cdr:x>0.4557</cdr:x>
      <cdr:y>0.71078</cdr:y>
    </cdr:to>
    <cdr:sp macro="" textlink="">
      <cdr:nvSpPr>
        <cdr:cNvPr id="5" name="Left Brace 4"/>
        <cdr:cNvSpPr/>
      </cdr:nvSpPr>
      <cdr:spPr>
        <a:xfrm xmlns:a="http://schemas.openxmlformats.org/drawingml/2006/main" rot="5400000">
          <a:off x="1590558" y="1480601"/>
          <a:ext cx="206935" cy="731511"/>
        </a:xfrm>
        <a:prstGeom xmlns:a="http://schemas.openxmlformats.org/drawingml/2006/main" prst="leftBrace">
          <a:avLst/>
        </a:prstGeom>
      </cdr:spPr>
      <cdr:style>
        <a:lnRef xmlns:a="http://schemas.openxmlformats.org/drawingml/2006/main" idx="1">
          <a:schemeClr val="dk1"/>
        </a:lnRef>
        <a:fillRef xmlns:a="http://schemas.openxmlformats.org/drawingml/2006/main" idx="0">
          <a:schemeClr val="dk1"/>
        </a:fillRef>
        <a:effectRef xmlns:a="http://schemas.openxmlformats.org/drawingml/2006/main" idx="0">
          <a:schemeClr val="dk1"/>
        </a:effectRef>
        <a:fontRef xmlns:a="http://schemas.openxmlformats.org/drawingml/2006/main" idx="minor">
          <a:schemeClr val="tx1"/>
        </a:fontRef>
      </cdr:style>
      <cdr:txBody>
        <a:bodyPr xmlns:a="http://schemas.openxmlformats.org/drawingml/2006/main" rtlCol="0" anchor="t"/>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endParaRPr lang="en-US"/>
        </a:p>
      </cdr:txBody>
    </cdr:sp>
  </cdr:relSizeAnchor>
</c:userShapes>
</file>

<file path=xl/drawings/drawing48.xml><?xml version="1.0" encoding="utf-8"?>
<xdr:wsDr xmlns:xdr="http://schemas.openxmlformats.org/drawingml/2006/spreadsheetDrawing" xmlns:a="http://schemas.openxmlformats.org/drawingml/2006/main">
  <xdr:twoCellAnchor editAs="oneCell">
    <xdr:from>
      <xdr:col>0</xdr:col>
      <xdr:colOff>0</xdr:colOff>
      <xdr:row>91</xdr:row>
      <xdr:rowOff>69272</xdr:rowOff>
    </xdr:from>
    <xdr:to>
      <xdr:col>8</xdr:col>
      <xdr:colOff>484741</xdr:colOff>
      <xdr:row>125</xdr:row>
      <xdr:rowOff>20844</xdr:rowOff>
    </xdr:to>
    <xdr:pic>
      <xdr:nvPicPr>
        <xdr:cNvPr id="2" name="Picture 1">
          <a:extLst>
            <a:ext uri="{FF2B5EF4-FFF2-40B4-BE49-F238E27FC236}">
              <a16:creationId xmlns:a16="http://schemas.microsoft.com/office/drawing/2014/main" xmlns="" id="{00000000-0008-0000-1000-000002000000}"/>
            </a:ext>
          </a:extLst>
        </xdr:cNvPr>
        <xdr:cNvPicPr>
          <a:picLocks noChangeAspect="1"/>
        </xdr:cNvPicPr>
      </xdr:nvPicPr>
      <xdr:blipFill>
        <a:blip xmlns:r="http://schemas.openxmlformats.org/officeDocument/2006/relationships" r:embed="rId1"/>
        <a:stretch>
          <a:fillRect/>
        </a:stretch>
      </xdr:blipFill>
      <xdr:spPr>
        <a:xfrm>
          <a:off x="0" y="17785772"/>
          <a:ext cx="8277923" cy="6428572"/>
        </a:xfrm>
        <a:prstGeom prst="rect">
          <a:avLst/>
        </a:prstGeom>
      </xdr:spPr>
    </xdr:pic>
    <xdr:clientData/>
  </xdr:twoCellAnchor>
  <xdr:twoCellAnchor>
    <xdr:from>
      <xdr:col>20</xdr:col>
      <xdr:colOff>535845</xdr:colOff>
      <xdr:row>11</xdr:row>
      <xdr:rowOff>53075</xdr:rowOff>
    </xdr:from>
    <xdr:to>
      <xdr:col>28</xdr:col>
      <xdr:colOff>259772</xdr:colOff>
      <xdr:row>25</xdr:row>
      <xdr:rowOff>129275</xdr:rowOff>
    </xdr:to>
    <xdr:graphicFrame macro="">
      <xdr:nvGraphicFramePr>
        <xdr:cNvPr id="4" name="Chart 3">
          <a:extLst>
            <a:ext uri="{FF2B5EF4-FFF2-40B4-BE49-F238E27FC236}">
              <a16:creationId xmlns:a16="http://schemas.microsoft.com/office/drawing/2014/main" xmlns="" id="{00000000-0008-0000-10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22</xdr:col>
      <xdr:colOff>549236</xdr:colOff>
      <xdr:row>44</xdr:row>
      <xdr:rowOff>0</xdr:rowOff>
    </xdr:from>
    <xdr:to>
      <xdr:col>38</xdr:col>
      <xdr:colOff>268435</xdr:colOff>
      <xdr:row>67</xdr:row>
      <xdr:rowOff>35347</xdr:rowOff>
    </xdr:to>
    <xdr:pic>
      <xdr:nvPicPr>
        <xdr:cNvPr id="5" name="Picture 4">
          <a:extLst>
            <a:ext uri="{FF2B5EF4-FFF2-40B4-BE49-F238E27FC236}">
              <a16:creationId xmlns:a16="http://schemas.microsoft.com/office/drawing/2014/main" xmlns="" id="{00000000-0008-0000-1000-000005000000}"/>
            </a:ext>
          </a:extLst>
        </xdr:cNvPr>
        <xdr:cNvPicPr>
          <a:picLocks noChangeAspect="1"/>
        </xdr:cNvPicPr>
      </xdr:nvPicPr>
      <xdr:blipFill>
        <a:blip xmlns:r="http://schemas.openxmlformats.org/officeDocument/2006/relationships" r:embed="rId3"/>
        <a:stretch>
          <a:fillRect/>
        </a:stretch>
      </xdr:blipFill>
      <xdr:spPr>
        <a:xfrm>
          <a:off x="21192509" y="8763000"/>
          <a:ext cx="9443358" cy="4416847"/>
        </a:xfrm>
        <a:prstGeom prst="rect">
          <a:avLst/>
        </a:prstGeom>
      </xdr:spPr>
    </xdr:pic>
    <xdr:clientData/>
  </xdr:twoCellAnchor>
  <xdr:twoCellAnchor editAs="oneCell">
    <xdr:from>
      <xdr:col>22</xdr:col>
      <xdr:colOff>112570</xdr:colOff>
      <xdr:row>68</xdr:row>
      <xdr:rowOff>36015</xdr:rowOff>
    </xdr:from>
    <xdr:to>
      <xdr:col>37</xdr:col>
      <xdr:colOff>525362</xdr:colOff>
      <xdr:row>98</xdr:row>
      <xdr:rowOff>26490</xdr:rowOff>
    </xdr:to>
    <xdr:pic>
      <xdr:nvPicPr>
        <xdr:cNvPr id="6" name="Picture 5" descr="Image result for feekes scale">
          <a:extLst>
            <a:ext uri="{FF2B5EF4-FFF2-40B4-BE49-F238E27FC236}">
              <a16:creationId xmlns:a16="http://schemas.microsoft.com/office/drawing/2014/main" xmlns="" id="{00000000-0008-0000-1000-000006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0836249" y="13371015"/>
          <a:ext cx="9624827" cy="57054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21</xdr:col>
      <xdr:colOff>582706</xdr:colOff>
      <xdr:row>12</xdr:row>
      <xdr:rowOff>36002</xdr:rowOff>
    </xdr:from>
    <xdr:to>
      <xdr:col>27</xdr:col>
      <xdr:colOff>590033</xdr:colOff>
      <xdr:row>22</xdr:row>
      <xdr:rowOff>110210</xdr:rowOff>
    </xdr:to>
    <xdr:sp macro="" textlink="">
      <xdr:nvSpPr>
        <xdr:cNvPr id="3" name="Freeform 2">
          <a:extLst>
            <a:ext uri="{FF2B5EF4-FFF2-40B4-BE49-F238E27FC236}">
              <a16:creationId xmlns:a16="http://schemas.microsoft.com/office/drawing/2014/main" xmlns="" id="{00000000-0008-0000-1000-000003000000}"/>
            </a:ext>
          </a:extLst>
        </xdr:cNvPr>
        <xdr:cNvSpPr/>
      </xdr:nvSpPr>
      <xdr:spPr>
        <a:xfrm>
          <a:off x="20626878" y="2703002"/>
          <a:ext cx="3650639" cy="1979208"/>
        </a:xfrm>
        <a:custGeom>
          <a:avLst/>
          <a:gdLst>
            <a:gd name="connsiteX0" fmla="*/ 0 w 3656134"/>
            <a:gd name="connsiteY0" fmla="*/ 1980038 h 2134521"/>
            <a:gd name="connsiteX1" fmla="*/ 600807 w 3656134"/>
            <a:gd name="connsiteY1" fmla="*/ 1994692 h 2134521"/>
            <a:gd name="connsiteX2" fmla="*/ 2549769 w 3656134"/>
            <a:gd name="connsiteY2" fmla="*/ 492672 h 2134521"/>
            <a:gd name="connsiteX3" fmla="*/ 3091961 w 3656134"/>
            <a:gd name="connsiteY3" fmla="*/ 1769 h 2134521"/>
            <a:gd name="connsiteX4" fmla="*/ 3656134 w 3656134"/>
            <a:gd name="connsiteY4" fmla="*/ 316826 h 2134521"/>
            <a:gd name="connsiteX5" fmla="*/ 3656134 w 3656134"/>
            <a:gd name="connsiteY5" fmla="*/ 316826 h 2134521"/>
            <a:gd name="connsiteX0" fmla="*/ 0 w 3656134"/>
            <a:gd name="connsiteY0" fmla="*/ 1980038 h 2047766"/>
            <a:gd name="connsiteX1" fmla="*/ 600807 w 3656134"/>
            <a:gd name="connsiteY1" fmla="*/ 1994692 h 2047766"/>
            <a:gd name="connsiteX2" fmla="*/ 2549769 w 3656134"/>
            <a:gd name="connsiteY2" fmla="*/ 492672 h 2047766"/>
            <a:gd name="connsiteX3" fmla="*/ 3091961 w 3656134"/>
            <a:gd name="connsiteY3" fmla="*/ 1769 h 2047766"/>
            <a:gd name="connsiteX4" fmla="*/ 3656134 w 3656134"/>
            <a:gd name="connsiteY4" fmla="*/ 316826 h 2047766"/>
            <a:gd name="connsiteX5" fmla="*/ 3656134 w 3656134"/>
            <a:gd name="connsiteY5" fmla="*/ 316826 h 2047766"/>
            <a:gd name="connsiteX0" fmla="*/ 0 w 3656134"/>
            <a:gd name="connsiteY0" fmla="*/ 1980038 h 2001753"/>
            <a:gd name="connsiteX1" fmla="*/ 600807 w 3656134"/>
            <a:gd name="connsiteY1" fmla="*/ 1994692 h 2001753"/>
            <a:gd name="connsiteX2" fmla="*/ 2549769 w 3656134"/>
            <a:gd name="connsiteY2" fmla="*/ 492672 h 2001753"/>
            <a:gd name="connsiteX3" fmla="*/ 3091961 w 3656134"/>
            <a:gd name="connsiteY3" fmla="*/ 1769 h 2001753"/>
            <a:gd name="connsiteX4" fmla="*/ 3656134 w 3656134"/>
            <a:gd name="connsiteY4" fmla="*/ 316826 h 2001753"/>
            <a:gd name="connsiteX5" fmla="*/ 3656134 w 3656134"/>
            <a:gd name="connsiteY5" fmla="*/ 316826 h 2001753"/>
            <a:gd name="connsiteX0" fmla="*/ 0 w 3656134"/>
            <a:gd name="connsiteY0" fmla="*/ 1980038 h 1996192"/>
            <a:gd name="connsiteX1" fmla="*/ 600807 w 3656134"/>
            <a:gd name="connsiteY1" fmla="*/ 1994692 h 1996192"/>
            <a:gd name="connsiteX2" fmla="*/ 2549769 w 3656134"/>
            <a:gd name="connsiteY2" fmla="*/ 492672 h 1996192"/>
            <a:gd name="connsiteX3" fmla="*/ 3091961 w 3656134"/>
            <a:gd name="connsiteY3" fmla="*/ 1769 h 1996192"/>
            <a:gd name="connsiteX4" fmla="*/ 3656134 w 3656134"/>
            <a:gd name="connsiteY4" fmla="*/ 316826 h 1996192"/>
            <a:gd name="connsiteX5" fmla="*/ 3656134 w 3656134"/>
            <a:gd name="connsiteY5" fmla="*/ 316826 h 1996192"/>
            <a:gd name="connsiteX0" fmla="*/ 0 w 3656134"/>
            <a:gd name="connsiteY0" fmla="*/ 1980038 h 1980862"/>
            <a:gd name="connsiteX1" fmla="*/ 610092 w 3656134"/>
            <a:gd name="connsiteY1" fmla="*/ 1952875 h 1980862"/>
            <a:gd name="connsiteX2" fmla="*/ 2549769 w 3656134"/>
            <a:gd name="connsiteY2" fmla="*/ 492672 h 1980862"/>
            <a:gd name="connsiteX3" fmla="*/ 3091961 w 3656134"/>
            <a:gd name="connsiteY3" fmla="*/ 1769 h 1980862"/>
            <a:gd name="connsiteX4" fmla="*/ 3656134 w 3656134"/>
            <a:gd name="connsiteY4" fmla="*/ 316826 h 1980862"/>
            <a:gd name="connsiteX5" fmla="*/ 3656134 w 3656134"/>
            <a:gd name="connsiteY5" fmla="*/ 316826 h 1980862"/>
            <a:gd name="connsiteX0" fmla="*/ 0 w 3656134"/>
            <a:gd name="connsiteY0" fmla="*/ 1980038 h 1980472"/>
            <a:gd name="connsiteX1" fmla="*/ 619377 w 3656134"/>
            <a:gd name="connsiteY1" fmla="*/ 1924997 h 1980472"/>
            <a:gd name="connsiteX2" fmla="*/ 2549769 w 3656134"/>
            <a:gd name="connsiteY2" fmla="*/ 492672 h 1980472"/>
            <a:gd name="connsiteX3" fmla="*/ 3091961 w 3656134"/>
            <a:gd name="connsiteY3" fmla="*/ 1769 h 1980472"/>
            <a:gd name="connsiteX4" fmla="*/ 3656134 w 3656134"/>
            <a:gd name="connsiteY4" fmla="*/ 316826 h 1980472"/>
            <a:gd name="connsiteX5" fmla="*/ 3656134 w 3656134"/>
            <a:gd name="connsiteY5" fmla="*/ 316826 h 1980472"/>
            <a:gd name="connsiteX0" fmla="*/ 0 w 3656134"/>
            <a:gd name="connsiteY0" fmla="*/ 1978461 h 2060314"/>
            <a:gd name="connsiteX1" fmla="*/ 619377 w 3656134"/>
            <a:gd name="connsiteY1" fmla="*/ 1923420 h 2060314"/>
            <a:gd name="connsiteX2" fmla="*/ 2494061 w 3656134"/>
            <a:gd name="connsiteY2" fmla="*/ 370290 h 2060314"/>
            <a:gd name="connsiteX3" fmla="*/ 3091961 w 3656134"/>
            <a:gd name="connsiteY3" fmla="*/ 192 h 2060314"/>
            <a:gd name="connsiteX4" fmla="*/ 3656134 w 3656134"/>
            <a:gd name="connsiteY4" fmla="*/ 315249 h 2060314"/>
            <a:gd name="connsiteX5" fmla="*/ 3656134 w 3656134"/>
            <a:gd name="connsiteY5" fmla="*/ 315249 h 2060314"/>
            <a:gd name="connsiteX0" fmla="*/ 0 w 3656134"/>
            <a:gd name="connsiteY0" fmla="*/ 1978461 h 1984064"/>
            <a:gd name="connsiteX1" fmla="*/ 619377 w 3656134"/>
            <a:gd name="connsiteY1" fmla="*/ 1923420 h 1984064"/>
            <a:gd name="connsiteX2" fmla="*/ 2494061 w 3656134"/>
            <a:gd name="connsiteY2" fmla="*/ 370290 h 1984064"/>
            <a:gd name="connsiteX3" fmla="*/ 3091961 w 3656134"/>
            <a:gd name="connsiteY3" fmla="*/ 192 h 1984064"/>
            <a:gd name="connsiteX4" fmla="*/ 3656134 w 3656134"/>
            <a:gd name="connsiteY4" fmla="*/ 315249 h 1984064"/>
            <a:gd name="connsiteX5" fmla="*/ 3656134 w 3656134"/>
            <a:gd name="connsiteY5" fmla="*/ 315249 h 1984064"/>
            <a:gd name="connsiteX0" fmla="*/ 0 w 3656134"/>
            <a:gd name="connsiteY0" fmla="*/ 1978461 h 1978635"/>
            <a:gd name="connsiteX1" fmla="*/ 772572 w 3656134"/>
            <a:gd name="connsiteY1" fmla="*/ 1765444 h 1978635"/>
            <a:gd name="connsiteX2" fmla="*/ 2494061 w 3656134"/>
            <a:gd name="connsiteY2" fmla="*/ 370290 h 1978635"/>
            <a:gd name="connsiteX3" fmla="*/ 3091961 w 3656134"/>
            <a:gd name="connsiteY3" fmla="*/ 192 h 1978635"/>
            <a:gd name="connsiteX4" fmla="*/ 3656134 w 3656134"/>
            <a:gd name="connsiteY4" fmla="*/ 315249 h 1978635"/>
            <a:gd name="connsiteX5" fmla="*/ 3656134 w 3656134"/>
            <a:gd name="connsiteY5" fmla="*/ 315249 h 1978635"/>
            <a:gd name="connsiteX0" fmla="*/ 0 w 3656134"/>
            <a:gd name="connsiteY0" fmla="*/ 1978461 h 1978977"/>
            <a:gd name="connsiteX1" fmla="*/ 823637 w 3656134"/>
            <a:gd name="connsiteY1" fmla="*/ 1863017 h 1978977"/>
            <a:gd name="connsiteX2" fmla="*/ 2494061 w 3656134"/>
            <a:gd name="connsiteY2" fmla="*/ 370290 h 1978977"/>
            <a:gd name="connsiteX3" fmla="*/ 3091961 w 3656134"/>
            <a:gd name="connsiteY3" fmla="*/ 192 h 1978977"/>
            <a:gd name="connsiteX4" fmla="*/ 3656134 w 3656134"/>
            <a:gd name="connsiteY4" fmla="*/ 315249 h 1978977"/>
            <a:gd name="connsiteX5" fmla="*/ 3656134 w 3656134"/>
            <a:gd name="connsiteY5" fmla="*/ 315249 h 1978977"/>
            <a:gd name="connsiteX0" fmla="*/ 0 w 3656134"/>
            <a:gd name="connsiteY0" fmla="*/ 1978461 h 1978977"/>
            <a:gd name="connsiteX1" fmla="*/ 823637 w 3656134"/>
            <a:gd name="connsiteY1" fmla="*/ 1863017 h 1978977"/>
            <a:gd name="connsiteX2" fmla="*/ 2494061 w 3656134"/>
            <a:gd name="connsiteY2" fmla="*/ 370290 h 1978977"/>
            <a:gd name="connsiteX3" fmla="*/ 3091961 w 3656134"/>
            <a:gd name="connsiteY3" fmla="*/ 192 h 1978977"/>
            <a:gd name="connsiteX4" fmla="*/ 3656134 w 3656134"/>
            <a:gd name="connsiteY4" fmla="*/ 315249 h 1978977"/>
            <a:gd name="connsiteX5" fmla="*/ 3656134 w 3656134"/>
            <a:gd name="connsiteY5" fmla="*/ 315249 h 1978977"/>
            <a:gd name="connsiteX0" fmla="*/ 0 w 3656134"/>
            <a:gd name="connsiteY0" fmla="*/ 1978461 h 1978581"/>
            <a:gd name="connsiteX1" fmla="*/ 814352 w 3656134"/>
            <a:gd name="connsiteY1" fmla="*/ 1700395 h 1978581"/>
            <a:gd name="connsiteX2" fmla="*/ 2494061 w 3656134"/>
            <a:gd name="connsiteY2" fmla="*/ 370290 h 1978581"/>
            <a:gd name="connsiteX3" fmla="*/ 3091961 w 3656134"/>
            <a:gd name="connsiteY3" fmla="*/ 192 h 1978581"/>
            <a:gd name="connsiteX4" fmla="*/ 3656134 w 3656134"/>
            <a:gd name="connsiteY4" fmla="*/ 315249 h 1978581"/>
            <a:gd name="connsiteX5" fmla="*/ 3656134 w 3656134"/>
            <a:gd name="connsiteY5" fmla="*/ 315249 h 1978581"/>
            <a:gd name="connsiteX0" fmla="*/ 0 w 3656134"/>
            <a:gd name="connsiteY0" fmla="*/ 1978461 h 1979452"/>
            <a:gd name="connsiteX1" fmla="*/ 814352 w 3656134"/>
            <a:gd name="connsiteY1" fmla="*/ 1700395 h 1979452"/>
            <a:gd name="connsiteX2" fmla="*/ 2494061 w 3656134"/>
            <a:gd name="connsiteY2" fmla="*/ 370290 h 1979452"/>
            <a:gd name="connsiteX3" fmla="*/ 3091961 w 3656134"/>
            <a:gd name="connsiteY3" fmla="*/ 192 h 1979452"/>
            <a:gd name="connsiteX4" fmla="*/ 3656134 w 3656134"/>
            <a:gd name="connsiteY4" fmla="*/ 315249 h 1979452"/>
            <a:gd name="connsiteX5" fmla="*/ 3656134 w 3656134"/>
            <a:gd name="connsiteY5" fmla="*/ 315249 h 1979452"/>
            <a:gd name="connsiteX0" fmla="*/ 0 w 3656134"/>
            <a:gd name="connsiteY0" fmla="*/ 1978461 h 1978579"/>
            <a:gd name="connsiteX1" fmla="*/ 814352 w 3656134"/>
            <a:gd name="connsiteY1" fmla="*/ 1700395 h 1978579"/>
            <a:gd name="connsiteX2" fmla="*/ 2494061 w 3656134"/>
            <a:gd name="connsiteY2" fmla="*/ 370290 h 1978579"/>
            <a:gd name="connsiteX3" fmla="*/ 3091961 w 3656134"/>
            <a:gd name="connsiteY3" fmla="*/ 192 h 1978579"/>
            <a:gd name="connsiteX4" fmla="*/ 3656134 w 3656134"/>
            <a:gd name="connsiteY4" fmla="*/ 315249 h 1978579"/>
            <a:gd name="connsiteX5" fmla="*/ 3656134 w 3656134"/>
            <a:gd name="connsiteY5" fmla="*/ 315249 h 1978579"/>
            <a:gd name="connsiteX0" fmla="*/ 0 w 3656134"/>
            <a:gd name="connsiteY0" fmla="*/ 1978461 h 1978653"/>
            <a:gd name="connsiteX1" fmla="*/ 814352 w 3656134"/>
            <a:gd name="connsiteY1" fmla="*/ 1700395 h 1978653"/>
            <a:gd name="connsiteX2" fmla="*/ 2494061 w 3656134"/>
            <a:gd name="connsiteY2" fmla="*/ 370290 h 1978653"/>
            <a:gd name="connsiteX3" fmla="*/ 3091961 w 3656134"/>
            <a:gd name="connsiteY3" fmla="*/ 192 h 1978653"/>
            <a:gd name="connsiteX4" fmla="*/ 3656134 w 3656134"/>
            <a:gd name="connsiteY4" fmla="*/ 315249 h 1978653"/>
            <a:gd name="connsiteX5" fmla="*/ 3656134 w 3656134"/>
            <a:gd name="connsiteY5" fmla="*/ 315249 h 1978653"/>
            <a:gd name="connsiteX0" fmla="*/ 0 w 3656134"/>
            <a:gd name="connsiteY0" fmla="*/ 1978461 h 1978589"/>
            <a:gd name="connsiteX1" fmla="*/ 814352 w 3656134"/>
            <a:gd name="connsiteY1" fmla="*/ 1700395 h 1978589"/>
            <a:gd name="connsiteX2" fmla="*/ 1611923 w 3656134"/>
            <a:gd name="connsiteY2" fmla="*/ 1436270 h 1978589"/>
            <a:gd name="connsiteX3" fmla="*/ 2494061 w 3656134"/>
            <a:gd name="connsiteY3" fmla="*/ 370290 h 1978589"/>
            <a:gd name="connsiteX4" fmla="*/ 3091961 w 3656134"/>
            <a:gd name="connsiteY4" fmla="*/ 192 h 1978589"/>
            <a:gd name="connsiteX5" fmla="*/ 3656134 w 3656134"/>
            <a:gd name="connsiteY5" fmla="*/ 315249 h 1978589"/>
            <a:gd name="connsiteX6" fmla="*/ 3656134 w 3656134"/>
            <a:gd name="connsiteY6" fmla="*/ 315249 h 1978589"/>
            <a:gd name="connsiteX0" fmla="*/ 0 w 3656134"/>
            <a:gd name="connsiteY0" fmla="*/ 1978461 h 1978587"/>
            <a:gd name="connsiteX1" fmla="*/ 814352 w 3656134"/>
            <a:gd name="connsiteY1" fmla="*/ 1700395 h 1978587"/>
            <a:gd name="connsiteX2" fmla="*/ 1516673 w 3656134"/>
            <a:gd name="connsiteY2" fmla="*/ 1450924 h 1978587"/>
            <a:gd name="connsiteX3" fmla="*/ 2494061 w 3656134"/>
            <a:gd name="connsiteY3" fmla="*/ 370290 h 1978587"/>
            <a:gd name="connsiteX4" fmla="*/ 3091961 w 3656134"/>
            <a:gd name="connsiteY4" fmla="*/ 192 h 1978587"/>
            <a:gd name="connsiteX5" fmla="*/ 3656134 w 3656134"/>
            <a:gd name="connsiteY5" fmla="*/ 315249 h 1978587"/>
            <a:gd name="connsiteX6" fmla="*/ 3656134 w 3656134"/>
            <a:gd name="connsiteY6" fmla="*/ 315249 h 1978587"/>
            <a:gd name="connsiteX0" fmla="*/ 0 w 3656134"/>
            <a:gd name="connsiteY0" fmla="*/ 1978461 h 1978591"/>
            <a:gd name="connsiteX1" fmla="*/ 814352 w 3656134"/>
            <a:gd name="connsiteY1" fmla="*/ 1700395 h 1978591"/>
            <a:gd name="connsiteX2" fmla="*/ 1494692 w 3656134"/>
            <a:gd name="connsiteY2" fmla="*/ 1414290 h 1978591"/>
            <a:gd name="connsiteX3" fmla="*/ 2494061 w 3656134"/>
            <a:gd name="connsiteY3" fmla="*/ 370290 h 1978591"/>
            <a:gd name="connsiteX4" fmla="*/ 3091961 w 3656134"/>
            <a:gd name="connsiteY4" fmla="*/ 192 h 1978591"/>
            <a:gd name="connsiteX5" fmla="*/ 3656134 w 3656134"/>
            <a:gd name="connsiteY5" fmla="*/ 315249 h 1978591"/>
            <a:gd name="connsiteX6" fmla="*/ 3656134 w 3656134"/>
            <a:gd name="connsiteY6" fmla="*/ 315249 h 1978591"/>
            <a:gd name="connsiteX0" fmla="*/ 0 w 3656134"/>
            <a:gd name="connsiteY0" fmla="*/ 2003516 h 2003646"/>
            <a:gd name="connsiteX1" fmla="*/ 814352 w 3656134"/>
            <a:gd name="connsiteY1" fmla="*/ 1725450 h 2003646"/>
            <a:gd name="connsiteX2" fmla="*/ 1494692 w 3656134"/>
            <a:gd name="connsiteY2" fmla="*/ 1439345 h 2003646"/>
            <a:gd name="connsiteX3" fmla="*/ 2017811 w 3656134"/>
            <a:gd name="connsiteY3" fmla="*/ 1150018 h 2003646"/>
            <a:gd name="connsiteX4" fmla="*/ 3091961 w 3656134"/>
            <a:gd name="connsiteY4" fmla="*/ 25247 h 2003646"/>
            <a:gd name="connsiteX5" fmla="*/ 3656134 w 3656134"/>
            <a:gd name="connsiteY5" fmla="*/ 340304 h 2003646"/>
            <a:gd name="connsiteX6" fmla="*/ 3656134 w 3656134"/>
            <a:gd name="connsiteY6" fmla="*/ 340304 h 2003646"/>
            <a:gd name="connsiteX0" fmla="*/ 0 w 3656134"/>
            <a:gd name="connsiteY0" fmla="*/ 2003516 h 2003646"/>
            <a:gd name="connsiteX1" fmla="*/ 814352 w 3656134"/>
            <a:gd name="connsiteY1" fmla="*/ 1725450 h 2003646"/>
            <a:gd name="connsiteX2" fmla="*/ 1494692 w 3656134"/>
            <a:gd name="connsiteY2" fmla="*/ 1439345 h 2003646"/>
            <a:gd name="connsiteX3" fmla="*/ 2017811 w 3656134"/>
            <a:gd name="connsiteY3" fmla="*/ 1150018 h 2003646"/>
            <a:gd name="connsiteX4" fmla="*/ 3091961 w 3656134"/>
            <a:gd name="connsiteY4" fmla="*/ 25247 h 2003646"/>
            <a:gd name="connsiteX5" fmla="*/ 3656134 w 3656134"/>
            <a:gd name="connsiteY5" fmla="*/ 340304 h 2003646"/>
            <a:gd name="connsiteX6" fmla="*/ 3656134 w 3656134"/>
            <a:gd name="connsiteY6" fmla="*/ 340304 h 2003646"/>
            <a:gd name="connsiteX0" fmla="*/ 0 w 3656134"/>
            <a:gd name="connsiteY0" fmla="*/ 2003516 h 2003646"/>
            <a:gd name="connsiteX1" fmla="*/ 814352 w 3656134"/>
            <a:gd name="connsiteY1" fmla="*/ 1725450 h 2003646"/>
            <a:gd name="connsiteX2" fmla="*/ 1494692 w 3656134"/>
            <a:gd name="connsiteY2" fmla="*/ 1439345 h 2003646"/>
            <a:gd name="connsiteX3" fmla="*/ 2017811 w 3656134"/>
            <a:gd name="connsiteY3" fmla="*/ 1150018 h 2003646"/>
            <a:gd name="connsiteX4" fmla="*/ 3091961 w 3656134"/>
            <a:gd name="connsiteY4" fmla="*/ 25247 h 2003646"/>
            <a:gd name="connsiteX5" fmla="*/ 3656134 w 3656134"/>
            <a:gd name="connsiteY5" fmla="*/ 340304 h 2003646"/>
            <a:gd name="connsiteX6" fmla="*/ 3656134 w 3656134"/>
            <a:gd name="connsiteY6" fmla="*/ 340304 h 2003646"/>
            <a:gd name="connsiteX0" fmla="*/ 0 w 3656134"/>
            <a:gd name="connsiteY0" fmla="*/ 2003516 h 2003950"/>
            <a:gd name="connsiteX1" fmla="*/ 814352 w 3656134"/>
            <a:gd name="connsiteY1" fmla="*/ 1725450 h 2003950"/>
            <a:gd name="connsiteX2" fmla="*/ 1494692 w 3656134"/>
            <a:gd name="connsiteY2" fmla="*/ 1439345 h 2003950"/>
            <a:gd name="connsiteX3" fmla="*/ 2017811 w 3656134"/>
            <a:gd name="connsiteY3" fmla="*/ 1150018 h 2003950"/>
            <a:gd name="connsiteX4" fmla="*/ 3091961 w 3656134"/>
            <a:gd name="connsiteY4" fmla="*/ 25247 h 2003950"/>
            <a:gd name="connsiteX5" fmla="*/ 3656134 w 3656134"/>
            <a:gd name="connsiteY5" fmla="*/ 340304 h 2003950"/>
            <a:gd name="connsiteX6" fmla="*/ 3656134 w 3656134"/>
            <a:gd name="connsiteY6" fmla="*/ 340304 h 2003950"/>
            <a:gd name="connsiteX0" fmla="*/ 0 w 3656134"/>
            <a:gd name="connsiteY0" fmla="*/ 2003516 h 2003616"/>
            <a:gd name="connsiteX1" fmla="*/ 814352 w 3656134"/>
            <a:gd name="connsiteY1" fmla="*/ 1725450 h 2003616"/>
            <a:gd name="connsiteX2" fmla="*/ 1494692 w 3656134"/>
            <a:gd name="connsiteY2" fmla="*/ 1439345 h 2003616"/>
            <a:gd name="connsiteX3" fmla="*/ 2017811 w 3656134"/>
            <a:gd name="connsiteY3" fmla="*/ 1150018 h 2003616"/>
            <a:gd name="connsiteX4" fmla="*/ 3091961 w 3656134"/>
            <a:gd name="connsiteY4" fmla="*/ 25247 h 2003616"/>
            <a:gd name="connsiteX5" fmla="*/ 3656134 w 3656134"/>
            <a:gd name="connsiteY5" fmla="*/ 340304 h 2003616"/>
            <a:gd name="connsiteX6" fmla="*/ 3656134 w 3656134"/>
            <a:gd name="connsiteY6" fmla="*/ 340304 h 2003616"/>
            <a:gd name="connsiteX0" fmla="*/ 0 w 3656134"/>
            <a:gd name="connsiteY0" fmla="*/ 2003516 h 2003516"/>
            <a:gd name="connsiteX1" fmla="*/ 1494692 w 3656134"/>
            <a:gd name="connsiteY1" fmla="*/ 1439345 h 2003516"/>
            <a:gd name="connsiteX2" fmla="*/ 2017811 w 3656134"/>
            <a:gd name="connsiteY2" fmla="*/ 1150018 h 2003516"/>
            <a:gd name="connsiteX3" fmla="*/ 3091961 w 3656134"/>
            <a:gd name="connsiteY3" fmla="*/ 25247 h 2003516"/>
            <a:gd name="connsiteX4" fmla="*/ 3656134 w 3656134"/>
            <a:gd name="connsiteY4" fmla="*/ 340304 h 2003516"/>
            <a:gd name="connsiteX5" fmla="*/ 3656134 w 3656134"/>
            <a:gd name="connsiteY5" fmla="*/ 340304 h 2003516"/>
            <a:gd name="connsiteX0" fmla="*/ 0 w 3656134"/>
            <a:gd name="connsiteY0" fmla="*/ 2003516 h 2003516"/>
            <a:gd name="connsiteX1" fmla="*/ 1494692 w 3656134"/>
            <a:gd name="connsiteY1" fmla="*/ 1439345 h 2003516"/>
            <a:gd name="connsiteX2" fmla="*/ 2017811 w 3656134"/>
            <a:gd name="connsiteY2" fmla="*/ 1150018 h 2003516"/>
            <a:gd name="connsiteX3" fmla="*/ 3091961 w 3656134"/>
            <a:gd name="connsiteY3" fmla="*/ 25247 h 2003516"/>
            <a:gd name="connsiteX4" fmla="*/ 3656134 w 3656134"/>
            <a:gd name="connsiteY4" fmla="*/ 340304 h 2003516"/>
            <a:gd name="connsiteX5" fmla="*/ 3656134 w 3656134"/>
            <a:gd name="connsiteY5" fmla="*/ 340304 h 2003516"/>
            <a:gd name="connsiteX0" fmla="*/ 0 w 3656134"/>
            <a:gd name="connsiteY0" fmla="*/ 2003516 h 2003516"/>
            <a:gd name="connsiteX1" fmla="*/ 1494692 w 3656134"/>
            <a:gd name="connsiteY1" fmla="*/ 1439345 h 2003516"/>
            <a:gd name="connsiteX2" fmla="*/ 2017811 w 3656134"/>
            <a:gd name="connsiteY2" fmla="*/ 1150018 h 2003516"/>
            <a:gd name="connsiteX3" fmla="*/ 3091961 w 3656134"/>
            <a:gd name="connsiteY3" fmla="*/ 25247 h 2003516"/>
            <a:gd name="connsiteX4" fmla="*/ 3656134 w 3656134"/>
            <a:gd name="connsiteY4" fmla="*/ 340304 h 2003516"/>
            <a:gd name="connsiteX5" fmla="*/ 3656134 w 3656134"/>
            <a:gd name="connsiteY5" fmla="*/ 340304 h 2003516"/>
            <a:gd name="connsiteX0" fmla="*/ 0 w 3656134"/>
            <a:gd name="connsiteY0" fmla="*/ 2003516 h 2003516"/>
            <a:gd name="connsiteX1" fmla="*/ 1494692 w 3656134"/>
            <a:gd name="connsiteY1" fmla="*/ 1439345 h 2003516"/>
            <a:gd name="connsiteX2" fmla="*/ 2017811 w 3656134"/>
            <a:gd name="connsiteY2" fmla="*/ 1150018 h 2003516"/>
            <a:gd name="connsiteX3" fmla="*/ 3091961 w 3656134"/>
            <a:gd name="connsiteY3" fmla="*/ 25247 h 2003516"/>
            <a:gd name="connsiteX4" fmla="*/ 3656134 w 3656134"/>
            <a:gd name="connsiteY4" fmla="*/ 340304 h 2003516"/>
            <a:gd name="connsiteX5" fmla="*/ 3656134 w 3656134"/>
            <a:gd name="connsiteY5" fmla="*/ 340304 h 2003516"/>
            <a:gd name="connsiteX0" fmla="*/ 0 w 3656134"/>
            <a:gd name="connsiteY0" fmla="*/ 2003516 h 2003516"/>
            <a:gd name="connsiteX1" fmla="*/ 1494692 w 3656134"/>
            <a:gd name="connsiteY1" fmla="*/ 1439345 h 2003516"/>
            <a:gd name="connsiteX2" fmla="*/ 2017811 w 3656134"/>
            <a:gd name="connsiteY2" fmla="*/ 1150018 h 2003516"/>
            <a:gd name="connsiteX3" fmla="*/ 3091961 w 3656134"/>
            <a:gd name="connsiteY3" fmla="*/ 25247 h 2003516"/>
            <a:gd name="connsiteX4" fmla="*/ 3656134 w 3656134"/>
            <a:gd name="connsiteY4" fmla="*/ 340304 h 2003516"/>
            <a:gd name="connsiteX5" fmla="*/ 3656134 w 3656134"/>
            <a:gd name="connsiteY5" fmla="*/ 340304 h 2003516"/>
            <a:gd name="connsiteX0" fmla="*/ 0 w 3656134"/>
            <a:gd name="connsiteY0" fmla="*/ 2003516 h 2003516"/>
            <a:gd name="connsiteX1" fmla="*/ 1494692 w 3656134"/>
            <a:gd name="connsiteY1" fmla="*/ 1439345 h 2003516"/>
            <a:gd name="connsiteX2" fmla="*/ 2017811 w 3656134"/>
            <a:gd name="connsiteY2" fmla="*/ 1150018 h 2003516"/>
            <a:gd name="connsiteX3" fmla="*/ 3091961 w 3656134"/>
            <a:gd name="connsiteY3" fmla="*/ 25247 h 2003516"/>
            <a:gd name="connsiteX4" fmla="*/ 3656134 w 3656134"/>
            <a:gd name="connsiteY4" fmla="*/ 340304 h 2003516"/>
            <a:gd name="connsiteX5" fmla="*/ 3656134 w 3656134"/>
            <a:gd name="connsiteY5" fmla="*/ 340304 h 2003516"/>
            <a:gd name="connsiteX0" fmla="*/ 0 w 3656134"/>
            <a:gd name="connsiteY0" fmla="*/ 1978269 h 1978269"/>
            <a:gd name="connsiteX1" fmla="*/ 1494692 w 3656134"/>
            <a:gd name="connsiteY1" fmla="*/ 1414098 h 1978269"/>
            <a:gd name="connsiteX2" fmla="*/ 1988504 w 3656134"/>
            <a:gd name="connsiteY2" fmla="*/ 1256655 h 1978269"/>
            <a:gd name="connsiteX3" fmla="*/ 3091961 w 3656134"/>
            <a:gd name="connsiteY3" fmla="*/ 0 h 1978269"/>
            <a:gd name="connsiteX4" fmla="*/ 3656134 w 3656134"/>
            <a:gd name="connsiteY4" fmla="*/ 315057 h 1978269"/>
            <a:gd name="connsiteX5" fmla="*/ 3656134 w 3656134"/>
            <a:gd name="connsiteY5" fmla="*/ 315057 h 1978269"/>
            <a:gd name="connsiteX0" fmla="*/ 0 w 3656134"/>
            <a:gd name="connsiteY0" fmla="*/ 1978272 h 1978272"/>
            <a:gd name="connsiteX1" fmla="*/ 1494692 w 3656134"/>
            <a:gd name="connsiteY1" fmla="*/ 1414101 h 1978272"/>
            <a:gd name="connsiteX2" fmla="*/ 1988504 w 3656134"/>
            <a:gd name="connsiteY2" fmla="*/ 1256658 h 1978272"/>
            <a:gd name="connsiteX3" fmla="*/ 3091961 w 3656134"/>
            <a:gd name="connsiteY3" fmla="*/ 3 h 1978272"/>
            <a:gd name="connsiteX4" fmla="*/ 3656134 w 3656134"/>
            <a:gd name="connsiteY4" fmla="*/ 315060 h 1978272"/>
            <a:gd name="connsiteX5" fmla="*/ 3656134 w 3656134"/>
            <a:gd name="connsiteY5" fmla="*/ 315060 h 1978272"/>
            <a:gd name="connsiteX0" fmla="*/ 0 w 3656134"/>
            <a:gd name="connsiteY0" fmla="*/ 2017613 h 2017613"/>
            <a:gd name="connsiteX1" fmla="*/ 1494692 w 3656134"/>
            <a:gd name="connsiteY1" fmla="*/ 1453442 h 2017613"/>
            <a:gd name="connsiteX2" fmla="*/ 1856619 w 3656134"/>
            <a:gd name="connsiteY2" fmla="*/ 1310653 h 2017613"/>
            <a:gd name="connsiteX3" fmla="*/ 3091961 w 3656134"/>
            <a:gd name="connsiteY3" fmla="*/ 39344 h 2017613"/>
            <a:gd name="connsiteX4" fmla="*/ 3656134 w 3656134"/>
            <a:gd name="connsiteY4" fmla="*/ 354401 h 2017613"/>
            <a:gd name="connsiteX5" fmla="*/ 3656134 w 3656134"/>
            <a:gd name="connsiteY5" fmla="*/ 354401 h 2017613"/>
            <a:gd name="connsiteX0" fmla="*/ 0 w 3656134"/>
            <a:gd name="connsiteY0" fmla="*/ 2017613 h 2017613"/>
            <a:gd name="connsiteX1" fmla="*/ 1575288 w 3656134"/>
            <a:gd name="connsiteY1" fmla="*/ 1460769 h 2017613"/>
            <a:gd name="connsiteX2" fmla="*/ 1856619 w 3656134"/>
            <a:gd name="connsiteY2" fmla="*/ 1310653 h 2017613"/>
            <a:gd name="connsiteX3" fmla="*/ 3091961 w 3656134"/>
            <a:gd name="connsiteY3" fmla="*/ 39344 h 2017613"/>
            <a:gd name="connsiteX4" fmla="*/ 3656134 w 3656134"/>
            <a:gd name="connsiteY4" fmla="*/ 354401 h 2017613"/>
            <a:gd name="connsiteX5" fmla="*/ 3656134 w 3656134"/>
            <a:gd name="connsiteY5" fmla="*/ 354401 h 2017613"/>
            <a:gd name="connsiteX0" fmla="*/ 0 w 3656134"/>
            <a:gd name="connsiteY0" fmla="*/ 2017613 h 2017613"/>
            <a:gd name="connsiteX1" fmla="*/ 1575288 w 3656134"/>
            <a:gd name="connsiteY1" fmla="*/ 1460769 h 2017613"/>
            <a:gd name="connsiteX2" fmla="*/ 1856619 w 3656134"/>
            <a:gd name="connsiteY2" fmla="*/ 1310653 h 2017613"/>
            <a:gd name="connsiteX3" fmla="*/ 3091961 w 3656134"/>
            <a:gd name="connsiteY3" fmla="*/ 39344 h 2017613"/>
            <a:gd name="connsiteX4" fmla="*/ 3656134 w 3656134"/>
            <a:gd name="connsiteY4" fmla="*/ 354401 h 2017613"/>
            <a:gd name="connsiteX5" fmla="*/ 3656134 w 3656134"/>
            <a:gd name="connsiteY5" fmla="*/ 354401 h 2017613"/>
            <a:gd name="connsiteX0" fmla="*/ 0 w 3656134"/>
            <a:gd name="connsiteY0" fmla="*/ 2017613 h 2017613"/>
            <a:gd name="connsiteX1" fmla="*/ 1575288 w 3656134"/>
            <a:gd name="connsiteY1" fmla="*/ 1387500 h 2017613"/>
            <a:gd name="connsiteX2" fmla="*/ 1856619 w 3656134"/>
            <a:gd name="connsiteY2" fmla="*/ 1310653 h 2017613"/>
            <a:gd name="connsiteX3" fmla="*/ 3091961 w 3656134"/>
            <a:gd name="connsiteY3" fmla="*/ 39344 h 2017613"/>
            <a:gd name="connsiteX4" fmla="*/ 3656134 w 3656134"/>
            <a:gd name="connsiteY4" fmla="*/ 354401 h 2017613"/>
            <a:gd name="connsiteX5" fmla="*/ 3656134 w 3656134"/>
            <a:gd name="connsiteY5" fmla="*/ 354401 h 2017613"/>
            <a:gd name="connsiteX0" fmla="*/ 0 w 3656134"/>
            <a:gd name="connsiteY0" fmla="*/ 2017613 h 2017613"/>
            <a:gd name="connsiteX1" fmla="*/ 1575288 w 3656134"/>
            <a:gd name="connsiteY1" fmla="*/ 1387500 h 2017613"/>
            <a:gd name="connsiteX2" fmla="*/ 1856619 w 3656134"/>
            <a:gd name="connsiteY2" fmla="*/ 1310653 h 2017613"/>
            <a:gd name="connsiteX3" fmla="*/ 3091961 w 3656134"/>
            <a:gd name="connsiteY3" fmla="*/ 39344 h 2017613"/>
            <a:gd name="connsiteX4" fmla="*/ 3656134 w 3656134"/>
            <a:gd name="connsiteY4" fmla="*/ 354401 h 2017613"/>
            <a:gd name="connsiteX5" fmla="*/ 3656134 w 3656134"/>
            <a:gd name="connsiteY5" fmla="*/ 354401 h 2017613"/>
            <a:gd name="connsiteX0" fmla="*/ 0 w 3656134"/>
            <a:gd name="connsiteY0" fmla="*/ 2017613 h 2017613"/>
            <a:gd name="connsiteX1" fmla="*/ 1575288 w 3656134"/>
            <a:gd name="connsiteY1" fmla="*/ 1387500 h 2017613"/>
            <a:gd name="connsiteX2" fmla="*/ 1856619 w 3656134"/>
            <a:gd name="connsiteY2" fmla="*/ 1310653 h 2017613"/>
            <a:gd name="connsiteX3" fmla="*/ 3091961 w 3656134"/>
            <a:gd name="connsiteY3" fmla="*/ 39344 h 2017613"/>
            <a:gd name="connsiteX4" fmla="*/ 3656134 w 3656134"/>
            <a:gd name="connsiteY4" fmla="*/ 354401 h 2017613"/>
            <a:gd name="connsiteX5" fmla="*/ 3656134 w 3656134"/>
            <a:gd name="connsiteY5" fmla="*/ 354401 h 2017613"/>
            <a:gd name="connsiteX0" fmla="*/ 0 w 3656134"/>
            <a:gd name="connsiteY0" fmla="*/ 2017613 h 2103011"/>
            <a:gd name="connsiteX1" fmla="*/ 820615 w 3656134"/>
            <a:gd name="connsiteY1" fmla="*/ 1805135 h 2103011"/>
            <a:gd name="connsiteX2" fmla="*/ 1856619 w 3656134"/>
            <a:gd name="connsiteY2" fmla="*/ 1310653 h 2103011"/>
            <a:gd name="connsiteX3" fmla="*/ 3091961 w 3656134"/>
            <a:gd name="connsiteY3" fmla="*/ 39344 h 2103011"/>
            <a:gd name="connsiteX4" fmla="*/ 3656134 w 3656134"/>
            <a:gd name="connsiteY4" fmla="*/ 354401 h 2103011"/>
            <a:gd name="connsiteX5" fmla="*/ 3656134 w 3656134"/>
            <a:gd name="connsiteY5" fmla="*/ 354401 h 2103011"/>
            <a:gd name="connsiteX0" fmla="*/ 0 w 3656134"/>
            <a:gd name="connsiteY0" fmla="*/ 2017613 h 2017613"/>
            <a:gd name="connsiteX1" fmla="*/ 820615 w 3656134"/>
            <a:gd name="connsiteY1" fmla="*/ 1805135 h 2017613"/>
            <a:gd name="connsiteX2" fmla="*/ 1856619 w 3656134"/>
            <a:gd name="connsiteY2" fmla="*/ 1310653 h 2017613"/>
            <a:gd name="connsiteX3" fmla="*/ 3091961 w 3656134"/>
            <a:gd name="connsiteY3" fmla="*/ 39344 h 2017613"/>
            <a:gd name="connsiteX4" fmla="*/ 3656134 w 3656134"/>
            <a:gd name="connsiteY4" fmla="*/ 354401 h 2017613"/>
            <a:gd name="connsiteX5" fmla="*/ 3656134 w 3656134"/>
            <a:gd name="connsiteY5" fmla="*/ 354401 h 2017613"/>
            <a:gd name="connsiteX0" fmla="*/ 0 w 3656134"/>
            <a:gd name="connsiteY0" fmla="*/ 2017613 h 2018609"/>
            <a:gd name="connsiteX1" fmla="*/ 820615 w 3656134"/>
            <a:gd name="connsiteY1" fmla="*/ 1805135 h 2018609"/>
            <a:gd name="connsiteX2" fmla="*/ 1856619 w 3656134"/>
            <a:gd name="connsiteY2" fmla="*/ 1310653 h 2018609"/>
            <a:gd name="connsiteX3" fmla="*/ 3091961 w 3656134"/>
            <a:gd name="connsiteY3" fmla="*/ 39344 h 2018609"/>
            <a:gd name="connsiteX4" fmla="*/ 3656134 w 3656134"/>
            <a:gd name="connsiteY4" fmla="*/ 354401 h 2018609"/>
            <a:gd name="connsiteX5" fmla="*/ 3656134 w 3656134"/>
            <a:gd name="connsiteY5" fmla="*/ 354401 h 2018609"/>
            <a:gd name="connsiteX0" fmla="*/ 0 w 3656134"/>
            <a:gd name="connsiteY0" fmla="*/ 2017613 h 2020602"/>
            <a:gd name="connsiteX1" fmla="*/ 915865 w 3656134"/>
            <a:gd name="connsiteY1" fmla="*/ 1841770 h 2020602"/>
            <a:gd name="connsiteX2" fmla="*/ 1856619 w 3656134"/>
            <a:gd name="connsiteY2" fmla="*/ 1310653 h 2020602"/>
            <a:gd name="connsiteX3" fmla="*/ 3091961 w 3656134"/>
            <a:gd name="connsiteY3" fmla="*/ 39344 h 2020602"/>
            <a:gd name="connsiteX4" fmla="*/ 3656134 w 3656134"/>
            <a:gd name="connsiteY4" fmla="*/ 354401 h 2020602"/>
            <a:gd name="connsiteX5" fmla="*/ 3656134 w 3656134"/>
            <a:gd name="connsiteY5" fmla="*/ 354401 h 2020602"/>
            <a:gd name="connsiteX0" fmla="*/ 0 w 3656134"/>
            <a:gd name="connsiteY0" fmla="*/ 2017613 h 2018264"/>
            <a:gd name="connsiteX1" fmla="*/ 798634 w 3656134"/>
            <a:gd name="connsiteY1" fmla="*/ 1783154 h 2018264"/>
            <a:gd name="connsiteX2" fmla="*/ 1856619 w 3656134"/>
            <a:gd name="connsiteY2" fmla="*/ 1310653 h 2018264"/>
            <a:gd name="connsiteX3" fmla="*/ 3091961 w 3656134"/>
            <a:gd name="connsiteY3" fmla="*/ 39344 h 2018264"/>
            <a:gd name="connsiteX4" fmla="*/ 3656134 w 3656134"/>
            <a:gd name="connsiteY4" fmla="*/ 354401 h 2018264"/>
            <a:gd name="connsiteX5" fmla="*/ 3656134 w 3656134"/>
            <a:gd name="connsiteY5" fmla="*/ 354401 h 2018264"/>
            <a:gd name="connsiteX0" fmla="*/ 0 w 3656134"/>
            <a:gd name="connsiteY0" fmla="*/ 2017613 h 2017921"/>
            <a:gd name="connsiteX1" fmla="*/ 798634 w 3656134"/>
            <a:gd name="connsiteY1" fmla="*/ 1783154 h 2017921"/>
            <a:gd name="connsiteX2" fmla="*/ 1856619 w 3656134"/>
            <a:gd name="connsiteY2" fmla="*/ 1310653 h 2017921"/>
            <a:gd name="connsiteX3" fmla="*/ 3091961 w 3656134"/>
            <a:gd name="connsiteY3" fmla="*/ 39344 h 2017921"/>
            <a:gd name="connsiteX4" fmla="*/ 3656134 w 3656134"/>
            <a:gd name="connsiteY4" fmla="*/ 354401 h 2017921"/>
            <a:gd name="connsiteX5" fmla="*/ 3656134 w 3656134"/>
            <a:gd name="connsiteY5" fmla="*/ 354401 h 2017921"/>
            <a:gd name="connsiteX0" fmla="*/ 0 w 3656134"/>
            <a:gd name="connsiteY0" fmla="*/ 2017613 h 2017921"/>
            <a:gd name="connsiteX1" fmla="*/ 798634 w 3656134"/>
            <a:gd name="connsiteY1" fmla="*/ 1783154 h 2017921"/>
            <a:gd name="connsiteX2" fmla="*/ 1856619 w 3656134"/>
            <a:gd name="connsiteY2" fmla="*/ 1310653 h 2017921"/>
            <a:gd name="connsiteX3" fmla="*/ 3091961 w 3656134"/>
            <a:gd name="connsiteY3" fmla="*/ 39344 h 2017921"/>
            <a:gd name="connsiteX4" fmla="*/ 3656134 w 3656134"/>
            <a:gd name="connsiteY4" fmla="*/ 354401 h 2017921"/>
            <a:gd name="connsiteX5" fmla="*/ 3656134 w 3656134"/>
            <a:gd name="connsiteY5" fmla="*/ 354401 h 2017921"/>
            <a:gd name="connsiteX0" fmla="*/ 0 w 3656134"/>
            <a:gd name="connsiteY0" fmla="*/ 2017613 h 2017921"/>
            <a:gd name="connsiteX1" fmla="*/ 798634 w 3656134"/>
            <a:gd name="connsiteY1" fmla="*/ 1783154 h 2017921"/>
            <a:gd name="connsiteX2" fmla="*/ 3091961 w 3656134"/>
            <a:gd name="connsiteY2" fmla="*/ 39344 h 2017921"/>
            <a:gd name="connsiteX3" fmla="*/ 3656134 w 3656134"/>
            <a:gd name="connsiteY3" fmla="*/ 354401 h 2017921"/>
            <a:gd name="connsiteX4" fmla="*/ 3656134 w 3656134"/>
            <a:gd name="connsiteY4" fmla="*/ 354401 h 2017921"/>
            <a:gd name="connsiteX0" fmla="*/ 0 w 3656134"/>
            <a:gd name="connsiteY0" fmla="*/ 1978269 h 1978577"/>
            <a:gd name="connsiteX1" fmla="*/ 798634 w 3656134"/>
            <a:gd name="connsiteY1" fmla="*/ 1743810 h 1978577"/>
            <a:gd name="connsiteX2" fmla="*/ 1751134 w 3656134"/>
            <a:gd name="connsiteY2" fmla="*/ 1370136 h 1978577"/>
            <a:gd name="connsiteX3" fmla="*/ 3091961 w 3656134"/>
            <a:gd name="connsiteY3" fmla="*/ 0 h 1978577"/>
            <a:gd name="connsiteX4" fmla="*/ 3656134 w 3656134"/>
            <a:gd name="connsiteY4" fmla="*/ 315057 h 1978577"/>
            <a:gd name="connsiteX5" fmla="*/ 3656134 w 3656134"/>
            <a:gd name="connsiteY5" fmla="*/ 315057 h 1978577"/>
            <a:gd name="connsiteX0" fmla="*/ 0 w 3656134"/>
            <a:gd name="connsiteY0" fmla="*/ 1983329 h 1983637"/>
            <a:gd name="connsiteX1" fmla="*/ 798634 w 3656134"/>
            <a:gd name="connsiteY1" fmla="*/ 1748870 h 1983637"/>
            <a:gd name="connsiteX2" fmla="*/ 1751134 w 3656134"/>
            <a:gd name="connsiteY2" fmla="*/ 1375196 h 1983637"/>
            <a:gd name="connsiteX3" fmla="*/ 3091961 w 3656134"/>
            <a:gd name="connsiteY3" fmla="*/ 5060 h 1983637"/>
            <a:gd name="connsiteX4" fmla="*/ 3656134 w 3656134"/>
            <a:gd name="connsiteY4" fmla="*/ 320117 h 1983637"/>
            <a:gd name="connsiteX5" fmla="*/ 3656134 w 3656134"/>
            <a:gd name="connsiteY5" fmla="*/ 320117 h 1983637"/>
            <a:gd name="connsiteX0" fmla="*/ 0 w 3656134"/>
            <a:gd name="connsiteY0" fmla="*/ 2021050 h 2021358"/>
            <a:gd name="connsiteX1" fmla="*/ 798634 w 3656134"/>
            <a:gd name="connsiteY1" fmla="*/ 1786591 h 2021358"/>
            <a:gd name="connsiteX2" fmla="*/ 1751134 w 3656134"/>
            <a:gd name="connsiteY2" fmla="*/ 1412917 h 2021358"/>
            <a:gd name="connsiteX3" fmla="*/ 3091961 w 3656134"/>
            <a:gd name="connsiteY3" fmla="*/ 42781 h 2021358"/>
            <a:gd name="connsiteX4" fmla="*/ 3656134 w 3656134"/>
            <a:gd name="connsiteY4" fmla="*/ 357838 h 2021358"/>
            <a:gd name="connsiteX5" fmla="*/ 3656134 w 3656134"/>
            <a:gd name="connsiteY5" fmla="*/ 357838 h 2021358"/>
            <a:gd name="connsiteX0" fmla="*/ 0 w 3656134"/>
            <a:gd name="connsiteY0" fmla="*/ 1978288 h 1978596"/>
            <a:gd name="connsiteX1" fmla="*/ 798634 w 3656134"/>
            <a:gd name="connsiteY1" fmla="*/ 1743829 h 1978596"/>
            <a:gd name="connsiteX2" fmla="*/ 1751134 w 3656134"/>
            <a:gd name="connsiteY2" fmla="*/ 1370155 h 1978596"/>
            <a:gd name="connsiteX3" fmla="*/ 3091961 w 3656134"/>
            <a:gd name="connsiteY3" fmla="*/ 19 h 1978596"/>
            <a:gd name="connsiteX4" fmla="*/ 3656134 w 3656134"/>
            <a:gd name="connsiteY4" fmla="*/ 315076 h 1978596"/>
            <a:gd name="connsiteX5" fmla="*/ 3656134 w 3656134"/>
            <a:gd name="connsiteY5" fmla="*/ 315076 h 1978596"/>
            <a:gd name="connsiteX0" fmla="*/ 0 w 3656134"/>
            <a:gd name="connsiteY0" fmla="*/ 2024265 h 2024573"/>
            <a:gd name="connsiteX1" fmla="*/ 798634 w 3656134"/>
            <a:gd name="connsiteY1" fmla="*/ 1789806 h 2024573"/>
            <a:gd name="connsiteX2" fmla="*/ 1852489 w 3656134"/>
            <a:gd name="connsiteY2" fmla="*/ 1428038 h 2024573"/>
            <a:gd name="connsiteX3" fmla="*/ 3091961 w 3656134"/>
            <a:gd name="connsiteY3" fmla="*/ 45996 h 2024573"/>
            <a:gd name="connsiteX4" fmla="*/ 3656134 w 3656134"/>
            <a:gd name="connsiteY4" fmla="*/ 361053 h 2024573"/>
            <a:gd name="connsiteX5" fmla="*/ 3656134 w 3656134"/>
            <a:gd name="connsiteY5" fmla="*/ 361053 h 2024573"/>
            <a:gd name="connsiteX0" fmla="*/ 0 w 3656134"/>
            <a:gd name="connsiteY0" fmla="*/ 1978269 h 1978577"/>
            <a:gd name="connsiteX1" fmla="*/ 798634 w 3656134"/>
            <a:gd name="connsiteY1" fmla="*/ 1743810 h 1978577"/>
            <a:gd name="connsiteX2" fmla="*/ 1739210 w 3656134"/>
            <a:gd name="connsiteY2" fmla="*/ 1387995 h 1978577"/>
            <a:gd name="connsiteX3" fmla="*/ 3091961 w 3656134"/>
            <a:gd name="connsiteY3" fmla="*/ 0 h 1978577"/>
            <a:gd name="connsiteX4" fmla="*/ 3656134 w 3656134"/>
            <a:gd name="connsiteY4" fmla="*/ 315057 h 1978577"/>
            <a:gd name="connsiteX5" fmla="*/ 3656134 w 3656134"/>
            <a:gd name="connsiteY5" fmla="*/ 315057 h 1978577"/>
            <a:gd name="connsiteX0" fmla="*/ 0 w 3656134"/>
            <a:gd name="connsiteY0" fmla="*/ 1984747 h 1985055"/>
            <a:gd name="connsiteX1" fmla="*/ 798634 w 3656134"/>
            <a:gd name="connsiteY1" fmla="*/ 1750288 h 1985055"/>
            <a:gd name="connsiteX2" fmla="*/ 1739210 w 3656134"/>
            <a:gd name="connsiteY2" fmla="*/ 1394473 h 1985055"/>
            <a:gd name="connsiteX3" fmla="*/ 3091961 w 3656134"/>
            <a:gd name="connsiteY3" fmla="*/ 6478 h 1985055"/>
            <a:gd name="connsiteX4" fmla="*/ 3656134 w 3656134"/>
            <a:gd name="connsiteY4" fmla="*/ 321535 h 1985055"/>
            <a:gd name="connsiteX5" fmla="*/ 3656134 w 3656134"/>
            <a:gd name="connsiteY5" fmla="*/ 321535 h 1985055"/>
            <a:gd name="connsiteX0" fmla="*/ 0 w 3656134"/>
            <a:gd name="connsiteY0" fmla="*/ 1979002 h 1979310"/>
            <a:gd name="connsiteX1" fmla="*/ 798634 w 3656134"/>
            <a:gd name="connsiteY1" fmla="*/ 1744543 h 1979310"/>
            <a:gd name="connsiteX2" fmla="*/ 1739210 w 3656134"/>
            <a:gd name="connsiteY2" fmla="*/ 1388728 h 1979310"/>
            <a:gd name="connsiteX3" fmla="*/ 3091961 w 3656134"/>
            <a:gd name="connsiteY3" fmla="*/ 733 h 1979310"/>
            <a:gd name="connsiteX4" fmla="*/ 3656134 w 3656134"/>
            <a:gd name="connsiteY4" fmla="*/ 315790 h 1979310"/>
            <a:gd name="connsiteX5" fmla="*/ 3656134 w 3656134"/>
            <a:gd name="connsiteY5" fmla="*/ 315790 h 1979310"/>
            <a:gd name="connsiteX0" fmla="*/ 0 w 3656134"/>
            <a:gd name="connsiteY0" fmla="*/ 1978900 h 1979208"/>
            <a:gd name="connsiteX1" fmla="*/ 798634 w 3656134"/>
            <a:gd name="connsiteY1" fmla="*/ 1744441 h 1979208"/>
            <a:gd name="connsiteX2" fmla="*/ 1739210 w 3656134"/>
            <a:gd name="connsiteY2" fmla="*/ 1388626 h 1979208"/>
            <a:gd name="connsiteX3" fmla="*/ 3091961 w 3656134"/>
            <a:gd name="connsiteY3" fmla="*/ 631 h 1979208"/>
            <a:gd name="connsiteX4" fmla="*/ 3656134 w 3656134"/>
            <a:gd name="connsiteY4" fmla="*/ 315688 h 1979208"/>
            <a:gd name="connsiteX5" fmla="*/ 3656134 w 3656134"/>
            <a:gd name="connsiteY5" fmla="*/ 315688 h 1979208"/>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Lst>
          <a:rect l="l" t="t" r="r" b="b"/>
          <a:pathLst>
            <a:path w="3656134" h="1979208">
              <a:moveTo>
                <a:pt x="0" y="1978900"/>
              </a:moveTo>
              <a:cubicBezTo>
                <a:pt x="553183" y="1985923"/>
                <a:pt x="579564" y="1872038"/>
                <a:pt x="798634" y="1744441"/>
              </a:cubicBezTo>
              <a:cubicBezTo>
                <a:pt x="1059961" y="1610114"/>
                <a:pt x="1356989" y="1679261"/>
                <a:pt x="1739210" y="1388626"/>
              </a:cubicBezTo>
              <a:cubicBezTo>
                <a:pt x="2121431" y="1097991"/>
                <a:pt x="2635610" y="14675"/>
                <a:pt x="3091961" y="631"/>
              </a:cubicBezTo>
              <a:cubicBezTo>
                <a:pt x="3548312" y="-13413"/>
                <a:pt x="3468076" y="210669"/>
                <a:pt x="3656134" y="315688"/>
              </a:cubicBezTo>
              <a:lnTo>
                <a:pt x="3656134" y="315688"/>
              </a:lnTo>
            </a:path>
          </a:pathLst>
        </a:cu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23</xdr:col>
      <xdr:colOff>24846</xdr:colOff>
      <xdr:row>19</xdr:row>
      <xdr:rowOff>91110</xdr:rowOff>
    </xdr:from>
    <xdr:to>
      <xdr:col>24</xdr:col>
      <xdr:colOff>57976</xdr:colOff>
      <xdr:row>20</xdr:row>
      <xdr:rowOff>41414</xdr:rowOff>
    </xdr:to>
    <xdr:sp macro="" textlink="">
      <xdr:nvSpPr>
        <xdr:cNvPr id="7" name="Left Brace 6">
          <a:extLst>
            <a:ext uri="{FF2B5EF4-FFF2-40B4-BE49-F238E27FC236}">
              <a16:creationId xmlns:a16="http://schemas.microsoft.com/office/drawing/2014/main" xmlns="" id="{00000000-0008-0000-1000-000007000000}"/>
            </a:ext>
          </a:extLst>
        </xdr:cNvPr>
        <xdr:cNvSpPr/>
      </xdr:nvSpPr>
      <xdr:spPr>
        <a:xfrm rot="5400000">
          <a:off x="21555488" y="3838990"/>
          <a:ext cx="140804" cy="646043"/>
        </a:xfrm>
        <a:prstGeom prst="leftBrace">
          <a:avLst/>
        </a:prstGeom>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US" sz="1100"/>
        </a:p>
      </xdr:txBody>
    </xdr:sp>
    <xdr:clientData/>
  </xdr:twoCellAnchor>
  <xdr:twoCellAnchor>
    <xdr:from>
      <xdr:col>23</xdr:col>
      <xdr:colOff>8283</xdr:colOff>
      <xdr:row>18</xdr:row>
      <xdr:rowOff>91108</xdr:rowOff>
    </xdr:from>
    <xdr:to>
      <xdr:col>24</xdr:col>
      <xdr:colOff>157370</xdr:colOff>
      <xdr:row>19</xdr:row>
      <xdr:rowOff>140804</xdr:rowOff>
    </xdr:to>
    <xdr:sp macro="" textlink="">
      <xdr:nvSpPr>
        <xdr:cNvPr id="8" name="Rectangle 7">
          <a:extLst>
            <a:ext uri="{FF2B5EF4-FFF2-40B4-BE49-F238E27FC236}">
              <a16:creationId xmlns:a16="http://schemas.microsoft.com/office/drawing/2014/main" xmlns="" id="{00000000-0008-0000-1000-000008000000}"/>
            </a:ext>
          </a:extLst>
        </xdr:cNvPr>
        <xdr:cNvSpPr/>
      </xdr:nvSpPr>
      <xdr:spPr>
        <a:xfrm>
          <a:off x="21286305" y="3901108"/>
          <a:ext cx="762000" cy="24019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000" b="1">
              <a:solidFill>
                <a:schemeClr val="tx1"/>
              </a:solidFill>
              <a:latin typeface="Arial" panose="020B0604020202020204" pitchFamily="34" charset="0"/>
              <a:cs typeface="Arial" panose="020B0604020202020204" pitchFamily="34" charset="0"/>
            </a:rPr>
            <a:t>Tillering</a:t>
          </a:r>
        </a:p>
      </xdr:txBody>
    </xdr:sp>
    <xdr:clientData/>
  </xdr:twoCellAnchor>
  <xdr:twoCellAnchor>
    <xdr:from>
      <xdr:col>32</xdr:col>
      <xdr:colOff>460458</xdr:colOff>
      <xdr:row>10</xdr:row>
      <xdr:rowOff>39068</xdr:rowOff>
    </xdr:from>
    <xdr:to>
      <xdr:col>40</xdr:col>
      <xdr:colOff>156372</xdr:colOff>
      <xdr:row>24</xdr:row>
      <xdr:rowOff>115268</xdr:rowOff>
    </xdr:to>
    <xdr:graphicFrame macro="">
      <xdr:nvGraphicFramePr>
        <xdr:cNvPr id="10" name="Chart 9">
          <a:extLst>
            <a:ext uri="{FF2B5EF4-FFF2-40B4-BE49-F238E27FC236}">
              <a16:creationId xmlns:a16="http://schemas.microsoft.com/office/drawing/2014/main" xmlns="" id="{00000000-0008-0000-10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49.xml><?xml version="1.0" encoding="utf-8"?>
<c:userShapes xmlns:c="http://schemas.openxmlformats.org/drawingml/2006/chart">
  <cdr:relSizeAnchor xmlns:cdr="http://schemas.openxmlformats.org/drawingml/2006/chartDrawing">
    <cdr:from>
      <cdr:x>0.45341</cdr:x>
      <cdr:y>0.66</cdr:y>
    </cdr:from>
    <cdr:to>
      <cdr:x>0.69147</cdr:x>
      <cdr:y>0.70529</cdr:y>
    </cdr:to>
    <cdr:sp macro="" textlink="">
      <cdr:nvSpPr>
        <cdr:cNvPr id="2" name="Left Brace 1"/>
        <cdr:cNvSpPr/>
      </cdr:nvSpPr>
      <cdr:spPr>
        <a:xfrm xmlns:a="http://schemas.openxmlformats.org/drawingml/2006/main" rot="16200000">
          <a:off x="2586698" y="1321839"/>
          <a:ext cx="124243" cy="1101587"/>
        </a:xfrm>
        <a:prstGeom xmlns:a="http://schemas.openxmlformats.org/drawingml/2006/main" prst="leftBrace">
          <a:avLst/>
        </a:prstGeom>
      </cdr:spPr>
      <cdr:style>
        <a:lnRef xmlns:a="http://schemas.openxmlformats.org/drawingml/2006/main" idx="1">
          <a:schemeClr val="dk1"/>
        </a:lnRef>
        <a:fillRef xmlns:a="http://schemas.openxmlformats.org/drawingml/2006/main" idx="0">
          <a:schemeClr val="dk1"/>
        </a:fillRef>
        <a:effectRef xmlns:a="http://schemas.openxmlformats.org/drawingml/2006/main" idx="0">
          <a:schemeClr val="dk1"/>
        </a:effectRef>
        <a:fontRef xmlns:a="http://schemas.openxmlformats.org/drawingml/2006/main" idx="minor">
          <a:schemeClr val="tx1"/>
        </a:fontRef>
      </cdr:style>
      <cdr:txBody>
        <a:bodyPr xmlns:a="http://schemas.openxmlformats.org/drawingml/2006/main" rot="0" spcFirstLastPara="0" vert="horz" wrap="square" lIns="91440" tIns="45720" rIns="91440" bIns="45720" numCol="1" spcCol="0" rtlCol="0" fromWordArt="0" anchor="t" anchorCtr="0" forceAA="0" compatLnSpc="1">
          <a:prstTxWarp prst="textNoShape">
            <a:avLst/>
          </a:prstTxWarp>
          <a:noAutofit/>
        </a:bodyPr>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pPr algn="l"/>
          <a:endParaRPr lang="en-US" sz="1100"/>
        </a:p>
      </cdr:txBody>
    </cdr:sp>
  </cdr:relSizeAnchor>
  <cdr:relSizeAnchor xmlns:cdr="http://schemas.openxmlformats.org/drawingml/2006/chartDrawing">
    <cdr:from>
      <cdr:x>0.44625</cdr:x>
      <cdr:y>0.70089</cdr:y>
    </cdr:from>
    <cdr:to>
      <cdr:x>0.73234</cdr:x>
      <cdr:y>0.78845</cdr:y>
    </cdr:to>
    <cdr:sp macro="" textlink="">
      <cdr:nvSpPr>
        <cdr:cNvPr id="3" name="Rectangle 2"/>
        <cdr:cNvSpPr/>
      </cdr:nvSpPr>
      <cdr:spPr>
        <a:xfrm xmlns:a="http://schemas.openxmlformats.org/drawingml/2006/main">
          <a:off x="2064894" y="1922670"/>
          <a:ext cx="1323797" cy="240196"/>
        </a:xfrm>
        <a:prstGeom xmlns:a="http://schemas.openxmlformats.org/drawingml/2006/main" prst="rect">
          <a:avLst/>
        </a:prstGeom>
        <a:noFill xmlns:a="http://schemas.openxmlformats.org/drawingml/2006/main"/>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ot="0" spcFirstLastPara="0" vert="horz" wrap="square" lIns="91440" tIns="45720" rIns="91440" bIns="45720" numCol="1" spcCol="0" rtlCol="0" fromWordArt="0" anchor="t" anchorCtr="0" forceAA="0" compatLnSpc="1">
          <a:prstTxWarp prst="textNoShape">
            <a:avLst/>
          </a:prstTxWarp>
          <a:noAutofit/>
        </a:bodyP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l"/>
          <a:r>
            <a:rPr lang="en-US" sz="1000" b="1">
              <a:solidFill>
                <a:schemeClr val="tx1"/>
              </a:solidFill>
              <a:latin typeface="Arial" panose="020B0604020202020204" pitchFamily="34" charset="0"/>
              <a:cs typeface="Arial" panose="020B0604020202020204" pitchFamily="34" charset="0"/>
            </a:rPr>
            <a:t>Stem extension</a:t>
          </a:r>
        </a:p>
      </cdr:txBody>
    </cdr:sp>
  </cdr:relSizeAnchor>
  <cdr:relSizeAnchor xmlns:cdr="http://schemas.openxmlformats.org/drawingml/2006/chartDrawing">
    <cdr:from>
      <cdr:x>0.70012</cdr:x>
      <cdr:y>0.5469</cdr:y>
    </cdr:from>
    <cdr:to>
      <cdr:x>0.85257</cdr:x>
      <cdr:y>0.60263</cdr:y>
    </cdr:to>
    <cdr:sp macro="" textlink="">
      <cdr:nvSpPr>
        <cdr:cNvPr id="4" name="Left Brace 3"/>
        <cdr:cNvSpPr/>
      </cdr:nvSpPr>
      <cdr:spPr>
        <a:xfrm xmlns:a="http://schemas.openxmlformats.org/drawingml/2006/main" rot="16200000">
          <a:off x="3515881" y="1223978"/>
          <a:ext cx="152887" cy="705442"/>
        </a:xfrm>
        <a:prstGeom xmlns:a="http://schemas.openxmlformats.org/drawingml/2006/main" prst="leftBrace">
          <a:avLst/>
        </a:prstGeom>
      </cdr:spPr>
      <cdr:style>
        <a:lnRef xmlns:a="http://schemas.openxmlformats.org/drawingml/2006/main" idx="1">
          <a:schemeClr val="dk1"/>
        </a:lnRef>
        <a:fillRef xmlns:a="http://schemas.openxmlformats.org/drawingml/2006/main" idx="0">
          <a:schemeClr val="dk1"/>
        </a:fillRef>
        <a:effectRef xmlns:a="http://schemas.openxmlformats.org/drawingml/2006/main" idx="0">
          <a:schemeClr val="dk1"/>
        </a:effectRef>
        <a:fontRef xmlns:a="http://schemas.openxmlformats.org/drawingml/2006/main" idx="minor">
          <a:schemeClr val="tx1"/>
        </a:fontRef>
      </cdr:style>
      <cdr:txBody>
        <a:bodyPr xmlns:a="http://schemas.openxmlformats.org/drawingml/2006/main" rot="0" spcFirstLastPara="0" vert="horz" wrap="square" lIns="91440" tIns="45720" rIns="91440" bIns="45720" numCol="1" spcCol="0" rtlCol="0" fromWordArt="0" anchor="t" anchorCtr="0" forceAA="0" compatLnSpc="1">
          <a:prstTxWarp prst="textNoShape">
            <a:avLst/>
          </a:prstTxWarp>
          <a:noAutofit/>
        </a:bodyPr>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pPr algn="l"/>
          <a:endParaRPr lang="en-US" sz="1100"/>
        </a:p>
      </cdr:txBody>
    </cdr:sp>
  </cdr:relSizeAnchor>
  <cdr:relSizeAnchor xmlns:cdr="http://schemas.openxmlformats.org/drawingml/2006/chartDrawing">
    <cdr:from>
      <cdr:x>0.70012</cdr:x>
      <cdr:y>0.61634</cdr:y>
    </cdr:from>
    <cdr:to>
      <cdr:x>0.87047</cdr:x>
      <cdr:y>0.7039</cdr:y>
    </cdr:to>
    <cdr:sp macro="" textlink="">
      <cdr:nvSpPr>
        <cdr:cNvPr id="5" name="Rectangle 4"/>
        <cdr:cNvSpPr/>
      </cdr:nvSpPr>
      <cdr:spPr>
        <a:xfrm xmlns:a="http://schemas.openxmlformats.org/drawingml/2006/main">
          <a:off x="3239605" y="1690756"/>
          <a:ext cx="788268" cy="240196"/>
        </a:xfrm>
        <a:prstGeom xmlns:a="http://schemas.openxmlformats.org/drawingml/2006/main" prst="rect">
          <a:avLst/>
        </a:prstGeom>
        <a:noFill xmlns:a="http://schemas.openxmlformats.org/drawingml/2006/main"/>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ot="0" spcFirstLastPara="0" vert="horz" wrap="square" lIns="91440" tIns="45720" rIns="91440" bIns="45720" numCol="1" spcCol="0" rtlCol="0" fromWordArt="0" anchor="t" anchorCtr="0" forceAA="0" compatLnSpc="1">
          <a:prstTxWarp prst="textNoShape">
            <a:avLst/>
          </a:prstTxWarp>
          <a:noAutofit/>
        </a:bodyP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l"/>
          <a:r>
            <a:rPr lang="en-US" sz="1000" b="1">
              <a:solidFill>
                <a:schemeClr val="tx1"/>
              </a:solidFill>
              <a:latin typeface="Arial" panose="020B0604020202020204" pitchFamily="34" charset="0"/>
              <a:cs typeface="Arial" panose="020B0604020202020204" pitchFamily="34" charset="0"/>
            </a:rPr>
            <a:t>Heading</a:t>
          </a:r>
        </a:p>
      </cdr:txBody>
    </cdr:sp>
  </cdr:relSizeAnchor>
</c:userShapes>
</file>

<file path=xl/drawings/drawing5.xml><?xml version="1.0" encoding="utf-8"?>
<c:userShapes xmlns:c="http://schemas.openxmlformats.org/drawingml/2006/chart">
  <cdr:relSizeAnchor xmlns:cdr="http://schemas.openxmlformats.org/drawingml/2006/chartDrawing">
    <cdr:from>
      <cdr:x>0.11023</cdr:x>
      <cdr:y>0.05952</cdr:y>
    </cdr:from>
    <cdr:to>
      <cdr:x>0.9478</cdr:x>
      <cdr:y>0.84653</cdr:y>
    </cdr:to>
    <cdr:sp macro="" textlink="">
      <cdr:nvSpPr>
        <cdr:cNvPr id="3" name="Freeform 2"/>
        <cdr:cNvSpPr/>
      </cdr:nvSpPr>
      <cdr:spPr>
        <a:xfrm xmlns:a="http://schemas.openxmlformats.org/drawingml/2006/main">
          <a:off x="655163" y="217714"/>
          <a:ext cx="4978194" cy="2878553"/>
        </a:xfrm>
        <a:custGeom xmlns:a="http://schemas.openxmlformats.org/drawingml/2006/main">
          <a:avLst/>
          <a:gdLst>
            <a:gd name="connsiteX0" fmla="*/ 0 w 3859696"/>
            <a:gd name="connsiteY0" fmla="*/ 3278658 h 3332551"/>
            <a:gd name="connsiteX1" fmla="*/ 745435 w 3859696"/>
            <a:gd name="connsiteY1" fmla="*/ 3237245 h 3332551"/>
            <a:gd name="connsiteX2" fmla="*/ 1258957 w 3859696"/>
            <a:gd name="connsiteY2" fmla="*/ 2400701 h 3332551"/>
            <a:gd name="connsiteX3" fmla="*/ 2310848 w 3859696"/>
            <a:gd name="connsiteY3" fmla="*/ 371462 h 3332551"/>
            <a:gd name="connsiteX4" fmla="*/ 3859696 w 3859696"/>
            <a:gd name="connsiteY4" fmla="*/ 7027 h 3332551"/>
            <a:gd name="connsiteX0" fmla="*/ 0 w 3859696"/>
            <a:gd name="connsiteY0" fmla="*/ 3278658 h 3295230"/>
            <a:gd name="connsiteX1" fmla="*/ 745435 w 3859696"/>
            <a:gd name="connsiteY1" fmla="*/ 3237245 h 3295230"/>
            <a:gd name="connsiteX2" fmla="*/ 1258957 w 3859696"/>
            <a:gd name="connsiteY2" fmla="*/ 2400701 h 3295230"/>
            <a:gd name="connsiteX3" fmla="*/ 2310848 w 3859696"/>
            <a:gd name="connsiteY3" fmla="*/ 371462 h 3295230"/>
            <a:gd name="connsiteX4" fmla="*/ 3859696 w 3859696"/>
            <a:gd name="connsiteY4" fmla="*/ 7027 h 3295230"/>
            <a:gd name="connsiteX0" fmla="*/ 0 w 3859696"/>
            <a:gd name="connsiteY0" fmla="*/ 3274547 h 3291119"/>
            <a:gd name="connsiteX1" fmla="*/ 745435 w 3859696"/>
            <a:gd name="connsiteY1" fmla="*/ 3233134 h 3291119"/>
            <a:gd name="connsiteX2" fmla="*/ 1258957 w 3859696"/>
            <a:gd name="connsiteY2" fmla="*/ 2396590 h 3291119"/>
            <a:gd name="connsiteX3" fmla="*/ 2451652 w 3859696"/>
            <a:gd name="connsiteY3" fmla="*/ 433612 h 3291119"/>
            <a:gd name="connsiteX4" fmla="*/ 3859696 w 3859696"/>
            <a:gd name="connsiteY4" fmla="*/ 2916 h 3291119"/>
            <a:gd name="connsiteX0" fmla="*/ 0 w 3859696"/>
            <a:gd name="connsiteY0" fmla="*/ 3272485 h 3289057"/>
            <a:gd name="connsiteX1" fmla="*/ 745435 w 3859696"/>
            <a:gd name="connsiteY1" fmla="*/ 3231072 h 3289057"/>
            <a:gd name="connsiteX2" fmla="*/ 1258957 w 3859696"/>
            <a:gd name="connsiteY2" fmla="*/ 2394528 h 3289057"/>
            <a:gd name="connsiteX3" fmla="*/ 2004392 w 3859696"/>
            <a:gd name="connsiteY3" fmla="*/ 1201833 h 3289057"/>
            <a:gd name="connsiteX4" fmla="*/ 2451652 w 3859696"/>
            <a:gd name="connsiteY4" fmla="*/ 431550 h 3289057"/>
            <a:gd name="connsiteX5" fmla="*/ 3859696 w 3859696"/>
            <a:gd name="connsiteY5" fmla="*/ 854 h 3289057"/>
            <a:gd name="connsiteX0" fmla="*/ 0 w 3859696"/>
            <a:gd name="connsiteY0" fmla="*/ 3272605 h 3289177"/>
            <a:gd name="connsiteX1" fmla="*/ 745435 w 3859696"/>
            <a:gd name="connsiteY1" fmla="*/ 3231192 h 3289177"/>
            <a:gd name="connsiteX2" fmla="*/ 1258957 w 3859696"/>
            <a:gd name="connsiteY2" fmla="*/ 2394648 h 3289177"/>
            <a:gd name="connsiteX3" fmla="*/ 2004392 w 3859696"/>
            <a:gd name="connsiteY3" fmla="*/ 1201953 h 3289177"/>
            <a:gd name="connsiteX4" fmla="*/ 2451652 w 3859696"/>
            <a:gd name="connsiteY4" fmla="*/ 431670 h 3289177"/>
            <a:gd name="connsiteX5" fmla="*/ 3859696 w 3859696"/>
            <a:gd name="connsiteY5" fmla="*/ 974 h 3289177"/>
            <a:gd name="connsiteX0" fmla="*/ 0 w 3859696"/>
            <a:gd name="connsiteY0" fmla="*/ 3272766 h 3289338"/>
            <a:gd name="connsiteX1" fmla="*/ 745435 w 3859696"/>
            <a:gd name="connsiteY1" fmla="*/ 3231353 h 3289338"/>
            <a:gd name="connsiteX2" fmla="*/ 1258957 w 3859696"/>
            <a:gd name="connsiteY2" fmla="*/ 2394809 h 3289338"/>
            <a:gd name="connsiteX3" fmla="*/ 2004392 w 3859696"/>
            <a:gd name="connsiteY3" fmla="*/ 1202114 h 3289338"/>
            <a:gd name="connsiteX4" fmla="*/ 2575891 w 3859696"/>
            <a:gd name="connsiteY4" fmla="*/ 398700 h 3289338"/>
            <a:gd name="connsiteX5" fmla="*/ 3859696 w 3859696"/>
            <a:gd name="connsiteY5" fmla="*/ 1135 h 3289338"/>
            <a:gd name="connsiteX0" fmla="*/ 0 w 3859696"/>
            <a:gd name="connsiteY0" fmla="*/ 3272766 h 3272766"/>
            <a:gd name="connsiteX1" fmla="*/ 704022 w 3859696"/>
            <a:gd name="connsiteY1" fmla="*/ 3140245 h 3272766"/>
            <a:gd name="connsiteX2" fmla="*/ 1258957 w 3859696"/>
            <a:gd name="connsiteY2" fmla="*/ 2394809 h 3272766"/>
            <a:gd name="connsiteX3" fmla="*/ 2004392 w 3859696"/>
            <a:gd name="connsiteY3" fmla="*/ 1202114 h 3272766"/>
            <a:gd name="connsiteX4" fmla="*/ 2575891 w 3859696"/>
            <a:gd name="connsiteY4" fmla="*/ 398700 h 3272766"/>
            <a:gd name="connsiteX5" fmla="*/ 3859696 w 3859696"/>
            <a:gd name="connsiteY5" fmla="*/ 1135 h 3272766"/>
            <a:gd name="connsiteX0" fmla="*/ 0 w 3859696"/>
            <a:gd name="connsiteY0" fmla="*/ 3272766 h 3272766"/>
            <a:gd name="connsiteX1" fmla="*/ 588065 w 3859696"/>
            <a:gd name="connsiteY1" fmla="*/ 3156810 h 3272766"/>
            <a:gd name="connsiteX2" fmla="*/ 1258957 w 3859696"/>
            <a:gd name="connsiteY2" fmla="*/ 2394809 h 3272766"/>
            <a:gd name="connsiteX3" fmla="*/ 2004392 w 3859696"/>
            <a:gd name="connsiteY3" fmla="*/ 1202114 h 3272766"/>
            <a:gd name="connsiteX4" fmla="*/ 2575891 w 3859696"/>
            <a:gd name="connsiteY4" fmla="*/ 398700 h 3272766"/>
            <a:gd name="connsiteX5" fmla="*/ 3859696 w 3859696"/>
            <a:gd name="connsiteY5" fmla="*/ 1135 h 3272766"/>
            <a:gd name="connsiteX0" fmla="*/ 0 w 3859696"/>
            <a:gd name="connsiteY0" fmla="*/ 3272766 h 3272766"/>
            <a:gd name="connsiteX1" fmla="*/ 588065 w 3859696"/>
            <a:gd name="connsiteY1" fmla="*/ 3156810 h 3272766"/>
            <a:gd name="connsiteX2" fmla="*/ 1192696 w 3859696"/>
            <a:gd name="connsiteY2" fmla="*/ 2336831 h 3272766"/>
            <a:gd name="connsiteX3" fmla="*/ 2004392 w 3859696"/>
            <a:gd name="connsiteY3" fmla="*/ 1202114 h 3272766"/>
            <a:gd name="connsiteX4" fmla="*/ 2575891 w 3859696"/>
            <a:gd name="connsiteY4" fmla="*/ 398700 h 3272766"/>
            <a:gd name="connsiteX5" fmla="*/ 3859696 w 3859696"/>
            <a:gd name="connsiteY5" fmla="*/ 1135 h 3272766"/>
            <a:gd name="connsiteX0" fmla="*/ 0 w 3859696"/>
            <a:gd name="connsiteY0" fmla="*/ 3279389 h 3279389"/>
            <a:gd name="connsiteX1" fmla="*/ 588065 w 3859696"/>
            <a:gd name="connsiteY1" fmla="*/ 3163433 h 3279389"/>
            <a:gd name="connsiteX2" fmla="*/ 1192696 w 3859696"/>
            <a:gd name="connsiteY2" fmla="*/ 2343454 h 3279389"/>
            <a:gd name="connsiteX3" fmla="*/ 2004392 w 3859696"/>
            <a:gd name="connsiteY3" fmla="*/ 1208737 h 3279389"/>
            <a:gd name="connsiteX4" fmla="*/ 2584174 w 3859696"/>
            <a:gd name="connsiteY4" fmla="*/ 214823 h 3279389"/>
            <a:gd name="connsiteX5" fmla="*/ 3859696 w 3859696"/>
            <a:gd name="connsiteY5" fmla="*/ 7758 h 3279389"/>
            <a:gd name="connsiteX0" fmla="*/ 0 w 3859696"/>
            <a:gd name="connsiteY0" fmla="*/ 3275751 h 3275751"/>
            <a:gd name="connsiteX1" fmla="*/ 588065 w 3859696"/>
            <a:gd name="connsiteY1" fmla="*/ 3159795 h 3275751"/>
            <a:gd name="connsiteX2" fmla="*/ 1192696 w 3859696"/>
            <a:gd name="connsiteY2" fmla="*/ 2339816 h 3275751"/>
            <a:gd name="connsiteX3" fmla="*/ 1996109 w 3859696"/>
            <a:gd name="connsiteY3" fmla="*/ 1163686 h 3275751"/>
            <a:gd name="connsiteX4" fmla="*/ 2584174 w 3859696"/>
            <a:gd name="connsiteY4" fmla="*/ 211185 h 3275751"/>
            <a:gd name="connsiteX5" fmla="*/ 3859696 w 3859696"/>
            <a:gd name="connsiteY5" fmla="*/ 4120 h 3275751"/>
            <a:gd name="connsiteX0" fmla="*/ 0 w 3859696"/>
            <a:gd name="connsiteY0" fmla="*/ 3333278 h 3333278"/>
            <a:gd name="connsiteX1" fmla="*/ 588065 w 3859696"/>
            <a:gd name="connsiteY1" fmla="*/ 3217322 h 3333278"/>
            <a:gd name="connsiteX2" fmla="*/ 1192696 w 3859696"/>
            <a:gd name="connsiteY2" fmla="*/ 2397343 h 3333278"/>
            <a:gd name="connsiteX3" fmla="*/ 1996109 w 3859696"/>
            <a:gd name="connsiteY3" fmla="*/ 1221213 h 3333278"/>
            <a:gd name="connsiteX4" fmla="*/ 2940326 w 3859696"/>
            <a:gd name="connsiteY4" fmla="*/ 103060 h 3333278"/>
            <a:gd name="connsiteX5" fmla="*/ 3859696 w 3859696"/>
            <a:gd name="connsiteY5" fmla="*/ 61647 h 3333278"/>
            <a:gd name="connsiteX0" fmla="*/ 0 w 3859696"/>
            <a:gd name="connsiteY0" fmla="*/ 3280236 h 3280236"/>
            <a:gd name="connsiteX1" fmla="*/ 588065 w 3859696"/>
            <a:gd name="connsiteY1" fmla="*/ 3164280 h 3280236"/>
            <a:gd name="connsiteX2" fmla="*/ 1192696 w 3859696"/>
            <a:gd name="connsiteY2" fmla="*/ 2344301 h 3280236"/>
            <a:gd name="connsiteX3" fmla="*/ 1996109 w 3859696"/>
            <a:gd name="connsiteY3" fmla="*/ 1168171 h 3280236"/>
            <a:gd name="connsiteX4" fmla="*/ 2832652 w 3859696"/>
            <a:gd name="connsiteY4" fmla="*/ 174257 h 3280236"/>
            <a:gd name="connsiteX5" fmla="*/ 3859696 w 3859696"/>
            <a:gd name="connsiteY5" fmla="*/ 8605 h 3280236"/>
            <a:gd name="connsiteX0" fmla="*/ 0 w 3859696"/>
            <a:gd name="connsiteY0" fmla="*/ 3288240 h 3288240"/>
            <a:gd name="connsiteX1" fmla="*/ 588065 w 3859696"/>
            <a:gd name="connsiteY1" fmla="*/ 3172284 h 3288240"/>
            <a:gd name="connsiteX2" fmla="*/ 1192696 w 3859696"/>
            <a:gd name="connsiteY2" fmla="*/ 2352305 h 3288240"/>
            <a:gd name="connsiteX3" fmla="*/ 1996109 w 3859696"/>
            <a:gd name="connsiteY3" fmla="*/ 1176175 h 3288240"/>
            <a:gd name="connsiteX4" fmla="*/ 2799522 w 3859696"/>
            <a:gd name="connsiteY4" fmla="*/ 149131 h 3288240"/>
            <a:gd name="connsiteX5" fmla="*/ 3859696 w 3859696"/>
            <a:gd name="connsiteY5" fmla="*/ 16609 h 328824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Lst>
          <a:rect l="l" t="t" r="r" b="b"/>
          <a:pathLst>
            <a:path w="3859696" h="3288240">
              <a:moveTo>
                <a:pt x="0" y="3288240"/>
              </a:moveTo>
              <a:cubicBezTo>
                <a:pt x="196022" y="3249588"/>
                <a:pt x="389282" y="3328273"/>
                <a:pt x="588065" y="3172284"/>
              </a:cubicBezTo>
              <a:cubicBezTo>
                <a:pt x="786848" y="3016295"/>
                <a:pt x="958022" y="2684990"/>
                <a:pt x="1192696" y="2352305"/>
              </a:cubicBezTo>
              <a:cubicBezTo>
                <a:pt x="1427370" y="2019620"/>
                <a:pt x="1797327" y="1503338"/>
                <a:pt x="1996109" y="1176175"/>
              </a:cubicBezTo>
              <a:cubicBezTo>
                <a:pt x="2194891" y="849012"/>
                <a:pt x="2488924" y="342392"/>
                <a:pt x="2799522" y="149131"/>
              </a:cubicBezTo>
              <a:cubicBezTo>
                <a:pt x="3110120" y="-44130"/>
                <a:pt x="3302000" y="-647"/>
                <a:pt x="3859696" y="16609"/>
              </a:cubicBezTo>
            </a:path>
          </a:pathLst>
        </a:custGeom>
        <a:noFill xmlns:a="http://schemas.openxmlformats.org/drawingml/2006/main"/>
        <a:ln xmlns:a="http://schemas.openxmlformats.org/drawingml/2006/main">
          <a:solidFill>
            <a:srgbClr val="FF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horzOverflow="clip" rtlCol="0" anchor="t"/>
        <a:lstStyle xmlns:a="http://schemas.openxmlformats.org/drawingml/2006/main"/>
        <a:p xmlns:a="http://schemas.openxmlformats.org/drawingml/2006/main">
          <a:endParaRPr lang="en-US"/>
        </a:p>
      </cdr:txBody>
    </cdr:sp>
  </cdr:relSizeAnchor>
</c:userShapes>
</file>

<file path=xl/drawings/drawing50.xml><?xml version="1.0" encoding="utf-8"?>
<c:userShapes xmlns:c="http://schemas.openxmlformats.org/drawingml/2006/chart">
  <cdr:relSizeAnchor xmlns:cdr="http://schemas.openxmlformats.org/drawingml/2006/chartDrawing">
    <cdr:from>
      <cdr:x>0.1347</cdr:x>
      <cdr:y>0.06345</cdr:y>
    </cdr:from>
    <cdr:to>
      <cdr:x>0.93658</cdr:x>
      <cdr:y>0.78495</cdr:y>
    </cdr:to>
    <cdr:sp macro="" textlink="">
      <cdr:nvSpPr>
        <cdr:cNvPr id="2" name="Freeform 1"/>
        <cdr:cNvSpPr/>
      </cdr:nvSpPr>
      <cdr:spPr>
        <a:xfrm xmlns:a="http://schemas.openxmlformats.org/drawingml/2006/main">
          <a:off x="611094" y="174064"/>
          <a:ext cx="3638033" cy="1979208"/>
        </a:xfrm>
        <a:custGeom xmlns:a="http://schemas.openxmlformats.org/drawingml/2006/main">
          <a:avLst/>
          <a:gdLst>
            <a:gd name="connsiteX0" fmla="*/ 0 w 3656134"/>
            <a:gd name="connsiteY0" fmla="*/ 1980038 h 2134521"/>
            <a:gd name="connsiteX1" fmla="*/ 600807 w 3656134"/>
            <a:gd name="connsiteY1" fmla="*/ 1994692 h 2134521"/>
            <a:gd name="connsiteX2" fmla="*/ 2549769 w 3656134"/>
            <a:gd name="connsiteY2" fmla="*/ 492672 h 2134521"/>
            <a:gd name="connsiteX3" fmla="*/ 3091961 w 3656134"/>
            <a:gd name="connsiteY3" fmla="*/ 1769 h 2134521"/>
            <a:gd name="connsiteX4" fmla="*/ 3656134 w 3656134"/>
            <a:gd name="connsiteY4" fmla="*/ 316826 h 2134521"/>
            <a:gd name="connsiteX5" fmla="*/ 3656134 w 3656134"/>
            <a:gd name="connsiteY5" fmla="*/ 316826 h 2134521"/>
            <a:gd name="connsiteX0" fmla="*/ 0 w 3656134"/>
            <a:gd name="connsiteY0" fmla="*/ 1980038 h 2047766"/>
            <a:gd name="connsiteX1" fmla="*/ 600807 w 3656134"/>
            <a:gd name="connsiteY1" fmla="*/ 1994692 h 2047766"/>
            <a:gd name="connsiteX2" fmla="*/ 2549769 w 3656134"/>
            <a:gd name="connsiteY2" fmla="*/ 492672 h 2047766"/>
            <a:gd name="connsiteX3" fmla="*/ 3091961 w 3656134"/>
            <a:gd name="connsiteY3" fmla="*/ 1769 h 2047766"/>
            <a:gd name="connsiteX4" fmla="*/ 3656134 w 3656134"/>
            <a:gd name="connsiteY4" fmla="*/ 316826 h 2047766"/>
            <a:gd name="connsiteX5" fmla="*/ 3656134 w 3656134"/>
            <a:gd name="connsiteY5" fmla="*/ 316826 h 2047766"/>
            <a:gd name="connsiteX0" fmla="*/ 0 w 3656134"/>
            <a:gd name="connsiteY0" fmla="*/ 1980038 h 2001753"/>
            <a:gd name="connsiteX1" fmla="*/ 600807 w 3656134"/>
            <a:gd name="connsiteY1" fmla="*/ 1994692 h 2001753"/>
            <a:gd name="connsiteX2" fmla="*/ 2549769 w 3656134"/>
            <a:gd name="connsiteY2" fmla="*/ 492672 h 2001753"/>
            <a:gd name="connsiteX3" fmla="*/ 3091961 w 3656134"/>
            <a:gd name="connsiteY3" fmla="*/ 1769 h 2001753"/>
            <a:gd name="connsiteX4" fmla="*/ 3656134 w 3656134"/>
            <a:gd name="connsiteY4" fmla="*/ 316826 h 2001753"/>
            <a:gd name="connsiteX5" fmla="*/ 3656134 w 3656134"/>
            <a:gd name="connsiteY5" fmla="*/ 316826 h 2001753"/>
            <a:gd name="connsiteX0" fmla="*/ 0 w 3656134"/>
            <a:gd name="connsiteY0" fmla="*/ 1980038 h 1996192"/>
            <a:gd name="connsiteX1" fmla="*/ 600807 w 3656134"/>
            <a:gd name="connsiteY1" fmla="*/ 1994692 h 1996192"/>
            <a:gd name="connsiteX2" fmla="*/ 2549769 w 3656134"/>
            <a:gd name="connsiteY2" fmla="*/ 492672 h 1996192"/>
            <a:gd name="connsiteX3" fmla="*/ 3091961 w 3656134"/>
            <a:gd name="connsiteY3" fmla="*/ 1769 h 1996192"/>
            <a:gd name="connsiteX4" fmla="*/ 3656134 w 3656134"/>
            <a:gd name="connsiteY4" fmla="*/ 316826 h 1996192"/>
            <a:gd name="connsiteX5" fmla="*/ 3656134 w 3656134"/>
            <a:gd name="connsiteY5" fmla="*/ 316826 h 1996192"/>
            <a:gd name="connsiteX0" fmla="*/ 0 w 3656134"/>
            <a:gd name="connsiteY0" fmla="*/ 1980038 h 1980862"/>
            <a:gd name="connsiteX1" fmla="*/ 610092 w 3656134"/>
            <a:gd name="connsiteY1" fmla="*/ 1952875 h 1980862"/>
            <a:gd name="connsiteX2" fmla="*/ 2549769 w 3656134"/>
            <a:gd name="connsiteY2" fmla="*/ 492672 h 1980862"/>
            <a:gd name="connsiteX3" fmla="*/ 3091961 w 3656134"/>
            <a:gd name="connsiteY3" fmla="*/ 1769 h 1980862"/>
            <a:gd name="connsiteX4" fmla="*/ 3656134 w 3656134"/>
            <a:gd name="connsiteY4" fmla="*/ 316826 h 1980862"/>
            <a:gd name="connsiteX5" fmla="*/ 3656134 w 3656134"/>
            <a:gd name="connsiteY5" fmla="*/ 316826 h 1980862"/>
            <a:gd name="connsiteX0" fmla="*/ 0 w 3656134"/>
            <a:gd name="connsiteY0" fmla="*/ 1980038 h 1980472"/>
            <a:gd name="connsiteX1" fmla="*/ 619377 w 3656134"/>
            <a:gd name="connsiteY1" fmla="*/ 1924997 h 1980472"/>
            <a:gd name="connsiteX2" fmla="*/ 2549769 w 3656134"/>
            <a:gd name="connsiteY2" fmla="*/ 492672 h 1980472"/>
            <a:gd name="connsiteX3" fmla="*/ 3091961 w 3656134"/>
            <a:gd name="connsiteY3" fmla="*/ 1769 h 1980472"/>
            <a:gd name="connsiteX4" fmla="*/ 3656134 w 3656134"/>
            <a:gd name="connsiteY4" fmla="*/ 316826 h 1980472"/>
            <a:gd name="connsiteX5" fmla="*/ 3656134 w 3656134"/>
            <a:gd name="connsiteY5" fmla="*/ 316826 h 1980472"/>
            <a:gd name="connsiteX0" fmla="*/ 0 w 3656134"/>
            <a:gd name="connsiteY0" fmla="*/ 1978461 h 2060314"/>
            <a:gd name="connsiteX1" fmla="*/ 619377 w 3656134"/>
            <a:gd name="connsiteY1" fmla="*/ 1923420 h 2060314"/>
            <a:gd name="connsiteX2" fmla="*/ 2494061 w 3656134"/>
            <a:gd name="connsiteY2" fmla="*/ 370290 h 2060314"/>
            <a:gd name="connsiteX3" fmla="*/ 3091961 w 3656134"/>
            <a:gd name="connsiteY3" fmla="*/ 192 h 2060314"/>
            <a:gd name="connsiteX4" fmla="*/ 3656134 w 3656134"/>
            <a:gd name="connsiteY4" fmla="*/ 315249 h 2060314"/>
            <a:gd name="connsiteX5" fmla="*/ 3656134 w 3656134"/>
            <a:gd name="connsiteY5" fmla="*/ 315249 h 2060314"/>
            <a:gd name="connsiteX0" fmla="*/ 0 w 3656134"/>
            <a:gd name="connsiteY0" fmla="*/ 1978461 h 1984064"/>
            <a:gd name="connsiteX1" fmla="*/ 619377 w 3656134"/>
            <a:gd name="connsiteY1" fmla="*/ 1923420 h 1984064"/>
            <a:gd name="connsiteX2" fmla="*/ 2494061 w 3656134"/>
            <a:gd name="connsiteY2" fmla="*/ 370290 h 1984064"/>
            <a:gd name="connsiteX3" fmla="*/ 3091961 w 3656134"/>
            <a:gd name="connsiteY3" fmla="*/ 192 h 1984064"/>
            <a:gd name="connsiteX4" fmla="*/ 3656134 w 3656134"/>
            <a:gd name="connsiteY4" fmla="*/ 315249 h 1984064"/>
            <a:gd name="connsiteX5" fmla="*/ 3656134 w 3656134"/>
            <a:gd name="connsiteY5" fmla="*/ 315249 h 1984064"/>
            <a:gd name="connsiteX0" fmla="*/ 0 w 3656134"/>
            <a:gd name="connsiteY0" fmla="*/ 1978461 h 1978635"/>
            <a:gd name="connsiteX1" fmla="*/ 772572 w 3656134"/>
            <a:gd name="connsiteY1" fmla="*/ 1765444 h 1978635"/>
            <a:gd name="connsiteX2" fmla="*/ 2494061 w 3656134"/>
            <a:gd name="connsiteY2" fmla="*/ 370290 h 1978635"/>
            <a:gd name="connsiteX3" fmla="*/ 3091961 w 3656134"/>
            <a:gd name="connsiteY3" fmla="*/ 192 h 1978635"/>
            <a:gd name="connsiteX4" fmla="*/ 3656134 w 3656134"/>
            <a:gd name="connsiteY4" fmla="*/ 315249 h 1978635"/>
            <a:gd name="connsiteX5" fmla="*/ 3656134 w 3656134"/>
            <a:gd name="connsiteY5" fmla="*/ 315249 h 1978635"/>
            <a:gd name="connsiteX0" fmla="*/ 0 w 3656134"/>
            <a:gd name="connsiteY0" fmla="*/ 1978461 h 1978977"/>
            <a:gd name="connsiteX1" fmla="*/ 823637 w 3656134"/>
            <a:gd name="connsiteY1" fmla="*/ 1863017 h 1978977"/>
            <a:gd name="connsiteX2" fmla="*/ 2494061 w 3656134"/>
            <a:gd name="connsiteY2" fmla="*/ 370290 h 1978977"/>
            <a:gd name="connsiteX3" fmla="*/ 3091961 w 3656134"/>
            <a:gd name="connsiteY3" fmla="*/ 192 h 1978977"/>
            <a:gd name="connsiteX4" fmla="*/ 3656134 w 3656134"/>
            <a:gd name="connsiteY4" fmla="*/ 315249 h 1978977"/>
            <a:gd name="connsiteX5" fmla="*/ 3656134 w 3656134"/>
            <a:gd name="connsiteY5" fmla="*/ 315249 h 1978977"/>
            <a:gd name="connsiteX0" fmla="*/ 0 w 3656134"/>
            <a:gd name="connsiteY0" fmla="*/ 1978461 h 1978977"/>
            <a:gd name="connsiteX1" fmla="*/ 823637 w 3656134"/>
            <a:gd name="connsiteY1" fmla="*/ 1863017 h 1978977"/>
            <a:gd name="connsiteX2" fmla="*/ 2494061 w 3656134"/>
            <a:gd name="connsiteY2" fmla="*/ 370290 h 1978977"/>
            <a:gd name="connsiteX3" fmla="*/ 3091961 w 3656134"/>
            <a:gd name="connsiteY3" fmla="*/ 192 h 1978977"/>
            <a:gd name="connsiteX4" fmla="*/ 3656134 w 3656134"/>
            <a:gd name="connsiteY4" fmla="*/ 315249 h 1978977"/>
            <a:gd name="connsiteX5" fmla="*/ 3656134 w 3656134"/>
            <a:gd name="connsiteY5" fmla="*/ 315249 h 1978977"/>
            <a:gd name="connsiteX0" fmla="*/ 0 w 3656134"/>
            <a:gd name="connsiteY0" fmla="*/ 1978461 h 1978581"/>
            <a:gd name="connsiteX1" fmla="*/ 814352 w 3656134"/>
            <a:gd name="connsiteY1" fmla="*/ 1700395 h 1978581"/>
            <a:gd name="connsiteX2" fmla="*/ 2494061 w 3656134"/>
            <a:gd name="connsiteY2" fmla="*/ 370290 h 1978581"/>
            <a:gd name="connsiteX3" fmla="*/ 3091961 w 3656134"/>
            <a:gd name="connsiteY3" fmla="*/ 192 h 1978581"/>
            <a:gd name="connsiteX4" fmla="*/ 3656134 w 3656134"/>
            <a:gd name="connsiteY4" fmla="*/ 315249 h 1978581"/>
            <a:gd name="connsiteX5" fmla="*/ 3656134 w 3656134"/>
            <a:gd name="connsiteY5" fmla="*/ 315249 h 1978581"/>
            <a:gd name="connsiteX0" fmla="*/ 0 w 3656134"/>
            <a:gd name="connsiteY0" fmla="*/ 1978461 h 1979452"/>
            <a:gd name="connsiteX1" fmla="*/ 814352 w 3656134"/>
            <a:gd name="connsiteY1" fmla="*/ 1700395 h 1979452"/>
            <a:gd name="connsiteX2" fmla="*/ 2494061 w 3656134"/>
            <a:gd name="connsiteY2" fmla="*/ 370290 h 1979452"/>
            <a:gd name="connsiteX3" fmla="*/ 3091961 w 3656134"/>
            <a:gd name="connsiteY3" fmla="*/ 192 h 1979452"/>
            <a:gd name="connsiteX4" fmla="*/ 3656134 w 3656134"/>
            <a:gd name="connsiteY4" fmla="*/ 315249 h 1979452"/>
            <a:gd name="connsiteX5" fmla="*/ 3656134 w 3656134"/>
            <a:gd name="connsiteY5" fmla="*/ 315249 h 1979452"/>
            <a:gd name="connsiteX0" fmla="*/ 0 w 3656134"/>
            <a:gd name="connsiteY0" fmla="*/ 1978461 h 1978579"/>
            <a:gd name="connsiteX1" fmla="*/ 814352 w 3656134"/>
            <a:gd name="connsiteY1" fmla="*/ 1700395 h 1978579"/>
            <a:gd name="connsiteX2" fmla="*/ 2494061 w 3656134"/>
            <a:gd name="connsiteY2" fmla="*/ 370290 h 1978579"/>
            <a:gd name="connsiteX3" fmla="*/ 3091961 w 3656134"/>
            <a:gd name="connsiteY3" fmla="*/ 192 h 1978579"/>
            <a:gd name="connsiteX4" fmla="*/ 3656134 w 3656134"/>
            <a:gd name="connsiteY4" fmla="*/ 315249 h 1978579"/>
            <a:gd name="connsiteX5" fmla="*/ 3656134 w 3656134"/>
            <a:gd name="connsiteY5" fmla="*/ 315249 h 1978579"/>
            <a:gd name="connsiteX0" fmla="*/ 0 w 3656134"/>
            <a:gd name="connsiteY0" fmla="*/ 1978461 h 1978653"/>
            <a:gd name="connsiteX1" fmla="*/ 814352 w 3656134"/>
            <a:gd name="connsiteY1" fmla="*/ 1700395 h 1978653"/>
            <a:gd name="connsiteX2" fmla="*/ 2494061 w 3656134"/>
            <a:gd name="connsiteY2" fmla="*/ 370290 h 1978653"/>
            <a:gd name="connsiteX3" fmla="*/ 3091961 w 3656134"/>
            <a:gd name="connsiteY3" fmla="*/ 192 h 1978653"/>
            <a:gd name="connsiteX4" fmla="*/ 3656134 w 3656134"/>
            <a:gd name="connsiteY4" fmla="*/ 315249 h 1978653"/>
            <a:gd name="connsiteX5" fmla="*/ 3656134 w 3656134"/>
            <a:gd name="connsiteY5" fmla="*/ 315249 h 1978653"/>
            <a:gd name="connsiteX0" fmla="*/ 0 w 3656134"/>
            <a:gd name="connsiteY0" fmla="*/ 1978461 h 1978589"/>
            <a:gd name="connsiteX1" fmla="*/ 814352 w 3656134"/>
            <a:gd name="connsiteY1" fmla="*/ 1700395 h 1978589"/>
            <a:gd name="connsiteX2" fmla="*/ 1611923 w 3656134"/>
            <a:gd name="connsiteY2" fmla="*/ 1436270 h 1978589"/>
            <a:gd name="connsiteX3" fmla="*/ 2494061 w 3656134"/>
            <a:gd name="connsiteY3" fmla="*/ 370290 h 1978589"/>
            <a:gd name="connsiteX4" fmla="*/ 3091961 w 3656134"/>
            <a:gd name="connsiteY4" fmla="*/ 192 h 1978589"/>
            <a:gd name="connsiteX5" fmla="*/ 3656134 w 3656134"/>
            <a:gd name="connsiteY5" fmla="*/ 315249 h 1978589"/>
            <a:gd name="connsiteX6" fmla="*/ 3656134 w 3656134"/>
            <a:gd name="connsiteY6" fmla="*/ 315249 h 1978589"/>
            <a:gd name="connsiteX0" fmla="*/ 0 w 3656134"/>
            <a:gd name="connsiteY0" fmla="*/ 1978461 h 1978587"/>
            <a:gd name="connsiteX1" fmla="*/ 814352 w 3656134"/>
            <a:gd name="connsiteY1" fmla="*/ 1700395 h 1978587"/>
            <a:gd name="connsiteX2" fmla="*/ 1516673 w 3656134"/>
            <a:gd name="connsiteY2" fmla="*/ 1450924 h 1978587"/>
            <a:gd name="connsiteX3" fmla="*/ 2494061 w 3656134"/>
            <a:gd name="connsiteY3" fmla="*/ 370290 h 1978587"/>
            <a:gd name="connsiteX4" fmla="*/ 3091961 w 3656134"/>
            <a:gd name="connsiteY4" fmla="*/ 192 h 1978587"/>
            <a:gd name="connsiteX5" fmla="*/ 3656134 w 3656134"/>
            <a:gd name="connsiteY5" fmla="*/ 315249 h 1978587"/>
            <a:gd name="connsiteX6" fmla="*/ 3656134 w 3656134"/>
            <a:gd name="connsiteY6" fmla="*/ 315249 h 1978587"/>
            <a:gd name="connsiteX0" fmla="*/ 0 w 3656134"/>
            <a:gd name="connsiteY0" fmla="*/ 1978461 h 1978591"/>
            <a:gd name="connsiteX1" fmla="*/ 814352 w 3656134"/>
            <a:gd name="connsiteY1" fmla="*/ 1700395 h 1978591"/>
            <a:gd name="connsiteX2" fmla="*/ 1494692 w 3656134"/>
            <a:gd name="connsiteY2" fmla="*/ 1414290 h 1978591"/>
            <a:gd name="connsiteX3" fmla="*/ 2494061 w 3656134"/>
            <a:gd name="connsiteY3" fmla="*/ 370290 h 1978591"/>
            <a:gd name="connsiteX4" fmla="*/ 3091961 w 3656134"/>
            <a:gd name="connsiteY4" fmla="*/ 192 h 1978591"/>
            <a:gd name="connsiteX5" fmla="*/ 3656134 w 3656134"/>
            <a:gd name="connsiteY5" fmla="*/ 315249 h 1978591"/>
            <a:gd name="connsiteX6" fmla="*/ 3656134 w 3656134"/>
            <a:gd name="connsiteY6" fmla="*/ 315249 h 1978591"/>
            <a:gd name="connsiteX0" fmla="*/ 0 w 3656134"/>
            <a:gd name="connsiteY0" fmla="*/ 2003516 h 2003646"/>
            <a:gd name="connsiteX1" fmla="*/ 814352 w 3656134"/>
            <a:gd name="connsiteY1" fmla="*/ 1725450 h 2003646"/>
            <a:gd name="connsiteX2" fmla="*/ 1494692 w 3656134"/>
            <a:gd name="connsiteY2" fmla="*/ 1439345 h 2003646"/>
            <a:gd name="connsiteX3" fmla="*/ 2017811 w 3656134"/>
            <a:gd name="connsiteY3" fmla="*/ 1150018 h 2003646"/>
            <a:gd name="connsiteX4" fmla="*/ 3091961 w 3656134"/>
            <a:gd name="connsiteY4" fmla="*/ 25247 h 2003646"/>
            <a:gd name="connsiteX5" fmla="*/ 3656134 w 3656134"/>
            <a:gd name="connsiteY5" fmla="*/ 340304 h 2003646"/>
            <a:gd name="connsiteX6" fmla="*/ 3656134 w 3656134"/>
            <a:gd name="connsiteY6" fmla="*/ 340304 h 2003646"/>
            <a:gd name="connsiteX0" fmla="*/ 0 w 3656134"/>
            <a:gd name="connsiteY0" fmla="*/ 2003516 h 2003646"/>
            <a:gd name="connsiteX1" fmla="*/ 814352 w 3656134"/>
            <a:gd name="connsiteY1" fmla="*/ 1725450 h 2003646"/>
            <a:gd name="connsiteX2" fmla="*/ 1494692 w 3656134"/>
            <a:gd name="connsiteY2" fmla="*/ 1439345 h 2003646"/>
            <a:gd name="connsiteX3" fmla="*/ 2017811 w 3656134"/>
            <a:gd name="connsiteY3" fmla="*/ 1150018 h 2003646"/>
            <a:gd name="connsiteX4" fmla="*/ 3091961 w 3656134"/>
            <a:gd name="connsiteY4" fmla="*/ 25247 h 2003646"/>
            <a:gd name="connsiteX5" fmla="*/ 3656134 w 3656134"/>
            <a:gd name="connsiteY5" fmla="*/ 340304 h 2003646"/>
            <a:gd name="connsiteX6" fmla="*/ 3656134 w 3656134"/>
            <a:gd name="connsiteY6" fmla="*/ 340304 h 2003646"/>
            <a:gd name="connsiteX0" fmla="*/ 0 w 3656134"/>
            <a:gd name="connsiteY0" fmla="*/ 2003516 h 2003646"/>
            <a:gd name="connsiteX1" fmla="*/ 814352 w 3656134"/>
            <a:gd name="connsiteY1" fmla="*/ 1725450 h 2003646"/>
            <a:gd name="connsiteX2" fmla="*/ 1494692 w 3656134"/>
            <a:gd name="connsiteY2" fmla="*/ 1439345 h 2003646"/>
            <a:gd name="connsiteX3" fmla="*/ 2017811 w 3656134"/>
            <a:gd name="connsiteY3" fmla="*/ 1150018 h 2003646"/>
            <a:gd name="connsiteX4" fmla="*/ 3091961 w 3656134"/>
            <a:gd name="connsiteY4" fmla="*/ 25247 h 2003646"/>
            <a:gd name="connsiteX5" fmla="*/ 3656134 w 3656134"/>
            <a:gd name="connsiteY5" fmla="*/ 340304 h 2003646"/>
            <a:gd name="connsiteX6" fmla="*/ 3656134 w 3656134"/>
            <a:gd name="connsiteY6" fmla="*/ 340304 h 2003646"/>
            <a:gd name="connsiteX0" fmla="*/ 0 w 3656134"/>
            <a:gd name="connsiteY0" fmla="*/ 2003516 h 2003950"/>
            <a:gd name="connsiteX1" fmla="*/ 814352 w 3656134"/>
            <a:gd name="connsiteY1" fmla="*/ 1725450 h 2003950"/>
            <a:gd name="connsiteX2" fmla="*/ 1494692 w 3656134"/>
            <a:gd name="connsiteY2" fmla="*/ 1439345 h 2003950"/>
            <a:gd name="connsiteX3" fmla="*/ 2017811 w 3656134"/>
            <a:gd name="connsiteY3" fmla="*/ 1150018 h 2003950"/>
            <a:gd name="connsiteX4" fmla="*/ 3091961 w 3656134"/>
            <a:gd name="connsiteY4" fmla="*/ 25247 h 2003950"/>
            <a:gd name="connsiteX5" fmla="*/ 3656134 w 3656134"/>
            <a:gd name="connsiteY5" fmla="*/ 340304 h 2003950"/>
            <a:gd name="connsiteX6" fmla="*/ 3656134 w 3656134"/>
            <a:gd name="connsiteY6" fmla="*/ 340304 h 2003950"/>
            <a:gd name="connsiteX0" fmla="*/ 0 w 3656134"/>
            <a:gd name="connsiteY0" fmla="*/ 2003516 h 2003616"/>
            <a:gd name="connsiteX1" fmla="*/ 814352 w 3656134"/>
            <a:gd name="connsiteY1" fmla="*/ 1725450 h 2003616"/>
            <a:gd name="connsiteX2" fmla="*/ 1494692 w 3656134"/>
            <a:gd name="connsiteY2" fmla="*/ 1439345 h 2003616"/>
            <a:gd name="connsiteX3" fmla="*/ 2017811 w 3656134"/>
            <a:gd name="connsiteY3" fmla="*/ 1150018 h 2003616"/>
            <a:gd name="connsiteX4" fmla="*/ 3091961 w 3656134"/>
            <a:gd name="connsiteY4" fmla="*/ 25247 h 2003616"/>
            <a:gd name="connsiteX5" fmla="*/ 3656134 w 3656134"/>
            <a:gd name="connsiteY5" fmla="*/ 340304 h 2003616"/>
            <a:gd name="connsiteX6" fmla="*/ 3656134 w 3656134"/>
            <a:gd name="connsiteY6" fmla="*/ 340304 h 2003616"/>
            <a:gd name="connsiteX0" fmla="*/ 0 w 3656134"/>
            <a:gd name="connsiteY0" fmla="*/ 2003516 h 2003516"/>
            <a:gd name="connsiteX1" fmla="*/ 1494692 w 3656134"/>
            <a:gd name="connsiteY1" fmla="*/ 1439345 h 2003516"/>
            <a:gd name="connsiteX2" fmla="*/ 2017811 w 3656134"/>
            <a:gd name="connsiteY2" fmla="*/ 1150018 h 2003516"/>
            <a:gd name="connsiteX3" fmla="*/ 3091961 w 3656134"/>
            <a:gd name="connsiteY3" fmla="*/ 25247 h 2003516"/>
            <a:gd name="connsiteX4" fmla="*/ 3656134 w 3656134"/>
            <a:gd name="connsiteY4" fmla="*/ 340304 h 2003516"/>
            <a:gd name="connsiteX5" fmla="*/ 3656134 w 3656134"/>
            <a:gd name="connsiteY5" fmla="*/ 340304 h 2003516"/>
            <a:gd name="connsiteX0" fmla="*/ 0 w 3656134"/>
            <a:gd name="connsiteY0" fmla="*/ 2003516 h 2003516"/>
            <a:gd name="connsiteX1" fmla="*/ 1494692 w 3656134"/>
            <a:gd name="connsiteY1" fmla="*/ 1439345 h 2003516"/>
            <a:gd name="connsiteX2" fmla="*/ 2017811 w 3656134"/>
            <a:gd name="connsiteY2" fmla="*/ 1150018 h 2003516"/>
            <a:gd name="connsiteX3" fmla="*/ 3091961 w 3656134"/>
            <a:gd name="connsiteY3" fmla="*/ 25247 h 2003516"/>
            <a:gd name="connsiteX4" fmla="*/ 3656134 w 3656134"/>
            <a:gd name="connsiteY4" fmla="*/ 340304 h 2003516"/>
            <a:gd name="connsiteX5" fmla="*/ 3656134 w 3656134"/>
            <a:gd name="connsiteY5" fmla="*/ 340304 h 2003516"/>
            <a:gd name="connsiteX0" fmla="*/ 0 w 3656134"/>
            <a:gd name="connsiteY0" fmla="*/ 2003516 h 2003516"/>
            <a:gd name="connsiteX1" fmla="*/ 1494692 w 3656134"/>
            <a:gd name="connsiteY1" fmla="*/ 1439345 h 2003516"/>
            <a:gd name="connsiteX2" fmla="*/ 2017811 w 3656134"/>
            <a:gd name="connsiteY2" fmla="*/ 1150018 h 2003516"/>
            <a:gd name="connsiteX3" fmla="*/ 3091961 w 3656134"/>
            <a:gd name="connsiteY3" fmla="*/ 25247 h 2003516"/>
            <a:gd name="connsiteX4" fmla="*/ 3656134 w 3656134"/>
            <a:gd name="connsiteY4" fmla="*/ 340304 h 2003516"/>
            <a:gd name="connsiteX5" fmla="*/ 3656134 w 3656134"/>
            <a:gd name="connsiteY5" fmla="*/ 340304 h 2003516"/>
            <a:gd name="connsiteX0" fmla="*/ 0 w 3656134"/>
            <a:gd name="connsiteY0" fmla="*/ 2003516 h 2003516"/>
            <a:gd name="connsiteX1" fmla="*/ 1494692 w 3656134"/>
            <a:gd name="connsiteY1" fmla="*/ 1439345 h 2003516"/>
            <a:gd name="connsiteX2" fmla="*/ 2017811 w 3656134"/>
            <a:gd name="connsiteY2" fmla="*/ 1150018 h 2003516"/>
            <a:gd name="connsiteX3" fmla="*/ 3091961 w 3656134"/>
            <a:gd name="connsiteY3" fmla="*/ 25247 h 2003516"/>
            <a:gd name="connsiteX4" fmla="*/ 3656134 w 3656134"/>
            <a:gd name="connsiteY4" fmla="*/ 340304 h 2003516"/>
            <a:gd name="connsiteX5" fmla="*/ 3656134 w 3656134"/>
            <a:gd name="connsiteY5" fmla="*/ 340304 h 2003516"/>
            <a:gd name="connsiteX0" fmla="*/ 0 w 3656134"/>
            <a:gd name="connsiteY0" fmla="*/ 2003516 h 2003516"/>
            <a:gd name="connsiteX1" fmla="*/ 1494692 w 3656134"/>
            <a:gd name="connsiteY1" fmla="*/ 1439345 h 2003516"/>
            <a:gd name="connsiteX2" fmla="*/ 2017811 w 3656134"/>
            <a:gd name="connsiteY2" fmla="*/ 1150018 h 2003516"/>
            <a:gd name="connsiteX3" fmla="*/ 3091961 w 3656134"/>
            <a:gd name="connsiteY3" fmla="*/ 25247 h 2003516"/>
            <a:gd name="connsiteX4" fmla="*/ 3656134 w 3656134"/>
            <a:gd name="connsiteY4" fmla="*/ 340304 h 2003516"/>
            <a:gd name="connsiteX5" fmla="*/ 3656134 w 3656134"/>
            <a:gd name="connsiteY5" fmla="*/ 340304 h 2003516"/>
            <a:gd name="connsiteX0" fmla="*/ 0 w 3656134"/>
            <a:gd name="connsiteY0" fmla="*/ 2003516 h 2003516"/>
            <a:gd name="connsiteX1" fmla="*/ 1494692 w 3656134"/>
            <a:gd name="connsiteY1" fmla="*/ 1439345 h 2003516"/>
            <a:gd name="connsiteX2" fmla="*/ 2017811 w 3656134"/>
            <a:gd name="connsiteY2" fmla="*/ 1150018 h 2003516"/>
            <a:gd name="connsiteX3" fmla="*/ 3091961 w 3656134"/>
            <a:gd name="connsiteY3" fmla="*/ 25247 h 2003516"/>
            <a:gd name="connsiteX4" fmla="*/ 3656134 w 3656134"/>
            <a:gd name="connsiteY4" fmla="*/ 340304 h 2003516"/>
            <a:gd name="connsiteX5" fmla="*/ 3656134 w 3656134"/>
            <a:gd name="connsiteY5" fmla="*/ 340304 h 2003516"/>
            <a:gd name="connsiteX0" fmla="*/ 0 w 3656134"/>
            <a:gd name="connsiteY0" fmla="*/ 1978269 h 1978269"/>
            <a:gd name="connsiteX1" fmla="*/ 1494692 w 3656134"/>
            <a:gd name="connsiteY1" fmla="*/ 1414098 h 1978269"/>
            <a:gd name="connsiteX2" fmla="*/ 1988504 w 3656134"/>
            <a:gd name="connsiteY2" fmla="*/ 1256655 h 1978269"/>
            <a:gd name="connsiteX3" fmla="*/ 3091961 w 3656134"/>
            <a:gd name="connsiteY3" fmla="*/ 0 h 1978269"/>
            <a:gd name="connsiteX4" fmla="*/ 3656134 w 3656134"/>
            <a:gd name="connsiteY4" fmla="*/ 315057 h 1978269"/>
            <a:gd name="connsiteX5" fmla="*/ 3656134 w 3656134"/>
            <a:gd name="connsiteY5" fmla="*/ 315057 h 1978269"/>
            <a:gd name="connsiteX0" fmla="*/ 0 w 3656134"/>
            <a:gd name="connsiteY0" fmla="*/ 1978272 h 1978272"/>
            <a:gd name="connsiteX1" fmla="*/ 1494692 w 3656134"/>
            <a:gd name="connsiteY1" fmla="*/ 1414101 h 1978272"/>
            <a:gd name="connsiteX2" fmla="*/ 1988504 w 3656134"/>
            <a:gd name="connsiteY2" fmla="*/ 1256658 h 1978272"/>
            <a:gd name="connsiteX3" fmla="*/ 3091961 w 3656134"/>
            <a:gd name="connsiteY3" fmla="*/ 3 h 1978272"/>
            <a:gd name="connsiteX4" fmla="*/ 3656134 w 3656134"/>
            <a:gd name="connsiteY4" fmla="*/ 315060 h 1978272"/>
            <a:gd name="connsiteX5" fmla="*/ 3656134 w 3656134"/>
            <a:gd name="connsiteY5" fmla="*/ 315060 h 1978272"/>
            <a:gd name="connsiteX0" fmla="*/ 0 w 3656134"/>
            <a:gd name="connsiteY0" fmla="*/ 2017613 h 2017613"/>
            <a:gd name="connsiteX1" fmla="*/ 1494692 w 3656134"/>
            <a:gd name="connsiteY1" fmla="*/ 1453442 h 2017613"/>
            <a:gd name="connsiteX2" fmla="*/ 1856619 w 3656134"/>
            <a:gd name="connsiteY2" fmla="*/ 1310653 h 2017613"/>
            <a:gd name="connsiteX3" fmla="*/ 3091961 w 3656134"/>
            <a:gd name="connsiteY3" fmla="*/ 39344 h 2017613"/>
            <a:gd name="connsiteX4" fmla="*/ 3656134 w 3656134"/>
            <a:gd name="connsiteY4" fmla="*/ 354401 h 2017613"/>
            <a:gd name="connsiteX5" fmla="*/ 3656134 w 3656134"/>
            <a:gd name="connsiteY5" fmla="*/ 354401 h 2017613"/>
            <a:gd name="connsiteX0" fmla="*/ 0 w 3656134"/>
            <a:gd name="connsiteY0" fmla="*/ 2017613 h 2017613"/>
            <a:gd name="connsiteX1" fmla="*/ 1575288 w 3656134"/>
            <a:gd name="connsiteY1" fmla="*/ 1460769 h 2017613"/>
            <a:gd name="connsiteX2" fmla="*/ 1856619 w 3656134"/>
            <a:gd name="connsiteY2" fmla="*/ 1310653 h 2017613"/>
            <a:gd name="connsiteX3" fmla="*/ 3091961 w 3656134"/>
            <a:gd name="connsiteY3" fmla="*/ 39344 h 2017613"/>
            <a:gd name="connsiteX4" fmla="*/ 3656134 w 3656134"/>
            <a:gd name="connsiteY4" fmla="*/ 354401 h 2017613"/>
            <a:gd name="connsiteX5" fmla="*/ 3656134 w 3656134"/>
            <a:gd name="connsiteY5" fmla="*/ 354401 h 2017613"/>
            <a:gd name="connsiteX0" fmla="*/ 0 w 3656134"/>
            <a:gd name="connsiteY0" fmla="*/ 2017613 h 2017613"/>
            <a:gd name="connsiteX1" fmla="*/ 1575288 w 3656134"/>
            <a:gd name="connsiteY1" fmla="*/ 1460769 h 2017613"/>
            <a:gd name="connsiteX2" fmla="*/ 1856619 w 3656134"/>
            <a:gd name="connsiteY2" fmla="*/ 1310653 h 2017613"/>
            <a:gd name="connsiteX3" fmla="*/ 3091961 w 3656134"/>
            <a:gd name="connsiteY3" fmla="*/ 39344 h 2017613"/>
            <a:gd name="connsiteX4" fmla="*/ 3656134 w 3656134"/>
            <a:gd name="connsiteY4" fmla="*/ 354401 h 2017613"/>
            <a:gd name="connsiteX5" fmla="*/ 3656134 w 3656134"/>
            <a:gd name="connsiteY5" fmla="*/ 354401 h 2017613"/>
            <a:gd name="connsiteX0" fmla="*/ 0 w 3656134"/>
            <a:gd name="connsiteY0" fmla="*/ 2017613 h 2017613"/>
            <a:gd name="connsiteX1" fmla="*/ 1575288 w 3656134"/>
            <a:gd name="connsiteY1" fmla="*/ 1387500 h 2017613"/>
            <a:gd name="connsiteX2" fmla="*/ 1856619 w 3656134"/>
            <a:gd name="connsiteY2" fmla="*/ 1310653 h 2017613"/>
            <a:gd name="connsiteX3" fmla="*/ 3091961 w 3656134"/>
            <a:gd name="connsiteY3" fmla="*/ 39344 h 2017613"/>
            <a:gd name="connsiteX4" fmla="*/ 3656134 w 3656134"/>
            <a:gd name="connsiteY4" fmla="*/ 354401 h 2017613"/>
            <a:gd name="connsiteX5" fmla="*/ 3656134 w 3656134"/>
            <a:gd name="connsiteY5" fmla="*/ 354401 h 2017613"/>
            <a:gd name="connsiteX0" fmla="*/ 0 w 3656134"/>
            <a:gd name="connsiteY0" fmla="*/ 2017613 h 2017613"/>
            <a:gd name="connsiteX1" fmla="*/ 1575288 w 3656134"/>
            <a:gd name="connsiteY1" fmla="*/ 1387500 h 2017613"/>
            <a:gd name="connsiteX2" fmla="*/ 1856619 w 3656134"/>
            <a:gd name="connsiteY2" fmla="*/ 1310653 h 2017613"/>
            <a:gd name="connsiteX3" fmla="*/ 3091961 w 3656134"/>
            <a:gd name="connsiteY3" fmla="*/ 39344 h 2017613"/>
            <a:gd name="connsiteX4" fmla="*/ 3656134 w 3656134"/>
            <a:gd name="connsiteY4" fmla="*/ 354401 h 2017613"/>
            <a:gd name="connsiteX5" fmla="*/ 3656134 w 3656134"/>
            <a:gd name="connsiteY5" fmla="*/ 354401 h 2017613"/>
            <a:gd name="connsiteX0" fmla="*/ 0 w 3656134"/>
            <a:gd name="connsiteY0" fmla="*/ 2017613 h 2017613"/>
            <a:gd name="connsiteX1" fmla="*/ 1575288 w 3656134"/>
            <a:gd name="connsiteY1" fmla="*/ 1387500 h 2017613"/>
            <a:gd name="connsiteX2" fmla="*/ 1856619 w 3656134"/>
            <a:gd name="connsiteY2" fmla="*/ 1310653 h 2017613"/>
            <a:gd name="connsiteX3" fmla="*/ 3091961 w 3656134"/>
            <a:gd name="connsiteY3" fmla="*/ 39344 h 2017613"/>
            <a:gd name="connsiteX4" fmla="*/ 3656134 w 3656134"/>
            <a:gd name="connsiteY4" fmla="*/ 354401 h 2017613"/>
            <a:gd name="connsiteX5" fmla="*/ 3656134 w 3656134"/>
            <a:gd name="connsiteY5" fmla="*/ 354401 h 2017613"/>
            <a:gd name="connsiteX0" fmla="*/ 0 w 3656134"/>
            <a:gd name="connsiteY0" fmla="*/ 2017613 h 2103011"/>
            <a:gd name="connsiteX1" fmla="*/ 820615 w 3656134"/>
            <a:gd name="connsiteY1" fmla="*/ 1805135 h 2103011"/>
            <a:gd name="connsiteX2" fmla="*/ 1856619 w 3656134"/>
            <a:gd name="connsiteY2" fmla="*/ 1310653 h 2103011"/>
            <a:gd name="connsiteX3" fmla="*/ 3091961 w 3656134"/>
            <a:gd name="connsiteY3" fmla="*/ 39344 h 2103011"/>
            <a:gd name="connsiteX4" fmla="*/ 3656134 w 3656134"/>
            <a:gd name="connsiteY4" fmla="*/ 354401 h 2103011"/>
            <a:gd name="connsiteX5" fmla="*/ 3656134 w 3656134"/>
            <a:gd name="connsiteY5" fmla="*/ 354401 h 2103011"/>
            <a:gd name="connsiteX0" fmla="*/ 0 w 3656134"/>
            <a:gd name="connsiteY0" fmla="*/ 2017613 h 2017613"/>
            <a:gd name="connsiteX1" fmla="*/ 820615 w 3656134"/>
            <a:gd name="connsiteY1" fmla="*/ 1805135 h 2017613"/>
            <a:gd name="connsiteX2" fmla="*/ 1856619 w 3656134"/>
            <a:gd name="connsiteY2" fmla="*/ 1310653 h 2017613"/>
            <a:gd name="connsiteX3" fmla="*/ 3091961 w 3656134"/>
            <a:gd name="connsiteY3" fmla="*/ 39344 h 2017613"/>
            <a:gd name="connsiteX4" fmla="*/ 3656134 w 3656134"/>
            <a:gd name="connsiteY4" fmla="*/ 354401 h 2017613"/>
            <a:gd name="connsiteX5" fmla="*/ 3656134 w 3656134"/>
            <a:gd name="connsiteY5" fmla="*/ 354401 h 2017613"/>
            <a:gd name="connsiteX0" fmla="*/ 0 w 3656134"/>
            <a:gd name="connsiteY0" fmla="*/ 2017613 h 2018609"/>
            <a:gd name="connsiteX1" fmla="*/ 820615 w 3656134"/>
            <a:gd name="connsiteY1" fmla="*/ 1805135 h 2018609"/>
            <a:gd name="connsiteX2" fmla="*/ 1856619 w 3656134"/>
            <a:gd name="connsiteY2" fmla="*/ 1310653 h 2018609"/>
            <a:gd name="connsiteX3" fmla="*/ 3091961 w 3656134"/>
            <a:gd name="connsiteY3" fmla="*/ 39344 h 2018609"/>
            <a:gd name="connsiteX4" fmla="*/ 3656134 w 3656134"/>
            <a:gd name="connsiteY4" fmla="*/ 354401 h 2018609"/>
            <a:gd name="connsiteX5" fmla="*/ 3656134 w 3656134"/>
            <a:gd name="connsiteY5" fmla="*/ 354401 h 2018609"/>
            <a:gd name="connsiteX0" fmla="*/ 0 w 3656134"/>
            <a:gd name="connsiteY0" fmla="*/ 2017613 h 2020602"/>
            <a:gd name="connsiteX1" fmla="*/ 915865 w 3656134"/>
            <a:gd name="connsiteY1" fmla="*/ 1841770 h 2020602"/>
            <a:gd name="connsiteX2" fmla="*/ 1856619 w 3656134"/>
            <a:gd name="connsiteY2" fmla="*/ 1310653 h 2020602"/>
            <a:gd name="connsiteX3" fmla="*/ 3091961 w 3656134"/>
            <a:gd name="connsiteY3" fmla="*/ 39344 h 2020602"/>
            <a:gd name="connsiteX4" fmla="*/ 3656134 w 3656134"/>
            <a:gd name="connsiteY4" fmla="*/ 354401 h 2020602"/>
            <a:gd name="connsiteX5" fmla="*/ 3656134 w 3656134"/>
            <a:gd name="connsiteY5" fmla="*/ 354401 h 2020602"/>
            <a:gd name="connsiteX0" fmla="*/ 0 w 3656134"/>
            <a:gd name="connsiteY0" fmla="*/ 2017613 h 2018264"/>
            <a:gd name="connsiteX1" fmla="*/ 798634 w 3656134"/>
            <a:gd name="connsiteY1" fmla="*/ 1783154 h 2018264"/>
            <a:gd name="connsiteX2" fmla="*/ 1856619 w 3656134"/>
            <a:gd name="connsiteY2" fmla="*/ 1310653 h 2018264"/>
            <a:gd name="connsiteX3" fmla="*/ 3091961 w 3656134"/>
            <a:gd name="connsiteY3" fmla="*/ 39344 h 2018264"/>
            <a:gd name="connsiteX4" fmla="*/ 3656134 w 3656134"/>
            <a:gd name="connsiteY4" fmla="*/ 354401 h 2018264"/>
            <a:gd name="connsiteX5" fmla="*/ 3656134 w 3656134"/>
            <a:gd name="connsiteY5" fmla="*/ 354401 h 2018264"/>
            <a:gd name="connsiteX0" fmla="*/ 0 w 3656134"/>
            <a:gd name="connsiteY0" fmla="*/ 2017613 h 2017921"/>
            <a:gd name="connsiteX1" fmla="*/ 798634 w 3656134"/>
            <a:gd name="connsiteY1" fmla="*/ 1783154 h 2017921"/>
            <a:gd name="connsiteX2" fmla="*/ 1856619 w 3656134"/>
            <a:gd name="connsiteY2" fmla="*/ 1310653 h 2017921"/>
            <a:gd name="connsiteX3" fmla="*/ 3091961 w 3656134"/>
            <a:gd name="connsiteY3" fmla="*/ 39344 h 2017921"/>
            <a:gd name="connsiteX4" fmla="*/ 3656134 w 3656134"/>
            <a:gd name="connsiteY4" fmla="*/ 354401 h 2017921"/>
            <a:gd name="connsiteX5" fmla="*/ 3656134 w 3656134"/>
            <a:gd name="connsiteY5" fmla="*/ 354401 h 2017921"/>
            <a:gd name="connsiteX0" fmla="*/ 0 w 3656134"/>
            <a:gd name="connsiteY0" fmla="*/ 2017613 h 2017921"/>
            <a:gd name="connsiteX1" fmla="*/ 798634 w 3656134"/>
            <a:gd name="connsiteY1" fmla="*/ 1783154 h 2017921"/>
            <a:gd name="connsiteX2" fmla="*/ 1856619 w 3656134"/>
            <a:gd name="connsiteY2" fmla="*/ 1310653 h 2017921"/>
            <a:gd name="connsiteX3" fmla="*/ 3091961 w 3656134"/>
            <a:gd name="connsiteY3" fmla="*/ 39344 h 2017921"/>
            <a:gd name="connsiteX4" fmla="*/ 3656134 w 3656134"/>
            <a:gd name="connsiteY4" fmla="*/ 354401 h 2017921"/>
            <a:gd name="connsiteX5" fmla="*/ 3656134 w 3656134"/>
            <a:gd name="connsiteY5" fmla="*/ 354401 h 2017921"/>
            <a:gd name="connsiteX0" fmla="*/ 0 w 3656134"/>
            <a:gd name="connsiteY0" fmla="*/ 2017613 h 2017921"/>
            <a:gd name="connsiteX1" fmla="*/ 798634 w 3656134"/>
            <a:gd name="connsiteY1" fmla="*/ 1783154 h 2017921"/>
            <a:gd name="connsiteX2" fmla="*/ 3091961 w 3656134"/>
            <a:gd name="connsiteY2" fmla="*/ 39344 h 2017921"/>
            <a:gd name="connsiteX3" fmla="*/ 3656134 w 3656134"/>
            <a:gd name="connsiteY3" fmla="*/ 354401 h 2017921"/>
            <a:gd name="connsiteX4" fmla="*/ 3656134 w 3656134"/>
            <a:gd name="connsiteY4" fmla="*/ 354401 h 2017921"/>
            <a:gd name="connsiteX0" fmla="*/ 0 w 3656134"/>
            <a:gd name="connsiteY0" fmla="*/ 1978269 h 1978577"/>
            <a:gd name="connsiteX1" fmla="*/ 798634 w 3656134"/>
            <a:gd name="connsiteY1" fmla="*/ 1743810 h 1978577"/>
            <a:gd name="connsiteX2" fmla="*/ 1751134 w 3656134"/>
            <a:gd name="connsiteY2" fmla="*/ 1370136 h 1978577"/>
            <a:gd name="connsiteX3" fmla="*/ 3091961 w 3656134"/>
            <a:gd name="connsiteY3" fmla="*/ 0 h 1978577"/>
            <a:gd name="connsiteX4" fmla="*/ 3656134 w 3656134"/>
            <a:gd name="connsiteY4" fmla="*/ 315057 h 1978577"/>
            <a:gd name="connsiteX5" fmla="*/ 3656134 w 3656134"/>
            <a:gd name="connsiteY5" fmla="*/ 315057 h 1978577"/>
            <a:gd name="connsiteX0" fmla="*/ 0 w 3656134"/>
            <a:gd name="connsiteY0" fmla="*/ 1983329 h 1983637"/>
            <a:gd name="connsiteX1" fmla="*/ 798634 w 3656134"/>
            <a:gd name="connsiteY1" fmla="*/ 1748870 h 1983637"/>
            <a:gd name="connsiteX2" fmla="*/ 1751134 w 3656134"/>
            <a:gd name="connsiteY2" fmla="*/ 1375196 h 1983637"/>
            <a:gd name="connsiteX3" fmla="*/ 3091961 w 3656134"/>
            <a:gd name="connsiteY3" fmla="*/ 5060 h 1983637"/>
            <a:gd name="connsiteX4" fmla="*/ 3656134 w 3656134"/>
            <a:gd name="connsiteY4" fmla="*/ 320117 h 1983637"/>
            <a:gd name="connsiteX5" fmla="*/ 3656134 w 3656134"/>
            <a:gd name="connsiteY5" fmla="*/ 320117 h 1983637"/>
            <a:gd name="connsiteX0" fmla="*/ 0 w 3656134"/>
            <a:gd name="connsiteY0" fmla="*/ 2021050 h 2021358"/>
            <a:gd name="connsiteX1" fmla="*/ 798634 w 3656134"/>
            <a:gd name="connsiteY1" fmla="*/ 1786591 h 2021358"/>
            <a:gd name="connsiteX2" fmla="*/ 1751134 w 3656134"/>
            <a:gd name="connsiteY2" fmla="*/ 1412917 h 2021358"/>
            <a:gd name="connsiteX3" fmla="*/ 3091961 w 3656134"/>
            <a:gd name="connsiteY3" fmla="*/ 42781 h 2021358"/>
            <a:gd name="connsiteX4" fmla="*/ 3656134 w 3656134"/>
            <a:gd name="connsiteY4" fmla="*/ 357838 h 2021358"/>
            <a:gd name="connsiteX5" fmla="*/ 3656134 w 3656134"/>
            <a:gd name="connsiteY5" fmla="*/ 357838 h 2021358"/>
            <a:gd name="connsiteX0" fmla="*/ 0 w 3656134"/>
            <a:gd name="connsiteY0" fmla="*/ 1978288 h 1978596"/>
            <a:gd name="connsiteX1" fmla="*/ 798634 w 3656134"/>
            <a:gd name="connsiteY1" fmla="*/ 1743829 h 1978596"/>
            <a:gd name="connsiteX2" fmla="*/ 1751134 w 3656134"/>
            <a:gd name="connsiteY2" fmla="*/ 1370155 h 1978596"/>
            <a:gd name="connsiteX3" fmla="*/ 3091961 w 3656134"/>
            <a:gd name="connsiteY3" fmla="*/ 19 h 1978596"/>
            <a:gd name="connsiteX4" fmla="*/ 3656134 w 3656134"/>
            <a:gd name="connsiteY4" fmla="*/ 315076 h 1978596"/>
            <a:gd name="connsiteX5" fmla="*/ 3656134 w 3656134"/>
            <a:gd name="connsiteY5" fmla="*/ 315076 h 1978596"/>
            <a:gd name="connsiteX0" fmla="*/ 0 w 3656134"/>
            <a:gd name="connsiteY0" fmla="*/ 2024265 h 2024573"/>
            <a:gd name="connsiteX1" fmla="*/ 798634 w 3656134"/>
            <a:gd name="connsiteY1" fmla="*/ 1789806 h 2024573"/>
            <a:gd name="connsiteX2" fmla="*/ 1852489 w 3656134"/>
            <a:gd name="connsiteY2" fmla="*/ 1428038 h 2024573"/>
            <a:gd name="connsiteX3" fmla="*/ 3091961 w 3656134"/>
            <a:gd name="connsiteY3" fmla="*/ 45996 h 2024573"/>
            <a:gd name="connsiteX4" fmla="*/ 3656134 w 3656134"/>
            <a:gd name="connsiteY4" fmla="*/ 361053 h 2024573"/>
            <a:gd name="connsiteX5" fmla="*/ 3656134 w 3656134"/>
            <a:gd name="connsiteY5" fmla="*/ 361053 h 2024573"/>
            <a:gd name="connsiteX0" fmla="*/ 0 w 3656134"/>
            <a:gd name="connsiteY0" fmla="*/ 1978269 h 1978577"/>
            <a:gd name="connsiteX1" fmla="*/ 798634 w 3656134"/>
            <a:gd name="connsiteY1" fmla="*/ 1743810 h 1978577"/>
            <a:gd name="connsiteX2" fmla="*/ 1739210 w 3656134"/>
            <a:gd name="connsiteY2" fmla="*/ 1387995 h 1978577"/>
            <a:gd name="connsiteX3" fmla="*/ 3091961 w 3656134"/>
            <a:gd name="connsiteY3" fmla="*/ 0 h 1978577"/>
            <a:gd name="connsiteX4" fmla="*/ 3656134 w 3656134"/>
            <a:gd name="connsiteY4" fmla="*/ 315057 h 1978577"/>
            <a:gd name="connsiteX5" fmla="*/ 3656134 w 3656134"/>
            <a:gd name="connsiteY5" fmla="*/ 315057 h 1978577"/>
            <a:gd name="connsiteX0" fmla="*/ 0 w 3656134"/>
            <a:gd name="connsiteY0" fmla="*/ 1984747 h 1985055"/>
            <a:gd name="connsiteX1" fmla="*/ 798634 w 3656134"/>
            <a:gd name="connsiteY1" fmla="*/ 1750288 h 1985055"/>
            <a:gd name="connsiteX2" fmla="*/ 1739210 w 3656134"/>
            <a:gd name="connsiteY2" fmla="*/ 1394473 h 1985055"/>
            <a:gd name="connsiteX3" fmla="*/ 3091961 w 3656134"/>
            <a:gd name="connsiteY3" fmla="*/ 6478 h 1985055"/>
            <a:gd name="connsiteX4" fmla="*/ 3656134 w 3656134"/>
            <a:gd name="connsiteY4" fmla="*/ 321535 h 1985055"/>
            <a:gd name="connsiteX5" fmla="*/ 3656134 w 3656134"/>
            <a:gd name="connsiteY5" fmla="*/ 321535 h 1985055"/>
            <a:gd name="connsiteX0" fmla="*/ 0 w 3656134"/>
            <a:gd name="connsiteY0" fmla="*/ 1979002 h 1979310"/>
            <a:gd name="connsiteX1" fmla="*/ 798634 w 3656134"/>
            <a:gd name="connsiteY1" fmla="*/ 1744543 h 1979310"/>
            <a:gd name="connsiteX2" fmla="*/ 1739210 w 3656134"/>
            <a:gd name="connsiteY2" fmla="*/ 1388728 h 1979310"/>
            <a:gd name="connsiteX3" fmla="*/ 3091961 w 3656134"/>
            <a:gd name="connsiteY3" fmla="*/ 733 h 1979310"/>
            <a:gd name="connsiteX4" fmla="*/ 3656134 w 3656134"/>
            <a:gd name="connsiteY4" fmla="*/ 315790 h 1979310"/>
            <a:gd name="connsiteX5" fmla="*/ 3656134 w 3656134"/>
            <a:gd name="connsiteY5" fmla="*/ 315790 h 1979310"/>
            <a:gd name="connsiteX0" fmla="*/ 0 w 3656134"/>
            <a:gd name="connsiteY0" fmla="*/ 1978900 h 1979208"/>
            <a:gd name="connsiteX1" fmla="*/ 798634 w 3656134"/>
            <a:gd name="connsiteY1" fmla="*/ 1744441 h 1979208"/>
            <a:gd name="connsiteX2" fmla="*/ 1739210 w 3656134"/>
            <a:gd name="connsiteY2" fmla="*/ 1388626 h 1979208"/>
            <a:gd name="connsiteX3" fmla="*/ 3091961 w 3656134"/>
            <a:gd name="connsiteY3" fmla="*/ 631 h 1979208"/>
            <a:gd name="connsiteX4" fmla="*/ 3656134 w 3656134"/>
            <a:gd name="connsiteY4" fmla="*/ 315688 h 1979208"/>
            <a:gd name="connsiteX5" fmla="*/ 3656134 w 3656134"/>
            <a:gd name="connsiteY5" fmla="*/ 315688 h 1979208"/>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Lst>
          <a:rect l="l" t="t" r="r" b="b"/>
          <a:pathLst>
            <a:path w="3656134" h="1979208">
              <a:moveTo>
                <a:pt x="0" y="1978900"/>
              </a:moveTo>
              <a:cubicBezTo>
                <a:pt x="553183" y="1985923"/>
                <a:pt x="579564" y="1872038"/>
                <a:pt x="798634" y="1744441"/>
              </a:cubicBezTo>
              <a:cubicBezTo>
                <a:pt x="1059961" y="1610114"/>
                <a:pt x="1356989" y="1679261"/>
                <a:pt x="1739210" y="1388626"/>
              </a:cubicBezTo>
              <a:cubicBezTo>
                <a:pt x="2121431" y="1097991"/>
                <a:pt x="2635610" y="14675"/>
                <a:pt x="3091961" y="631"/>
              </a:cubicBezTo>
              <a:cubicBezTo>
                <a:pt x="3548312" y="-13413"/>
                <a:pt x="3468076" y="210669"/>
                <a:pt x="3656134" y="315688"/>
              </a:cubicBezTo>
              <a:lnTo>
                <a:pt x="3656134" y="315688"/>
              </a:lnTo>
            </a:path>
          </a:pathLst>
        </a:custGeom>
        <a:noFill xmlns:a="http://schemas.openxmlformats.org/drawingml/2006/main"/>
        <a:ln xmlns:a="http://schemas.openxmlformats.org/drawingml/2006/main">
          <a:solidFill>
            <a:srgbClr val="FF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ot="0" spcFirstLastPara="0" vert="horz" wrap="square" lIns="91440" tIns="45720" rIns="91440" bIns="45720" numCol="1" spcCol="0" rtlCol="0" fromWordArt="0" anchor="t" anchorCtr="0" forceAA="0" compatLnSpc="1">
          <a:prstTxWarp prst="textNoShape">
            <a:avLst/>
          </a:prstTxWarp>
          <a:noAutofit/>
        </a:bodyP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l"/>
          <a:endParaRPr lang="en-US" sz="1100"/>
        </a:p>
      </cdr:txBody>
    </cdr:sp>
  </cdr:relSizeAnchor>
  <cdr:relSizeAnchor xmlns:cdr="http://schemas.openxmlformats.org/drawingml/2006/chartDrawing">
    <cdr:from>
      <cdr:x>0.28289</cdr:x>
      <cdr:y>0.56182</cdr:y>
    </cdr:from>
    <cdr:to>
      <cdr:x>0.42357</cdr:x>
      <cdr:y>0.61315</cdr:y>
    </cdr:to>
    <cdr:sp macro="" textlink="">
      <cdr:nvSpPr>
        <cdr:cNvPr id="3" name="Left Brace 2"/>
        <cdr:cNvSpPr/>
      </cdr:nvSpPr>
      <cdr:spPr>
        <a:xfrm xmlns:a="http://schemas.openxmlformats.org/drawingml/2006/main" rot="5400000">
          <a:off x="1532169" y="1292461"/>
          <a:ext cx="140804" cy="638248"/>
        </a:xfrm>
        <a:prstGeom xmlns:a="http://schemas.openxmlformats.org/drawingml/2006/main" prst="leftBrace">
          <a:avLst/>
        </a:prstGeom>
      </cdr:spPr>
      <cdr:style>
        <a:lnRef xmlns:a="http://schemas.openxmlformats.org/drawingml/2006/main" idx="1">
          <a:schemeClr val="dk1"/>
        </a:lnRef>
        <a:fillRef xmlns:a="http://schemas.openxmlformats.org/drawingml/2006/main" idx="0">
          <a:schemeClr val="dk1"/>
        </a:fillRef>
        <a:effectRef xmlns:a="http://schemas.openxmlformats.org/drawingml/2006/main" idx="0">
          <a:schemeClr val="dk1"/>
        </a:effectRef>
        <a:fontRef xmlns:a="http://schemas.openxmlformats.org/drawingml/2006/main" idx="minor">
          <a:schemeClr val="tx1"/>
        </a:fontRef>
      </cdr:style>
      <cdr:txBody>
        <a:bodyPr xmlns:a="http://schemas.openxmlformats.org/drawingml/2006/main" rot="0" spcFirstLastPara="0" vert="horz" wrap="square" lIns="91440" tIns="45720" rIns="91440" bIns="45720" numCol="1" spcCol="0" rtlCol="0" fromWordArt="0" anchor="t" anchorCtr="0" forceAA="0" compatLnSpc="1">
          <a:prstTxWarp prst="textNoShape">
            <a:avLst/>
          </a:prstTxWarp>
          <a:noAutofit/>
        </a:bodyPr>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pPr algn="l"/>
          <a:endParaRPr lang="en-US" sz="1100"/>
        </a:p>
      </cdr:txBody>
    </cdr:sp>
  </cdr:relSizeAnchor>
  <cdr:relSizeAnchor xmlns:cdr="http://schemas.openxmlformats.org/drawingml/2006/chartDrawing">
    <cdr:from>
      <cdr:x>0.28289</cdr:x>
      <cdr:y>0.46378</cdr:y>
    </cdr:from>
    <cdr:to>
      <cdr:x>0.44913</cdr:x>
      <cdr:y>0.55134</cdr:y>
    </cdr:to>
    <cdr:sp macro="" textlink="">
      <cdr:nvSpPr>
        <cdr:cNvPr id="4" name="Rectangle 3"/>
        <cdr:cNvSpPr/>
      </cdr:nvSpPr>
      <cdr:spPr>
        <a:xfrm xmlns:a="http://schemas.openxmlformats.org/drawingml/2006/main">
          <a:off x="1283447" y="1272241"/>
          <a:ext cx="754205" cy="240196"/>
        </a:xfrm>
        <a:prstGeom xmlns:a="http://schemas.openxmlformats.org/drawingml/2006/main" prst="rect">
          <a:avLst/>
        </a:prstGeom>
        <a:noFill xmlns:a="http://schemas.openxmlformats.org/drawingml/2006/main"/>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ot="0" spcFirstLastPara="0" vert="horz" wrap="square" lIns="91440" tIns="45720" rIns="91440" bIns="45720" numCol="1" spcCol="0" rtlCol="0" fromWordArt="0" anchor="t" anchorCtr="0" forceAA="0" compatLnSpc="1">
          <a:prstTxWarp prst="textNoShape">
            <a:avLst/>
          </a:prstTxWarp>
          <a:noAutofit/>
        </a:bodyP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l"/>
          <a:r>
            <a:rPr lang="en-US" sz="1200" b="0">
              <a:solidFill>
                <a:schemeClr val="tx1"/>
              </a:solidFill>
              <a:latin typeface="Arial" panose="020B0604020202020204" pitchFamily="34" charset="0"/>
              <a:cs typeface="Arial" panose="020B0604020202020204" pitchFamily="34" charset="0"/>
            </a:rPr>
            <a:t>Tillering</a:t>
          </a:r>
        </a:p>
      </cdr:txBody>
    </cdr:sp>
  </cdr:relSizeAnchor>
  <cdr:relSizeAnchor xmlns:cdr="http://schemas.openxmlformats.org/drawingml/2006/chartDrawing">
    <cdr:from>
      <cdr:x>0.47802</cdr:x>
      <cdr:y>0.64352</cdr:y>
    </cdr:from>
    <cdr:to>
      <cdr:x>0.71756</cdr:x>
      <cdr:y>0.68881</cdr:y>
    </cdr:to>
    <cdr:sp macro="" textlink="">
      <cdr:nvSpPr>
        <cdr:cNvPr id="5" name="Left Brace 4"/>
        <cdr:cNvSpPr/>
      </cdr:nvSpPr>
      <cdr:spPr>
        <a:xfrm xmlns:a="http://schemas.openxmlformats.org/drawingml/2006/main" rot="16200000">
          <a:off x="2649962" y="1284051"/>
          <a:ext cx="124243" cy="1086741"/>
        </a:xfrm>
        <a:prstGeom xmlns:a="http://schemas.openxmlformats.org/drawingml/2006/main" prst="leftBrace">
          <a:avLst/>
        </a:prstGeom>
      </cdr:spPr>
      <cdr:style>
        <a:lnRef xmlns:a="http://schemas.openxmlformats.org/drawingml/2006/main" idx="1">
          <a:schemeClr val="dk1"/>
        </a:lnRef>
        <a:fillRef xmlns:a="http://schemas.openxmlformats.org/drawingml/2006/main" idx="0">
          <a:schemeClr val="dk1"/>
        </a:fillRef>
        <a:effectRef xmlns:a="http://schemas.openxmlformats.org/drawingml/2006/main" idx="0">
          <a:schemeClr val="dk1"/>
        </a:effectRef>
        <a:fontRef xmlns:a="http://schemas.openxmlformats.org/drawingml/2006/main" idx="minor">
          <a:schemeClr val="tx1"/>
        </a:fontRef>
      </cdr:style>
      <cdr:txBody>
        <a:bodyPr xmlns:a="http://schemas.openxmlformats.org/drawingml/2006/main" rot="0" spcFirstLastPara="0" vert="horz" wrap="square" lIns="91440" tIns="45720" rIns="91440" bIns="45720" numCol="1" spcCol="0" rtlCol="0" fromWordArt="0" anchor="t" anchorCtr="0" forceAA="0" compatLnSpc="1">
          <a:prstTxWarp prst="textNoShape">
            <a:avLst/>
          </a:prstTxWarp>
          <a:noAutofit/>
        </a:bodyPr>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pPr algn="l"/>
          <a:endParaRPr lang="en-US" sz="1100"/>
        </a:p>
      </cdr:txBody>
    </cdr:sp>
  </cdr:relSizeAnchor>
  <cdr:relSizeAnchor xmlns:cdr="http://schemas.openxmlformats.org/drawingml/2006/chartDrawing">
    <cdr:from>
      <cdr:x>0.47555</cdr:x>
      <cdr:y>0.70071</cdr:y>
    </cdr:from>
    <cdr:to>
      <cdr:x>0.76341</cdr:x>
      <cdr:y>0.78827</cdr:y>
    </cdr:to>
    <cdr:sp macro="" textlink="">
      <cdr:nvSpPr>
        <cdr:cNvPr id="7" name="Rectangle 6"/>
        <cdr:cNvSpPr/>
      </cdr:nvSpPr>
      <cdr:spPr>
        <a:xfrm xmlns:a="http://schemas.openxmlformats.org/drawingml/2006/main">
          <a:off x="2157506" y="1922183"/>
          <a:ext cx="1305955" cy="240196"/>
        </a:xfrm>
        <a:prstGeom xmlns:a="http://schemas.openxmlformats.org/drawingml/2006/main" prst="rect">
          <a:avLst/>
        </a:prstGeom>
        <a:noFill xmlns:a="http://schemas.openxmlformats.org/drawingml/2006/main"/>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ot="0" spcFirstLastPara="0" vert="horz" wrap="square" lIns="91440" tIns="45720" rIns="91440" bIns="45720" numCol="1" spcCol="0" rtlCol="0" fromWordArt="0" anchor="t" anchorCtr="0" forceAA="0" compatLnSpc="1">
          <a:prstTxWarp prst="textNoShape">
            <a:avLst/>
          </a:prstTxWarp>
          <a:noAutofit/>
        </a:bodyP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l"/>
          <a:r>
            <a:rPr lang="en-US" sz="1200" b="0">
              <a:solidFill>
                <a:schemeClr val="tx1"/>
              </a:solidFill>
              <a:latin typeface="Arial" panose="020B0604020202020204" pitchFamily="34" charset="0"/>
              <a:cs typeface="Arial" panose="020B0604020202020204" pitchFamily="34" charset="0"/>
            </a:rPr>
            <a:t>Stem extension</a:t>
          </a:r>
        </a:p>
      </cdr:txBody>
    </cdr:sp>
  </cdr:relSizeAnchor>
  <cdr:relSizeAnchor xmlns:cdr="http://schemas.openxmlformats.org/drawingml/2006/chartDrawing">
    <cdr:from>
      <cdr:x>0.70279</cdr:x>
      <cdr:y>0.25545</cdr:y>
    </cdr:from>
    <cdr:to>
      <cdr:x>0.85618</cdr:x>
      <cdr:y>0.31118</cdr:y>
    </cdr:to>
    <cdr:sp macro="" textlink="">
      <cdr:nvSpPr>
        <cdr:cNvPr id="8" name="Left Brace 7"/>
        <cdr:cNvSpPr/>
      </cdr:nvSpPr>
      <cdr:spPr>
        <a:xfrm xmlns:a="http://schemas.openxmlformats.org/drawingml/2006/main" rot="16200000">
          <a:off x="3459973" y="429218"/>
          <a:ext cx="152887" cy="695934"/>
        </a:xfrm>
        <a:prstGeom xmlns:a="http://schemas.openxmlformats.org/drawingml/2006/main" prst="leftBrace">
          <a:avLst/>
        </a:prstGeom>
      </cdr:spPr>
      <cdr:style>
        <a:lnRef xmlns:a="http://schemas.openxmlformats.org/drawingml/2006/main" idx="1">
          <a:schemeClr val="dk1"/>
        </a:lnRef>
        <a:fillRef xmlns:a="http://schemas.openxmlformats.org/drawingml/2006/main" idx="0">
          <a:schemeClr val="dk1"/>
        </a:fillRef>
        <a:effectRef xmlns:a="http://schemas.openxmlformats.org/drawingml/2006/main" idx="0">
          <a:schemeClr val="dk1"/>
        </a:effectRef>
        <a:fontRef xmlns:a="http://schemas.openxmlformats.org/drawingml/2006/main" idx="minor">
          <a:schemeClr val="tx1"/>
        </a:fontRef>
      </cdr:style>
      <cdr:txBody>
        <a:bodyPr xmlns:a="http://schemas.openxmlformats.org/drawingml/2006/main" rot="0" spcFirstLastPara="0" vert="horz" wrap="square" lIns="91440" tIns="45720" rIns="91440" bIns="45720" numCol="1" spcCol="0" rtlCol="0" fromWordArt="0" anchor="t" anchorCtr="0" forceAA="0" compatLnSpc="1">
          <a:prstTxWarp prst="textNoShape">
            <a:avLst/>
          </a:prstTxWarp>
          <a:noAutofit/>
        </a:bodyPr>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pPr algn="l"/>
          <a:endParaRPr lang="en-US" sz="1100"/>
        </a:p>
      </cdr:txBody>
    </cdr:sp>
  </cdr:relSizeAnchor>
  <cdr:relSizeAnchor xmlns:cdr="http://schemas.openxmlformats.org/drawingml/2006/chartDrawing">
    <cdr:from>
      <cdr:x>0.70526</cdr:x>
      <cdr:y>0.32489</cdr:y>
    </cdr:from>
    <cdr:to>
      <cdr:x>0.87666</cdr:x>
      <cdr:y>0.41245</cdr:y>
    </cdr:to>
    <cdr:sp macro="" textlink="">
      <cdr:nvSpPr>
        <cdr:cNvPr id="9" name="Rectangle 8"/>
        <cdr:cNvSpPr/>
      </cdr:nvSpPr>
      <cdr:spPr>
        <a:xfrm xmlns:a="http://schemas.openxmlformats.org/drawingml/2006/main">
          <a:off x="3199653" y="891241"/>
          <a:ext cx="777644" cy="240196"/>
        </a:xfrm>
        <a:prstGeom xmlns:a="http://schemas.openxmlformats.org/drawingml/2006/main" prst="rect">
          <a:avLst/>
        </a:prstGeom>
        <a:noFill xmlns:a="http://schemas.openxmlformats.org/drawingml/2006/main"/>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ot="0" spcFirstLastPara="0" vert="horz" wrap="square" lIns="91440" tIns="45720" rIns="91440" bIns="45720" numCol="1" spcCol="0" rtlCol="0" fromWordArt="0" anchor="t" anchorCtr="0" forceAA="0" compatLnSpc="1">
          <a:prstTxWarp prst="textNoShape">
            <a:avLst/>
          </a:prstTxWarp>
          <a:noAutofit/>
        </a:bodyP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l"/>
          <a:r>
            <a:rPr lang="en-US" sz="1200" b="0">
              <a:solidFill>
                <a:schemeClr val="tx1"/>
              </a:solidFill>
              <a:latin typeface="Arial" panose="020B0604020202020204" pitchFamily="34" charset="0"/>
              <a:cs typeface="Arial" panose="020B0604020202020204" pitchFamily="34" charset="0"/>
            </a:rPr>
            <a:t>Heading</a:t>
          </a:r>
        </a:p>
      </cdr:txBody>
    </cdr:sp>
  </cdr:relSizeAnchor>
</c:userShapes>
</file>

<file path=xl/drawings/drawing51.xml><?xml version="1.0" encoding="utf-8"?>
<xdr:wsDr xmlns:xdr="http://schemas.openxmlformats.org/drawingml/2006/spreadsheetDrawing" xmlns:a="http://schemas.openxmlformats.org/drawingml/2006/main">
  <xdr:twoCellAnchor editAs="oneCell">
    <xdr:from>
      <xdr:col>0</xdr:col>
      <xdr:colOff>1</xdr:colOff>
      <xdr:row>96</xdr:row>
      <xdr:rowOff>0</xdr:rowOff>
    </xdr:from>
    <xdr:to>
      <xdr:col>2</xdr:col>
      <xdr:colOff>346364</xdr:colOff>
      <xdr:row>106</xdr:row>
      <xdr:rowOff>58618</xdr:rowOff>
    </xdr:to>
    <xdr:pic>
      <xdr:nvPicPr>
        <xdr:cNvPr id="5" name="Picture 4">
          <a:extLst>
            <a:ext uri="{FF2B5EF4-FFF2-40B4-BE49-F238E27FC236}">
              <a16:creationId xmlns:a16="http://schemas.microsoft.com/office/drawing/2014/main" xmlns="" id="{00000000-0008-0000-1100-000005000000}"/>
            </a:ext>
          </a:extLst>
        </xdr:cNvPr>
        <xdr:cNvPicPr>
          <a:picLocks noChangeAspect="1"/>
        </xdr:cNvPicPr>
      </xdr:nvPicPr>
      <xdr:blipFill>
        <a:blip xmlns:r="http://schemas.openxmlformats.org/officeDocument/2006/relationships" r:embed="rId1"/>
        <a:stretch>
          <a:fillRect/>
        </a:stretch>
      </xdr:blipFill>
      <xdr:spPr>
        <a:xfrm>
          <a:off x="1" y="17716500"/>
          <a:ext cx="3117272" cy="1963618"/>
        </a:xfrm>
        <a:prstGeom prst="rect">
          <a:avLst/>
        </a:prstGeom>
      </xdr:spPr>
    </xdr:pic>
    <xdr:clientData/>
  </xdr:twoCellAnchor>
  <xdr:twoCellAnchor editAs="oneCell">
    <xdr:from>
      <xdr:col>0</xdr:col>
      <xdr:colOff>0</xdr:colOff>
      <xdr:row>107</xdr:row>
      <xdr:rowOff>158690</xdr:rowOff>
    </xdr:from>
    <xdr:to>
      <xdr:col>2</xdr:col>
      <xdr:colOff>721162</xdr:colOff>
      <xdr:row>119</xdr:row>
      <xdr:rowOff>19645</xdr:rowOff>
    </xdr:to>
    <xdr:pic>
      <xdr:nvPicPr>
        <xdr:cNvPr id="6" name="Picture 5">
          <a:extLst>
            <a:ext uri="{FF2B5EF4-FFF2-40B4-BE49-F238E27FC236}">
              <a16:creationId xmlns:a16="http://schemas.microsoft.com/office/drawing/2014/main" xmlns="" id="{00000000-0008-0000-1100-000006000000}"/>
            </a:ext>
          </a:extLst>
        </xdr:cNvPr>
        <xdr:cNvPicPr>
          <a:picLocks noChangeAspect="1"/>
        </xdr:cNvPicPr>
      </xdr:nvPicPr>
      <xdr:blipFill>
        <a:blip xmlns:r="http://schemas.openxmlformats.org/officeDocument/2006/relationships" r:embed="rId2"/>
        <a:stretch>
          <a:fillRect/>
        </a:stretch>
      </xdr:blipFill>
      <xdr:spPr>
        <a:xfrm>
          <a:off x="0" y="19970690"/>
          <a:ext cx="3492071" cy="2146955"/>
        </a:xfrm>
        <a:prstGeom prst="rect">
          <a:avLst/>
        </a:prstGeom>
      </xdr:spPr>
    </xdr:pic>
    <xdr:clientData/>
  </xdr:twoCellAnchor>
  <xdr:twoCellAnchor>
    <xdr:from>
      <xdr:col>17</xdr:col>
      <xdr:colOff>255698</xdr:colOff>
      <xdr:row>12</xdr:row>
      <xdr:rowOff>127440</xdr:rowOff>
    </xdr:from>
    <xdr:to>
      <xdr:col>24</xdr:col>
      <xdr:colOff>583724</xdr:colOff>
      <xdr:row>27</xdr:row>
      <xdr:rowOff>13140</xdr:rowOff>
    </xdr:to>
    <xdr:graphicFrame macro="">
      <xdr:nvGraphicFramePr>
        <xdr:cNvPr id="7" name="Chart 6">
          <a:extLst>
            <a:ext uri="{FF2B5EF4-FFF2-40B4-BE49-F238E27FC236}">
              <a16:creationId xmlns:a16="http://schemas.microsoft.com/office/drawing/2014/main" xmlns="" id="{00000000-0008-0000-11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3</xdr:col>
      <xdr:colOff>78442</xdr:colOff>
      <xdr:row>95</xdr:row>
      <xdr:rowOff>145676</xdr:rowOff>
    </xdr:from>
    <xdr:to>
      <xdr:col>11</xdr:col>
      <xdr:colOff>235581</xdr:colOff>
      <xdr:row>123</xdr:row>
      <xdr:rowOff>2153</xdr:rowOff>
    </xdr:to>
    <xdr:pic>
      <xdr:nvPicPr>
        <xdr:cNvPr id="9" name="Picture 8">
          <a:extLst>
            <a:ext uri="{FF2B5EF4-FFF2-40B4-BE49-F238E27FC236}">
              <a16:creationId xmlns:a16="http://schemas.microsoft.com/office/drawing/2014/main" xmlns="" id="{00000000-0008-0000-1100-000009000000}"/>
            </a:ext>
          </a:extLst>
        </xdr:cNvPr>
        <xdr:cNvPicPr>
          <a:picLocks noChangeAspect="1"/>
        </xdr:cNvPicPr>
      </xdr:nvPicPr>
      <xdr:blipFill>
        <a:blip xmlns:r="http://schemas.openxmlformats.org/officeDocument/2006/relationships" r:embed="rId4"/>
        <a:stretch>
          <a:fillRect/>
        </a:stretch>
      </xdr:blipFill>
      <xdr:spPr>
        <a:xfrm>
          <a:off x="3922060" y="17671676"/>
          <a:ext cx="6477256" cy="5190477"/>
        </a:xfrm>
        <a:prstGeom prst="rect">
          <a:avLst/>
        </a:prstGeom>
      </xdr:spPr>
    </xdr:pic>
    <xdr:clientData/>
  </xdr:twoCellAnchor>
  <xdr:twoCellAnchor>
    <xdr:from>
      <xdr:col>29</xdr:col>
      <xdr:colOff>0</xdr:colOff>
      <xdr:row>12</xdr:row>
      <xdr:rowOff>0</xdr:rowOff>
    </xdr:from>
    <xdr:to>
      <xdr:col>36</xdr:col>
      <xdr:colOff>328027</xdr:colOff>
      <xdr:row>26</xdr:row>
      <xdr:rowOff>76200</xdr:rowOff>
    </xdr:to>
    <xdr:graphicFrame macro="">
      <xdr:nvGraphicFramePr>
        <xdr:cNvPr id="12" name="Chart 11">
          <a:extLst>
            <a:ext uri="{FF2B5EF4-FFF2-40B4-BE49-F238E27FC236}">
              <a16:creationId xmlns:a16="http://schemas.microsoft.com/office/drawing/2014/main" xmlns="" id="{00000000-0008-0000-11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52.xml><?xml version="1.0" encoding="utf-8"?>
<c:userShapes xmlns:c="http://schemas.openxmlformats.org/drawingml/2006/chart">
  <cdr:relSizeAnchor xmlns:cdr="http://schemas.openxmlformats.org/drawingml/2006/chartDrawing">
    <cdr:from>
      <cdr:x>0.14453</cdr:x>
      <cdr:y>0.06434</cdr:y>
    </cdr:from>
    <cdr:to>
      <cdr:x>0.93101</cdr:x>
      <cdr:y>0.78291</cdr:y>
    </cdr:to>
    <cdr:sp macro="" textlink="">
      <cdr:nvSpPr>
        <cdr:cNvPr id="2" name="Freeform 1"/>
        <cdr:cNvSpPr/>
      </cdr:nvSpPr>
      <cdr:spPr>
        <a:xfrm xmlns:a="http://schemas.openxmlformats.org/drawingml/2006/main">
          <a:off x="664145" y="176492"/>
          <a:ext cx="3614057" cy="1971182"/>
        </a:xfrm>
        <a:custGeom xmlns:a="http://schemas.openxmlformats.org/drawingml/2006/main">
          <a:avLst/>
          <a:gdLst>
            <a:gd name="connsiteX0" fmla="*/ 0 w 3701947"/>
            <a:gd name="connsiteY0" fmla="*/ 1988398 h 2074002"/>
            <a:gd name="connsiteX1" fmla="*/ 636814 w 3701947"/>
            <a:gd name="connsiteY1" fmla="*/ 1917641 h 2074002"/>
            <a:gd name="connsiteX2" fmla="*/ 2215243 w 3701947"/>
            <a:gd name="connsiteY2" fmla="*/ 556927 h 2074002"/>
            <a:gd name="connsiteX3" fmla="*/ 3178628 w 3701947"/>
            <a:gd name="connsiteY3" fmla="*/ 18084 h 2074002"/>
            <a:gd name="connsiteX4" fmla="*/ 3657600 w 3701947"/>
            <a:gd name="connsiteY4" fmla="*/ 126941 h 2074002"/>
            <a:gd name="connsiteX5" fmla="*/ 3652157 w 3701947"/>
            <a:gd name="connsiteY5" fmla="*/ 121498 h 2074002"/>
            <a:gd name="connsiteX0" fmla="*/ 0 w 3688175"/>
            <a:gd name="connsiteY0" fmla="*/ 1988687 h 2074291"/>
            <a:gd name="connsiteX1" fmla="*/ 636814 w 3688175"/>
            <a:gd name="connsiteY1" fmla="*/ 1917930 h 2074291"/>
            <a:gd name="connsiteX2" fmla="*/ 2215243 w 3688175"/>
            <a:gd name="connsiteY2" fmla="*/ 557216 h 2074291"/>
            <a:gd name="connsiteX3" fmla="*/ 3178628 w 3688175"/>
            <a:gd name="connsiteY3" fmla="*/ 18373 h 2074291"/>
            <a:gd name="connsiteX4" fmla="*/ 3657600 w 3688175"/>
            <a:gd name="connsiteY4" fmla="*/ 127230 h 2074291"/>
            <a:gd name="connsiteX5" fmla="*/ 3614057 w 3688175"/>
            <a:gd name="connsiteY5" fmla="*/ 143559 h 2074291"/>
            <a:gd name="connsiteX0" fmla="*/ 0 w 3614057"/>
            <a:gd name="connsiteY0" fmla="*/ 1970314 h 2055918"/>
            <a:gd name="connsiteX1" fmla="*/ 636814 w 3614057"/>
            <a:gd name="connsiteY1" fmla="*/ 1899557 h 2055918"/>
            <a:gd name="connsiteX2" fmla="*/ 2215243 w 3614057"/>
            <a:gd name="connsiteY2" fmla="*/ 538843 h 2055918"/>
            <a:gd name="connsiteX3" fmla="*/ 3178628 w 3614057"/>
            <a:gd name="connsiteY3" fmla="*/ 0 h 2055918"/>
            <a:gd name="connsiteX4" fmla="*/ 3614057 w 3614057"/>
            <a:gd name="connsiteY4" fmla="*/ 125186 h 2055918"/>
            <a:gd name="connsiteX0" fmla="*/ 0 w 3614057"/>
            <a:gd name="connsiteY0" fmla="*/ 1974670 h 2060274"/>
            <a:gd name="connsiteX1" fmla="*/ 636814 w 3614057"/>
            <a:gd name="connsiteY1" fmla="*/ 1903913 h 2060274"/>
            <a:gd name="connsiteX2" fmla="*/ 2215243 w 3614057"/>
            <a:gd name="connsiteY2" fmla="*/ 543199 h 2060274"/>
            <a:gd name="connsiteX3" fmla="*/ 3178628 w 3614057"/>
            <a:gd name="connsiteY3" fmla="*/ 4356 h 2060274"/>
            <a:gd name="connsiteX4" fmla="*/ 3614057 w 3614057"/>
            <a:gd name="connsiteY4" fmla="*/ 129542 h 2060274"/>
            <a:gd name="connsiteX0" fmla="*/ 0 w 3614057"/>
            <a:gd name="connsiteY0" fmla="*/ 1970343 h 2055947"/>
            <a:gd name="connsiteX1" fmla="*/ 636814 w 3614057"/>
            <a:gd name="connsiteY1" fmla="*/ 1899586 h 2055947"/>
            <a:gd name="connsiteX2" fmla="*/ 2215243 w 3614057"/>
            <a:gd name="connsiteY2" fmla="*/ 538872 h 2055947"/>
            <a:gd name="connsiteX3" fmla="*/ 3178628 w 3614057"/>
            <a:gd name="connsiteY3" fmla="*/ 29 h 2055947"/>
            <a:gd name="connsiteX4" fmla="*/ 3614057 w 3614057"/>
            <a:gd name="connsiteY4" fmla="*/ 125215 h 2055947"/>
            <a:gd name="connsiteX0" fmla="*/ 0 w 3614057"/>
            <a:gd name="connsiteY0" fmla="*/ 1970343 h 2003332"/>
            <a:gd name="connsiteX1" fmla="*/ 636814 w 3614057"/>
            <a:gd name="connsiteY1" fmla="*/ 1899586 h 2003332"/>
            <a:gd name="connsiteX2" fmla="*/ 2215243 w 3614057"/>
            <a:gd name="connsiteY2" fmla="*/ 538872 h 2003332"/>
            <a:gd name="connsiteX3" fmla="*/ 3178628 w 3614057"/>
            <a:gd name="connsiteY3" fmla="*/ 29 h 2003332"/>
            <a:gd name="connsiteX4" fmla="*/ 3614057 w 3614057"/>
            <a:gd name="connsiteY4" fmla="*/ 125215 h 2003332"/>
            <a:gd name="connsiteX0" fmla="*/ 0 w 3614057"/>
            <a:gd name="connsiteY0" fmla="*/ 1970343 h 1970343"/>
            <a:gd name="connsiteX1" fmla="*/ 636814 w 3614057"/>
            <a:gd name="connsiteY1" fmla="*/ 1899586 h 1970343"/>
            <a:gd name="connsiteX2" fmla="*/ 2215243 w 3614057"/>
            <a:gd name="connsiteY2" fmla="*/ 538872 h 1970343"/>
            <a:gd name="connsiteX3" fmla="*/ 3178628 w 3614057"/>
            <a:gd name="connsiteY3" fmla="*/ 29 h 1970343"/>
            <a:gd name="connsiteX4" fmla="*/ 3614057 w 3614057"/>
            <a:gd name="connsiteY4" fmla="*/ 125215 h 1970343"/>
            <a:gd name="connsiteX0" fmla="*/ 0 w 3614057"/>
            <a:gd name="connsiteY0" fmla="*/ 1970343 h 1970343"/>
            <a:gd name="connsiteX1" fmla="*/ 636814 w 3614057"/>
            <a:gd name="connsiteY1" fmla="*/ 1899586 h 1970343"/>
            <a:gd name="connsiteX2" fmla="*/ 2215243 w 3614057"/>
            <a:gd name="connsiteY2" fmla="*/ 538872 h 1970343"/>
            <a:gd name="connsiteX3" fmla="*/ 3178628 w 3614057"/>
            <a:gd name="connsiteY3" fmla="*/ 29 h 1970343"/>
            <a:gd name="connsiteX4" fmla="*/ 3614057 w 3614057"/>
            <a:gd name="connsiteY4" fmla="*/ 125215 h 1970343"/>
            <a:gd name="connsiteX0" fmla="*/ 0 w 3614057"/>
            <a:gd name="connsiteY0" fmla="*/ 1970343 h 1970343"/>
            <a:gd name="connsiteX1" fmla="*/ 636814 w 3614057"/>
            <a:gd name="connsiteY1" fmla="*/ 1899586 h 1970343"/>
            <a:gd name="connsiteX2" fmla="*/ 2215243 w 3614057"/>
            <a:gd name="connsiteY2" fmla="*/ 538872 h 1970343"/>
            <a:gd name="connsiteX3" fmla="*/ 3178628 w 3614057"/>
            <a:gd name="connsiteY3" fmla="*/ 29 h 1970343"/>
            <a:gd name="connsiteX4" fmla="*/ 3614057 w 3614057"/>
            <a:gd name="connsiteY4" fmla="*/ 125215 h 1970343"/>
            <a:gd name="connsiteX0" fmla="*/ 0 w 3614057"/>
            <a:gd name="connsiteY0" fmla="*/ 1984729 h 2041813"/>
            <a:gd name="connsiteX1" fmla="*/ 636814 w 3614057"/>
            <a:gd name="connsiteY1" fmla="*/ 1913972 h 2041813"/>
            <a:gd name="connsiteX2" fmla="*/ 2231571 w 3614057"/>
            <a:gd name="connsiteY2" fmla="*/ 498830 h 2041813"/>
            <a:gd name="connsiteX3" fmla="*/ 3178628 w 3614057"/>
            <a:gd name="connsiteY3" fmla="*/ 14415 h 2041813"/>
            <a:gd name="connsiteX4" fmla="*/ 3614057 w 3614057"/>
            <a:gd name="connsiteY4" fmla="*/ 139601 h 2041813"/>
            <a:gd name="connsiteX0" fmla="*/ 0 w 3614057"/>
            <a:gd name="connsiteY0" fmla="*/ 1971182 h 2028266"/>
            <a:gd name="connsiteX1" fmla="*/ 636814 w 3614057"/>
            <a:gd name="connsiteY1" fmla="*/ 1900425 h 2028266"/>
            <a:gd name="connsiteX2" fmla="*/ 2231571 w 3614057"/>
            <a:gd name="connsiteY2" fmla="*/ 485283 h 2028266"/>
            <a:gd name="connsiteX3" fmla="*/ 3178628 w 3614057"/>
            <a:gd name="connsiteY3" fmla="*/ 868 h 2028266"/>
            <a:gd name="connsiteX4" fmla="*/ 3614057 w 3614057"/>
            <a:gd name="connsiteY4" fmla="*/ 126054 h 2028266"/>
            <a:gd name="connsiteX0" fmla="*/ 0 w 3614057"/>
            <a:gd name="connsiteY0" fmla="*/ 1971182 h 1971182"/>
            <a:gd name="connsiteX1" fmla="*/ 636814 w 3614057"/>
            <a:gd name="connsiteY1" fmla="*/ 1900425 h 1971182"/>
            <a:gd name="connsiteX2" fmla="*/ 2231571 w 3614057"/>
            <a:gd name="connsiteY2" fmla="*/ 485283 h 1971182"/>
            <a:gd name="connsiteX3" fmla="*/ 3178628 w 3614057"/>
            <a:gd name="connsiteY3" fmla="*/ 868 h 1971182"/>
            <a:gd name="connsiteX4" fmla="*/ 3614057 w 3614057"/>
            <a:gd name="connsiteY4" fmla="*/ 126054 h 19711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3614057" h="1971182">
              <a:moveTo>
                <a:pt x="0" y="1971182"/>
              </a:moveTo>
              <a:cubicBezTo>
                <a:pt x="302531" y="1957120"/>
                <a:pt x="362857" y="2001118"/>
                <a:pt x="636814" y="1900425"/>
              </a:cubicBezTo>
              <a:cubicBezTo>
                <a:pt x="910771" y="1799732"/>
                <a:pt x="1786164" y="861747"/>
                <a:pt x="2231571" y="485283"/>
              </a:cubicBezTo>
              <a:cubicBezTo>
                <a:pt x="2676978" y="108819"/>
                <a:pt x="2942771" y="11754"/>
                <a:pt x="3178628" y="868"/>
              </a:cubicBezTo>
              <a:cubicBezTo>
                <a:pt x="3414485" y="-10018"/>
                <a:pt x="3468914" y="84325"/>
                <a:pt x="3614057" y="126054"/>
              </a:cubicBezTo>
            </a:path>
          </a:pathLst>
        </a:custGeom>
        <a:noFill xmlns:a="http://schemas.openxmlformats.org/drawingml/2006/main"/>
        <a:ln xmlns:a="http://schemas.openxmlformats.org/drawingml/2006/main">
          <a:solidFill>
            <a:srgbClr val="FF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horzOverflow="clip" rtlCol="0" anchor="t"/>
        <a:lstStyle xmlns:a="http://schemas.openxmlformats.org/drawingml/2006/main"/>
        <a:p xmlns:a="http://schemas.openxmlformats.org/drawingml/2006/main">
          <a:endParaRPr lang="en-US"/>
        </a:p>
      </cdr:txBody>
    </cdr:sp>
  </cdr:relSizeAnchor>
  <cdr:relSizeAnchor xmlns:cdr="http://schemas.openxmlformats.org/drawingml/2006/chartDrawing">
    <cdr:from>
      <cdr:x>0.64621</cdr:x>
      <cdr:y>0.34161</cdr:y>
    </cdr:from>
    <cdr:to>
      <cdr:x>0.89174</cdr:x>
      <cdr:y>0.46416</cdr:y>
    </cdr:to>
    <cdr:sp macro="" textlink="">
      <cdr:nvSpPr>
        <cdr:cNvPr id="3" name="TextBox 2"/>
        <cdr:cNvSpPr txBox="1"/>
      </cdr:nvSpPr>
      <cdr:spPr>
        <a:xfrm xmlns:a="http://schemas.openxmlformats.org/drawingml/2006/main">
          <a:off x="2949185" y="937118"/>
          <a:ext cx="1120589" cy="33617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000" b="1">
              <a:latin typeface="Arial" panose="020B0604020202020204" pitchFamily="34" charset="0"/>
              <a:cs typeface="Arial" panose="020B0604020202020204" pitchFamily="34" charset="0"/>
            </a:rPr>
            <a:t>Flowering</a:t>
          </a:r>
        </a:p>
      </cdr:txBody>
    </cdr:sp>
  </cdr:relSizeAnchor>
  <cdr:relSizeAnchor xmlns:cdr="http://schemas.openxmlformats.org/drawingml/2006/chartDrawing">
    <cdr:from>
      <cdr:x>0.16582</cdr:x>
      <cdr:y>0.50872</cdr:y>
    </cdr:from>
    <cdr:to>
      <cdr:x>0.44241</cdr:x>
      <cdr:y>0.63127</cdr:y>
    </cdr:to>
    <cdr:sp macro="" textlink="">
      <cdr:nvSpPr>
        <cdr:cNvPr id="4" name="TextBox 1"/>
        <cdr:cNvSpPr txBox="1"/>
      </cdr:nvSpPr>
      <cdr:spPr>
        <a:xfrm xmlns:a="http://schemas.openxmlformats.org/drawingml/2006/main">
          <a:off x="756791" y="1395512"/>
          <a:ext cx="1262305" cy="33617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b="1">
              <a:latin typeface="Arial" panose="020B0604020202020204" pitchFamily="34" charset="0"/>
              <a:cs typeface="Arial" panose="020B0604020202020204" pitchFamily="34" charset="0"/>
            </a:rPr>
            <a:t>Panicle</a:t>
          </a:r>
          <a:r>
            <a:rPr lang="en-US" sz="1000" b="1" baseline="0">
              <a:latin typeface="Arial" panose="020B0604020202020204" pitchFamily="34" charset="0"/>
              <a:cs typeface="Arial" panose="020B0604020202020204" pitchFamily="34" charset="0"/>
            </a:rPr>
            <a:t> initiation</a:t>
          </a:r>
          <a:endParaRPr lang="en-US" sz="1000" b="1">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0.49397</cdr:x>
      <cdr:y>0.22724</cdr:y>
    </cdr:from>
    <cdr:to>
      <cdr:x>0.57991</cdr:x>
      <cdr:y>0.26809</cdr:y>
    </cdr:to>
    <cdr:sp macro="" textlink="">
      <cdr:nvSpPr>
        <cdr:cNvPr id="5" name="Left Brace 4"/>
        <cdr:cNvSpPr/>
      </cdr:nvSpPr>
      <cdr:spPr>
        <a:xfrm xmlns:a="http://schemas.openxmlformats.org/drawingml/2006/main" rot="5400000">
          <a:off x="2394492" y="483284"/>
          <a:ext cx="112059" cy="392205"/>
        </a:xfrm>
        <a:prstGeom xmlns:a="http://schemas.openxmlformats.org/drawingml/2006/main" prst="leftBrace">
          <a:avLst/>
        </a:prstGeom>
      </cdr:spPr>
      <cdr:style>
        <a:lnRef xmlns:a="http://schemas.openxmlformats.org/drawingml/2006/main" idx="1">
          <a:schemeClr val="dk1"/>
        </a:lnRef>
        <a:fillRef xmlns:a="http://schemas.openxmlformats.org/drawingml/2006/main" idx="0">
          <a:schemeClr val="dk1"/>
        </a:fillRef>
        <a:effectRef xmlns:a="http://schemas.openxmlformats.org/drawingml/2006/main" idx="0">
          <a:schemeClr val="dk1"/>
        </a:effectRef>
        <a:fontRef xmlns:a="http://schemas.openxmlformats.org/drawingml/2006/main" idx="minor">
          <a:schemeClr val="tx1"/>
        </a:fontRef>
      </cdr:style>
      <cdr:txBody>
        <a:bodyPr xmlns:a="http://schemas.openxmlformats.org/drawingml/2006/main" rot="0" spcFirstLastPara="0" vertOverflow="clip" horzOverflow="clip" vert="horz" wrap="square" lIns="91440" tIns="45720" rIns="91440" bIns="45720" numCol="1" spcCol="0" rtlCol="0" fromWordArt="0" anchor="t" anchorCtr="0" forceAA="0" compatLnSpc="1">
          <a:prstTxWarp prst="textNoShape">
            <a:avLst/>
          </a:prstTxWarp>
          <a:noAutofit/>
        </a:bodyPr>
        <a:lstStyle xmlns:a="http://schemas.openxmlformats.org/drawingml/2006/main"/>
        <a:p xmlns:a="http://schemas.openxmlformats.org/drawingml/2006/main">
          <a:endParaRPr lang="en-US"/>
        </a:p>
      </cdr:txBody>
    </cdr:sp>
  </cdr:relSizeAnchor>
  <cdr:relSizeAnchor xmlns:cdr="http://schemas.openxmlformats.org/drawingml/2006/chartDrawing">
    <cdr:from>
      <cdr:x>0.65443</cdr:x>
      <cdr:y>0.28443</cdr:y>
    </cdr:from>
    <cdr:to>
      <cdr:x>0.77634</cdr:x>
      <cdr:y>0.33753</cdr:y>
    </cdr:to>
    <cdr:sp macro="" textlink="">
      <cdr:nvSpPr>
        <cdr:cNvPr id="6" name="Left Brace 5"/>
        <cdr:cNvSpPr/>
      </cdr:nvSpPr>
      <cdr:spPr>
        <a:xfrm xmlns:a="http://schemas.openxmlformats.org/drawingml/2006/main" rot="16200000">
          <a:off x="3192080" y="574896"/>
          <a:ext cx="145677" cy="556355"/>
        </a:xfrm>
        <a:prstGeom xmlns:a="http://schemas.openxmlformats.org/drawingml/2006/main" prst="leftBrace">
          <a:avLst/>
        </a:prstGeom>
      </cdr:spPr>
      <cdr:style>
        <a:lnRef xmlns:a="http://schemas.openxmlformats.org/drawingml/2006/main" idx="1">
          <a:schemeClr val="dk1"/>
        </a:lnRef>
        <a:fillRef xmlns:a="http://schemas.openxmlformats.org/drawingml/2006/main" idx="0">
          <a:schemeClr val="dk1"/>
        </a:fillRef>
        <a:effectRef xmlns:a="http://schemas.openxmlformats.org/drawingml/2006/main" idx="0">
          <a:schemeClr val="dk1"/>
        </a:effectRef>
        <a:fontRef xmlns:a="http://schemas.openxmlformats.org/drawingml/2006/main" idx="minor">
          <a:schemeClr val="tx1"/>
        </a:fontRef>
      </cdr:style>
      <cdr:txBody>
        <a:bodyPr xmlns:a="http://schemas.openxmlformats.org/drawingml/2006/main" rot="0" spcFirstLastPara="0" vert="horz" wrap="square" lIns="91440" tIns="45720" rIns="91440" bIns="45720" numCol="1" spcCol="0" rtlCol="0" fromWordArt="0" anchor="t" anchorCtr="0" forceAA="0" compatLnSpc="1">
          <a:prstTxWarp prst="textNoShape">
            <a:avLst/>
          </a:prstTxWarp>
          <a:noAutofit/>
        </a:bodyPr>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endParaRPr lang="en-US"/>
        </a:p>
      </cdr:txBody>
    </cdr:sp>
  </cdr:relSizeAnchor>
  <cdr:relSizeAnchor xmlns:cdr="http://schemas.openxmlformats.org/drawingml/2006/chartDrawing">
    <cdr:from>
      <cdr:x>0.26649</cdr:x>
      <cdr:y>0.5945</cdr:y>
    </cdr:from>
    <cdr:to>
      <cdr:x>0.35243</cdr:x>
      <cdr:y>0.63535</cdr:y>
    </cdr:to>
    <cdr:sp macro="" textlink="">
      <cdr:nvSpPr>
        <cdr:cNvPr id="7" name="Left Brace 6"/>
        <cdr:cNvSpPr/>
      </cdr:nvSpPr>
      <cdr:spPr>
        <a:xfrm xmlns:a="http://schemas.openxmlformats.org/drawingml/2006/main" rot="5400000">
          <a:off x="1356291" y="1490750"/>
          <a:ext cx="112059" cy="392217"/>
        </a:xfrm>
        <a:prstGeom xmlns:a="http://schemas.openxmlformats.org/drawingml/2006/main" prst="leftBrace">
          <a:avLst/>
        </a:prstGeom>
      </cdr:spPr>
      <cdr:style>
        <a:lnRef xmlns:a="http://schemas.openxmlformats.org/drawingml/2006/main" idx="1">
          <a:schemeClr val="dk1"/>
        </a:lnRef>
        <a:fillRef xmlns:a="http://schemas.openxmlformats.org/drawingml/2006/main" idx="0">
          <a:schemeClr val="dk1"/>
        </a:fillRef>
        <a:effectRef xmlns:a="http://schemas.openxmlformats.org/drawingml/2006/main" idx="0">
          <a:schemeClr val="dk1"/>
        </a:effectRef>
        <a:fontRef xmlns:a="http://schemas.openxmlformats.org/drawingml/2006/main" idx="minor">
          <a:schemeClr val="tx1"/>
        </a:fontRef>
      </cdr:style>
      <cdr:txBody>
        <a:bodyPr xmlns:a="http://schemas.openxmlformats.org/drawingml/2006/main" rot="0" spcFirstLastPara="0" vert="horz" wrap="square" lIns="91440" tIns="45720" rIns="91440" bIns="45720" numCol="1" spcCol="0" rtlCol="0" fromWordArt="0" anchor="t" anchorCtr="0" forceAA="0" compatLnSpc="1">
          <a:prstTxWarp prst="textNoShape">
            <a:avLst/>
          </a:prstTxWarp>
          <a:noAutofit/>
        </a:bodyPr>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endParaRPr lang="en-US"/>
        </a:p>
      </cdr:txBody>
    </cdr:sp>
  </cdr:relSizeAnchor>
</c:userShapes>
</file>

<file path=xl/drawings/drawing53.xml><?xml version="1.0" encoding="utf-8"?>
<c:userShapes xmlns:c="http://schemas.openxmlformats.org/drawingml/2006/chart">
  <cdr:relSizeAnchor xmlns:cdr="http://schemas.openxmlformats.org/drawingml/2006/chartDrawing">
    <cdr:from>
      <cdr:x>0.14453</cdr:x>
      <cdr:y>0.06434</cdr:y>
    </cdr:from>
    <cdr:to>
      <cdr:x>0.93101</cdr:x>
      <cdr:y>0.78291</cdr:y>
    </cdr:to>
    <cdr:sp macro="" textlink="">
      <cdr:nvSpPr>
        <cdr:cNvPr id="2" name="Freeform 1"/>
        <cdr:cNvSpPr/>
      </cdr:nvSpPr>
      <cdr:spPr>
        <a:xfrm xmlns:a="http://schemas.openxmlformats.org/drawingml/2006/main">
          <a:off x="664145" y="176492"/>
          <a:ext cx="3614057" cy="1971182"/>
        </a:xfrm>
        <a:custGeom xmlns:a="http://schemas.openxmlformats.org/drawingml/2006/main">
          <a:avLst/>
          <a:gdLst>
            <a:gd name="connsiteX0" fmla="*/ 0 w 3701947"/>
            <a:gd name="connsiteY0" fmla="*/ 1988398 h 2074002"/>
            <a:gd name="connsiteX1" fmla="*/ 636814 w 3701947"/>
            <a:gd name="connsiteY1" fmla="*/ 1917641 h 2074002"/>
            <a:gd name="connsiteX2" fmla="*/ 2215243 w 3701947"/>
            <a:gd name="connsiteY2" fmla="*/ 556927 h 2074002"/>
            <a:gd name="connsiteX3" fmla="*/ 3178628 w 3701947"/>
            <a:gd name="connsiteY3" fmla="*/ 18084 h 2074002"/>
            <a:gd name="connsiteX4" fmla="*/ 3657600 w 3701947"/>
            <a:gd name="connsiteY4" fmla="*/ 126941 h 2074002"/>
            <a:gd name="connsiteX5" fmla="*/ 3652157 w 3701947"/>
            <a:gd name="connsiteY5" fmla="*/ 121498 h 2074002"/>
            <a:gd name="connsiteX0" fmla="*/ 0 w 3688175"/>
            <a:gd name="connsiteY0" fmla="*/ 1988687 h 2074291"/>
            <a:gd name="connsiteX1" fmla="*/ 636814 w 3688175"/>
            <a:gd name="connsiteY1" fmla="*/ 1917930 h 2074291"/>
            <a:gd name="connsiteX2" fmla="*/ 2215243 w 3688175"/>
            <a:gd name="connsiteY2" fmla="*/ 557216 h 2074291"/>
            <a:gd name="connsiteX3" fmla="*/ 3178628 w 3688175"/>
            <a:gd name="connsiteY3" fmla="*/ 18373 h 2074291"/>
            <a:gd name="connsiteX4" fmla="*/ 3657600 w 3688175"/>
            <a:gd name="connsiteY4" fmla="*/ 127230 h 2074291"/>
            <a:gd name="connsiteX5" fmla="*/ 3614057 w 3688175"/>
            <a:gd name="connsiteY5" fmla="*/ 143559 h 2074291"/>
            <a:gd name="connsiteX0" fmla="*/ 0 w 3614057"/>
            <a:gd name="connsiteY0" fmla="*/ 1970314 h 2055918"/>
            <a:gd name="connsiteX1" fmla="*/ 636814 w 3614057"/>
            <a:gd name="connsiteY1" fmla="*/ 1899557 h 2055918"/>
            <a:gd name="connsiteX2" fmla="*/ 2215243 w 3614057"/>
            <a:gd name="connsiteY2" fmla="*/ 538843 h 2055918"/>
            <a:gd name="connsiteX3" fmla="*/ 3178628 w 3614057"/>
            <a:gd name="connsiteY3" fmla="*/ 0 h 2055918"/>
            <a:gd name="connsiteX4" fmla="*/ 3614057 w 3614057"/>
            <a:gd name="connsiteY4" fmla="*/ 125186 h 2055918"/>
            <a:gd name="connsiteX0" fmla="*/ 0 w 3614057"/>
            <a:gd name="connsiteY0" fmla="*/ 1974670 h 2060274"/>
            <a:gd name="connsiteX1" fmla="*/ 636814 w 3614057"/>
            <a:gd name="connsiteY1" fmla="*/ 1903913 h 2060274"/>
            <a:gd name="connsiteX2" fmla="*/ 2215243 w 3614057"/>
            <a:gd name="connsiteY2" fmla="*/ 543199 h 2060274"/>
            <a:gd name="connsiteX3" fmla="*/ 3178628 w 3614057"/>
            <a:gd name="connsiteY3" fmla="*/ 4356 h 2060274"/>
            <a:gd name="connsiteX4" fmla="*/ 3614057 w 3614057"/>
            <a:gd name="connsiteY4" fmla="*/ 129542 h 2060274"/>
            <a:gd name="connsiteX0" fmla="*/ 0 w 3614057"/>
            <a:gd name="connsiteY0" fmla="*/ 1970343 h 2055947"/>
            <a:gd name="connsiteX1" fmla="*/ 636814 w 3614057"/>
            <a:gd name="connsiteY1" fmla="*/ 1899586 h 2055947"/>
            <a:gd name="connsiteX2" fmla="*/ 2215243 w 3614057"/>
            <a:gd name="connsiteY2" fmla="*/ 538872 h 2055947"/>
            <a:gd name="connsiteX3" fmla="*/ 3178628 w 3614057"/>
            <a:gd name="connsiteY3" fmla="*/ 29 h 2055947"/>
            <a:gd name="connsiteX4" fmla="*/ 3614057 w 3614057"/>
            <a:gd name="connsiteY4" fmla="*/ 125215 h 2055947"/>
            <a:gd name="connsiteX0" fmla="*/ 0 w 3614057"/>
            <a:gd name="connsiteY0" fmla="*/ 1970343 h 2003332"/>
            <a:gd name="connsiteX1" fmla="*/ 636814 w 3614057"/>
            <a:gd name="connsiteY1" fmla="*/ 1899586 h 2003332"/>
            <a:gd name="connsiteX2" fmla="*/ 2215243 w 3614057"/>
            <a:gd name="connsiteY2" fmla="*/ 538872 h 2003332"/>
            <a:gd name="connsiteX3" fmla="*/ 3178628 w 3614057"/>
            <a:gd name="connsiteY3" fmla="*/ 29 h 2003332"/>
            <a:gd name="connsiteX4" fmla="*/ 3614057 w 3614057"/>
            <a:gd name="connsiteY4" fmla="*/ 125215 h 2003332"/>
            <a:gd name="connsiteX0" fmla="*/ 0 w 3614057"/>
            <a:gd name="connsiteY0" fmla="*/ 1970343 h 1970343"/>
            <a:gd name="connsiteX1" fmla="*/ 636814 w 3614057"/>
            <a:gd name="connsiteY1" fmla="*/ 1899586 h 1970343"/>
            <a:gd name="connsiteX2" fmla="*/ 2215243 w 3614057"/>
            <a:gd name="connsiteY2" fmla="*/ 538872 h 1970343"/>
            <a:gd name="connsiteX3" fmla="*/ 3178628 w 3614057"/>
            <a:gd name="connsiteY3" fmla="*/ 29 h 1970343"/>
            <a:gd name="connsiteX4" fmla="*/ 3614057 w 3614057"/>
            <a:gd name="connsiteY4" fmla="*/ 125215 h 1970343"/>
            <a:gd name="connsiteX0" fmla="*/ 0 w 3614057"/>
            <a:gd name="connsiteY0" fmla="*/ 1970343 h 1970343"/>
            <a:gd name="connsiteX1" fmla="*/ 636814 w 3614057"/>
            <a:gd name="connsiteY1" fmla="*/ 1899586 h 1970343"/>
            <a:gd name="connsiteX2" fmla="*/ 2215243 w 3614057"/>
            <a:gd name="connsiteY2" fmla="*/ 538872 h 1970343"/>
            <a:gd name="connsiteX3" fmla="*/ 3178628 w 3614057"/>
            <a:gd name="connsiteY3" fmla="*/ 29 h 1970343"/>
            <a:gd name="connsiteX4" fmla="*/ 3614057 w 3614057"/>
            <a:gd name="connsiteY4" fmla="*/ 125215 h 1970343"/>
            <a:gd name="connsiteX0" fmla="*/ 0 w 3614057"/>
            <a:gd name="connsiteY0" fmla="*/ 1970343 h 1970343"/>
            <a:gd name="connsiteX1" fmla="*/ 636814 w 3614057"/>
            <a:gd name="connsiteY1" fmla="*/ 1899586 h 1970343"/>
            <a:gd name="connsiteX2" fmla="*/ 2215243 w 3614057"/>
            <a:gd name="connsiteY2" fmla="*/ 538872 h 1970343"/>
            <a:gd name="connsiteX3" fmla="*/ 3178628 w 3614057"/>
            <a:gd name="connsiteY3" fmla="*/ 29 h 1970343"/>
            <a:gd name="connsiteX4" fmla="*/ 3614057 w 3614057"/>
            <a:gd name="connsiteY4" fmla="*/ 125215 h 1970343"/>
            <a:gd name="connsiteX0" fmla="*/ 0 w 3614057"/>
            <a:gd name="connsiteY0" fmla="*/ 1984729 h 2041813"/>
            <a:gd name="connsiteX1" fmla="*/ 636814 w 3614057"/>
            <a:gd name="connsiteY1" fmla="*/ 1913972 h 2041813"/>
            <a:gd name="connsiteX2" fmla="*/ 2231571 w 3614057"/>
            <a:gd name="connsiteY2" fmla="*/ 498830 h 2041813"/>
            <a:gd name="connsiteX3" fmla="*/ 3178628 w 3614057"/>
            <a:gd name="connsiteY3" fmla="*/ 14415 h 2041813"/>
            <a:gd name="connsiteX4" fmla="*/ 3614057 w 3614057"/>
            <a:gd name="connsiteY4" fmla="*/ 139601 h 2041813"/>
            <a:gd name="connsiteX0" fmla="*/ 0 w 3614057"/>
            <a:gd name="connsiteY0" fmla="*/ 1971182 h 2028266"/>
            <a:gd name="connsiteX1" fmla="*/ 636814 w 3614057"/>
            <a:gd name="connsiteY1" fmla="*/ 1900425 h 2028266"/>
            <a:gd name="connsiteX2" fmla="*/ 2231571 w 3614057"/>
            <a:gd name="connsiteY2" fmla="*/ 485283 h 2028266"/>
            <a:gd name="connsiteX3" fmla="*/ 3178628 w 3614057"/>
            <a:gd name="connsiteY3" fmla="*/ 868 h 2028266"/>
            <a:gd name="connsiteX4" fmla="*/ 3614057 w 3614057"/>
            <a:gd name="connsiteY4" fmla="*/ 126054 h 2028266"/>
            <a:gd name="connsiteX0" fmla="*/ 0 w 3614057"/>
            <a:gd name="connsiteY0" fmla="*/ 1971182 h 1971182"/>
            <a:gd name="connsiteX1" fmla="*/ 636814 w 3614057"/>
            <a:gd name="connsiteY1" fmla="*/ 1900425 h 1971182"/>
            <a:gd name="connsiteX2" fmla="*/ 2231571 w 3614057"/>
            <a:gd name="connsiteY2" fmla="*/ 485283 h 1971182"/>
            <a:gd name="connsiteX3" fmla="*/ 3178628 w 3614057"/>
            <a:gd name="connsiteY3" fmla="*/ 868 h 1971182"/>
            <a:gd name="connsiteX4" fmla="*/ 3614057 w 3614057"/>
            <a:gd name="connsiteY4" fmla="*/ 126054 h 19711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3614057" h="1971182">
              <a:moveTo>
                <a:pt x="0" y="1971182"/>
              </a:moveTo>
              <a:cubicBezTo>
                <a:pt x="302531" y="1957120"/>
                <a:pt x="362857" y="2001118"/>
                <a:pt x="636814" y="1900425"/>
              </a:cubicBezTo>
              <a:cubicBezTo>
                <a:pt x="910771" y="1799732"/>
                <a:pt x="1786164" y="861747"/>
                <a:pt x="2231571" y="485283"/>
              </a:cubicBezTo>
              <a:cubicBezTo>
                <a:pt x="2676978" y="108819"/>
                <a:pt x="2942771" y="11754"/>
                <a:pt x="3178628" y="868"/>
              </a:cubicBezTo>
              <a:cubicBezTo>
                <a:pt x="3414485" y="-10018"/>
                <a:pt x="3468914" y="84325"/>
                <a:pt x="3614057" y="126054"/>
              </a:cubicBezTo>
            </a:path>
          </a:pathLst>
        </a:custGeom>
        <a:noFill xmlns:a="http://schemas.openxmlformats.org/drawingml/2006/main"/>
        <a:ln xmlns:a="http://schemas.openxmlformats.org/drawingml/2006/main">
          <a:solidFill>
            <a:srgbClr val="FF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horzOverflow="clip" rtlCol="0" anchor="t"/>
        <a:lstStyle xmlns:a="http://schemas.openxmlformats.org/drawingml/2006/main"/>
        <a:p xmlns:a="http://schemas.openxmlformats.org/drawingml/2006/main">
          <a:endParaRPr lang="en-US"/>
        </a:p>
      </cdr:txBody>
    </cdr:sp>
  </cdr:relSizeAnchor>
  <cdr:relSizeAnchor xmlns:cdr="http://schemas.openxmlformats.org/drawingml/2006/chartDrawing">
    <cdr:from>
      <cdr:x>0.64375</cdr:x>
      <cdr:y>0.30893</cdr:y>
    </cdr:from>
    <cdr:to>
      <cdr:x>0.88928</cdr:x>
      <cdr:y>0.43148</cdr:y>
    </cdr:to>
    <cdr:sp macro="" textlink="">
      <cdr:nvSpPr>
        <cdr:cNvPr id="3" name="TextBox 2"/>
        <cdr:cNvSpPr txBox="1"/>
      </cdr:nvSpPr>
      <cdr:spPr>
        <a:xfrm xmlns:a="http://schemas.openxmlformats.org/drawingml/2006/main">
          <a:off x="2938000" y="847458"/>
          <a:ext cx="1120562" cy="336179"/>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200" b="0">
              <a:latin typeface="Arial" panose="020B0604020202020204" pitchFamily="34" charset="0"/>
              <a:cs typeface="Arial" panose="020B0604020202020204" pitchFamily="34" charset="0"/>
            </a:rPr>
            <a:t>Flowering</a:t>
          </a:r>
        </a:p>
      </cdr:txBody>
    </cdr:sp>
  </cdr:relSizeAnchor>
  <cdr:relSizeAnchor xmlns:cdr="http://schemas.openxmlformats.org/drawingml/2006/chartDrawing">
    <cdr:from>
      <cdr:x>0.48502</cdr:x>
      <cdr:y>0.5128</cdr:y>
    </cdr:from>
    <cdr:to>
      <cdr:x>0.73055</cdr:x>
      <cdr:y>0.63535</cdr:y>
    </cdr:to>
    <cdr:sp macro="" textlink="">
      <cdr:nvSpPr>
        <cdr:cNvPr id="4" name="TextBox 1"/>
        <cdr:cNvSpPr txBox="1"/>
      </cdr:nvSpPr>
      <cdr:spPr>
        <a:xfrm xmlns:a="http://schemas.openxmlformats.org/drawingml/2006/main">
          <a:off x="2213556" y="1406718"/>
          <a:ext cx="1120563" cy="33617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200" b="0">
              <a:latin typeface="Arial" panose="020B0604020202020204" pitchFamily="34" charset="0"/>
              <a:cs typeface="Arial" panose="020B0604020202020204" pitchFamily="34" charset="0"/>
            </a:rPr>
            <a:t>Booting</a:t>
          </a:r>
        </a:p>
      </cdr:txBody>
    </cdr:sp>
  </cdr:relSizeAnchor>
  <cdr:relSizeAnchor xmlns:cdr="http://schemas.openxmlformats.org/drawingml/2006/chartDrawing">
    <cdr:from>
      <cdr:x>0.51808</cdr:x>
      <cdr:y>0.45752</cdr:y>
    </cdr:from>
    <cdr:to>
      <cdr:x>0.61674</cdr:x>
      <cdr:y>0.51062</cdr:y>
    </cdr:to>
    <cdr:sp macro="" textlink="">
      <cdr:nvSpPr>
        <cdr:cNvPr id="5" name="Left Brace 4"/>
        <cdr:cNvSpPr/>
      </cdr:nvSpPr>
      <cdr:spPr>
        <a:xfrm xmlns:a="http://schemas.openxmlformats.org/drawingml/2006/main" rot="16200000">
          <a:off x="2516736" y="1102762"/>
          <a:ext cx="145677" cy="450270"/>
        </a:xfrm>
        <a:prstGeom xmlns:a="http://schemas.openxmlformats.org/drawingml/2006/main" prst="leftBrace">
          <a:avLst/>
        </a:prstGeom>
      </cdr:spPr>
      <cdr:style>
        <a:lnRef xmlns:a="http://schemas.openxmlformats.org/drawingml/2006/main" idx="1">
          <a:schemeClr val="dk1"/>
        </a:lnRef>
        <a:fillRef xmlns:a="http://schemas.openxmlformats.org/drawingml/2006/main" idx="0">
          <a:schemeClr val="dk1"/>
        </a:fillRef>
        <a:effectRef xmlns:a="http://schemas.openxmlformats.org/drawingml/2006/main" idx="0">
          <a:schemeClr val="dk1"/>
        </a:effectRef>
        <a:fontRef xmlns:a="http://schemas.openxmlformats.org/drawingml/2006/main" idx="minor">
          <a:schemeClr val="tx1"/>
        </a:fontRef>
      </cdr:style>
      <cdr:txBody>
        <a:bodyPr xmlns:a="http://schemas.openxmlformats.org/drawingml/2006/main" rot="0" spcFirstLastPara="0" vertOverflow="clip" horzOverflow="clip" vert="horz" wrap="square" lIns="91440" tIns="45720" rIns="91440" bIns="45720" numCol="1" spcCol="0" rtlCol="0" fromWordArt="0" anchor="t" anchorCtr="0" forceAA="0" compatLnSpc="1">
          <a:prstTxWarp prst="textNoShape">
            <a:avLst/>
          </a:prstTxWarp>
          <a:noAutofit/>
        </a:bodyPr>
        <a:lstStyle xmlns:a="http://schemas.openxmlformats.org/drawingml/2006/main"/>
        <a:p xmlns:a="http://schemas.openxmlformats.org/drawingml/2006/main">
          <a:endParaRPr lang="en-US"/>
        </a:p>
      </cdr:txBody>
    </cdr:sp>
  </cdr:relSizeAnchor>
  <cdr:relSizeAnchor xmlns:cdr="http://schemas.openxmlformats.org/drawingml/2006/chartDrawing">
    <cdr:from>
      <cdr:x>0.65689</cdr:x>
      <cdr:y>0.22724</cdr:y>
    </cdr:from>
    <cdr:to>
      <cdr:x>0.7788</cdr:x>
      <cdr:y>0.28034</cdr:y>
    </cdr:to>
    <cdr:sp macro="" textlink="">
      <cdr:nvSpPr>
        <cdr:cNvPr id="6" name="Left Brace 5"/>
        <cdr:cNvSpPr/>
      </cdr:nvSpPr>
      <cdr:spPr>
        <a:xfrm xmlns:a="http://schemas.openxmlformats.org/drawingml/2006/main" rot="16200000">
          <a:off x="3203284" y="418008"/>
          <a:ext cx="145664" cy="556379"/>
        </a:xfrm>
        <a:prstGeom xmlns:a="http://schemas.openxmlformats.org/drawingml/2006/main" prst="leftBrace">
          <a:avLst/>
        </a:prstGeom>
      </cdr:spPr>
      <cdr:style>
        <a:lnRef xmlns:a="http://schemas.openxmlformats.org/drawingml/2006/main" idx="1">
          <a:schemeClr val="dk1"/>
        </a:lnRef>
        <a:fillRef xmlns:a="http://schemas.openxmlformats.org/drawingml/2006/main" idx="0">
          <a:schemeClr val="dk1"/>
        </a:fillRef>
        <a:effectRef xmlns:a="http://schemas.openxmlformats.org/drawingml/2006/main" idx="0">
          <a:schemeClr val="dk1"/>
        </a:effectRef>
        <a:fontRef xmlns:a="http://schemas.openxmlformats.org/drawingml/2006/main" idx="minor">
          <a:schemeClr val="tx1"/>
        </a:fontRef>
      </cdr:style>
      <cdr:txBody>
        <a:bodyPr xmlns:a="http://schemas.openxmlformats.org/drawingml/2006/main" rot="0" spcFirstLastPara="0" vert="horz" wrap="square" lIns="91440" tIns="45720" rIns="91440" bIns="45720" numCol="1" spcCol="0" rtlCol="0" fromWordArt="0" anchor="t" anchorCtr="0" forceAA="0" compatLnSpc="1">
          <a:prstTxWarp prst="textNoShape">
            <a:avLst/>
          </a:prstTxWarp>
          <a:noAutofit/>
        </a:bodyPr>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endParaRPr lang="en-US"/>
        </a:p>
      </cdr:txBody>
    </cdr:sp>
  </cdr:relSizeAnchor>
  <cdr:relSizeAnchor xmlns:cdr="http://schemas.openxmlformats.org/drawingml/2006/chartDrawing">
    <cdr:from>
      <cdr:x>0.13504</cdr:x>
      <cdr:y>0.4597</cdr:y>
    </cdr:from>
    <cdr:to>
      <cdr:x>0.4375</cdr:x>
      <cdr:y>0.58225</cdr:y>
    </cdr:to>
    <cdr:sp macro="" textlink="">
      <cdr:nvSpPr>
        <cdr:cNvPr id="7" name="TextBox 1"/>
        <cdr:cNvSpPr txBox="1"/>
      </cdr:nvSpPr>
      <cdr:spPr>
        <a:xfrm xmlns:a="http://schemas.openxmlformats.org/drawingml/2006/main">
          <a:off x="616323" y="1261049"/>
          <a:ext cx="1380361" cy="33617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200" b="0">
              <a:latin typeface="Arial" panose="020B0604020202020204" pitchFamily="34" charset="0"/>
              <a:cs typeface="Arial" panose="020B0604020202020204" pitchFamily="34" charset="0"/>
            </a:rPr>
            <a:t>Panicle</a:t>
          </a:r>
          <a:r>
            <a:rPr lang="en-US" sz="1200" b="0" baseline="0">
              <a:latin typeface="Arial" panose="020B0604020202020204" pitchFamily="34" charset="0"/>
              <a:cs typeface="Arial" panose="020B0604020202020204" pitchFamily="34" charset="0"/>
            </a:rPr>
            <a:t> initiation</a:t>
          </a:r>
          <a:endParaRPr lang="en-US" sz="1200" b="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0.24685</cdr:x>
      <cdr:y>0.54956</cdr:y>
    </cdr:from>
    <cdr:to>
      <cdr:x>0.33279</cdr:x>
      <cdr:y>0.59041</cdr:y>
    </cdr:to>
    <cdr:sp macro="" textlink="">
      <cdr:nvSpPr>
        <cdr:cNvPr id="8" name="Left Brace 7"/>
        <cdr:cNvSpPr/>
      </cdr:nvSpPr>
      <cdr:spPr>
        <a:xfrm xmlns:a="http://schemas.openxmlformats.org/drawingml/2006/main" rot="5400000">
          <a:off x="1266644" y="1367485"/>
          <a:ext cx="112059" cy="392217"/>
        </a:xfrm>
        <a:prstGeom xmlns:a="http://schemas.openxmlformats.org/drawingml/2006/main" prst="leftBrace">
          <a:avLst/>
        </a:prstGeom>
      </cdr:spPr>
      <cdr:style>
        <a:lnRef xmlns:a="http://schemas.openxmlformats.org/drawingml/2006/main" idx="1">
          <a:schemeClr val="dk1"/>
        </a:lnRef>
        <a:fillRef xmlns:a="http://schemas.openxmlformats.org/drawingml/2006/main" idx="0">
          <a:schemeClr val="dk1"/>
        </a:fillRef>
        <a:effectRef xmlns:a="http://schemas.openxmlformats.org/drawingml/2006/main" idx="0">
          <a:schemeClr val="dk1"/>
        </a:effectRef>
        <a:fontRef xmlns:a="http://schemas.openxmlformats.org/drawingml/2006/main" idx="minor">
          <a:schemeClr val="tx1"/>
        </a:fontRef>
      </cdr:style>
      <cdr:txBody>
        <a:bodyPr xmlns:a="http://schemas.openxmlformats.org/drawingml/2006/main" rot="0" spcFirstLastPara="0" vert="horz" wrap="square" lIns="91440" tIns="45720" rIns="91440" bIns="45720" numCol="1" spcCol="0" rtlCol="0" fromWordArt="0" anchor="t" anchorCtr="0" forceAA="0" compatLnSpc="1">
          <a:prstTxWarp prst="textNoShape">
            <a:avLst/>
          </a:prstTxWarp>
          <a:noAutofit/>
        </a:bodyPr>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endParaRPr lang="en-US"/>
        </a:p>
      </cdr:txBody>
    </cdr:sp>
  </cdr:relSizeAnchor>
</c:userShapes>
</file>

<file path=xl/drawings/drawing5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752036</xdr:colOff>
      <xdr:row>7</xdr:row>
      <xdr:rowOff>152211</xdr:rowOff>
    </xdr:to>
    <xdr:pic>
      <xdr:nvPicPr>
        <xdr:cNvPr id="2" name="Picture 1">
          <a:extLst>
            <a:ext uri="{FF2B5EF4-FFF2-40B4-BE49-F238E27FC236}">
              <a16:creationId xmlns:a16="http://schemas.microsoft.com/office/drawing/2014/main" xmlns="" id="{00000000-0008-0000-1200-000002000000}"/>
            </a:ext>
          </a:extLst>
        </xdr:cNvPr>
        <xdr:cNvPicPr>
          <a:picLocks noChangeAspect="1"/>
        </xdr:cNvPicPr>
      </xdr:nvPicPr>
      <xdr:blipFill>
        <a:blip xmlns:r="http://schemas.openxmlformats.org/officeDocument/2006/relationships" r:embed="rId1"/>
        <a:stretch>
          <a:fillRect/>
        </a:stretch>
      </xdr:blipFill>
      <xdr:spPr>
        <a:xfrm>
          <a:off x="0" y="0"/>
          <a:ext cx="3514286" cy="1514286"/>
        </a:xfrm>
        <a:prstGeom prst="rect">
          <a:avLst/>
        </a:prstGeom>
      </xdr:spPr>
    </xdr:pic>
    <xdr:clientData/>
  </xdr:twoCellAnchor>
  <xdr:twoCellAnchor>
    <xdr:from>
      <xdr:col>15</xdr:col>
      <xdr:colOff>515469</xdr:colOff>
      <xdr:row>22</xdr:row>
      <xdr:rowOff>89647</xdr:rowOff>
    </xdr:from>
    <xdr:to>
      <xdr:col>23</xdr:col>
      <xdr:colOff>232215</xdr:colOff>
      <xdr:row>36</xdr:row>
      <xdr:rowOff>165847</xdr:rowOff>
    </xdr:to>
    <xdr:graphicFrame macro="">
      <xdr:nvGraphicFramePr>
        <xdr:cNvPr id="4" name="Chart 3">
          <a:extLst>
            <a:ext uri="{FF2B5EF4-FFF2-40B4-BE49-F238E27FC236}">
              <a16:creationId xmlns:a16="http://schemas.microsoft.com/office/drawing/2014/main" xmlns="" id="{00000000-0008-0000-12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545224</xdr:colOff>
      <xdr:row>23</xdr:row>
      <xdr:rowOff>78826</xdr:rowOff>
    </xdr:from>
    <xdr:to>
      <xdr:col>22</xdr:col>
      <xdr:colOff>545224</xdr:colOff>
      <xdr:row>33</xdr:row>
      <xdr:rowOff>151085</xdr:rowOff>
    </xdr:to>
    <xdr:sp macro="" textlink="">
      <xdr:nvSpPr>
        <xdr:cNvPr id="5" name="Freeform 4">
          <a:extLst>
            <a:ext uri="{FF2B5EF4-FFF2-40B4-BE49-F238E27FC236}">
              <a16:creationId xmlns:a16="http://schemas.microsoft.com/office/drawing/2014/main" xmlns="" id="{00000000-0008-0000-1200-000005000000}"/>
            </a:ext>
          </a:extLst>
        </xdr:cNvPr>
        <xdr:cNvSpPr/>
      </xdr:nvSpPr>
      <xdr:spPr>
        <a:xfrm>
          <a:off x="17466879" y="4867602"/>
          <a:ext cx="3665483" cy="1977259"/>
        </a:xfrm>
        <a:custGeom>
          <a:avLst/>
          <a:gdLst>
            <a:gd name="connsiteX0" fmla="*/ 0 w 3665483"/>
            <a:gd name="connsiteY0" fmla="*/ 1977259 h 2029730"/>
            <a:gd name="connsiteX1" fmla="*/ 748862 w 3665483"/>
            <a:gd name="connsiteY1" fmla="*/ 1891863 h 2029730"/>
            <a:gd name="connsiteX2" fmla="*/ 2397673 w 3665483"/>
            <a:gd name="connsiteY2" fmla="*/ 794845 h 2029730"/>
            <a:gd name="connsiteX3" fmla="*/ 3665483 w 3665483"/>
            <a:gd name="connsiteY3" fmla="*/ 0 h 2029730"/>
            <a:gd name="connsiteX0" fmla="*/ 0 w 3665483"/>
            <a:gd name="connsiteY0" fmla="*/ 1977259 h 2029730"/>
            <a:gd name="connsiteX1" fmla="*/ 748862 w 3665483"/>
            <a:gd name="connsiteY1" fmla="*/ 1891863 h 2029730"/>
            <a:gd name="connsiteX2" fmla="*/ 2397673 w 3665483"/>
            <a:gd name="connsiteY2" fmla="*/ 794845 h 2029730"/>
            <a:gd name="connsiteX3" fmla="*/ 3665483 w 3665483"/>
            <a:gd name="connsiteY3" fmla="*/ 0 h 2029730"/>
            <a:gd name="connsiteX0" fmla="*/ 0 w 3665483"/>
            <a:gd name="connsiteY0" fmla="*/ 1977259 h 2029730"/>
            <a:gd name="connsiteX1" fmla="*/ 748862 w 3665483"/>
            <a:gd name="connsiteY1" fmla="*/ 1891863 h 2029730"/>
            <a:gd name="connsiteX2" fmla="*/ 2397673 w 3665483"/>
            <a:gd name="connsiteY2" fmla="*/ 794845 h 2029730"/>
            <a:gd name="connsiteX3" fmla="*/ 3665483 w 3665483"/>
            <a:gd name="connsiteY3" fmla="*/ 0 h 2029730"/>
            <a:gd name="connsiteX0" fmla="*/ 0 w 3665483"/>
            <a:gd name="connsiteY0" fmla="*/ 1977259 h 2003169"/>
            <a:gd name="connsiteX1" fmla="*/ 748862 w 3665483"/>
            <a:gd name="connsiteY1" fmla="*/ 1891863 h 2003169"/>
            <a:gd name="connsiteX2" fmla="*/ 2397673 w 3665483"/>
            <a:gd name="connsiteY2" fmla="*/ 794845 h 2003169"/>
            <a:gd name="connsiteX3" fmla="*/ 3665483 w 3665483"/>
            <a:gd name="connsiteY3" fmla="*/ 0 h 2003169"/>
            <a:gd name="connsiteX0" fmla="*/ 0 w 3665483"/>
            <a:gd name="connsiteY0" fmla="*/ 1977259 h 1977259"/>
            <a:gd name="connsiteX1" fmla="*/ 748862 w 3665483"/>
            <a:gd name="connsiteY1" fmla="*/ 1891863 h 1977259"/>
            <a:gd name="connsiteX2" fmla="*/ 2397673 w 3665483"/>
            <a:gd name="connsiteY2" fmla="*/ 794845 h 1977259"/>
            <a:gd name="connsiteX3" fmla="*/ 3665483 w 3665483"/>
            <a:gd name="connsiteY3" fmla="*/ 0 h 1977259"/>
            <a:gd name="connsiteX0" fmla="*/ 0 w 3665483"/>
            <a:gd name="connsiteY0" fmla="*/ 1977259 h 1977259"/>
            <a:gd name="connsiteX1" fmla="*/ 729155 w 3665483"/>
            <a:gd name="connsiteY1" fmla="*/ 1859018 h 1977259"/>
            <a:gd name="connsiteX2" fmla="*/ 2397673 w 3665483"/>
            <a:gd name="connsiteY2" fmla="*/ 794845 h 1977259"/>
            <a:gd name="connsiteX3" fmla="*/ 3665483 w 3665483"/>
            <a:gd name="connsiteY3" fmla="*/ 0 h 1977259"/>
            <a:gd name="connsiteX0" fmla="*/ 0 w 3665483"/>
            <a:gd name="connsiteY0" fmla="*/ 1977259 h 1977259"/>
            <a:gd name="connsiteX1" fmla="*/ 729155 w 3665483"/>
            <a:gd name="connsiteY1" fmla="*/ 1859018 h 1977259"/>
            <a:gd name="connsiteX2" fmla="*/ 2397673 w 3665483"/>
            <a:gd name="connsiteY2" fmla="*/ 794845 h 1977259"/>
            <a:gd name="connsiteX3" fmla="*/ 3665483 w 3665483"/>
            <a:gd name="connsiteY3" fmla="*/ 0 h 1977259"/>
          </a:gdLst>
          <a:ahLst/>
          <a:cxnLst>
            <a:cxn ang="0">
              <a:pos x="connsiteX0" y="connsiteY0"/>
            </a:cxn>
            <a:cxn ang="0">
              <a:pos x="connsiteX1" y="connsiteY1"/>
            </a:cxn>
            <a:cxn ang="0">
              <a:pos x="connsiteX2" y="connsiteY2"/>
            </a:cxn>
            <a:cxn ang="0">
              <a:pos x="connsiteX3" y="connsiteY3"/>
            </a:cxn>
          </a:cxnLst>
          <a:rect l="l" t="t" r="r" b="b"/>
          <a:pathLst>
            <a:path w="3665483" h="1977259">
              <a:moveTo>
                <a:pt x="0" y="1977259"/>
              </a:moveTo>
              <a:cubicBezTo>
                <a:pt x="312574" y="1960836"/>
                <a:pt x="322974" y="1970691"/>
                <a:pt x="729155" y="1859018"/>
              </a:cubicBezTo>
              <a:cubicBezTo>
                <a:pt x="1135336" y="1747345"/>
                <a:pt x="1927992" y="1124388"/>
                <a:pt x="2397673" y="794845"/>
              </a:cubicBezTo>
              <a:cubicBezTo>
                <a:pt x="2867354" y="465302"/>
                <a:pt x="3215508" y="220060"/>
                <a:pt x="3665483" y="0"/>
              </a:cubicBezTo>
            </a:path>
          </a:pathLst>
        </a:cu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24</xdr:col>
      <xdr:colOff>0</xdr:colOff>
      <xdr:row>22</xdr:row>
      <xdr:rowOff>0</xdr:rowOff>
    </xdr:from>
    <xdr:to>
      <xdr:col>31</xdr:col>
      <xdr:colOff>327661</xdr:colOff>
      <xdr:row>36</xdr:row>
      <xdr:rowOff>76200</xdr:rowOff>
    </xdr:to>
    <xdr:graphicFrame macro="">
      <xdr:nvGraphicFramePr>
        <xdr:cNvPr id="6" name="Chart 5">
          <a:extLst>
            <a:ext uri="{FF2B5EF4-FFF2-40B4-BE49-F238E27FC236}">
              <a16:creationId xmlns:a16="http://schemas.microsoft.com/office/drawing/2014/main" xmlns="" id="{00000000-0008-0000-12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17</xdr:col>
      <xdr:colOff>0</xdr:colOff>
      <xdr:row>43</xdr:row>
      <xdr:rowOff>0</xdr:rowOff>
    </xdr:from>
    <xdr:to>
      <xdr:col>27</xdr:col>
      <xdr:colOff>119589</xdr:colOff>
      <xdr:row>70</xdr:row>
      <xdr:rowOff>132691</xdr:rowOff>
    </xdr:to>
    <xdr:pic>
      <xdr:nvPicPr>
        <xdr:cNvPr id="8" name="Picture 7">
          <a:extLst>
            <a:ext uri="{FF2B5EF4-FFF2-40B4-BE49-F238E27FC236}">
              <a16:creationId xmlns:a16="http://schemas.microsoft.com/office/drawing/2014/main" xmlns="" id="{00000000-0008-0000-1200-000008000000}"/>
            </a:ext>
          </a:extLst>
        </xdr:cNvPr>
        <xdr:cNvPicPr>
          <a:picLocks noChangeAspect="1"/>
        </xdr:cNvPicPr>
      </xdr:nvPicPr>
      <xdr:blipFill>
        <a:blip xmlns:r="http://schemas.openxmlformats.org/officeDocument/2006/relationships" r:embed="rId4"/>
        <a:stretch>
          <a:fillRect/>
        </a:stretch>
      </xdr:blipFill>
      <xdr:spPr>
        <a:xfrm>
          <a:off x="17543318" y="8607136"/>
          <a:ext cx="6180953" cy="5276191"/>
        </a:xfrm>
        <a:prstGeom prst="rect">
          <a:avLst/>
        </a:prstGeom>
      </xdr:spPr>
    </xdr:pic>
    <xdr:clientData/>
  </xdr:twoCellAnchor>
</xdr:wsDr>
</file>

<file path=xl/drawings/drawing55.xml><?xml version="1.0" encoding="utf-8"?>
<c:userShapes xmlns:c="http://schemas.openxmlformats.org/drawingml/2006/chart">
  <cdr:relSizeAnchor xmlns:cdr="http://schemas.openxmlformats.org/drawingml/2006/chartDrawing">
    <cdr:from>
      <cdr:x>0.14087</cdr:x>
      <cdr:y>0.06402</cdr:y>
    </cdr:from>
    <cdr:to>
      <cdr:x>0.93701</cdr:x>
      <cdr:y>0.7848</cdr:y>
    </cdr:to>
    <cdr:sp macro="" textlink="">
      <cdr:nvSpPr>
        <cdr:cNvPr id="2" name="Freeform 1"/>
        <cdr:cNvSpPr/>
      </cdr:nvSpPr>
      <cdr:spPr>
        <a:xfrm xmlns:a="http://schemas.openxmlformats.org/drawingml/2006/main">
          <a:off x="648576" y="175610"/>
          <a:ext cx="3665483" cy="1977259"/>
        </a:xfrm>
        <a:custGeom xmlns:a="http://schemas.openxmlformats.org/drawingml/2006/main">
          <a:avLst/>
          <a:gdLst>
            <a:gd name="connsiteX0" fmla="*/ 0 w 3665483"/>
            <a:gd name="connsiteY0" fmla="*/ 1977259 h 2029730"/>
            <a:gd name="connsiteX1" fmla="*/ 748862 w 3665483"/>
            <a:gd name="connsiteY1" fmla="*/ 1891863 h 2029730"/>
            <a:gd name="connsiteX2" fmla="*/ 2397673 w 3665483"/>
            <a:gd name="connsiteY2" fmla="*/ 794845 h 2029730"/>
            <a:gd name="connsiteX3" fmla="*/ 3665483 w 3665483"/>
            <a:gd name="connsiteY3" fmla="*/ 0 h 2029730"/>
            <a:gd name="connsiteX0" fmla="*/ 0 w 3665483"/>
            <a:gd name="connsiteY0" fmla="*/ 1977259 h 2029730"/>
            <a:gd name="connsiteX1" fmla="*/ 748862 w 3665483"/>
            <a:gd name="connsiteY1" fmla="*/ 1891863 h 2029730"/>
            <a:gd name="connsiteX2" fmla="*/ 2397673 w 3665483"/>
            <a:gd name="connsiteY2" fmla="*/ 794845 h 2029730"/>
            <a:gd name="connsiteX3" fmla="*/ 3665483 w 3665483"/>
            <a:gd name="connsiteY3" fmla="*/ 0 h 2029730"/>
            <a:gd name="connsiteX0" fmla="*/ 0 w 3665483"/>
            <a:gd name="connsiteY0" fmla="*/ 1977259 h 2029730"/>
            <a:gd name="connsiteX1" fmla="*/ 748862 w 3665483"/>
            <a:gd name="connsiteY1" fmla="*/ 1891863 h 2029730"/>
            <a:gd name="connsiteX2" fmla="*/ 2397673 w 3665483"/>
            <a:gd name="connsiteY2" fmla="*/ 794845 h 2029730"/>
            <a:gd name="connsiteX3" fmla="*/ 3665483 w 3665483"/>
            <a:gd name="connsiteY3" fmla="*/ 0 h 2029730"/>
            <a:gd name="connsiteX0" fmla="*/ 0 w 3665483"/>
            <a:gd name="connsiteY0" fmla="*/ 1977259 h 2003169"/>
            <a:gd name="connsiteX1" fmla="*/ 748862 w 3665483"/>
            <a:gd name="connsiteY1" fmla="*/ 1891863 h 2003169"/>
            <a:gd name="connsiteX2" fmla="*/ 2397673 w 3665483"/>
            <a:gd name="connsiteY2" fmla="*/ 794845 h 2003169"/>
            <a:gd name="connsiteX3" fmla="*/ 3665483 w 3665483"/>
            <a:gd name="connsiteY3" fmla="*/ 0 h 2003169"/>
            <a:gd name="connsiteX0" fmla="*/ 0 w 3665483"/>
            <a:gd name="connsiteY0" fmla="*/ 1977259 h 1977259"/>
            <a:gd name="connsiteX1" fmla="*/ 748862 w 3665483"/>
            <a:gd name="connsiteY1" fmla="*/ 1891863 h 1977259"/>
            <a:gd name="connsiteX2" fmla="*/ 2397673 w 3665483"/>
            <a:gd name="connsiteY2" fmla="*/ 794845 h 1977259"/>
            <a:gd name="connsiteX3" fmla="*/ 3665483 w 3665483"/>
            <a:gd name="connsiteY3" fmla="*/ 0 h 1977259"/>
            <a:gd name="connsiteX0" fmla="*/ 0 w 3665483"/>
            <a:gd name="connsiteY0" fmla="*/ 1977259 h 1977259"/>
            <a:gd name="connsiteX1" fmla="*/ 729155 w 3665483"/>
            <a:gd name="connsiteY1" fmla="*/ 1859018 h 1977259"/>
            <a:gd name="connsiteX2" fmla="*/ 2397673 w 3665483"/>
            <a:gd name="connsiteY2" fmla="*/ 794845 h 1977259"/>
            <a:gd name="connsiteX3" fmla="*/ 3665483 w 3665483"/>
            <a:gd name="connsiteY3" fmla="*/ 0 h 1977259"/>
            <a:gd name="connsiteX0" fmla="*/ 0 w 3665483"/>
            <a:gd name="connsiteY0" fmla="*/ 1977259 h 1977259"/>
            <a:gd name="connsiteX1" fmla="*/ 729155 w 3665483"/>
            <a:gd name="connsiteY1" fmla="*/ 1859018 h 1977259"/>
            <a:gd name="connsiteX2" fmla="*/ 2397673 w 3665483"/>
            <a:gd name="connsiteY2" fmla="*/ 794845 h 1977259"/>
            <a:gd name="connsiteX3" fmla="*/ 3665483 w 3665483"/>
            <a:gd name="connsiteY3" fmla="*/ 0 h 1977259"/>
          </a:gdLst>
          <a:ahLst/>
          <a:cxnLst>
            <a:cxn ang="0">
              <a:pos x="connsiteX0" y="connsiteY0"/>
            </a:cxn>
            <a:cxn ang="0">
              <a:pos x="connsiteX1" y="connsiteY1"/>
            </a:cxn>
            <a:cxn ang="0">
              <a:pos x="connsiteX2" y="connsiteY2"/>
            </a:cxn>
            <a:cxn ang="0">
              <a:pos x="connsiteX3" y="connsiteY3"/>
            </a:cxn>
          </a:cxnLst>
          <a:rect l="l" t="t" r="r" b="b"/>
          <a:pathLst>
            <a:path w="3665483" h="1977259">
              <a:moveTo>
                <a:pt x="0" y="1977259"/>
              </a:moveTo>
              <a:cubicBezTo>
                <a:pt x="312574" y="1960836"/>
                <a:pt x="322974" y="1970691"/>
                <a:pt x="729155" y="1859018"/>
              </a:cubicBezTo>
              <a:cubicBezTo>
                <a:pt x="1135336" y="1747345"/>
                <a:pt x="1927992" y="1124388"/>
                <a:pt x="2397673" y="794845"/>
              </a:cubicBezTo>
              <a:cubicBezTo>
                <a:pt x="2867354" y="465302"/>
                <a:pt x="3215508" y="220060"/>
                <a:pt x="3665483" y="0"/>
              </a:cubicBezTo>
            </a:path>
          </a:pathLst>
        </a:custGeom>
        <a:noFill xmlns:a="http://schemas.openxmlformats.org/drawingml/2006/main"/>
        <a:ln xmlns:a="http://schemas.openxmlformats.org/drawingml/2006/main">
          <a:solidFill>
            <a:srgbClr val="FF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ot="0" spcFirstLastPara="0" vert="horz" wrap="square" lIns="91440" tIns="45720" rIns="91440" bIns="45720" numCol="1" spcCol="0" rtlCol="0" fromWordArt="0" anchor="t" anchorCtr="0" forceAA="0" compatLnSpc="1">
          <a:prstTxWarp prst="textNoShape">
            <a:avLst/>
          </a:prstTxWarp>
          <a:noAutofit/>
        </a:bodyP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l"/>
          <a:endParaRPr lang="en-US" sz="1100"/>
        </a:p>
      </cdr:txBody>
    </cdr:sp>
  </cdr:relSizeAnchor>
</c:userShapes>
</file>

<file path=xl/drawings/drawing6.xml><?xml version="1.0" encoding="utf-8"?>
<c:userShapes xmlns:c="http://schemas.openxmlformats.org/drawingml/2006/chart">
  <cdr:relSizeAnchor xmlns:cdr="http://schemas.openxmlformats.org/drawingml/2006/chartDrawing">
    <cdr:from>
      <cdr:x>0.11859</cdr:x>
      <cdr:y>0.05952</cdr:y>
    </cdr:from>
    <cdr:to>
      <cdr:x>0.94551</cdr:x>
      <cdr:y>0.84551</cdr:y>
    </cdr:to>
    <cdr:sp macro="" textlink="">
      <cdr:nvSpPr>
        <cdr:cNvPr id="2" name="Freeform 1"/>
        <cdr:cNvSpPr/>
      </cdr:nvSpPr>
      <cdr:spPr>
        <a:xfrm xmlns:a="http://schemas.openxmlformats.org/drawingml/2006/main">
          <a:off x="704826" y="217712"/>
          <a:ext cx="4914924" cy="2874823"/>
        </a:xfrm>
        <a:custGeom xmlns:a="http://schemas.openxmlformats.org/drawingml/2006/main">
          <a:avLst/>
          <a:gdLst>
            <a:gd name="connsiteX0" fmla="*/ 0 w 3876261"/>
            <a:gd name="connsiteY0" fmla="*/ 3313043 h 3333796"/>
            <a:gd name="connsiteX1" fmla="*/ 695740 w 3876261"/>
            <a:gd name="connsiteY1" fmla="*/ 3271630 h 3333796"/>
            <a:gd name="connsiteX2" fmla="*/ 1515718 w 3876261"/>
            <a:gd name="connsiteY2" fmla="*/ 2791239 h 3333796"/>
            <a:gd name="connsiteX3" fmla="*/ 3271631 w 3876261"/>
            <a:gd name="connsiteY3" fmla="*/ 505239 h 3333796"/>
            <a:gd name="connsiteX4" fmla="*/ 3876261 w 3876261"/>
            <a:gd name="connsiteY4" fmla="*/ 0 h 3333796"/>
            <a:gd name="connsiteX5" fmla="*/ 3876261 w 3876261"/>
            <a:gd name="connsiteY5" fmla="*/ 0 h 3333796"/>
            <a:gd name="connsiteX0" fmla="*/ 0 w 3876261"/>
            <a:gd name="connsiteY0" fmla="*/ 3313043 h 3321425"/>
            <a:gd name="connsiteX1" fmla="*/ 695740 w 3876261"/>
            <a:gd name="connsiteY1" fmla="*/ 3271630 h 3321425"/>
            <a:gd name="connsiteX2" fmla="*/ 1515718 w 3876261"/>
            <a:gd name="connsiteY2" fmla="*/ 2791239 h 3321425"/>
            <a:gd name="connsiteX3" fmla="*/ 3271631 w 3876261"/>
            <a:gd name="connsiteY3" fmla="*/ 505239 h 3321425"/>
            <a:gd name="connsiteX4" fmla="*/ 3876261 w 3876261"/>
            <a:gd name="connsiteY4" fmla="*/ 0 h 3321425"/>
            <a:gd name="connsiteX5" fmla="*/ 3876261 w 3876261"/>
            <a:gd name="connsiteY5" fmla="*/ 0 h 3321425"/>
            <a:gd name="connsiteX0" fmla="*/ 0 w 3876261"/>
            <a:gd name="connsiteY0" fmla="*/ 3313043 h 3313043"/>
            <a:gd name="connsiteX1" fmla="*/ 695740 w 3876261"/>
            <a:gd name="connsiteY1" fmla="*/ 3271630 h 3313043"/>
            <a:gd name="connsiteX2" fmla="*/ 1515718 w 3876261"/>
            <a:gd name="connsiteY2" fmla="*/ 2791239 h 3313043"/>
            <a:gd name="connsiteX3" fmla="*/ 3271631 w 3876261"/>
            <a:gd name="connsiteY3" fmla="*/ 505239 h 3313043"/>
            <a:gd name="connsiteX4" fmla="*/ 3876261 w 3876261"/>
            <a:gd name="connsiteY4" fmla="*/ 0 h 3313043"/>
            <a:gd name="connsiteX5" fmla="*/ 3876261 w 3876261"/>
            <a:gd name="connsiteY5" fmla="*/ 0 h 3313043"/>
            <a:gd name="connsiteX0" fmla="*/ 0 w 3876261"/>
            <a:gd name="connsiteY0" fmla="*/ 3313043 h 3313043"/>
            <a:gd name="connsiteX1" fmla="*/ 695740 w 3876261"/>
            <a:gd name="connsiteY1" fmla="*/ 3271630 h 3313043"/>
            <a:gd name="connsiteX2" fmla="*/ 1515718 w 3876261"/>
            <a:gd name="connsiteY2" fmla="*/ 2791239 h 3313043"/>
            <a:gd name="connsiteX3" fmla="*/ 3271631 w 3876261"/>
            <a:gd name="connsiteY3" fmla="*/ 505239 h 3313043"/>
            <a:gd name="connsiteX4" fmla="*/ 3876261 w 3876261"/>
            <a:gd name="connsiteY4" fmla="*/ 0 h 3313043"/>
            <a:gd name="connsiteX5" fmla="*/ 3876261 w 3876261"/>
            <a:gd name="connsiteY5" fmla="*/ 0 h 3313043"/>
            <a:gd name="connsiteX0" fmla="*/ 0 w 3876261"/>
            <a:gd name="connsiteY0" fmla="*/ 3313043 h 3315182"/>
            <a:gd name="connsiteX1" fmla="*/ 695740 w 3876261"/>
            <a:gd name="connsiteY1" fmla="*/ 3271630 h 3315182"/>
            <a:gd name="connsiteX2" fmla="*/ 1441174 w 3876261"/>
            <a:gd name="connsiteY2" fmla="*/ 2741544 h 3315182"/>
            <a:gd name="connsiteX3" fmla="*/ 3271631 w 3876261"/>
            <a:gd name="connsiteY3" fmla="*/ 505239 h 3315182"/>
            <a:gd name="connsiteX4" fmla="*/ 3876261 w 3876261"/>
            <a:gd name="connsiteY4" fmla="*/ 0 h 3315182"/>
            <a:gd name="connsiteX5" fmla="*/ 3876261 w 3876261"/>
            <a:gd name="connsiteY5" fmla="*/ 0 h 3315182"/>
            <a:gd name="connsiteX0" fmla="*/ 0 w 3876261"/>
            <a:gd name="connsiteY0" fmla="*/ 3313043 h 3315182"/>
            <a:gd name="connsiteX1" fmla="*/ 695740 w 3876261"/>
            <a:gd name="connsiteY1" fmla="*/ 3271630 h 3315182"/>
            <a:gd name="connsiteX2" fmla="*/ 1441174 w 3876261"/>
            <a:gd name="connsiteY2" fmla="*/ 2741544 h 3315182"/>
            <a:gd name="connsiteX3" fmla="*/ 3213653 w 3876261"/>
            <a:gd name="connsiteY3" fmla="*/ 480391 h 3315182"/>
            <a:gd name="connsiteX4" fmla="*/ 3876261 w 3876261"/>
            <a:gd name="connsiteY4" fmla="*/ 0 h 3315182"/>
            <a:gd name="connsiteX5" fmla="*/ 3876261 w 3876261"/>
            <a:gd name="connsiteY5" fmla="*/ 0 h 3315182"/>
            <a:gd name="connsiteX0" fmla="*/ 0 w 3876261"/>
            <a:gd name="connsiteY0" fmla="*/ 3313043 h 3315182"/>
            <a:gd name="connsiteX1" fmla="*/ 695740 w 3876261"/>
            <a:gd name="connsiteY1" fmla="*/ 3271630 h 3315182"/>
            <a:gd name="connsiteX2" fmla="*/ 1441174 w 3876261"/>
            <a:gd name="connsiteY2" fmla="*/ 2741544 h 3315182"/>
            <a:gd name="connsiteX3" fmla="*/ 3213653 w 3876261"/>
            <a:gd name="connsiteY3" fmla="*/ 480391 h 3315182"/>
            <a:gd name="connsiteX4" fmla="*/ 3876261 w 3876261"/>
            <a:gd name="connsiteY4" fmla="*/ 0 h 3315182"/>
            <a:gd name="connsiteX5" fmla="*/ 3876261 w 3876261"/>
            <a:gd name="connsiteY5" fmla="*/ 0 h 3315182"/>
            <a:gd name="connsiteX0" fmla="*/ 0 w 3876261"/>
            <a:gd name="connsiteY0" fmla="*/ 3313043 h 3315182"/>
            <a:gd name="connsiteX1" fmla="*/ 695740 w 3876261"/>
            <a:gd name="connsiteY1" fmla="*/ 3271630 h 3315182"/>
            <a:gd name="connsiteX2" fmla="*/ 1491516 w 3876261"/>
            <a:gd name="connsiteY2" fmla="*/ 2741544 h 3315182"/>
            <a:gd name="connsiteX3" fmla="*/ 3213653 w 3876261"/>
            <a:gd name="connsiteY3" fmla="*/ 480391 h 3315182"/>
            <a:gd name="connsiteX4" fmla="*/ 3876261 w 3876261"/>
            <a:gd name="connsiteY4" fmla="*/ 0 h 3315182"/>
            <a:gd name="connsiteX5" fmla="*/ 3876261 w 3876261"/>
            <a:gd name="connsiteY5" fmla="*/ 0 h 331518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Lst>
          <a:rect l="l" t="t" r="r" b="b"/>
          <a:pathLst>
            <a:path w="3876261" h="3315182">
              <a:moveTo>
                <a:pt x="0" y="3313043"/>
              </a:moveTo>
              <a:cubicBezTo>
                <a:pt x="287821" y="3269559"/>
                <a:pt x="447154" y="3366880"/>
                <a:pt x="695740" y="3271630"/>
              </a:cubicBezTo>
              <a:cubicBezTo>
                <a:pt x="944326" y="3176380"/>
                <a:pt x="1071864" y="3206750"/>
                <a:pt x="1491516" y="2741544"/>
              </a:cubicBezTo>
              <a:cubicBezTo>
                <a:pt x="1911168" y="2276338"/>
                <a:pt x="2816196" y="937315"/>
                <a:pt x="3213653" y="480391"/>
              </a:cubicBezTo>
              <a:cubicBezTo>
                <a:pt x="3611110" y="23467"/>
                <a:pt x="3765826" y="80065"/>
                <a:pt x="3876261" y="0"/>
              </a:cubicBezTo>
              <a:lnTo>
                <a:pt x="3876261" y="0"/>
              </a:lnTo>
            </a:path>
          </a:pathLst>
        </a:custGeom>
        <a:noFill xmlns:a="http://schemas.openxmlformats.org/drawingml/2006/main"/>
        <a:ln xmlns:a="http://schemas.openxmlformats.org/drawingml/2006/main">
          <a:solidFill>
            <a:schemeClr val="accent1"/>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horzOverflow="clip" rtlCol="0" anchor="t"/>
        <a:lstStyle xmlns:a="http://schemas.openxmlformats.org/drawingml/2006/main"/>
        <a:p xmlns:a="http://schemas.openxmlformats.org/drawingml/2006/main">
          <a:endParaRPr lang="en-US"/>
        </a:p>
      </cdr:txBody>
    </cdr:sp>
  </cdr:relSizeAnchor>
  <cdr:relSizeAnchor xmlns:cdr="http://schemas.openxmlformats.org/drawingml/2006/chartDrawing">
    <cdr:from>
      <cdr:x>0.11859</cdr:x>
      <cdr:y>0.05952</cdr:y>
    </cdr:from>
    <cdr:to>
      <cdr:x>0.94551</cdr:x>
      <cdr:y>0.84551</cdr:y>
    </cdr:to>
    <cdr:sp macro="" textlink="">
      <cdr:nvSpPr>
        <cdr:cNvPr id="4" name="Freeform 1"/>
        <cdr:cNvSpPr/>
      </cdr:nvSpPr>
      <cdr:spPr>
        <a:xfrm xmlns:a="http://schemas.openxmlformats.org/drawingml/2006/main">
          <a:off x="704826" y="217712"/>
          <a:ext cx="4914924" cy="2874823"/>
        </a:xfrm>
        <a:custGeom xmlns:a="http://schemas.openxmlformats.org/drawingml/2006/main">
          <a:avLst/>
          <a:gdLst>
            <a:gd name="connsiteX0" fmla="*/ 0 w 3876261"/>
            <a:gd name="connsiteY0" fmla="*/ 3313043 h 3333796"/>
            <a:gd name="connsiteX1" fmla="*/ 695740 w 3876261"/>
            <a:gd name="connsiteY1" fmla="*/ 3271630 h 3333796"/>
            <a:gd name="connsiteX2" fmla="*/ 1515718 w 3876261"/>
            <a:gd name="connsiteY2" fmla="*/ 2791239 h 3333796"/>
            <a:gd name="connsiteX3" fmla="*/ 3271631 w 3876261"/>
            <a:gd name="connsiteY3" fmla="*/ 505239 h 3333796"/>
            <a:gd name="connsiteX4" fmla="*/ 3876261 w 3876261"/>
            <a:gd name="connsiteY4" fmla="*/ 0 h 3333796"/>
            <a:gd name="connsiteX5" fmla="*/ 3876261 w 3876261"/>
            <a:gd name="connsiteY5" fmla="*/ 0 h 3333796"/>
            <a:gd name="connsiteX0" fmla="*/ 0 w 3876261"/>
            <a:gd name="connsiteY0" fmla="*/ 3313043 h 3321425"/>
            <a:gd name="connsiteX1" fmla="*/ 695740 w 3876261"/>
            <a:gd name="connsiteY1" fmla="*/ 3271630 h 3321425"/>
            <a:gd name="connsiteX2" fmla="*/ 1515718 w 3876261"/>
            <a:gd name="connsiteY2" fmla="*/ 2791239 h 3321425"/>
            <a:gd name="connsiteX3" fmla="*/ 3271631 w 3876261"/>
            <a:gd name="connsiteY3" fmla="*/ 505239 h 3321425"/>
            <a:gd name="connsiteX4" fmla="*/ 3876261 w 3876261"/>
            <a:gd name="connsiteY4" fmla="*/ 0 h 3321425"/>
            <a:gd name="connsiteX5" fmla="*/ 3876261 w 3876261"/>
            <a:gd name="connsiteY5" fmla="*/ 0 h 3321425"/>
            <a:gd name="connsiteX0" fmla="*/ 0 w 3876261"/>
            <a:gd name="connsiteY0" fmla="*/ 3313043 h 3313043"/>
            <a:gd name="connsiteX1" fmla="*/ 695740 w 3876261"/>
            <a:gd name="connsiteY1" fmla="*/ 3271630 h 3313043"/>
            <a:gd name="connsiteX2" fmla="*/ 1515718 w 3876261"/>
            <a:gd name="connsiteY2" fmla="*/ 2791239 h 3313043"/>
            <a:gd name="connsiteX3" fmla="*/ 3271631 w 3876261"/>
            <a:gd name="connsiteY3" fmla="*/ 505239 h 3313043"/>
            <a:gd name="connsiteX4" fmla="*/ 3876261 w 3876261"/>
            <a:gd name="connsiteY4" fmla="*/ 0 h 3313043"/>
            <a:gd name="connsiteX5" fmla="*/ 3876261 w 3876261"/>
            <a:gd name="connsiteY5" fmla="*/ 0 h 3313043"/>
            <a:gd name="connsiteX0" fmla="*/ 0 w 3876261"/>
            <a:gd name="connsiteY0" fmla="*/ 3313043 h 3313043"/>
            <a:gd name="connsiteX1" fmla="*/ 695740 w 3876261"/>
            <a:gd name="connsiteY1" fmla="*/ 3271630 h 3313043"/>
            <a:gd name="connsiteX2" fmla="*/ 1515718 w 3876261"/>
            <a:gd name="connsiteY2" fmla="*/ 2791239 h 3313043"/>
            <a:gd name="connsiteX3" fmla="*/ 3271631 w 3876261"/>
            <a:gd name="connsiteY3" fmla="*/ 505239 h 3313043"/>
            <a:gd name="connsiteX4" fmla="*/ 3876261 w 3876261"/>
            <a:gd name="connsiteY4" fmla="*/ 0 h 3313043"/>
            <a:gd name="connsiteX5" fmla="*/ 3876261 w 3876261"/>
            <a:gd name="connsiteY5" fmla="*/ 0 h 3313043"/>
            <a:gd name="connsiteX0" fmla="*/ 0 w 3876261"/>
            <a:gd name="connsiteY0" fmla="*/ 3313043 h 3315182"/>
            <a:gd name="connsiteX1" fmla="*/ 695740 w 3876261"/>
            <a:gd name="connsiteY1" fmla="*/ 3271630 h 3315182"/>
            <a:gd name="connsiteX2" fmla="*/ 1441174 w 3876261"/>
            <a:gd name="connsiteY2" fmla="*/ 2741544 h 3315182"/>
            <a:gd name="connsiteX3" fmla="*/ 3271631 w 3876261"/>
            <a:gd name="connsiteY3" fmla="*/ 505239 h 3315182"/>
            <a:gd name="connsiteX4" fmla="*/ 3876261 w 3876261"/>
            <a:gd name="connsiteY4" fmla="*/ 0 h 3315182"/>
            <a:gd name="connsiteX5" fmla="*/ 3876261 w 3876261"/>
            <a:gd name="connsiteY5" fmla="*/ 0 h 3315182"/>
            <a:gd name="connsiteX0" fmla="*/ 0 w 3876261"/>
            <a:gd name="connsiteY0" fmla="*/ 3313043 h 3315182"/>
            <a:gd name="connsiteX1" fmla="*/ 695740 w 3876261"/>
            <a:gd name="connsiteY1" fmla="*/ 3271630 h 3315182"/>
            <a:gd name="connsiteX2" fmla="*/ 1441174 w 3876261"/>
            <a:gd name="connsiteY2" fmla="*/ 2741544 h 3315182"/>
            <a:gd name="connsiteX3" fmla="*/ 3213653 w 3876261"/>
            <a:gd name="connsiteY3" fmla="*/ 480391 h 3315182"/>
            <a:gd name="connsiteX4" fmla="*/ 3876261 w 3876261"/>
            <a:gd name="connsiteY4" fmla="*/ 0 h 3315182"/>
            <a:gd name="connsiteX5" fmla="*/ 3876261 w 3876261"/>
            <a:gd name="connsiteY5" fmla="*/ 0 h 3315182"/>
            <a:gd name="connsiteX0" fmla="*/ 0 w 3876261"/>
            <a:gd name="connsiteY0" fmla="*/ 3313043 h 3315182"/>
            <a:gd name="connsiteX1" fmla="*/ 695740 w 3876261"/>
            <a:gd name="connsiteY1" fmla="*/ 3271630 h 3315182"/>
            <a:gd name="connsiteX2" fmla="*/ 1441174 w 3876261"/>
            <a:gd name="connsiteY2" fmla="*/ 2741544 h 3315182"/>
            <a:gd name="connsiteX3" fmla="*/ 3213653 w 3876261"/>
            <a:gd name="connsiteY3" fmla="*/ 480391 h 3315182"/>
            <a:gd name="connsiteX4" fmla="*/ 3876261 w 3876261"/>
            <a:gd name="connsiteY4" fmla="*/ 0 h 3315182"/>
            <a:gd name="connsiteX5" fmla="*/ 3876261 w 3876261"/>
            <a:gd name="connsiteY5" fmla="*/ 0 h 3315182"/>
            <a:gd name="connsiteX0" fmla="*/ 0 w 3876261"/>
            <a:gd name="connsiteY0" fmla="*/ 3313043 h 3315182"/>
            <a:gd name="connsiteX1" fmla="*/ 695740 w 3876261"/>
            <a:gd name="connsiteY1" fmla="*/ 3271630 h 3315182"/>
            <a:gd name="connsiteX2" fmla="*/ 1491516 w 3876261"/>
            <a:gd name="connsiteY2" fmla="*/ 2741544 h 3315182"/>
            <a:gd name="connsiteX3" fmla="*/ 3213653 w 3876261"/>
            <a:gd name="connsiteY3" fmla="*/ 480391 h 3315182"/>
            <a:gd name="connsiteX4" fmla="*/ 3876261 w 3876261"/>
            <a:gd name="connsiteY4" fmla="*/ 0 h 3315182"/>
            <a:gd name="connsiteX5" fmla="*/ 3876261 w 3876261"/>
            <a:gd name="connsiteY5" fmla="*/ 0 h 331518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Lst>
          <a:rect l="l" t="t" r="r" b="b"/>
          <a:pathLst>
            <a:path w="3876261" h="3315182">
              <a:moveTo>
                <a:pt x="0" y="3313043"/>
              </a:moveTo>
              <a:cubicBezTo>
                <a:pt x="287821" y="3269559"/>
                <a:pt x="447154" y="3366880"/>
                <a:pt x="695740" y="3271630"/>
              </a:cubicBezTo>
              <a:cubicBezTo>
                <a:pt x="944326" y="3176380"/>
                <a:pt x="1071864" y="3206750"/>
                <a:pt x="1491516" y="2741544"/>
              </a:cubicBezTo>
              <a:cubicBezTo>
                <a:pt x="1911168" y="2276338"/>
                <a:pt x="2816196" y="937315"/>
                <a:pt x="3213653" y="480391"/>
              </a:cubicBezTo>
              <a:cubicBezTo>
                <a:pt x="3611110" y="23467"/>
                <a:pt x="3765826" y="80065"/>
                <a:pt x="3876261" y="0"/>
              </a:cubicBezTo>
              <a:lnTo>
                <a:pt x="3876261" y="0"/>
              </a:lnTo>
            </a:path>
          </a:pathLst>
        </a:custGeom>
        <a:noFill xmlns:a="http://schemas.openxmlformats.org/drawingml/2006/main"/>
        <a:ln xmlns:a="http://schemas.openxmlformats.org/drawingml/2006/main">
          <a:solidFill>
            <a:schemeClr val="accent1"/>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horzOverflow="clip" rtlCol="0" anchor="t"/>
        <a:lstStyle xmlns:a="http://schemas.openxmlformats.org/drawingml/2006/main"/>
        <a:p xmlns:a="http://schemas.openxmlformats.org/drawingml/2006/main">
          <a:endParaRPr lang="en-US"/>
        </a:p>
      </cdr:txBody>
    </cdr:sp>
  </cdr:relSizeAnchor>
</c:userShapes>
</file>

<file path=xl/drawings/drawing7.xml><?xml version="1.0" encoding="utf-8"?>
<c:userShapes xmlns:c="http://schemas.openxmlformats.org/drawingml/2006/chart">
  <cdr:relSizeAnchor xmlns:cdr="http://schemas.openxmlformats.org/drawingml/2006/chartDrawing">
    <cdr:from>
      <cdr:x>0.05796</cdr:x>
      <cdr:y>0.04427</cdr:y>
    </cdr:from>
    <cdr:to>
      <cdr:x>0.95469</cdr:x>
      <cdr:y>0.91146</cdr:y>
    </cdr:to>
    <cdr:sp macro="" textlink="">
      <cdr:nvSpPr>
        <cdr:cNvPr id="2" name="Freeform 1"/>
        <cdr:cNvSpPr/>
      </cdr:nvSpPr>
      <cdr:spPr>
        <a:xfrm xmlns:a="http://schemas.openxmlformats.org/drawingml/2006/main">
          <a:off x="342900" y="161929"/>
          <a:ext cx="5305415" cy="3171822"/>
        </a:xfrm>
        <a:custGeom xmlns:a="http://schemas.openxmlformats.org/drawingml/2006/main">
          <a:avLst/>
          <a:gdLst>
            <a:gd name="connsiteX0" fmla="*/ 0 w 3859696"/>
            <a:gd name="connsiteY0" fmla="*/ 3278658 h 3332551"/>
            <a:gd name="connsiteX1" fmla="*/ 745435 w 3859696"/>
            <a:gd name="connsiteY1" fmla="*/ 3237245 h 3332551"/>
            <a:gd name="connsiteX2" fmla="*/ 1258957 w 3859696"/>
            <a:gd name="connsiteY2" fmla="*/ 2400701 h 3332551"/>
            <a:gd name="connsiteX3" fmla="*/ 2310848 w 3859696"/>
            <a:gd name="connsiteY3" fmla="*/ 371462 h 3332551"/>
            <a:gd name="connsiteX4" fmla="*/ 3859696 w 3859696"/>
            <a:gd name="connsiteY4" fmla="*/ 7027 h 3332551"/>
            <a:gd name="connsiteX0" fmla="*/ 0 w 3859696"/>
            <a:gd name="connsiteY0" fmla="*/ 3278658 h 3295230"/>
            <a:gd name="connsiteX1" fmla="*/ 745435 w 3859696"/>
            <a:gd name="connsiteY1" fmla="*/ 3237245 h 3295230"/>
            <a:gd name="connsiteX2" fmla="*/ 1258957 w 3859696"/>
            <a:gd name="connsiteY2" fmla="*/ 2400701 h 3295230"/>
            <a:gd name="connsiteX3" fmla="*/ 2310848 w 3859696"/>
            <a:gd name="connsiteY3" fmla="*/ 371462 h 3295230"/>
            <a:gd name="connsiteX4" fmla="*/ 3859696 w 3859696"/>
            <a:gd name="connsiteY4" fmla="*/ 7027 h 3295230"/>
            <a:gd name="connsiteX0" fmla="*/ 0 w 3859696"/>
            <a:gd name="connsiteY0" fmla="*/ 3274547 h 3291119"/>
            <a:gd name="connsiteX1" fmla="*/ 745435 w 3859696"/>
            <a:gd name="connsiteY1" fmla="*/ 3233134 h 3291119"/>
            <a:gd name="connsiteX2" fmla="*/ 1258957 w 3859696"/>
            <a:gd name="connsiteY2" fmla="*/ 2396590 h 3291119"/>
            <a:gd name="connsiteX3" fmla="*/ 2451652 w 3859696"/>
            <a:gd name="connsiteY3" fmla="*/ 433612 h 3291119"/>
            <a:gd name="connsiteX4" fmla="*/ 3859696 w 3859696"/>
            <a:gd name="connsiteY4" fmla="*/ 2916 h 3291119"/>
            <a:gd name="connsiteX0" fmla="*/ 0 w 3859696"/>
            <a:gd name="connsiteY0" fmla="*/ 3272485 h 3289057"/>
            <a:gd name="connsiteX1" fmla="*/ 745435 w 3859696"/>
            <a:gd name="connsiteY1" fmla="*/ 3231072 h 3289057"/>
            <a:gd name="connsiteX2" fmla="*/ 1258957 w 3859696"/>
            <a:gd name="connsiteY2" fmla="*/ 2394528 h 3289057"/>
            <a:gd name="connsiteX3" fmla="*/ 2004392 w 3859696"/>
            <a:gd name="connsiteY3" fmla="*/ 1201833 h 3289057"/>
            <a:gd name="connsiteX4" fmla="*/ 2451652 w 3859696"/>
            <a:gd name="connsiteY4" fmla="*/ 431550 h 3289057"/>
            <a:gd name="connsiteX5" fmla="*/ 3859696 w 3859696"/>
            <a:gd name="connsiteY5" fmla="*/ 854 h 3289057"/>
            <a:gd name="connsiteX0" fmla="*/ 0 w 3859696"/>
            <a:gd name="connsiteY0" fmla="*/ 3272605 h 3289177"/>
            <a:gd name="connsiteX1" fmla="*/ 745435 w 3859696"/>
            <a:gd name="connsiteY1" fmla="*/ 3231192 h 3289177"/>
            <a:gd name="connsiteX2" fmla="*/ 1258957 w 3859696"/>
            <a:gd name="connsiteY2" fmla="*/ 2394648 h 3289177"/>
            <a:gd name="connsiteX3" fmla="*/ 2004392 w 3859696"/>
            <a:gd name="connsiteY3" fmla="*/ 1201953 h 3289177"/>
            <a:gd name="connsiteX4" fmla="*/ 2451652 w 3859696"/>
            <a:gd name="connsiteY4" fmla="*/ 431670 h 3289177"/>
            <a:gd name="connsiteX5" fmla="*/ 3859696 w 3859696"/>
            <a:gd name="connsiteY5" fmla="*/ 974 h 3289177"/>
            <a:gd name="connsiteX0" fmla="*/ 0 w 3859696"/>
            <a:gd name="connsiteY0" fmla="*/ 3272766 h 3289338"/>
            <a:gd name="connsiteX1" fmla="*/ 745435 w 3859696"/>
            <a:gd name="connsiteY1" fmla="*/ 3231353 h 3289338"/>
            <a:gd name="connsiteX2" fmla="*/ 1258957 w 3859696"/>
            <a:gd name="connsiteY2" fmla="*/ 2394809 h 3289338"/>
            <a:gd name="connsiteX3" fmla="*/ 2004392 w 3859696"/>
            <a:gd name="connsiteY3" fmla="*/ 1202114 h 3289338"/>
            <a:gd name="connsiteX4" fmla="*/ 2575891 w 3859696"/>
            <a:gd name="connsiteY4" fmla="*/ 398700 h 3289338"/>
            <a:gd name="connsiteX5" fmla="*/ 3859696 w 3859696"/>
            <a:gd name="connsiteY5" fmla="*/ 1135 h 3289338"/>
            <a:gd name="connsiteX0" fmla="*/ 0 w 3859696"/>
            <a:gd name="connsiteY0" fmla="*/ 3272766 h 3272766"/>
            <a:gd name="connsiteX1" fmla="*/ 704022 w 3859696"/>
            <a:gd name="connsiteY1" fmla="*/ 3140245 h 3272766"/>
            <a:gd name="connsiteX2" fmla="*/ 1258957 w 3859696"/>
            <a:gd name="connsiteY2" fmla="*/ 2394809 h 3272766"/>
            <a:gd name="connsiteX3" fmla="*/ 2004392 w 3859696"/>
            <a:gd name="connsiteY3" fmla="*/ 1202114 h 3272766"/>
            <a:gd name="connsiteX4" fmla="*/ 2575891 w 3859696"/>
            <a:gd name="connsiteY4" fmla="*/ 398700 h 3272766"/>
            <a:gd name="connsiteX5" fmla="*/ 3859696 w 3859696"/>
            <a:gd name="connsiteY5" fmla="*/ 1135 h 3272766"/>
            <a:gd name="connsiteX0" fmla="*/ 0 w 3859696"/>
            <a:gd name="connsiteY0" fmla="*/ 3272766 h 3272766"/>
            <a:gd name="connsiteX1" fmla="*/ 588065 w 3859696"/>
            <a:gd name="connsiteY1" fmla="*/ 3156810 h 3272766"/>
            <a:gd name="connsiteX2" fmla="*/ 1258957 w 3859696"/>
            <a:gd name="connsiteY2" fmla="*/ 2394809 h 3272766"/>
            <a:gd name="connsiteX3" fmla="*/ 2004392 w 3859696"/>
            <a:gd name="connsiteY3" fmla="*/ 1202114 h 3272766"/>
            <a:gd name="connsiteX4" fmla="*/ 2575891 w 3859696"/>
            <a:gd name="connsiteY4" fmla="*/ 398700 h 3272766"/>
            <a:gd name="connsiteX5" fmla="*/ 3859696 w 3859696"/>
            <a:gd name="connsiteY5" fmla="*/ 1135 h 3272766"/>
            <a:gd name="connsiteX0" fmla="*/ 0 w 3859696"/>
            <a:gd name="connsiteY0" fmla="*/ 3272766 h 3272766"/>
            <a:gd name="connsiteX1" fmla="*/ 588065 w 3859696"/>
            <a:gd name="connsiteY1" fmla="*/ 3156810 h 3272766"/>
            <a:gd name="connsiteX2" fmla="*/ 1192696 w 3859696"/>
            <a:gd name="connsiteY2" fmla="*/ 2336831 h 3272766"/>
            <a:gd name="connsiteX3" fmla="*/ 2004392 w 3859696"/>
            <a:gd name="connsiteY3" fmla="*/ 1202114 h 3272766"/>
            <a:gd name="connsiteX4" fmla="*/ 2575891 w 3859696"/>
            <a:gd name="connsiteY4" fmla="*/ 398700 h 3272766"/>
            <a:gd name="connsiteX5" fmla="*/ 3859696 w 3859696"/>
            <a:gd name="connsiteY5" fmla="*/ 1135 h 3272766"/>
            <a:gd name="connsiteX0" fmla="*/ 0 w 3859696"/>
            <a:gd name="connsiteY0" fmla="*/ 3279389 h 3279389"/>
            <a:gd name="connsiteX1" fmla="*/ 588065 w 3859696"/>
            <a:gd name="connsiteY1" fmla="*/ 3163433 h 3279389"/>
            <a:gd name="connsiteX2" fmla="*/ 1192696 w 3859696"/>
            <a:gd name="connsiteY2" fmla="*/ 2343454 h 3279389"/>
            <a:gd name="connsiteX3" fmla="*/ 2004392 w 3859696"/>
            <a:gd name="connsiteY3" fmla="*/ 1208737 h 3279389"/>
            <a:gd name="connsiteX4" fmla="*/ 2584174 w 3859696"/>
            <a:gd name="connsiteY4" fmla="*/ 214823 h 3279389"/>
            <a:gd name="connsiteX5" fmla="*/ 3859696 w 3859696"/>
            <a:gd name="connsiteY5" fmla="*/ 7758 h 3279389"/>
            <a:gd name="connsiteX0" fmla="*/ 0 w 3859696"/>
            <a:gd name="connsiteY0" fmla="*/ 3275751 h 3275751"/>
            <a:gd name="connsiteX1" fmla="*/ 588065 w 3859696"/>
            <a:gd name="connsiteY1" fmla="*/ 3159795 h 3275751"/>
            <a:gd name="connsiteX2" fmla="*/ 1192696 w 3859696"/>
            <a:gd name="connsiteY2" fmla="*/ 2339816 h 3275751"/>
            <a:gd name="connsiteX3" fmla="*/ 1996109 w 3859696"/>
            <a:gd name="connsiteY3" fmla="*/ 1163686 h 3275751"/>
            <a:gd name="connsiteX4" fmla="*/ 2584174 w 3859696"/>
            <a:gd name="connsiteY4" fmla="*/ 211185 h 3275751"/>
            <a:gd name="connsiteX5" fmla="*/ 3859696 w 3859696"/>
            <a:gd name="connsiteY5" fmla="*/ 4120 h 3275751"/>
            <a:gd name="connsiteX0" fmla="*/ 0 w 3859696"/>
            <a:gd name="connsiteY0" fmla="*/ 3333278 h 3333278"/>
            <a:gd name="connsiteX1" fmla="*/ 588065 w 3859696"/>
            <a:gd name="connsiteY1" fmla="*/ 3217322 h 3333278"/>
            <a:gd name="connsiteX2" fmla="*/ 1192696 w 3859696"/>
            <a:gd name="connsiteY2" fmla="*/ 2397343 h 3333278"/>
            <a:gd name="connsiteX3" fmla="*/ 1996109 w 3859696"/>
            <a:gd name="connsiteY3" fmla="*/ 1221213 h 3333278"/>
            <a:gd name="connsiteX4" fmla="*/ 2940326 w 3859696"/>
            <a:gd name="connsiteY4" fmla="*/ 103060 h 3333278"/>
            <a:gd name="connsiteX5" fmla="*/ 3859696 w 3859696"/>
            <a:gd name="connsiteY5" fmla="*/ 61647 h 3333278"/>
            <a:gd name="connsiteX0" fmla="*/ 0 w 3859696"/>
            <a:gd name="connsiteY0" fmla="*/ 3280236 h 3280236"/>
            <a:gd name="connsiteX1" fmla="*/ 588065 w 3859696"/>
            <a:gd name="connsiteY1" fmla="*/ 3164280 h 3280236"/>
            <a:gd name="connsiteX2" fmla="*/ 1192696 w 3859696"/>
            <a:gd name="connsiteY2" fmla="*/ 2344301 h 3280236"/>
            <a:gd name="connsiteX3" fmla="*/ 1996109 w 3859696"/>
            <a:gd name="connsiteY3" fmla="*/ 1168171 h 3280236"/>
            <a:gd name="connsiteX4" fmla="*/ 2832652 w 3859696"/>
            <a:gd name="connsiteY4" fmla="*/ 174257 h 3280236"/>
            <a:gd name="connsiteX5" fmla="*/ 3859696 w 3859696"/>
            <a:gd name="connsiteY5" fmla="*/ 8605 h 3280236"/>
            <a:gd name="connsiteX0" fmla="*/ 0 w 3859696"/>
            <a:gd name="connsiteY0" fmla="*/ 3288240 h 3288240"/>
            <a:gd name="connsiteX1" fmla="*/ 588065 w 3859696"/>
            <a:gd name="connsiteY1" fmla="*/ 3172284 h 3288240"/>
            <a:gd name="connsiteX2" fmla="*/ 1192696 w 3859696"/>
            <a:gd name="connsiteY2" fmla="*/ 2352305 h 3288240"/>
            <a:gd name="connsiteX3" fmla="*/ 1996109 w 3859696"/>
            <a:gd name="connsiteY3" fmla="*/ 1176175 h 3288240"/>
            <a:gd name="connsiteX4" fmla="*/ 2799522 w 3859696"/>
            <a:gd name="connsiteY4" fmla="*/ 149131 h 3288240"/>
            <a:gd name="connsiteX5" fmla="*/ 3859696 w 3859696"/>
            <a:gd name="connsiteY5" fmla="*/ 16609 h 328824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Lst>
          <a:rect l="l" t="t" r="r" b="b"/>
          <a:pathLst>
            <a:path w="3859696" h="3288240">
              <a:moveTo>
                <a:pt x="0" y="3288240"/>
              </a:moveTo>
              <a:cubicBezTo>
                <a:pt x="196022" y="3249588"/>
                <a:pt x="389282" y="3328273"/>
                <a:pt x="588065" y="3172284"/>
              </a:cubicBezTo>
              <a:cubicBezTo>
                <a:pt x="786848" y="3016295"/>
                <a:pt x="958022" y="2684990"/>
                <a:pt x="1192696" y="2352305"/>
              </a:cubicBezTo>
              <a:cubicBezTo>
                <a:pt x="1427370" y="2019620"/>
                <a:pt x="1797327" y="1503338"/>
                <a:pt x="1996109" y="1176175"/>
              </a:cubicBezTo>
              <a:cubicBezTo>
                <a:pt x="2194891" y="849012"/>
                <a:pt x="2488924" y="342392"/>
                <a:pt x="2799522" y="149131"/>
              </a:cubicBezTo>
              <a:cubicBezTo>
                <a:pt x="3110120" y="-44130"/>
                <a:pt x="3302000" y="-647"/>
                <a:pt x="3859696" y="16609"/>
              </a:cubicBezTo>
            </a:path>
          </a:pathLst>
        </a:custGeom>
        <a:noFill xmlns:a="http://schemas.openxmlformats.org/drawingml/2006/main"/>
        <a:ln xmlns:a="http://schemas.openxmlformats.org/drawingml/2006/main">
          <a:solidFill>
            <a:srgbClr val="FF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tlCol="0" anchor="t"/>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en-US"/>
        </a:p>
      </cdr:txBody>
    </cdr:sp>
  </cdr:relSizeAnchor>
  <cdr:relSizeAnchor xmlns:cdr="http://schemas.openxmlformats.org/drawingml/2006/chartDrawing">
    <cdr:from>
      <cdr:x>0.21493</cdr:x>
      <cdr:y>0.56857</cdr:y>
    </cdr:from>
    <cdr:to>
      <cdr:x>0.42706</cdr:x>
      <cdr:y>0.67274</cdr:y>
    </cdr:to>
    <cdr:sp macro="" textlink="">
      <cdr:nvSpPr>
        <cdr:cNvPr id="3" name="TextBox 10"/>
        <cdr:cNvSpPr txBox="1"/>
      </cdr:nvSpPr>
      <cdr:spPr>
        <a:xfrm xmlns:a="http://schemas.openxmlformats.org/drawingml/2006/main">
          <a:off x="1271585" y="2079610"/>
          <a:ext cx="1255043" cy="381012"/>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000" b="0">
              <a:latin typeface="Arial" panose="020B0604020202020204" pitchFamily="34" charset="0"/>
              <a:cs typeface="Arial" panose="020B0604020202020204" pitchFamily="34" charset="0"/>
            </a:rPr>
            <a:t>Beginning</a:t>
          </a:r>
          <a:r>
            <a:rPr lang="en-US" sz="1000" b="0" baseline="0">
              <a:latin typeface="Arial" panose="020B0604020202020204" pitchFamily="34" charset="0"/>
              <a:cs typeface="Arial" panose="020B0604020202020204" pitchFamily="34" charset="0"/>
            </a:rPr>
            <a:t> of harvest</a:t>
          </a:r>
          <a:endParaRPr lang="en-US" sz="1000" b="0">
            <a:latin typeface="Arial" panose="020B0604020202020204" pitchFamily="34" charset="0"/>
            <a:cs typeface="Arial" panose="020B0604020202020204" pitchFamily="34" charset="0"/>
          </a:endParaRPr>
        </a:p>
      </cdr:txBody>
    </cdr:sp>
  </cdr:relSizeAnchor>
</c:userShapes>
</file>

<file path=xl/drawings/drawing8.xml><?xml version="1.0" encoding="utf-8"?>
<xdr:wsDr xmlns:xdr="http://schemas.openxmlformats.org/drawingml/2006/spreadsheetDrawing" xmlns:a="http://schemas.openxmlformats.org/drawingml/2006/main">
  <xdr:twoCellAnchor editAs="oneCell">
    <xdr:from>
      <xdr:col>0</xdr:col>
      <xdr:colOff>730993</xdr:colOff>
      <xdr:row>91</xdr:row>
      <xdr:rowOff>129060</xdr:rowOff>
    </xdr:from>
    <xdr:to>
      <xdr:col>4</xdr:col>
      <xdr:colOff>93051</xdr:colOff>
      <xdr:row>105</xdr:row>
      <xdr:rowOff>147774</xdr:rowOff>
    </xdr:to>
    <xdr:pic>
      <xdr:nvPicPr>
        <xdr:cNvPr id="2" name="Picture 1">
          <a:extLst>
            <a:ext uri="{FF2B5EF4-FFF2-40B4-BE49-F238E27FC236}">
              <a16:creationId xmlns:a16="http://schemas.microsoft.com/office/drawing/2014/main" xmlns="" id="{00000000-0008-0000-0200-000002000000}"/>
            </a:ext>
          </a:extLst>
        </xdr:cNvPr>
        <xdr:cNvPicPr>
          <a:picLocks noChangeAspect="1"/>
        </xdr:cNvPicPr>
      </xdr:nvPicPr>
      <xdr:blipFill>
        <a:blip xmlns:r="http://schemas.openxmlformats.org/officeDocument/2006/relationships" r:embed="rId1"/>
        <a:stretch>
          <a:fillRect/>
        </a:stretch>
      </xdr:blipFill>
      <xdr:spPr>
        <a:xfrm>
          <a:off x="730993" y="17890384"/>
          <a:ext cx="4259029" cy="2685714"/>
        </a:xfrm>
        <a:prstGeom prst="rect">
          <a:avLst/>
        </a:prstGeom>
      </xdr:spPr>
    </xdr:pic>
    <xdr:clientData/>
  </xdr:twoCellAnchor>
  <xdr:twoCellAnchor editAs="oneCell">
    <xdr:from>
      <xdr:col>4</xdr:col>
      <xdr:colOff>73206</xdr:colOff>
      <xdr:row>91</xdr:row>
      <xdr:rowOff>163381</xdr:rowOff>
    </xdr:from>
    <xdr:to>
      <xdr:col>4</xdr:col>
      <xdr:colOff>656960</xdr:colOff>
      <xdr:row>94</xdr:row>
      <xdr:rowOff>58548</xdr:rowOff>
    </xdr:to>
    <xdr:pic>
      <xdr:nvPicPr>
        <xdr:cNvPr id="3" name="Picture 2">
          <a:extLst>
            <a:ext uri="{FF2B5EF4-FFF2-40B4-BE49-F238E27FC236}">
              <a16:creationId xmlns:a16="http://schemas.microsoft.com/office/drawing/2014/main" xmlns="" id="{00000000-0008-0000-0200-000003000000}"/>
            </a:ext>
          </a:extLst>
        </xdr:cNvPr>
        <xdr:cNvPicPr>
          <a:picLocks noChangeAspect="1"/>
        </xdr:cNvPicPr>
      </xdr:nvPicPr>
      <xdr:blipFill>
        <a:blip xmlns:r="http://schemas.openxmlformats.org/officeDocument/2006/relationships" r:embed="rId2"/>
        <a:stretch>
          <a:fillRect/>
        </a:stretch>
      </xdr:blipFill>
      <xdr:spPr>
        <a:xfrm>
          <a:off x="4589177" y="17924705"/>
          <a:ext cx="583754" cy="466667"/>
        </a:xfrm>
        <a:prstGeom prst="rect">
          <a:avLst/>
        </a:prstGeom>
      </xdr:spPr>
    </xdr:pic>
    <xdr:clientData/>
  </xdr:twoCellAnchor>
  <xdr:twoCellAnchor>
    <xdr:from>
      <xdr:col>16</xdr:col>
      <xdr:colOff>1057276</xdr:colOff>
      <xdr:row>19</xdr:row>
      <xdr:rowOff>142875</xdr:rowOff>
    </xdr:from>
    <xdr:to>
      <xdr:col>24</xdr:col>
      <xdr:colOff>526117</xdr:colOff>
      <xdr:row>38</xdr:row>
      <xdr:rowOff>1680</xdr:rowOff>
    </xdr:to>
    <xdr:graphicFrame macro="">
      <xdr:nvGraphicFramePr>
        <xdr:cNvPr id="5" name="Chart 4">
          <a:extLst>
            <a:ext uri="{FF2B5EF4-FFF2-40B4-BE49-F238E27FC236}">
              <a16:creationId xmlns:a16="http://schemas.microsoft.com/office/drawing/2014/main" xmlns="" id="{00000000-0008-0000-02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140442</xdr:colOff>
      <xdr:row>91</xdr:row>
      <xdr:rowOff>174587</xdr:rowOff>
    </xdr:from>
    <xdr:to>
      <xdr:col>1</xdr:col>
      <xdr:colOff>788061</xdr:colOff>
      <xdr:row>94</xdr:row>
      <xdr:rowOff>155468</xdr:rowOff>
    </xdr:to>
    <xdr:pic>
      <xdr:nvPicPr>
        <xdr:cNvPr id="6" name="Picture 5">
          <a:extLst>
            <a:ext uri="{FF2B5EF4-FFF2-40B4-BE49-F238E27FC236}">
              <a16:creationId xmlns:a16="http://schemas.microsoft.com/office/drawing/2014/main" xmlns="" id="{00000000-0008-0000-0200-000006000000}"/>
            </a:ext>
          </a:extLst>
        </xdr:cNvPr>
        <xdr:cNvPicPr>
          <a:picLocks noChangeAspect="1"/>
        </xdr:cNvPicPr>
      </xdr:nvPicPr>
      <xdr:blipFill>
        <a:blip xmlns:r="http://schemas.openxmlformats.org/officeDocument/2006/relationships" r:embed="rId4"/>
        <a:stretch>
          <a:fillRect/>
        </a:stretch>
      </xdr:blipFill>
      <xdr:spPr>
        <a:xfrm>
          <a:off x="1518766" y="17935911"/>
          <a:ext cx="647619" cy="552381"/>
        </a:xfrm>
        <a:prstGeom prst="rect">
          <a:avLst/>
        </a:prstGeom>
      </xdr:spPr>
    </xdr:pic>
    <xdr:clientData/>
  </xdr:twoCellAnchor>
  <xdr:twoCellAnchor editAs="oneCell">
    <xdr:from>
      <xdr:col>6</xdr:col>
      <xdr:colOff>354512</xdr:colOff>
      <xdr:row>91</xdr:row>
      <xdr:rowOff>15281</xdr:rowOff>
    </xdr:from>
    <xdr:to>
      <xdr:col>16</xdr:col>
      <xdr:colOff>606652</xdr:colOff>
      <xdr:row>107</xdr:row>
      <xdr:rowOff>91091</xdr:rowOff>
    </xdr:to>
    <xdr:pic>
      <xdr:nvPicPr>
        <xdr:cNvPr id="7" name="Picture 6">
          <a:extLst>
            <a:ext uri="{FF2B5EF4-FFF2-40B4-BE49-F238E27FC236}">
              <a16:creationId xmlns:a16="http://schemas.microsoft.com/office/drawing/2014/main" xmlns="" id="{00000000-0008-0000-0200-000007000000}"/>
            </a:ext>
          </a:extLst>
        </xdr:cNvPr>
        <xdr:cNvPicPr>
          <a:picLocks noChangeAspect="1"/>
        </xdr:cNvPicPr>
      </xdr:nvPicPr>
      <xdr:blipFill>
        <a:blip xmlns:r="http://schemas.openxmlformats.org/officeDocument/2006/relationships" r:embed="rId5"/>
        <a:stretch>
          <a:fillRect/>
        </a:stretch>
      </xdr:blipFill>
      <xdr:spPr>
        <a:xfrm>
          <a:off x="7073967" y="18026190"/>
          <a:ext cx="8114594" cy="3123810"/>
        </a:xfrm>
        <a:prstGeom prst="rect">
          <a:avLst/>
        </a:prstGeom>
      </xdr:spPr>
    </xdr:pic>
    <xdr:clientData/>
  </xdr:twoCellAnchor>
  <xdr:twoCellAnchor>
    <xdr:from>
      <xdr:col>29</xdr:col>
      <xdr:colOff>342900</xdr:colOff>
      <xdr:row>20</xdr:row>
      <xdr:rowOff>128587</xdr:rowOff>
    </xdr:from>
    <xdr:to>
      <xdr:col>38</xdr:col>
      <xdr:colOff>333375</xdr:colOff>
      <xdr:row>39</xdr:row>
      <xdr:rowOff>166687</xdr:rowOff>
    </xdr:to>
    <xdr:graphicFrame macro="">
      <xdr:nvGraphicFramePr>
        <xdr:cNvPr id="4" name="Chart 3">
          <a:extLst>
            <a:ext uri="{FF2B5EF4-FFF2-40B4-BE49-F238E27FC236}">
              <a16:creationId xmlns:a16="http://schemas.microsoft.com/office/drawing/2014/main" xmlns="" id="{00000000-0008-0000-02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34</xdr:col>
      <xdr:colOff>28575</xdr:colOff>
      <xdr:row>23</xdr:row>
      <xdr:rowOff>28575</xdr:rowOff>
    </xdr:from>
    <xdr:to>
      <xdr:col>36</xdr:col>
      <xdr:colOff>152401</xdr:colOff>
      <xdr:row>24</xdr:row>
      <xdr:rowOff>171450</xdr:rowOff>
    </xdr:to>
    <xdr:sp macro="" textlink="">
      <xdr:nvSpPr>
        <xdr:cNvPr id="8" name="TextBox 7">
          <a:extLst>
            <a:ext uri="{FF2B5EF4-FFF2-40B4-BE49-F238E27FC236}">
              <a16:creationId xmlns:a16="http://schemas.microsoft.com/office/drawing/2014/main" xmlns="" id="{00000000-0008-0000-0200-000008000000}"/>
            </a:ext>
          </a:extLst>
        </xdr:cNvPr>
        <xdr:cNvSpPr txBox="1"/>
      </xdr:nvSpPr>
      <xdr:spPr>
        <a:xfrm>
          <a:off x="27098625" y="4838700"/>
          <a:ext cx="1343026" cy="3333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a:latin typeface="Arial" panose="020B0604020202020204" pitchFamily="34" charset="0"/>
              <a:cs typeface="Arial" panose="020B0604020202020204" pitchFamily="34" charset="0"/>
            </a:rPr>
            <a:t>Harvest</a:t>
          </a:r>
          <a:r>
            <a:rPr lang="en-US" sz="1000" baseline="0">
              <a:latin typeface="Arial" panose="020B0604020202020204" pitchFamily="34" charset="0"/>
              <a:cs typeface="Arial" panose="020B0604020202020204" pitchFamily="34" charset="0"/>
            </a:rPr>
            <a:t> </a:t>
          </a:r>
          <a:r>
            <a:rPr lang="en-US" sz="1200" baseline="0">
              <a:latin typeface="Arial" panose="020B0604020202020204" pitchFamily="34" charset="0"/>
              <a:cs typeface="Arial" panose="020B0604020202020204" pitchFamily="34" charset="0"/>
            </a:rPr>
            <a:t>begins</a:t>
          </a:r>
          <a:r>
            <a:rPr lang="en-US" sz="1000" baseline="0">
              <a:latin typeface="Arial" panose="020B0604020202020204" pitchFamily="34" charset="0"/>
              <a:cs typeface="Arial" panose="020B0604020202020204" pitchFamily="34" charset="0"/>
            </a:rPr>
            <a:t> </a:t>
          </a:r>
          <a:endParaRPr lang="en-US" sz="1000">
            <a:latin typeface="Arial" panose="020B0604020202020204" pitchFamily="34" charset="0"/>
            <a:cs typeface="Arial" panose="020B0604020202020204" pitchFamily="34" charset="0"/>
          </a:endParaRPr>
        </a:p>
      </xdr:txBody>
    </xdr:sp>
    <xdr:clientData/>
  </xdr:twoCellAnchor>
</xdr:wsDr>
</file>

<file path=xl/drawings/drawing9.xml><?xml version="1.0" encoding="utf-8"?>
<c:userShapes xmlns:c="http://schemas.openxmlformats.org/drawingml/2006/chart">
  <cdr:relSizeAnchor xmlns:cdr="http://schemas.openxmlformats.org/drawingml/2006/chartDrawing">
    <cdr:from>
      <cdr:x>0.1162</cdr:x>
      <cdr:y>0.04688</cdr:y>
    </cdr:from>
    <cdr:to>
      <cdr:x>0.94905</cdr:x>
      <cdr:y>0.83311</cdr:y>
    </cdr:to>
    <cdr:sp macro="" textlink="">
      <cdr:nvSpPr>
        <cdr:cNvPr id="2" name="Freeform 1"/>
        <cdr:cNvSpPr/>
      </cdr:nvSpPr>
      <cdr:spPr>
        <a:xfrm xmlns:a="http://schemas.openxmlformats.org/drawingml/2006/main">
          <a:off x="627916" y="163057"/>
          <a:ext cx="4500424" cy="2734742"/>
        </a:xfrm>
        <a:custGeom xmlns:a="http://schemas.openxmlformats.org/drawingml/2006/main">
          <a:avLst/>
          <a:gdLst>
            <a:gd name="connsiteX0" fmla="*/ 0 w 4500424"/>
            <a:gd name="connsiteY0" fmla="*/ 2734742 h 2763351"/>
            <a:gd name="connsiteX1" fmla="*/ 842596 w 4500424"/>
            <a:gd name="connsiteY1" fmla="*/ 2720088 h 2763351"/>
            <a:gd name="connsiteX2" fmla="*/ 1355481 w 4500424"/>
            <a:gd name="connsiteY2" fmla="*/ 2668799 h 2763351"/>
            <a:gd name="connsiteX3" fmla="*/ 2549770 w 4500424"/>
            <a:gd name="connsiteY3" fmla="*/ 1613722 h 2763351"/>
            <a:gd name="connsiteX4" fmla="*/ 3209193 w 4500424"/>
            <a:gd name="connsiteY4" fmla="*/ 910338 h 2763351"/>
            <a:gd name="connsiteX5" fmla="*/ 3817327 w 4500424"/>
            <a:gd name="connsiteY5" fmla="*/ 412107 h 2763351"/>
            <a:gd name="connsiteX6" fmla="*/ 4425462 w 4500424"/>
            <a:gd name="connsiteY6" fmla="*/ 38434 h 2763351"/>
            <a:gd name="connsiteX7" fmla="*/ 4469423 w 4500424"/>
            <a:gd name="connsiteY7" fmla="*/ 31107 h 2763351"/>
            <a:gd name="connsiteX0" fmla="*/ 0 w 4500424"/>
            <a:gd name="connsiteY0" fmla="*/ 2734742 h 2734742"/>
            <a:gd name="connsiteX1" fmla="*/ 842596 w 4500424"/>
            <a:gd name="connsiteY1" fmla="*/ 2720088 h 2734742"/>
            <a:gd name="connsiteX2" fmla="*/ 1355481 w 4500424"/>
            <a:gd name="connsiteY2" fmla="*/ 2668799 h 2734742"/>
            <a:gd name="connsiteX3" fmla="*/ 2549770 w 4500424"/>
            <a:gd name="connsiteY3" fmla="*/ 1613722 h 2734742"/>
            <a:gd name="connsiteX4" fmla="*/ 3209193 w 4500424"/>
            <a:gd name="connsiteY4" fmla="*/ 910338 h 2734742"/>
            <a:gd name="connsiteX5" fmla="*/ 3817327 w 4500424"/>
            <a:gd name="connsiteY5" fmla="*/ 412107 h 2734742"/>
            <a:gd name="connsiteX6" fmla="*/ 4425462 w 4500424"/>
            <a:gd name="connsiteY6" fmla="*/ 38434 h 2734742"/>
            <a:gd name="connsiteX7" fmla="*/ 4469423 w 4500424"/>
            <a:gd name="connsiteY7" fmla="*/ 31107 h 2734742"/>
            <a:gd name="connsiteX0" fmla="*/ 0 w 4500424"/>
            <a:gd name="connsiteY0" fmla="*/ 2734742 h 2734742"/>
            <a:gd name="connsiteX1" fmla="*/ 842596 w 4500424"/>
            <a:gd name="connsiteY1" fmla="*/ 2720088 h 2734742"/>
            <a:gd name="connsiteX2" fmla="*/ 1370135 w 4500424"/>
            <a:gd name="connsiteY2" fmla="*/ 2639492 h 2734742"/>
            <a:gd name="connsiteX3" fmla="*/ 2549770 w 4500424"/>
            <a:gd name="connsiteY3" fmla="*/ 1613722 h 2734742"/>
            <a:gd name="connsiteX4" fmla="*/ 3209193 w 4500424"/>
            <a:gd name="connsiteY4" fmla="*/ 910338 h 2734742"/>
            <a:gd name="connsiteX5" fmla="*/ 3817327 w 4500424"/>
            <a:gd name="connsiteY5" fmla="*/ 412107 h 2734742"/>
            <a:gd name="connsiteX6" fmla="*/ 4425462 w 4500424"/>
            <a:gd name="connsiteY6" fmla="*/ 38434 h 2734742"/>
            <a:gd name="connsiteX7" fmla="*/ 4469423 w 4500424"/>
            <a:gd name="connsiteY7" fmla="*/ 31107 h 273474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Lst>
          <a:rect l="l" t="t" r="r" b="b"/>
          <a:pathLst>
            <a:path w="4500424" h="2734742">
              <a:moveTo>
                <a:pt x="0" y="2734742"/>
              </a:moveTo>
              <a:cubicBezTo>
                <a:pt x="308341" y="2732910"/>
                <a:pt x="614240" y="2735963"/>
                <a:pt x="842596" y="2720088"/>
              </a:cubicBezTo>
              <a:cubicBezTo>
                <a:pt x="1070952" y="2704213"/>
                <a:pt x="1327394" y="2655367"/>
                <a:pt x="1370135" y="2639492"/>
              </a:cubicBezTo>
              <a:cubicBezTo>
                <a:pt x="1412876" y="2623617"/>
                <a:pt x="2243260" y="1901914"/>
                <a:pt x="2549770" y="1613722"/>
              </a:cubicBezTo>
              <a:cubicBezTo>
                <a:pt x="2856280" y="1325530"/>
                <a:pt x="2997934" y="1110607"/>
                <a:pt x="3209193" y="910338"/>
              </a:cubicBezTo>
              <a:cubicBezTo>
                <a:pt x="3420453" y="710069"/>
                <a:pt x="3614616" y="557424"/>
                <a:pt x="3817327" y="412107"/>
              </a:cubicBezTo>
              <a:cubicBezTo>
                <a:pt x="4020038" y="266790"/>
                <a:pt x="4316779" y="101934"/>
                <a:pt x="4425462" y="38434"/>
              </a:cubicBezTo>
              <a:cubicBezTo>
                <a:pt x="4534145" y="-25066"/>
                <a:pt x="4501784" y="3020"/>
                <a:pt x="4469423" y="31107"/>
              </a:cubicBezTo>
            </a:path>
          </a:pathLst>
        </a:custGeom>
        <a:noFill xmlns:a="http://schemas.openxmlformats.org/drawingml/2006/main"/>
        <a:ln xmlns:a="http://schemas.openxmlformats.org/drawingml/2006/main">
          <a:solidFill>
            <a:srgbClr val="0070C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horzOverflow="clip" rtlCol="0" anchor="t"/>
        <a:lstStyle xmlns:a="http://schemas.openxmlformats.org/drawingml/2006/main"/>
        <a:p xmlns:a="http://schemas.openxmlformats.org/drawingml/2006/main">
          <a:endParaRPr lang="en-US"/>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C000"/>
        </a:solidFill>
        <a:ln>
          <a:noFill/>
        </a:ln>
      </a:spPr>
      <a:bodyPr vertOverflow="clip" horzOverflow="clip" rtlCol="0" anchor="t"/>
      <a:lstStyle>
        <a:defPPr algn="l">
          <a:defRPr sz="1100"/>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theme/themeOverride1.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10.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11.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12.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13.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14.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15.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16.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17.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18.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19.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20.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21.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22.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23.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24.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25.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26.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27.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28.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3.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4.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5.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6.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7.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8.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9.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3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33.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35.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38.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39.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42.xml"/><Relationship Id="rId2" Type="http://schemas.openxmlformats.org/officeDocument/2006/relationships/vmlDrawing" Target="../drawings/vmlDrawing5.vml"/><Relationship Id="rId3" Type="http://schemas.openxmlformats.org/officeDocument/2006/relationships/comments" Target="../comments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45.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48.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51.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54.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1.xml"/><Relationship Id="rId2" Type="http://schemas.openxmlformats.org/officeDocument/2006/relationships/vmlDrawing" Target="../drawings/vmlDrawing1.vml"/><Relationship Id="rId3" Type="http://schemas.openxmlformats.org/officeDocument/2006/relationships/comments" Target="../comments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5.xml"/><Relationship Id="rId2" Type="http://schemas.openxmlformats.org/officeDocument/2006/relationships/vmlDrawing" Target="../drawings/vmlDrawing2.vml"/><Relationship Id="rId3" Type="http://schemas.openxmlformats.org/officeDocument/2006/relationships/comments" Target="../comments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2.xml"/><Relationship Id="rId2" Type="http://schemas.openxmlformats.org/officeDocument/2006/relationships/vmlDrawing" Target="../drawings/vmlDrawing3.vml"/><Relationship Id="rId3" Type="http://schemas.openxmlformats.org/officeDocument/2006/relationships/comments" Target="../comments3.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4.xml"/><Relationship Id="rId2" Type="http://schemas.openxmlformats.org/officeDocument/2006/relationships/vmlDrawing" Target="../drawings/vmlDrawing4.vml"/><Relationship Id="rId3" Type="http://schemas.openxmlformats.org/officeDocument/2006/relationships/comments" Target="../comments4.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2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Z94"/>
  <sheetViews>
    <sheetView topLeftCell="R1" zoomScale="85" zoomScaleNormal="85" zoomScalePageLayoutView="85" workbookViewId="0">
      <selection activeCell="AK37" sqref="AK37"/>
    </sheetView>
  </sheetViews>
  <sheetFormatPr baseColWidth="10" defaultColWidth="8.83203125" defaultRowHeight="15" x14ac:dyDescent="0.2"/>
  <cols>
    <col min="1" max="2" width="20.6640625" customWidth="1"/>
    <col min="3" max="3" width="16.33203125" customWidth="1"/>
    <col min="4" max="4" width="10.1640625" customWidth="1"/>
    <col min="5" max="5" width="13.5" customWidth="1"/>
    <col min="6" max="6" width="13.5" style="107" customWidth="1"/>
    <col min="7" max="7" width="11.6640625" style="107" customWidth="1"/>
    <col min="8" max="8" width="10.1640625" style="107" customWidth="1"/>
    <col min="9" max="9" width="12.33203125" style="106" customWidth="1"/>
    <col min="10" max="10" width="10.1640625" style="107" customWidth="1"/>
    <col min="11" max="12" width="13.5" style="106" customWidth="1"/>
    <col min="13" max="14" width="10.1640625" style="106" customWidth="1"/>
    <col min="15" max="15" width="10.1640625" style="107" customWidth="1"/>
    <col min="16" max="16" width="16.33203125" style="107" customWidth="1"/>
    <col min="17" max="17" width="41.33203125" customWidth="1"/>
  </cols>
  <sheetData>
    <row r="3" spans="1:26" ht="30" x14ac:dyDescent="0.2">
      <c r="A3" s="14" t="s">
        <v>0</v>
      </c>
      <c r="B3" s="14"/>
      <c r="C3" s="14"/>
      <c r="D3" s="14" t="s">
        <v>13</v>
      </c>
      <c r="E3" s="14" t="s">
        <v>28</v>
      </c>
      <c r="F3" s="110" t="s">
        <v>1</v>
      </c>
      <c r="G3" s="110" t="s">
        <v>2</v>
      </c>
      <c r="H3" s="110" t="s">
        <v>4</v>
      </c>
      <c r="I3" s="108" t="s">
        <v>8</v>
      </c>
      <c r="J3" s="110" t="s">
        <v>3</v>
      </c>
      <c r="K3" s="230" t="s">
        <v>20</v>
      </c>
      <c r="L3" s="230"/>
      <c r="M3" s="230"/>
      <c r="N3" s="108"/>
      <c r="O3" s="14" t="s">
        <v>21</v>
      </c>
      <c r="P3" s="14"/>
      <c r="Q3" s="14"/>
      <c r="R3" s="14"/>
      <c r="S3" s="231" t="s">
        <v>275</v>
      </c>
      <c r="T3" s="231"/>
      <c r="U3" s="231"/>
      <c r="V3" s="231"/>
      <c r="W3" s="231"/>
      <c r="X3" s="231"/>
      <c r="Y3" s="231"/>
      <c r="Z3" s="14"/>
    </row>
    <row r="4" spans="1:26" x14ac:dyDescent="0.2">
      <c r="A4" s="26"/>
      <c r="B4" s="26" t="s">
        <v>42</v>
      </c>
      <c r="C4" s="26" t="s">
        <v>10</v>
      </c>
      <c r="D4" s="26"/>
      <c r="E4" s="26" t="s">
        <v>27</v>
      </c>
      <c r="F4" s="25"/>
      <c r="G4" s="25"/>
      <c r="H4" s="25" t="s">
        <v>7</v>
      </c>
      <c r="I4" s="27" t="s">
        <v>9</v>
      </c>
      <c r="J4" s="25"/>
      <c r="K4" s="8" t="s">
        <v>55</v>
      </c>
      <c r="L4" s="27" t="s">
        <v>56</v>
      </c>
      <c r="M4" s="27" t="s">
        <v>5</v>
      </c>
      <c r="N4" s="27" t="s">
        <v>55</v>
      </c>
      <c r="O4" s="25" t="s">
        <v>120</v>
      </c>
      <c r="P4" s="25" t="s">
        <v>12</v>
      </c>
      <c r="Q4" s="26" t="s">
        <v>22</v>
      </c>
      <c r="R4" s="14"/>
      <c r="S4" s="231"/>
      <c r="T4" s="231"/>
      <c r="U4" s="231"/>
      <c r="V4" s="231"/>
      <c r="W4" s="231"/>
      <c r="X4" s="231"/>
      <c r="Y4" s="231"/>
      <c r="Z4" s="14"/>
    </row>
    <row r="5" spans="1:26" x14ac:dyDescent="0.2">
      <c r="A5" t="s">
        <v>264</v>
      </c>
      <c r="C5" t="s">
        <v>265</v>
      </c>
      <c r="D5" t="s">
        <v>266</v>
      </c>
      <c r="F5" s="5" t="s">
        <v>267</v>
      </c>
      <c r="G5" s="5" t="s">
        <v>268</v>
      </c>
      <c r="H5" s="107">
        <v>79</v>
      </c>
      <c r="I5" s="106">
        <f>280/1.12</f>
        <v>249.99999999999997</v>
      </c>
      <c r="M5" s="119">
        <v>0</v>
      </c>
      <c r="O5" s="106"/>
      <c r="P5" s="6">
        <v>0</v>
      </c>
      <c r="S5" s="231"/>
      <c r="T5" s="231"/>
      <c r="U5" s="231"/>
      <c r="V5" s="231"/>
      <c r="W5" s="231"/>
      <c r="X5" s="231"/>
      <c r="Y5" s="231"/>
    </row>
    <row r="6" spans="1:26" x14ac:dyDescent="0.2">
      <c r="A6" s="23"/>
      <c r="B6" s="23"/>
      <c r="M6" s="119">
        <v>0.1</v>
      </c>
      <c r="P6" s="6">
        <v>9.8684210526315801E-3</v>
      </c>
      <c r="S6" s="231"/>
      <c r="T6" s="231"/>
      <c r="U6" s="231"/>
      <c r="V6" s="231"/>
      <c r="W6" s="231"/>
      <c r="X6" s="231"/>
      <c r="Y6" s="231"/>
    </row>
    <row r="7" spans="1:26" x14ac:dyDescent="0.2">
      <c r="A7" s="23"/>
      <c r="B7" s="23"/>
      <c r="M7" s="119">
        <v>0.2</v>
      </c>
      <c r="P7" s="6">
        <v>1.973684210526316E-2</v>
      </c>
      <c r="S7" s="231"/>
      <c r="T7" s="231"/>
      <c r="U7" s="231"/>
      <c r="V7" s="231"/>
      <c r="W7" s="231"/>
      <c r="X7" s="231"/>
      <c r="Y7" s="231"/>
    </row>
    <row r="8" spans="1:26" x14ac:dyDescent="0.2">
      <c r="A8" s="23"/>
      <c r="B8" s="23"/>
      <c r="M8" s="119">
        <v>0.3</v>
      </c>
      <c r="P8" s="6">
        <v>7.8947368421052641E-2</v>
      </c>
      <c r="S8" s="231"/>
      <c r="T8" s="231"/>
      <c r="U8" s="231"/>
      <c r="V8" s="231"/>
      <c r="W8" s="231"/>
      <c r="X8" s="231"/>
      <c r="Y8" s="231"/>
    </row>
    <row r="9" spans="1:26" x14ac:dyDescent="0.2">
      <c r="A9" s="23"/>
      <c r="B9" s="23"/>
      <c r="M9" s="119">
        <v>0.4</v>
      </c>
      <c r="P9" s="6">
        <v>0.15394736842105264</v>
      </c>
      <c r="S9" s="231"/>
      <c r="T9" s="231"/>
      <c r="U9" s="231"/>
      <c r="V9" s="231"/>
      <c r="W9" s="231"/>
      <c r="X9" s="231"/>
      <c r="Y9" s="231"/>
    </row>
    <row r="10" spans="1:26" x14ac:dyDescent="0.2">
      <c r="A10" s="23"/>
      <c r="B10" s="23"/>
      <c r="M10" s="119">
        <v>0.5</v>
      </c>
      <c r="P10" s="6">
        <v>0.29210526315789476</v>
      </c>
      <c r="S10" s="231"/>
      <c r="T10" s="231"/>
      <c r="U10" s="231"/>
      <c r="V10" s="231"/>
      <c r="W10" s="231"/>
      <c r="X10" s="231"/>
      <c r="Y10" s="231"/>
    </row>
    <row r="11" spans="1:26" x14ac:dyDescent="0.2">
      <c r="A11" s="23"/>
      <c r="B11" s="23"/>
      <c r="M11" s="119">
        <v>0.6</v>
      </c>
      <c r="P11" s="6">
        <v>0.48552631578947369</v>
      </c>
    </row>
    <row r="12" spans="1:26" x14ac:dyDescent="0.2">
      <c r="A12" s="23"/>
      <c r="B12" s="23"/>
      <c r="M12" s="119">
        <v>0.7</v>
      </c>
      <c r="P12" s="6">
        <v>0.67105263157894735</v>
      </c>
    </row>
    <row r="13" spans="1:26" x14ac:dyDescent="0.2">
      <c r="A13" s="23"/>
      <c r="B13" s="23"/>
      <c r="M13" s="119">
        <v>0.8</v>
      </c>
      <c r="P13" s="6">
        <v>0.82894736842105265</v>
      </c>
    </row>
    <row r="14" spans="1:26" x14ac:dyDescent="0.2">
      <c r="A14" s="23"/>
      <c r="B14" s="23"/>
      <c r="M14" s="119">
        <v>0.9</v>
      </c>
      <c r="P14" s="6">
        <v>0.91973684210526319</v>
      </c>
    </row>
    <row r="15" spans="1:26" x14ac:dyDescent="0.2">
      <c r="A15" s="23"/>
      <c r="B15" s="23"/>
      <c r="M15" s="119">
        <v>1</v>
      </c>
      <c r="P15" s="6">
        <v>1.0026315789473685</v>
      </c>
    </row>
    <row r="16" spans="1:26" x14ac:dyDescent="0.2">
      <c r="A16" s="23"/>
      <c r="B16" s="23"/>
    </row>
    <row r="17" spans="1:19" x14ac:dyDescent="0.2">
      <c r="A17" s="23"/>
      <c r="B17" s="23"/>
    </row>
    <row r="18" spans="1:19" x14ac:dyDescent="0.2">
      <c r="A18" s="23"/>
      <c r="B18" s="23"/>
    </row>
    <row r="19" spans="1:19" x14ac:dyDescent="0.2">
      <c r="A19" s="23"/>
      <c r="B19" s="23"/>
    </row>
    <row r="20" spans="1:19" x14ac:dyDescent="0.2">
      <c r="A20" s="23"/>
      <c r="B20" s="23"/>
    </row>
    <row r="21" spans="1:19" x14ac:dyDescent="0.2">
      <c r="A21" s="23"/>
      <c r="B21" s="23"/>
    </row>
    <row r="22" spans="1:19" x14ac:dyDescent="0.2">
      <c r="A22" s="23"/>
      <c r="B22" s="23"/>
    </row>
    <row r="23" spans="1:19" x14ac:dyDescent="0.2">
      <c r="A23" s="23"/>
      <c r="B23" s="23"/>
      <c r="C23" s="23"/>
      <c r="D23" s="23"/>
      <c r="E23" s="23"/>
      <c r="F23" s="20"/>
      <c r="G23" s="20"/>
      <c r="H23" s="20"/>
      <c r="I23" s="21"/>
      <c r="J23" s="20"/>
      <c r="K23" s="21"/>
      <c r="L23" s="21"/>
      <c r="M23" s="21"/>
      <c r="N23" s="21"/>
      <c r="O23" s="21"/>
      <c r="P23" s="21"/>
      <c r="Q23" s="23"/>
    </row>
    <row r="24" spans="1:19" x14ac:dyDescent="0.2">
      <c r="A24" s="23"/>
      <c r="B24" s="23"/>
      <c r="C24" s="23"/>
      <c r="D24" s="23"/>
      <c r="E24" s="23"/>
      <c r="F24" s="20"/>
      <c r="G24" s="20"/>
      <c r="H24" s="20"/>
      <c r="I24" s="21"/>
      <c r="J24" s="20"/>
      <c r="K24" s="21"/>
      <c r="L24" s="21"/>
      <c r="M24" s="21"/>
      <c r="N24" s="21"/>
      <c r="O24" s="21"/>
      <c r="P24" s="21"/>
      <c r="Q24" s="23"/>
    </row>
    <row r="25" spans="1:19" x14ac:dyDescent="0.2">
      <c r="A25" s="23"/>
      <c r="B25" s="23"/>
      <c r="C25" s="23"/>
      <c r="D25" s="23"/>
      <c r="E25" s="23"/>
      <c r="F25" s="20"/>
      <c r="G25" s="20"/>
      <c r="H25" s="20"/>
      <c r="I25" s="21"/>
      <c r="J25" s="20"/>
      <c r="K25" s="21"/>
      <c r="L25" s="21"/>
      <c r="M25" s="21"/>
      <c r="N25" s="21"/>
      <c r="O25" s="21"/>
      <c r="P25" s="21"/>
      <c r="Q25" s="23"/>
    </row>
    <row r="26" spans="1:19" x14ac:dyDescent="0.2">
      <c r="A26" s="23"/>
      <c r="B26" s="23"/>
      <c r="C26" s="29"/>
      <c r="D26" s="23"/>
      <c r="E26" s="23"/>
      <c r="F26" s="20"/>
      <c r="G26" s="20"/>
      <c r="H26" s="20"/>
      <c r="I26" s="21"/>
      <c r="J26" s="20"/>
      <c r="K26" s="21"/>
      <c r="L26" s="21"/>
      <c r="M26" s="119"/>
      <c r="N26" s="96"/>
      <c r="O26" s="96"/>
      <c r="P26" s="21"/>
      <c r="Q26" s="23"/>
    </row>
    <row r="27" spans="1:19" x14ac:dyDescent="0.2">
      <c r="A27" s="23"/>
      <c r="B27" s="23"/>
      <c r="C27" s="29"/>
      <c r="D27" s="23"/>
      <c r="E27" s="23"/>
      <c r="F27" s="30"/>
      <c r="G27" s="30"/>
      <c r="H27" s="20"/>
      <c r="I27" s="21"/>
      <c r="J27" s="20"/>
      <c r="K27" s="21"/>
      <c r="L27" s="21"/>
      <c r="M27" s="119"/>
      <c r="N27" s="96"/>
      <c r="O27" s="96"/>
      <c r="P27" s="21"/>
      <c r="Q27" s="23"/>
    </row>
    <row r="28" spans="1:19" x14ac:dyDescent="0.2">
      <c r="A28" s="23"/>
      <c r="B28" s="23"/>
      <c r="C28" s="29"/>
      <c r="D28" s="23"/>
      <c r="E28" s="23"/>
      <c r="F28" s="20"/>
      <c r="G28" s="20"/>
      <c r="H28" s="20"/>
      <c r="I28" s="21"/>
      <c r="J28" s="20"/>
      <c r="K28" s="21"/>
      <c r="L28" s="21"/>
      <c r="M28" s="119"/>
      <c r="N28" s="96"/>
      <c r="O28" s="96"/>
      <c r="P28" s="21"/>
      <c r="Q28" s="23"/>
    </row>
    <row r="29" spans="1:19" x14ac:dyDescent="0.2">
      <c r="A29" s="23"/>
      <c r="B29" s="23"/>
      <c r="C29" s="23"/>
      <c r="D29" s="23"/>
      <c r="E29" s="23"/>
      <c r="F29" s="20"/>
      <c r="G29" s="20"/>
      <c r="H29" s="20"/>
      <c r="I29" s="21"/>
      <c r="J29" s="20"/>
      <c r="K29" s="21"/>
      <c r="L29" s="21"/>
      <c r="M29" s="119"/>
      <c r="N29" s="96"/>
      <c r="O29" s="96"/>
      <c r="P29" s="21"/>
      <c r="Q29" s="23"/>
      <c r="S29" t="s">
        <v>282</v>
      </c>
    </row>
    <row r="30" spans="1:19" x14ac:dyDescent="0.2">
      <c r="A30" s="23"/>
      <c r="B30" s="23"/>
      <c r="C30" s="23"/>
      <c r="D30" s="23"/>
      <c r="E30" s="23"/>
      <c r="F30" s="20"/>
      <c r="G30" s="20"/>
      <c r="H30" s="20"/>
      <c r="I30" s="21"/>
      <c r="J30" s="20"/>
      <c r="K30" s="21"/>
      <c r="L30" s="21"/>
      <c r="M30" s="119"/>
      <c r="N30" s="96"/>
      <c r="O30" s="96"/>
      <c r="P30" s="21"/>
      <c r="Q30" s="23"/>
    </row>
    <row r="31" spans="1:19" x14ac:dyDescent="0.2">
      <c r="A31" s="23"/>
      <c r="B31" s="23"/>
      <c r="C31" s="23"/>
      <c r="D31" s="23"/>
      <c r="E31" s="23"/>
      <c r="F31" s="20"/>
      <c r="G31" s="20"/>
      <c r="H31" s="20"/>
      <c r="I31" s="21"/>
      <c r="J31" s="20"/>
      <c r="K31" s="21"/>
      <c r="L31" s="21"/>
      <c r="M31" s="119"/>
      <c r="N31" s="96"/>
      <c r="O31" s="96"/>
      <c r="P31" s="21"/>
      <c r="Q31" s="23"/>
    </row>
    <row r="32" spans="1:19" x14ac:dyDescent="0.2">
      <c r="A32" s="23"/>
      <c r="B32" s="23"/>
      <c r="C32" s="23"/>
      <c r="D32" s="23"/>
      <c r="E32" s="23"/>
      <c r="F32" s="30"/>
      <c r="G32" s="30"/>
      <c r="H32" s="20"/>
      <c r="I32" s="21"/>
      <c r="J32" s="20"/>
      <c r="K32" s="21"/>
      <c r="L32" s="21"/>
      <c r="M32" s="119"/>
      <c r="N32" s="96"/>
      <c r="O32" s="96"/>
      <c r="P32" s="21"/>
      <c r="Q32" s="23"/>
    </row>
    <row r="33" spans="1:17" x14ac:dyDescent="0.2">
      <c r="A33" s="23"/>
      <c r="B33" s="23"/>
      <c r="C33" s="23"/>
      <c r="D33" s="23"/>
      <c r="E33" s="23"/>
      <c r="F33" s="20"/>
      <c r="G33" s="20"/>
      <c r="H33" s="20"/>
      <c r="I33" s="21"/>
      <c r="J33" s="20"/>
      <c r="K33" s="21"/>
      <c r="L33" s="21"/>
      <c r="M33" s="119"/>
      <c r="N33" s="96"/>
      <c r="O33" s="96"/>
      <c r="P33" s="21"/>
      <c r="Q33" s="23"/>
    </row>
    <row r="34" spans="1:17" x14ac:dyDescent="0.2">
      <c r="A34" s="23"/>
      <c r="B34" s="23"/>
      <c r="C34" s="23"/>
      <c r="D34" s="23"/>
      <c r="E34" s="23"/>
      <c r="F34" s="20"/>
      <c r="G34" s="20"/>
      <c r="H34" s="20"/>
      <c r="I34" s="21"/>
      <c r="J34" s="20"/>
      <c r="K34" s="21"/>
      <c r="L34" s="21"/>
      <c r="M34" s="119"/>
      <c r="N34" s="96"/>
      <c r="O34" s="96"/>
      <c r="P34" s="21"/>
      <c r="Q34" s="23"/>
    </row>
    <row r="35" spans="1:17" x14ac:dyDescent="0.2">
      <c r="A35" s="23"/>
      <c r="B35" s="23"/>
      <c r="C35" s="23"/>
      <c r="D35" s="23"/>
      <c r="E35" s="23"/>
      <c r="F35" s="20"/>
      <c r="G35" s="20"/>
      <c r="H35" s="20"/>
      <c r="I35" s="21"/>
      <c r="J35" s="20"/>
      <c r="K35" s="21"/>
      <c r="L35" s="21"/>
      <c r="M35" s="119"/>
      <c r="N35" s="96"/>
      <c r="O35" s="96"/>
      <c r="P35" s="21"/>
      <c r="Q35" s="23"/>
    </row>
    <row r="36" spans="1:17" x14ac:dyDescent="0.2">
      <c r="A36" s="23"/>
      <c r="B36" s="23"/>
      <c r="C36" s="23"/>
      <c r="D36" s="23"/>
      <c r="E36" s="23"/>
      <c r="F36" s="20"/>
      <c r="G36" s="20"/>
      <c r="H36" s="20"/>
      <c r="I36" s="21"/>
      <c r="J36" s="20"/>
      <c r="K36" s="21"/>
      <c r="L36" s="21"/>
      <c r="M36" s="119"/>
      <c r="N36" s="96"/>
      <c r="O36" s="96"/>
      <c r="P36" s="21"/>
      <c r="Q36" s="23"/>
    </row>
    <row r="37" spans="1:17" x14ac:dyDescent="0.2">
      <c r="A37" s="23"/>
      <c r="B37" s="23"/>
      <c r="C37" s="23"/>
      <c r="D37" s="23"/>
      <c r="E37" s="23"/>
      <c r="F37" s="30"/>
      <c r="G37" s="30"/>
      <c r="H37" s="20"/>
      <c r="I37" s="21"/>
      <c r="J37" s="20"/>
      <c r="K37" s="21"/>
      <c r="L37" s="21"/>
      <c r="M37" s="21"/>
      <c r="N37" s="21"/>
      <c r="O37" s="21"/>
      <c r="P37" s="21"/>
      <c r="Q37" s="23"/>
    </row>
    <row r="38" spans="1:17" x14ac:dyDescent="0.2">
      <c r="A38" s="23"/>
      <c r="B38" s="23"/>
      <c r="C38" s="23"/>
      <c r="D38" s="23"/>
      <c r="E38" s="23"/>
      <c r="F38" s="20"/>
      <c r="G38" s="20"/>
      <c r="H38" s="20"/>
      <c r="I38" s="21"/>
      <c r="J38" s="20"/>
      <c r="K38" s="21"/>
      <c r="L38" s="21"/>
      <c r="M38" s="21"/>
      <c r="N38" s="21"/>
      <c r="O38" s="21"/>
      <c r="P38" s="21"/>
      <c r="Q38" s="23"/>
    </row>
    <row r="39" spans="1:17" x14ac:dyDescent="0.2">
      <c r="A39" s="23"/>
      <c r="B39" s="23"/>
      <c r="C39" s="23"/>
      <c r="D39" s="23"/>
      <c r="E39" s="23"/>
      <c r="F39" s="20"/>
      <c r="G39" s="20"/>
      <c r="H39" s="20"/>
      <c r="I39" s="21"/>
      <c r="J39" s="20"/>
      <c r="K39" s="21"/>
      <c r="L39" s="21"/>
      <c r="M39" s="21"/>
      <c r="N39" s="21"/>
      <c r="O39" s="21"/>
      <c r="P39" s="21"/>
      <c r="Q39" s="23"/>
    </row>
    <row r="40" spans="1:17" x14ac:dyDescent="0.2">
      <c r="A40" s="23"/>
      <c r="B40" s="23"/>
      <c r="C40" s="23"/>
      <c r="D40" s="23"/>
      <c r="E40" s="23"/>
      <c r="F40" s="20"/>
      <c r="G40" s="20"/>
      <c r="H40" s="20"/>
      <c r="I40" s="21"/>
      <c r="J40" s="20"/>
      <c r="K40" s="21"/>
      <c r="L40" s="21"/>
      <c r="M40" s="21"/>
      <c r="N40" s="21"/>
      <c r="O40" s="21"/>
      <c r="P40" s="21"/>
      <c r="Q40" s="23"/>
    </row>
    <row r="41" spans="1:17" x14ac:dyDescent="0.2">
      <c r="A41" s="23"/>
      <c r="B41" s="23"/>
      <c r="C41" s="23"/>
      <c r="D41" s="23"/>
      <c r="E41" s="23"/>
      <c r="F41" s="20"/>
      <c r="G41" s="20"/>
      <c r="H41" s="20"/>
      <c r="I41" s="21"/>
      <c r="J41" s="20"/>
      <c r="K41" s="21"/>
      <c r="L41" s="21"/>
      <c r="M41" s="21"/>
      <c r="N41" s="21"/>
      <c r="O41" s="21"/>
      <c r="P41" s="21"/>
      <c r="Q41" s="23"/>
    </row>
    <row r="42" spans="1:17" x14ac:dyDescent="0.2">
      <c r="A42" s="23"/>
      <c r="B42" s="23"/>
      <c r="C42" s="23"/>
      <c r="D42" s="23"/>
      <c r="E42" s="23"/>
      <c r="F42" s="30"/>
      <c r="G42" s="30"/>
      <c r="H42" s="20"/>
      <c r="I42" s="21"/>
      <c r="J42" s="20"/>
      <c r="K42" s="21"/>
      <c r="L42" s="21"/>
      <c r="M42" s="21"/>
      <c r="N42" s="21"/>
      <c r="O42" s="21"/>
      <c r="P42" s="21"/>
      <c r="Q42" s="23"/>
    </row>
    <row r="43" spans="1:17" x14ac:dyDescent="0.2">
      <c r="A43" s="23"/>
      <c r="B43" s="23"/>
      <c r="C43" s="23"/>
      <c r="D43" s="23"/>
      <c r="E43" s="23"/>
      <c r="F43" s="20"/>
      <c r="G43" s="20"/>
      <c r="H43" s="20"/>
      <c r="I43" s="21"/>
      <c r="J43" s="20"/>
      <c r="K43" s="21"/>
      <c r="L43" s="21"/>
      <c r="M43" s="21"/>
      <c r="N43" s="21"/>
      <c r="O43" s="21"/>
      <c r="P43" s="21"/>
      <c r="Q43" s="23"/>
    </row>
    <row r="44" spans="1:17" x14ac:dyDescent="0.2">
      <c r="A44" s="23"/>
      <c r="B44" s="23"/>
      <c r="C44" s="23"/>
      <c r="D44" s="23"/>
      <c r="E44" s="23"/>
      <c r="F44" s="20"/>
      <c r="G44" s="20"/>
      <c r="H44" s="20"/>
      <c r="I44" s="21"/>
      <c r="J44" s="20"/>
      <c r="K44" s="21"/>
      <c r="L44" s="21"/>
      <c r="M44" s="21"/>
      <c r="N44" s="21"/>
      <c r="O44" s="21"/>
      <c r="P44" s="21"/>
      <c r="Q44" s="23"/>
    </row>
    <row r="45" spans="1:17" x14ac:dyDescent="0.2">
      <c r="A45" s="23"/>
      <c r="B45" s="23"/>
      <c r="C45" s="23"/>
      <c r="D45" s="23"/>
      <c r="E45" s="23"/>
      <c r="F45" s="30"/>
      <c r="G45" s="30"/>
      <c r="H45" s="20"/>
      <c r="I45" s="21"/>
      <c r="J45" s="20"/>
      <c r="K45" s="21"/>
      <c r="L45" s="21"/>
      <c r="M45" s="21"/>
      <c r="N45" s="21"/>
      <c r="O45" s="21"/>
      <c r="P45" s="21"/>
      <c r="Q45" s="23"/>
    </row>
    <row r="46" spans="1:17" x14ac:dyDescent="0.2">
      <c r="A46" s="23"/>
      <c r="B46" s="23"/>
      <c r="C46" s="23"/>
      <c r="D46" s="23"/>
      <c r="E46" s="23"/>
      <c r="F46" s="20"/>
      <c r="G46" s="20"/>
      <c r="H46" s="20"/>
      <c r="I46" s="21"/>
      <c r="J46" s="20"/>
      <c r="K46" s="21"/>
      <c r="L46" s="21"/>
      <c r="M46" s="21"/>
      <c r="N46" s="21"/>
      <c r="O46" s="21"/>
      <c r="P46" s="21"/>
      <c r="Q46" s="23"/>
    </row>
    <row r="47" spans="1:17" x14ac:dyDescent="0.2">
      <c r="A47" s="23"/>
      <c r="B47" s="23"/>
      <c r="C47" s="23"/>
      <c r="D47" s="23"/>
      <c r="E47" s="23"/>
      <c r="F47" s="20"/>
      <c r="G47" s="20"/>
      <c r="H47" s="20"/>
      <c r="I47" s="21"/>
      <c r="J47" s="20"/>
      <c r="K47" s="21"/>
      <c r="L47" s="21"/>
      <c r="M47" s="21"/>
      <c r="N47" s="21"/>
      <c r="O47" s="21"/>
      <c r="P47" s="21"/>
      <c r="Q47" s="23"/>
    </row>
    <row r="48" spans="1:17" x14ac:dyDescent="0.2">
      <c r="A48" s="23"/>
      <c r="B48" s="23"/>
      <c r="C48" s="23"/>
      <c r="D48" s="23"/>
      <c r="E48" s="23"/>
      <c r="F48" s="20"/>
      <c r="G48" s="20"/>
      <c r="H48" s="20"/>
      <c r="I48" s="21"/>
      <c r="J48" s="20"/>
      <c r="K48" s="21"/>
      <c r="L48" s="21"/>
      <c r="M48" s="21"/>
      <c r="N48" s="21"/>
      <c r="O48" s="21"/>
      <c r="P48" s="21"/>
      <c r="Q48" s="23"/>
    </row>
    <row r="49" spans="1:17" x14ac:dyDescent="0.2">
      <c r="A49" s="23"/>
      <c r="B49" s="23"/>
      <c r="C49" s="23"/>
      <c r="D49" s="23"/>
      <c r="E49" s="23"/>
      <c r="F49" s="20"/>
      <c r="G49" s="20"/>
      <c r="H49" s="20"/>
      <c r="I49" s="21"/>
      <c r="J49" s="20"/>
      <c r="K49" s="21"/>
      <c r="L49" s="21"/>
      <c r="M49" s="21"/>
      <c r="N49" s="21"/>
      <c r="O49" s="21"/>
      <c r="P49" s="21"/>
      <c r="Q49" s="23"/>
    </row>
    <row r="50" spans="1:17" x14ac:dyDescent="0.2">
      <c r="A50" s="23"/>
      <c r="B50" s="23"/>
      <c r="C50" s="23"/>
      <c r="D50" s="23"/>
      <c r="E50" s="23"/>
      <c r="F50" s="30"/>
      <c r="G50" s="30"/>
      <c r="H50" s="20"/>
      <c r="I50" s="21"/>
      <c r="J50" s="20"/>
      <c r="K50" s="21"/>
      <c r="L50" s="21"/>
      <c r="M50" s="21"/>
      <c r="N50" s="21"/>
      <c r="O50" s="21"/>
      <c r="P50" s="21"/>
      <c r="Q50" s="23"/>
    </row>
    <row r="51" spans="1:17" x14ac:dyDescent="0.2">
      <c r="A51" s="23"/>
      <c r="B51" s="23"/>
      <c r="C51" s="23"/>
      <c r="D51" s="23"/>
      <c r="E51" s="23"/>
      <c r="F51" s="20"/>
      <c r="G51" s="20"/>
      <c r="H51" s="20"/>
      <c r="I51" s="21"/>
      <c r="J51" s="20"/>
      <c r="K51" s="21"/>
      <c r="L51" s="21"/>
      <c r="M51" s="21"/>
      <c r="N51" s="21"/>
      <c r="O51" s="21"/>
      <c r="P51" s="21"/>
      <c r="Q51" s="23"/>
    </row>
    <row r="52" spans="1:17" x14ac:dyDescent="0.2">
      <c r="A52" s="23"/>
      <c r="B52" s="23"/>
      <c r="C52" s="23"/>
      <c r="D52" s="23"/>
      <c r="E52" s="23"/>
      <c r="F52" s="20"/>
      <c r="G52" s="20"/>
      <c r="H52" s="20"/>
      <c r="I52" s="21"/>
      <c r="J52" s="20"/>
      <c r="K52" s="21"/>
      <c r="L52" s="21"/>
      <c r="M52" s="21"/>
      <c r="N52" s="21"/>
      <c r="O52" s="21"/>
      <c r="P52" s="21"/>
      <c r="Q52" s="23"/>
    </row>
    <row r="53" spans="1:17" x14ac:dyDescent="0.2">
      <c r="A53" s="23"/>
      <c r="B53" s="23"/>
      <c r="C53" s="23"/>
      <c r="D53" s="23"/>
      <c r="E53" s="23"/>
      <c r="F53" s="20"/>
      <c r="G53" s="20"/>
      <c r="H53" s="20"/>
      <c r="I53" s="21"/>
      <c r="J53" s="20"/>
      <c r="K53" s="21"/>
      <c r="L53" s="21"/>
      <c r="M53" s="21"/>
      <c r="N53" s="21"/>
      <c r="O53" s="21"/>
      <c r="P53" s="21"/>
      <c r="Q53" s="23"/>
    </row>
    <row r="54" spans="1:17" x14ac:dyDescent="0.2">
      <c r="A54" s="23"/>
      <c r="B54" s="23"/>
      <c r="C54" s="23"/>
      <c r="D54" s="23"/>
      <c r="E54" s="23"/>
      <c r="F54" s="20"/>
      <c r="G54" s="20"/>
      <c r="H54" s="20"/>
      <c r="I54" s="21"/>
      <c r="J54" s="20"/>
      <c r="K54" s="21"/>
      <c r="L54" s="21"/>
      <c r="M54" s="21"/>
      <c r="N54" s="21"/>
      <c r="O54" s="21"/>
      <c r="P54" s="21"/>
      <c r="Q54" s="23"/>
    </row>
    <row r="55" spans="1:17" x14ac:dyDescent="0.2">
      <c r="A55" s="23"/>
      <c r="B55" s="23"/>
      <c r="C55" s="23"/>
      <c r="D55" s="23"/>
      <c r="E55" s="23"/>
      <c r="F55" s="30"/>
      <c r="G55" s="30"/>
      <c r="H55" s="20"/>
      <c r="I55" s="21"/>
      <c r="J55" s="20"/>
      <c r="K55" s="21"/>
      <c r="L55" s="21"/>
      <c r="M55" s="21"/>
      <c r="N55" s="21"/>
      <c r="O55" s="21"/>
      <c r="P55" s="21"/>
      <c r="Q55" s="23"/>
    </row>
    <row r="56" spans="1:17" x14ac:dyDescent="0.2">
      <c r="A56" s="23"/>
      <c r="B56" s="23"/>
      <c r="C56" s="23"/>
      <c r="D56" s="23"/>
      <c r="E56" s="23"/>
      <c r="F56" s="20"/>
      <c r="G56" s="20"/>
      <c r="H56" s="20"/>
      <c r="I56" s="21"/>
      <c r="J56" s="20"/>
      <c r="K56" s="21"/>
      <c r="L56" s="21"/>
      <c r="M56" s="21"/>
      <c r="N56" s="21"/>
      <c r="O56" s="21"/>
      <c r="P56" s="21"/>
      <c r="Q56" s="23"/>
    </row>
    <row r="57" spans="1:17" x14ac:dyDescent="0.2">
      <c r="A57" s="23"/>
      <c r="B57" s="23"/>
      <c r="C57" s="23"/>
      <c r="D57" s="23"/>
      <c r="E57" s="23"/>
      <c r="F57" s="20"/>
      <c r="G57" s="20"/>
      <c r="H57" s="20"/>
      <c r="I57" s="21"/>
      <c r="J57" s="20"/>
      <c r="K57" s="21"/>
      <c r="L57" s="21"/>
      <c r="M57" s="21"/>
      <c r="N57" s="21"/>
      <c r="O57" s="21"/>
      <c r="P57" s="21"/>
      <c r="Q57" s="23"/>
    </row>
    <row r="58" spans="1:17" x14ac:dyDescent="0.2">
      <c r="A58" s="23"/>
      <c r="B58" s="23"/>
      <c r="C58" s="23"/>
      <c r="D58" s="23"/>
      <c r="E58" s="23"/>
      <c r="F58" s="20"/>
      <c r="G58" s="20"/>
      <c r="H58" s="20"/>
      <c r="I58" s="21"/>
      <c r="J58" s="20"/>
      <c r="K58" s="21"/>
      <c r="L58" s="21"/>
      <c r="M58" s="21"/>
      <c r="N58" s="21"/>
      <c r="O58" s="21"/>
      <c r="P58" s="21"/>
      <c r="Q58" s="23"/>
    </row>
    <row r="59" spans="1:17" x14ac:dyDescent="0.2">
      <c r="A59" s="23"/>
      <c r="B59" s="23"/>
      <c r="C59" s="23"/>
      <c r="D59" s="23"/>
      <c r="E59" s="23"/>
      <c r="F59" s="20"/>
      <c r="G59" s="20"/>
      <c r="H59" s="20"/>
      <c r="I59" s="21"/>
      <c r="J59" s="20"/>
      <c r="K59" s="21"/>
      <c r="L59" s="21"/>
      <c r="M59" s="21"/>
      <c r="N59" s="21"/>
      <c r="O59" s="21"/>
      <c r="P59" s="21"/>
      <c r="Q59" s="23"/>
    </row>
    <row r="60" spans="1:17" x14ac:dyDescent="0.2">
      <c r="A60" s="23"/>
      <c r="B60" s="23"/>
      <c r="C60" s="23"/>
      <c r="D60" s="23"/>
      <c r="E60" s="23"/>
      <c r="F60" s="30"/>
      <c r="G60" s="30"/>
      <c r="H60" s="20"/>
      <c r="I60" s="21"/>
      <c r="J60" s="20"/>
      <c r="K60" s="21"/>
      <c r="L60" s="21"/>
      <c r="M60" s="21"/>
      <c r="N60" s="21"/>
      <c r="O60" s="21"/>
      <c r="P60" s="21"/>
      <c r="Q60" s="23"/>
    </row>
    <row r="61" spans="1:17" x14ac:dyDescent="0.2">
      <c r="A61" s="23"/>
      <c r="B61" s="23"/>
      <c r="C61" s="23"/>
      <c r="D61" s="23"/>
      <c r="E61" s="23"/>
      <c r="F61" s="20"/>
      <c r="G61" s="20"/>
      <c r="H61" s="20"/>
      <c r="I61" s="21"/>
      <c r="J61" s="20"/>
      <c r="K61" s="21"/>
      <c r="L61" s="21"/>
      <c r="M61" s="21"/>
      <c r="N61" s="21"/>
      <c r="O61" s="21"/>
      <c r="P61" s="21"/>
      <c r="Q61" s="23"/>
    </row>
    <row r="62" spans="1:17" x14ac:dyDescent="0.2">
      <c r="A62" s="23"/>
      <c r="B62" s="23"/>
      <c r="C62" s="23"/>
      <c r="D62" s="23"/>
      <c r="E62" s="23"/>
      <c r="F62" s="20"/>
      <c r="G62" s="20"/>
      <c r="H62" s="20"/>
      <c r="I62" s="21"/>
      <c r="J62" s="20"/>
      <c r="K62" s="21"/>
      <c r="L62" s="21"/>
      <c r="M62" s="21"/>
      <c r="N62" s="21"/>
      <c r="O62" s="21"/>
      <c r="P62" s="21"/>
      <c r="Q62" s="23"/>
    </row>
    <row r="63" spans="1:17" x14ac:dyDescent="0.2">
      <c r="A63" s="23"/>
      <c r="B63" s="23"/>
      <c r="C63" s="23"/>
      <c r="D63" s="23"/>
      <c r="E63" s="23"/>
      <c r="F63" s="20"/>
      <c r="G63" s="20"/>
      <c r="H63" s="20"/>
      <c r="I63" s="21"/>
      <c r="J63" s="20"/>
      <c r="K63" s="21"/>
      <c r="L63" s="21"/>
      <c r="M63" s="21"/>
      <c r="N63" s="21"/>
      <c r="O63" s="21"/>
      <c r="P63" s="21"/>
      <c r="Q63" s="23"/>
    </row>
    <row r="64" spans="1:17" x14ac:dyDescent="0.2">
      <c r="A64" s="23"/>
      <c r="B64" s="23"/>
      <c r="C64" s="23"/>
      <c r="D64" s="23"/>
      <c r="E64" s="23"/>
      <c r="F64" s="20"/>
      <c r="G64" s="20"/>
      <c r="H64" s="20"/>
      <c r="I64" s="21"/>
      <c r="J64" s="20"/>
      <c r="K64" s="21"/>
      <c r="L64" s="21"/>
      <c r="M64" s="21"/>
      <c r="N64" s="21"/>
      <c r="O64" s="21"/>
      <c r="P64" s="21"/>
      <c r="Q64" s="23"/>
    </row>
    <row r="65" spans="1:17" x14ac:dyDescent="0.2">
      <c r="A65" s="23"/>
      <c r="B65" s="23"/>
      <c r="C65" s="23"/>
      <c r="D65" s="17"/>
      <c r="E65" s="17"/>
      <c r="F65" s="30"/>
      <c r="G65" s="30"/>
      <c r="H65" s="20"/>
      <c r="I65" s="21"/>
      <c r="J65" s="20"/>
      <c r="K65" s="21"/>
      <c r="L65" s="21"/>
      <c r="M65" s="21"/>
      <c r="N65" s="21"/>
      <c r="O65" s="20"/>
      <c r="P65" s="21"/>
      <c r="Q65" s="23"/>
    </row>
    <row r="66" spans="1:17" x14ac:dyDescent="0.2">
      <c r="A66" s="23"/>
      <c r="B66" s="23"/>
      <c r="C66" s="23"/>
      <c r="D66" s="17"/>
      <c r="E66" s="17"/>
      <c r="F66" s="20"/>
      <c r="G66" s="20"/>
      <c r="H66" s="20"/>
      <c r="I66" s="21"/>
      <c r="J66" s="20"/>
      <c r="K66" s="21"/>
      <c r="L66" s="21"/>
      <c r="M66" s="21"/>
      <c r="N66" s="21"/>
      <c r="O66" s="21"/>
      <c r="P66" s="21"/>
      <c r="Q66" s="23"/>
    </row>
    <row r="67" spans="1:17" x14ac:dyDescent="0.2">
      <c r="A67" s="23"/>
      <c r="B67" s="23"/>
      <c r="C67" s="23"/>
      <c r="D67" s="17"/>
      <c r="E67" s="17"/>
      <c r="F67" s="20"/>
      <c r="G67" s="20"/>
      <c r="H67" s="20"/>
      <c r="I67" s="21"/>
      <c r="J67" s="20"/>
      <c r="K67" s="21"/>
      <c r="L67" s="21"/>
      <c r="M67" s="21"/>
      <c r="N67" s="21"/>
      <c r="O67" s="21"/>
      <c r="P67" s="21"/>
      <c r="Q67" s="23"/>
    </row>
    <row r="68" spans="1:17" x14ac:dyDescent="0.2">
      <c r="A68" s="23"/>
      <c r="B68" s="23"/>
      <c r="C68" s="23"/>
      <c r="D68" s="17"/>
      <c r="E68" s="17"/>
      <c r="F68" s="20"/>
      <c r="G68" s="20"/>
      <c r="H68" s="20"/>
      <c r="I68" s="21"/>
      <c r="J68" s="20"/>
      <c r="K68" s="21"/>
      <c r="L68" s="21"/>
      <c r="M68" s="21"/>
      <c r="N68" s="21"/>
      <c r="O68" s="21"/>
      <c r="P68" s="21"/>
      <c r="Q68" s="23"/>
    </row>
    <row r="69" spans="1:17" x14ac:dyDescent="0.2">
      <c r="A69" s="23"/>
      <c r="B69" s="23"/>
      <c r="C69" s="23"/>
      <c r="D69" s="17"/>
      <c r="E69" s="17"/>
      <c r="F69" s="20"/>
      <c r="G69" s="20"/>
      <c r="H69" s="20"/>
      <c r="I69" s="21"/>
      <c r="J69" s="20"/>
      <c r="K69" s="21"/>
      <c r="L69" s="21"/>
      <c r="M69" s="21"/>
      <c r="N69" s="21"/>
      <c r="O69" s="21"/>
      <c r="P69" s="21"/>
      <c r="Q69" s="23"/>
    </row>
    <row r="70" spans="1:17" x14ac:dyDescent="0.2">
      <c r="A70" s="23"/>
      <c r="B70" s="23"/>
      <c r="C70" s="23"/>
      <c r="D70" s="17"/>
      <c r="E70" s="17"/>
      <c r="F70" s="20"/>
      <c r="G70" s="20"/>
      <c r="H70" s="20"/>
      <c r="I70" s="21"/>
      <c r="J70" s="20"/>
      <c r="K70" s="21"/>
      <c r="L70" s="21"/>
      <c r="M70" s="21"/>
      <c r="N70" s="21"/>
      <c r="O70" s="21"/>
      <c r="P70" s="21"/>
      <c r="Q70" s="23"/>
    </row>
    <row r="71" spans="1:17" x14ac:dyDescent="0.2">
      <c r="A71" s="23"/>
      <c r="B71" s="23"/>
      <c r="C71" s="23"/>
      <c r="D71" s="17"/>
      <c r="E71" s="17"/>
      <c r="F71" s="20"/>
      <c r="G71" s="20"/>
      <c r="H71" s="20"/>
      <c r="I71" s="21"/>
      <c r="J71" s="20"/>
      <c r="K71" s="21"/>
      <c r="L71" s="21"/>
      <c r="M71" s="21"/>
      <c r="N71" s="21"/>
      <c r="O71" s="21"/>
      <c r="P71" s="21"/>
      <c r="Q71" s="23"/>
    </row>
    <row r="72" spans="1:17" x14ac:dyDescent="0.2">
      <c r="A72" s="23"/>
      <c r="B72" s="23"/>
      <c r="C72" s="23"/>
      <c r="D72" s="23"/>
      <c r="E72" s="23"/>
      <c r="F72" s="30"/>
      <c r="G72" s="30"/>
      <c r="H72" s="20"/>
      <c r="I72" s="21"/>
      <c r="J72" s="20"/>
      <c r="K72" s="21"/>
      <c r="L72" s="21"/>
      <c r="M72" s="21"/>
      <c r="N72" s="21"/>
      <c r="O72" s="20"/>
      <c r="P72" s="21"/>
      <c r="Q72" s="23"/>
    </row>
    <row r="73" spans="1:17" x14ac:dyDescent="0.2">
      <c r="A73" s="23"/>
      <c r="B73" s="23"/>
      <c r="C73" s="23"/>
      <c r="D73" s="23"/>
      <c r="E73" s="23"/>
      <c r="F73" s="20"/>
      <c r="G73" s="20"/>
      <c r="H73" s="20"/>
      <c r="I73" s="21"/>
      <c r="J73" s="20"/>
      <c r="K73" s="21"/>
      <c r="L73" s="21"/>
      <c r="M73" s="21"/>
      <c r="N73" s="21"/>
      <c r="O73" s="21"/>
      <c r="P73" s="21"/>
      <c r="Q73" s="23"/>
    </row>
    <row r="74" spans="1:17" x14ac:dyDescent="0.2">
      <c r="A74" s="23"/>
      <c r="B74" s="23"/>
      <c r="C74" s="23"/>
      <c r="D74" s="23"/>
      <c r="E74" s="23"/>
      <c r="F74" s="20"/>
      <c r="G74" s="20"/>
      <c r="H74" s="20"/>
      <c r="I74" s="21"/>
      <c r="J74" s="20"/>
      <c r="K74" s="21"/>
      <c r="L74" s="21"/>
      <c r="M74" s="21"/>
      <c r="N74" s="21"/>
      <c r="O74" s="21"/>
      <c r="P74" s="21"/>
      <c r="Q74" s="23"/>
    </row>
    <row r="75" spans="1:17" x14ac:dyDescent="0.2">
      <c r="A75" s="23"/>
      <c r="B75" s="23"/>
      <c r="C75" s="23"/>
      <c r="D75" s="23"/>
      <c r="E75" s="23"/>
      <c r="F75" s="20"/>
      <c r="G75" s="20"/>
      <c r="H75" s="20"/>
      <c r="I75" s="21"/>
      <c r="J75" s="20"/>
      <c r="K75" s="21"/>
      <c r="L75" s="21"/>
      <c r="M75" s="21"/>
      <c r="N75" s="21"/>
      <c r="O75" s="21"/>
      <c r="P75" s="21"/>
      <c r="Q75" s="23"/>
    </row>
    <row r="76" spans="1:17" x14ac:dyDescent="0.2">
      <c r="A76" s="23"/>
      <c r="B76" s="23"/>
      <c r="C76" s="23"/>
      <c r="D76" s="23"/>
      <c r="E76" s="23"/>
      <c r="F76" s="20"/>
      <c r="G76" s="20"/>
      <c r="H76" s="20"/>
      <c r="I76" s="21"/>
      <c r="J76" s="20"/>
      <c r="K76" s="21"/>
      <c r="L76" s="21"/>
      <c r="M76" s="21"/>
      <c r="N76" s="21"/>
      <c r="O76" s="21"/>
      <c r="P76" s="21"/>
      <c r="Q76" s="23"/>
    </row>
    <row r="77" spans="1:17" x14ac:dyDescent="0.2">
      <c r="A77" s="23"/>
      <c r="B77" s="23"/>
      <c r="C77" s="23"/>
      <c r="D77" s="23"/>
      <c r="E77" s="23"/>
      <c r="F77" s="20"/>
      <c r="G77" s="20"/>
      <c r="H77" s="20"/>
      <c r="I77" s="21"/>
      <c r="J77" s="20"/>
      <c r="K77" s="21"/>
      <c r="L77" s="21"/>
      <c r="M77" s="21"/>
      <c r="N77" s="21"/>
      <c r="O77" s="21"/>
      <c r="P77" s="21"/>
      <c r="Q77" s="23"/>
    </row>
    <row r="78" spans="1:17" x14ac:dyDescent="0.2">
      <c r="A78" s="23"/>
      <c r="B78" s="23"/>
      <c r="C78" s="23"/>
      <c r="D78" s="23"/>
      <c r="E78" s="23"/>
      <c r="F78" s="20"/>
      <c r="G78" s="20"/>
      <c r="H78" s="20"/>
      <c r="I78" s="21"/>
      <c r="J78" s="20"/>
      <c r="K78" s="21"/>
      <c r="L78" s="21"/>
      <c r="M78" s="21"/>
      <c r="N78" s="21"/>
      <c r="O78" s="21"/>
      <c r="P78" s="21"/>
      <c r="Q78" s="23"/>
    </row>
    <row r="81" spans="1:25" x14ac:dyDescent="0.2">
      <c r="A81" t="s">
        <v>37</v>
      </c>
      <c r="C81" s="232" t="s">
        <v>269</v>
      </c>
      <c r="D81" s="233"/>
      <c r="E81" s="233"/>
      <c r="F81" s="233"/>
      <c r="G81" s="233"/>
      <c r="H81" s="233"/>
      <c r="I81" s="233"/>
      <c r="J81" s="233"/>
      <c r="K81" s="233"/>
      <c r="L81" s="233"/>
      <c r="M81" s="234"/>
      <c r="N81" s="111"/>
    </row>
    <row r="82" spans="1:25" x14ac:dyDescent="0.2">
      <c r="C82" s="235"/>
      <c r="D82" s="236"/>
      <c r="E82" s="236"/>
      <c r="F82" s="236"/>
      <c r="G82" s="236"/>
      <c r="H82" s="236"/>
      <c r="I82" s="236"/>
      <c r="J82" s="236"/>
      <c r="K82" s="236"/>
      <c r="L82" s="236"/>
      <c r="M82" s="237"/>
      <c r="N82" s="111"/>
    </row>
    <row r="83" spans="1:25" x14ac:dyDescent="0.2">
      <c r="C83" s="238"/>
      <c r="D83" s="239"/>
      <c r="E83" s="239"/>
      <c r="F83" s="239"/>
      <c r="G83" s="239"/>
      <c r="H83" s="239"/>
      <c r="I83" s="239"/>
      <c r="J83" s="239"/>
      <c r="K83" s="239"/>
      <c r="L83" s="239"/>
      <c r="M83" s="240"/>
      <c r="N83" s="111"/>
    </row>
    <row r="84" spans="1:25" x14ac:dyDescent="0.2">
      <c r="C84" s="14"/>
      <c r="D84" s="14"/>
      <c r="E84" s="14"/>
      <c r="F84" s="14"/>
      <c r="G84" s="14"/>
      <c r="H84" s="14"/>
      <c r="I84" s="14"/>
      <c r="J84" s="14"/>
      <c r="K84" s="14"/>
      <c r="L84" s="14"/>
    </row>
    <row r="85" spans="1:25" x14ac:dyDescent="0.2">
      <c r="C85" s="232"/>
      <c r="D85" s="233"/>
      <c r="E85" s="233"/>
      <c r="F85" s="233"/>
      <c r="G85" s="233"/>
      <c r="H85" s="233"/>
      <c r="I85" s="233"/>
      <c r="J85" s="233"/>
      <c r="K85" s="233"/>
      <c r="L85" s="233"/>
      <c r="M85" s="233"/>
      <c r="N85" s="233"/>
      <c r="O85" s="233"/>
      <c r="P85" s="234"/>
    </row>
    <row r="86" spans="1:25" x14ac:dyDescent="0.2">
      <c r="C86" s="235"/>
      <c r="D86" s="236"/>
      <c r="E86" s="236"/>
      <c r="F86" s="236"/>
      <c r="G86" s="236"/>
      <c r="H86" s="236"/>
      <c r="I86" s="236"/>
      <c r="J86" s="236"/>
      <c r="K86" s="236"/>
      <c r="L86" s="236"/>
      <c r="M86" s="236"/>
      <c r="N86" s="236"/>
      <c r="O86" s="236"/>
      <c r="P86" s="237"/>
      <c r="Q86" s="241"/>
      <c r="R86" s="241"/>
      <c r="S86" s="241"/>
      <c r="T86" s="241"/>
      <c r="U86" s="241"/>
      <c r="V86" s="241"/>
      <c r="X86" s="241"/>
      <c r="Y86" s="241"/>
    </row>
    <row r="87" spans="1:25" x14ac:dyDescent="0.2">
      <c r="C87" s="238"/>
      <c r="D87" s="239"/>
      <c r="E87" s="239"/>
      <c r="F87" s="239"/>
      <c r="G87" s="239"/>
      <c r="H87" s="239"/>
      <c r="I87" s="239"/>
      <c r="J87" s="239"/>
      <c r="K87" s="239"/>
      <c r="L87" s="239"/>
      <c r="M87" s="239"/>
      <c r="N87" s="239"/>
      <c r="O87" s="239"/>
      <c r="P87" s="240"/>
      <c r="Q87" s="107"/>
      <c r="R87" s="107"/>
      <c r="U87" s="107"/>
      <c r="V87" s="107"/>
    </row>
    <row r="88" spans="1:25" x14ac:dyDescent="0.2">
      <c r="C88" s="109"/>
      <c r="D88" s="109"/>
      <c r="E88" s="109"/>
      <c r="F88" s="109"/>
      <c r="G88" s="109"/>
      <c r="H88" s="109"/>
      <c r="I88" s="109"/>
      <c r="J88" s="109"/>
      <c r="K88" s="109"/>
      <c r="L88" s="109"/>
      <c r="M88" s="109"/>
      <c r="N88" s="109"/>
      <c r="O88" s="109"/>
      <c r="P88" s="109"/>
      <c r="Q88" s="107"/>
      <c r="R88" s="107"/>
      <c r="U88" s="107"/>
      <c r="V88" s="107"/>
    </row>
    <row r="89" spans="1:25" x14ac:dyDescent="0.2">
      <c r="O89"/>
      <c r="P89" s="11"/>
      <c r="Q89" s="107"/>
      <c r="R89" s="11"/>
      <c r="T89" s="11"/>
      <c r="V89" s="11"/>
    </row>
    <row r="90" spans="1:25" x14ac:dyDescent="0.2">
      <c r="A90" s="1"/>
      <c r="B90" s="1"/>
      <c r="O90"/>
      <c r="P90" s="11"/>
      <c r="Q90" s="107"/>
      <c r="R90" s="11"/>
      <c r="T90" s="11"/>
      <c r="V90" s="11"/>
    </row>
    <row r="91" spans="1:25" x14ac:dyDescent="0.2">
      <c r="A91" s="1"/>
      <c r="B91" s="1"/>
      <c r="P91" s="11"/>
      <c r="Q91" s="107"/>
      <c r="R91" s="11"/>
      <c r="T91" s="11"/>
      <c r="V91" s="11"/>
    </row>
    <row r="92" spans="1:25" x14ac:dyDescent="0.2">
      <c r="P92" s="11"/>
      <c r="Q92" s="107"/>
      <c r="R92" s="11"/>
      <c r="T92" s="11"/>
      <c r="V92" s="11"/>
    </row>
    <row r="93" spans="1:25" x14ac:dyDescent="0.2">
      <c r="P93" s="11"/>
      <c r="Q93" s="107"/>
      <c r="R93" s="11"/>
      <c r="T93" s="11"/>
      <c r="V93" s="11"/>
    </row>
    <row r="94" spans="1:25" x14ac:dyDescent="0.2">
      <c r="P94" s="11"/>
      <c r="Q94" s="107"/>
      <c r="R94" s="11"/>
      <c r="T94" s="11"/>
      <c r="V94" s="11"/>
    </row>
  </sheetData>
  <mergeCells count="8">
    <mergeCell ref="K3:M3"/>
    <mergeCell ref="S3:Y10"/>
    <mergeCell ref="C81:M83"/>
    <mergeCell ref="C85:P87"/>
    <mergeCell ref="Q86:R86"/>
    <mergeCell ref="S86:T86"/>
    <mergeCell ref="U86:V86"/>
    <mergeCell ref="X86:Y86"/>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C94"/>
  <sheetViews>
    <sheetView topLeftCell="X1" workbookViewId="0">
      <selection activeCell="AG36" sqref="AG36"/>
    </sheetView>
  </sheetViews>
  <sheetFormatPr baseColWidth="10" defaultColWidth="8.83203125" defaultRowHeight="15" x14ac:dyDescent="0.2"/>
  <cols>
    <col min="1" max="1" width="20.6640625" customWidth="1"/>
    <col min="2" max="2" width="30.33203125" customWidth="1"/>
    <col min="3" max="3" width="16.33203125" customWidth="1"/>
    <col min="4" max="4" width="10.1640625" customWidth="1"/>
    <col min="5" max="5" width="13.5" customWidth="1"/>
    <col min="6" max="6" width="13.5" style="130" customWidth="1"/>
    <col min="7" max="7" width="11.6640625" style="130" customWidth="1"/>
    <col min="8" max="8" width="10.1640625" style="130" customWidth="1"/>
    <col min="9" max="9" width="12.33203125" style="133" customWidth="1"/>
    <col min="10" max="10" width="18" style="130" customWidth="1"/>
    <col min="11" max="11" width="17.33203125" style="133" customWidth="1"/>
    <col min="12" max="12" width="13.5" style="133" customWidth="1"/>
    <col min="13" max="14" width="10.1640625" style="133" customWidth="1"/>
    <col min="15" max="15" width="10.1640625" style="130" customWidth="1"/>
    <col min="16" max="16" width="16.33203125" style="130" customWidth="1"/>
    <col min="17" max="17" width="41.33203125" customWidth="1"/>
  </cols>
  <sheetData>
    <row r="3" spans="1:29" ht="30" x14ac:dyDescent="0.2">
      <c r="A3" s="14" t="s">
        <v>0</v>
      </c>
      <c r="B3" s="14"/>
      <c r="C3" s="14"/>
      <c r="D3" s="14" t="s">
        <v>13</v>
      </c>
      <c r="E3" s="14" t="s">
        <v>28</v>
      </c>
      <c r="F3" s="132" t="s">
        <v>1</v>
      </c>
      <c r="G3" s="132" t="s">
        <v>2</v>
      </c>
      <c r="H3" s="132" t="s">
        <v>4</v>
      </c>
      <c r="I3" s="128" t="s">
        <v>8</v>
      </c>
      <c r="J3" s="132" t="s">
        <v>3</v>
      </c>
      <c r="K3" s="230" t="s">
        <v>20</v>
      </c>
      <c r="L3" s="230"/>
      <c r="M3" s="230"/>
      <c r="N3" s="128"/>
      <c r="O3" s="14" t="s">
        <v>21</v>
      </c>
      <c r="P3" s="14"/>
      <c r="Q3" s="14"/>
      <c r="R3" s="14"/>
      <c r="S3" s="231" t="s">
        <v>325</v>
      </c>
      <c r="T3" s="231"/>
      <c r="U3" s="231"/>
      <c r="V3" s="231"/>
      <c r="W3" s="231"/>
      <c r="X3" s="231"/>
      <c r="Y3" s="231"/>
      <c r="Z3" s="14"/>
    </row>
    <row r="4" spans="1:29" x14ac:dyDescent="0.2">
      <c r="A4" s="26"/>
      <c r="B4" s="26" t="s">
        <v>42</v>
      </c>
      <c r="C4" s="26" t="s">
        <v>10</v>
      </c>
      <c r="D4" s="26"/>
      <c r="E4" s="26" t="s">
        <v>27</v>
      </c>
      <c r="F4" s="25"/>
      <c r="G4" s="25"/>
      <c r="H4" s="25" t="s">
        <v>7</v>
      </c>
      <c r="I4" s="27" t="s">
        <v>9</v>
      </c>
      <c r="J4" s="25"/>
      <c r="K4" s="8" t="s">
        <v>55</v>
      </c>
      <c r="L4" s="27" t="s">
        <v>56</v>
      </c>
      <c r="M4" s="27" t="s">
        <v>5</v>
      </c>
      <c r="N4" s="27" t="s">
        <v>55</v>
      </c>
      <c r="O4" s="25" t="s">
        <v>120</v>
      </c>
      <c r="P4" s="25" t="s">
        <v>12</v>
      </c>
      <c r="Q4" s="26" t="s">
        <v>22</v>
      </c>
      <c r="R4" s="14"/>
      <c r="S4" s="231"/>
      <c r="T4" s="231"/>
      <c r="U4" s="231"/>
      <c r="V4" s="231"/>
      <c r="W4" s="231"/>
      <c r="X4" s="231"/>
      <c r="Y4" s="231"/>
      <c r="Z4" s="14"/>
    </row>
    <row r="5" spans="1:29" x14ac:dyDescent="0.2">
      <c r="A5" t="s">
        <v>295</v>
      </c>
      <c r="B5" s="45" t="s">
        <v>302</v>
      </c>
      <c r="C5" t="s">
        <v>296</v>
      </c>
      <c r="F5" s="5"/>
      <c r="G5" s="5"/>
      <c r="H5" s="133">
        <f>L10</f>
        <v>103</v>
      </c>
      <c r="I5" s="133">
        <f>140/1.12</f>
        <v>124.99999999999999</v>
      </c>
      <c r="J5" s="37" t="s">
        <v>74</v>
      </c>
      <c r="L5" s="133">
        <v>0</v>
      </c>
      <c r="M5" s="133">
        <f t="shared" ref="M5:M10" si="0">L5/$L$10*100</f>
        <v>0</v>
      </c>
      <c r="N5" s="133" t="s">
        <v>304</v>
      </c>
      <c r="O5" s="6">
        <v>0</v>
      </c>
      <c r="P5" s="133">
        <f t="shared" ref="P5:P10" si="1">O5/$O$10*100</f>
        <v>0</v>
      </c>
      <c r="S5" s="231"/>
      <c r="T5" s="231"/>
      <c r="U5" s="231"/>
      <c r="V5" s="231"/>
      <c r="W5" s="231"/>
      <c r="X5" s="231"/>
      <c r="Y5" s="231"/>
    </row>
    <row r="6" spans="1:29" x14ac:dyDescent="0.2">
      <c r="A6" s="23"/>
      <c r="B6" s="23"/>
      <c r="C6" s="23"/>
      <c r="D6" s="23"/>
      <c r="E6" s="23"/>
      <c r="F6" s="134"/>
      <c r="G6" s="134"/>
      <c r="H6" s="134"/>
      <c r="I6" s="21"/>
      <c r="J6" s="46" t="s">
        <v>297</v>
      </c>
      <c r="L6" s="21">
        <v>27</v>
      </c>
      <c r="M6" s="133">
        <f t="shared" si="0"/>
        <v>26.21359223300971</v>
      </c>
      <c r="N6" s="21"/>
      <c r="O6" s="96">
        <v>0.84</v>
      </c>
      <c r="P6" s="133">
        <f t="shared" si="1"/>
        <v>3.4653465346534658</v>
      </c>
      <c r="Q6" s="23"/>
      <c r="S6" s="231"/>
      <c r="T6" s="231"/>
      <c r="U6" s="231"/>
      <c r="V6" s="231"/>
      <c r="W6" s="231"/>
      <c r="X6" s="231"/>
      <c r="Y6" s="231"/>
    </row>
    <row r="7" spans="1:29" x14ac:dyDescent="0.2">
      <c r="A7" s="23"/>
      <c r="B7" s="23"/>
      <c r="C7" s="23"/>
      <c r="D7" s="23"/>
      <c r="E7" s="23"/>
      <c r="F7" s="134"/>
      <c r="G7" s="134"/>
      <c r="H7" s="134"/>
      <c r="I7" s="21"/>
      <c r="J7" s="37" t="s">
        <v>298</v>
      </c>
      <c r="L7" s="21">
        <v>47</v>
      </c>
      <c r="M7" s="133">
        <f t="shared" si="0"/>
        <v>45.631067961165051</v>
      </c>
      <c r="N7" s="21"/>
      <c r="O7" s="96">
        <v>2.98</v>
      </c>
      <c r="P7" s="133">
        <f t="shared" si="1"/>
        <v>12.293729372937294</v>
      </c>
      <c r="Q7" s="23"/>
      <c r="S7" s="231"/>
      <c r="T7" s="231"/>
      <c r="U7" s="231"/>
      <c r="V7" s="231"/>
      <c r="W7" s="231"/>
      <c r="X7" s="231"/>
      <c r="Y7" s="231"/>
    </row>
    <row r="8" spans="1:29" x14ac:dyDescent="0.2">
      <c r="A8" s="23"/>
      <c r="B8" s="23"/>
      <c r="C8" s="23"/>
      <c r="D8" s="23"/>
      <c r="E8" s="23"/>
      <c r="F8" s="134"/>
      <c r="G8" s="134"/>
      <c r="H8" s="134"/>
      <c r="I8" s="21"/>
      <c r="J8" s="46" t="s">
        <v>299</v>
      </c>
      <c r="L8" s="21">
        <v>65</v>
      </c>
      <c r="M8" s="133">
        <f t="shared" si="0"/>
        <v>63.10679611650486</v>
      </c>
      <c r="N8" s="21"/>
      <c r="O8" s="96">
        <v>9.64</v>
      </c>
      <c r="P8" s="133">
        <f t="shared" si="1"/>
        <v>39.768976897689775</v>
      </c>
      <c r="Q8" s="23"/>
      <c r="S8" s="231"/>
      <c r="T8" s="231"/>
      <c r="U8" s="231"/>
      <c r="V8" s="231"/>
      <c r="W8" s="231"/>
      <c r="X8" s="231"/>
      <c r="Y8" s="231"/>
    </row>
    <row r="9" spans="1:29" x14ac:dyDescent="0.2">
      <c r="A9" s="23"/>
      <c r="B9" s="23"/>
      <c r="C9" s="29"/>
      <c r="D9" s="23"/>
      <c r="E9" s="23"/>
      <c r="F9" s="134"/>
      <c r="G9" s="134"/>
      <c r="H9" s="134"/>
      <c r="I9" s="21"/>
      <c r="J9" s="46" t="s">
        <v>300</v>
      </c>
      <c r="L9" s="21">
        <f>L8+17</f>
        <v>82</v>
      </c>
      <c r="M9" s="133">
        <f t="shared" si="0"/>
        <v>79.611650485436897</v>
      </c>
      <c r="N9" s="21"/>
      <c r="O9" s="96">
        <v>16.7</v>
      </c>
      <c r="P9" s="133">
        <f t="shared" si="1"/>
        <v>68.89438943894389</v>
      </c>
      <c r="Q9" s="23"/>
      <c r="S9" s="231"/>
      <c r="T9" s="231"/>
      <c r="U9" s="231"/>
      <c r="V9" s="231"/>
      <c r="W9" s="231"/>
      <c r="X9" s="231"/>
      <c r="Y9" s="231"/>
    </row>
    <row r="10" spans="1:29" x14ac:dyDescent="0.2">
      <c r="A10" s="23"/>
      <c r="B10" s="23"/>
      <c r="C10" s="29"/>
      <c r="D10" s="23"/>
      <c r="E10" s="23"/>
      <c r="F10" s="30"/>
      <c r="G10" s="30"/>
      <c r="H10" s="134"/>
      <c r="I10" s="21"/>
      <c r="J10" s="46" t="s">
        <v>301</v>
      </c>
      <c r="L10" s="21">
        <v>103</v>
      </c>
      <c r="M10" s="133">
        <f t="shared" si="0"/>
        <v>100</v>
      </c>
      <c r="N10" s="21"/>
      <c r="O10" s="96">
        <v>24.24</v>
      </c>
      <c r="P10" s="133">
        <f t="shared" si="1"/>
        <v>100</v>
      </c>
      <c r="Q10" s="23"/>
      <c r="S10" s="231"/>
      <c r="T10" s="231"/>
      <c r="U10" s="231"/>
      <c r="V10" s="231"/>
      <c r="W10" s="231"/>
      <c r="X10" s="231"/>
      <c r="Y10" s="231"/>
      <c r="AB10" t="s">
        <v>305</v>
      </c>
      <c r="AC10" t="s">
        <v>306</v>
      </c>
    </row>
    <row r="11" spans="1:29" x14ac:dyDescent="0.2">
      <c r="A11" s="23"/>
      <c r="B11" s="23"/>
      <c r="C11" t="s">
        <v>303</v>
      </c>
      <c r="D11" s="23"/>
      <c r="E11" s="23"/>
      <c r="F11" s="134"/>
      <c r="G11" s="134"/>
      <c r="H11" s="21">
        <f>L16</f>
        <v>105</v>
      </c>
      <c r="I11" s="133">
        <f>140/1.12</f>
        <v>124.99999999999999</v>
      </c>
      <c r="J11" s="37" t="s">
        <v>74</v>
      </c>
      <c r="L11" s="21">
        <v>0</v>
      </c>
      <c r="M11" s="133">
        <f t="shared" ref="M11:M16" si="2">L11/$L$16*100</f>
        <v>0</v>
      </c>
      <c r="N11" s="21"/>
      <c r="O11" s="96">
        <v>0</v>
      </c>
      <c r="P11" s="133">
        <f t="shared" ref="P11:P16" si="3">O11/$O$16*100</f>
        <v>0</v>
      </c>
      <c r="Q11" s="23"/>
      <c r="AB11">
        <v>0</v>
      </c>
      <c r="AC11">
        <v>0</v>
      </c>
    </row>
    <row r="12" spans="1:29" x14ac:dyDescent="0.2">
      <c r="A12" s="23"/>
      <c r="B12" s="23"/>
      <c r="C12" s="23"/>
      <c r="D12" s="23"/>
      <c r="E12" s="23"/>
      <c r="F12" s="134"/>
      <c r="G12" s="134"/>
      <c r="H12" s="134"/>
      <c r="I12" s="21"/>
      <c r="J12" s="46" t="s">
        <v>297</v>
      </c>
      <c r="L12" s="21">
        <v>25</v>
      </c>
      <c r="M12" s="133">
        <f t="shared" si="2"/>
        <v>23.809523809523807</v>
      </c>
      <c r="N12" s="21"/>
      <c r="O12" s="96">
        <v>0.7</v>
      </c>
      <c r="P12" s="133">
        <f t="shared" si="3"/>
        <v>2.3704707077548255</v>
      </c>
      <c r="Q12" s="23"/>
      <c r="AB12">
        <v>10</v>
      </c>
      <c r="AC12">
        <v>0</v>
      </c>
    </row>
    <row r="13" spans="1:29" x14ac:dyDescent="0.2">
      <c r="A13" s="23"/>
      <c r="B13" s="23"/>
      <c r="C13" s="23"/>
      <c r="D13" s="23"/>
      <c r="E13" s="23"/>
      <c r="F13" s="134"/>
      <c r="G13" s="134"/>
      <c r="H13" s="134"/>
      <c r="I13" s="21"/>
      <c r="J13" s="37" t="s">
        <v>298</v>
      </c>
      <c r="L13" s="21">
        <v>43</v>
      </c>
      <c r="M13" s="133">
        <f t="shared" si="2"/>
        <v>40.952380952380949</v>
      </c>
      <c r="N13" s="21"/>
      <c r="O13" s="96">
        <v>2.64</v>
      </c>
      <c r="P13" s="133">
        <f t="shared" si="3"/>
        <v>8.9400609549610568</v>
      </c>
      <c r="Q13" s="23"/>
      <c r="AB13">
        <v>20</v>
      </c>
      <c r="AC13" s="11">
        <v>0.96153846153846145</v>
      </c>
    </row>
    <row r="14" spans="1:29" x14ac:dyDescent="0.2">
      <c r="A14" s="23"/>
      <c r="B14" s="23"/>
      <c r="C14" s="23"/>
      <c r="D14" s="23"/>
      <c r="E14" s="23"/>
      <c r="F14" s="134"/>
      <c r="G14" s="134"/>
      <c r="H14" s="134"/>
      <c r="I14" s="21"/>
      <c r="J14" s="46" t="s">
        <v>299</v>
      </c>
      <c r="L14" s="21">
        <v>60</v>
      </c>
      <c r="M14" s="133">
        <f t="shared" si="2"/>
        <v>57.142857142857139</v>
      </c>
      <c r="N14" s="21"/>
      <c r="O14" s="96">
        <v>13.17</v>
      </c>
      <c r="P14" s="133">
        <f t="shared" si="3"/>
        <v>44.598713173044359</v>
      </c>
      <c r="Q14" s="23"/>
      <c r="AB14">
        <v>30</v>
      </c>
      <c r="AC14" s="11">
        <v>2.4038461538461537</v>
      </c>
    </row>
    <row r="15" spans="1:29" x14ac:dyDescent="0.2">
      <c r="A15" s="23"/>
      <c r="B15" s="23"/>
      <c r="C15" s="23"/>
      <c r="D15" s="23"/>
      <c r="E15" s="23"/>
      <c r="F15" s="30"/>
      <c r="G15" s="30"/>
      <c r="H15" s="134"/>
      <c r="I15" s="21"/>
      <c r="J15" s="46" t="s">
        <v>300</v>
      </c>
      <c r="L15" s="21">
        <f>L14+17</f>
        <v>77</v>
      </c>
      <c r="M15" s="133">
        <f t="shared" si="2"/>
        <v>73.333333333333329</v>
      </c>
      <c r="N15" s="21"/>
      <c r="O15" s="96">
        <v>22.67</v>
      </c>
      <c r="P15" s="133">
        <f t="shared" si="3"/>
        <v>76.769387064002714</v>
      </c>
      <c r="Q15" s="23"/>
      <c r="AB15">
        <v>40</v>
      </c>
      <c r="AC15" s="11">
        <v>5.7692307692307683</v>
      </c>
    </row>
    <row r="16" spans="1:29" x14ac:dyDescent="0.2">
      <c r="A16" s="23"/>
      <c r="B16" s="23"/>
      <c r="C16" s="23"/>
      <c r="D16" s="23"/>
      <c r="E16" s="23"/>
      <c r="F16" s="134"/>
      <c r="G16" s="134"/>
      <c r="H16" s="134"/>
      <c r="I16" s="21"/>
      <c r="J16" s="46" t="s">
        <v>301</v>
      </c>
      <c r="L16" s="21">
        <v>105</v>
      </c>
      <c r="M16" s="133">
        <f t="shared" si="2"/>
        <v>100</v>
      </c>
      <c r="N16" s="21"/>
      <c r="O16" s="96">
        <v>29.53</v>
      </c>
      <c r="P16" s="133">
        <f t="shared" si="3"/>
        <v>100</v>
      </c>
      <c r="Q16" s="23"/>
      <c r="AB16">
        <v>50</v>
      </c>
      <c r="AC16" s="11">
        <v>22.115384615384613</v>
      </c>
    </row>
    <row r="17" spans="1:29" x14ac:dyDescent="0.2">
      <c r="A17" s="23" t="s">
        <v>321</v>
      </c>
      <c r="B17" s="55" t="s">
        <v>322</v>
      </c>
      <c r="C17" s="23" t="s">
        <v>323</v>
      </c>
      <c r="D17" s="23"/>
      <c r="E17" s="23"/>
      <c r="F17" s="153">
        <v>37377</v>
      </c>
      <c r="G17" s="153">
        <f>F17+H17</f>
        <v>37475</v>
      </c>
      <c r="H17" s="134">
        <v>98</v>
      </c>
      <c r="I17" s="21"/>
      <c r="K17" s="21" t="s">
        <v>290</v>
      </c>
      <c r="L17" s="21">
        <v>0</v>
      </c>
      <c r="M17" s="21">
        <f>L17/$L$23*100</f>
        <v>0</v>
      </c>
      <c r="N17" s="21" t="s">
        <v>176</v>
      </c>
      <c r="O17">
        <v>0</v>
      </c>
      <c r="P17" s="146">
        <f>O17/$O$22*100</f>
        <v>0</v>
      </c>
      <c r="Q17" s="23"/>
      <c r="AB17">
        <v>60</v>
      </c>
      <c r="AC17" s="11">
        <v>40.865384615384613</v>
      </c>
    </row>
    <row r="18" spans="1:29" x14ac:dyDescent="0.2">
      <c r="A18" s="23"/>
      <c r="B18" s="23"/>
      <c r="C18" s="23"/>
      <c r="D18" s="23"/>
      <c r="E18" s="23"/>
      <c r="F18" s="134"/>
      <c r="G18" s="134"/>
      <c r="H18" s="134"/>
      <c r="I18" s="21"/>
      <c r="J18" s="134"/>
      <c r="K18" s="21"/>
      <c r="L18" s="21">
        <v>28</v>
      </c>
      <c r="M18" s="21">
        <f t="shared" ref="M18:M23" si="4">L18/$L$23*100</f>
        <v>28.571428571428569</v>
      </c>
      <c r="N18" s="21"/>
      <c r="O18">
        <v>0</v>
      </c>
      <c r="P18" s="146">
        <f t="shared" ref="P18:P23" si="5">O18/$O$22*100</f>
        <v>0</v>
      </c>
      <c r="Q18" s="23"/>
      <c r="AB18">
        <v>70</v>
      </c>
      <c r="AC18" s="11">
        <v>60.576923076923073</v>
      </c>
    </row>
    <row r="19" spans="1:29" x14ac:dyDescent="0.2">
      <c r="A19" s="23"/>
      <c r="B19" s="23"/>
      <c r="C19" s="23"/>
      <c r="D19" s="23"/>
      <c r="E19" s="23"/>
      <c r="F19" s="134"/>
      <c r="G19" s="134"/>
      <c r="H19" s="134"/>
      <c r="I19" s="21"/>
      <c r="K19" s="21"/>
      <c r="L19" s="21">
        <v>42</v>
      </c>
      <c r="M19" s="21">
        <f t="shared" si="4"/>
        <v>42.857142857142854</v>
      </c>
      <c r="N19" s="21"/>
      <c r="O19">
        <v>2109.375</v>
      </c>
      <c r="P19" s="146">
        <f t="shared" si="5"/>
        <v>6.2240663900414939</v>
      </c>
      <c r="Q19" s="23"/>
      <c r="AB19">
        <v>80</v>
      </c>
      <c r="AC19" s="11">
        <v>78.365384615384599</v>
      </c>
    </row>
    <row r="20" spans="1:29" x14ac:dyDescent="0.2">
      <c r="A20" s="23"/>
      <c r="B20" s="23"/>
      <c r="C20" s="23"/>
      <c r="D20" s="23"/>
      <c r="E20" s="23"/>
      <c r="F20" s="30"/>
      <c r="G20" s="30"/>
      <c r="H20" s="134"/>
      <c r="I20" s="21"/>
      <c r="J20" s="134"/>
      <c r="K20" s="21"/>
      <c r="L20" s="21">
        <v>56</v>
      </c>
      <c r="M20" s="21">
        <f t="shared" si="4"/>
        <v>57.142857142857139</v>
      </c>
      <c r="N20" s="21"/>
      <c r="O20">
        <v>8718.75</v>
      </c>
      <c r="P20" s="146">
        <f t="shared" si="5"/>
        <v>25.726141078838172</v>
      </c>
      <c r="Q20" s="23"/>
      <c r="AB20">
        <v>90</v>
      </c>
      <c r="AC20" s="11">
        <v>94.711538461538453</v>
      </c>
    </row>
    <row r="21" spans="1:29" x14ac:dyDescent="0.2">
      <c r="A21" s="23"/>
      <c r="B21" s="23"/>
      <c r="C21" s="23"/>
      <c r="D21" s="23"/>
      <c r="E21" s="23"/>
      <c r="F21" s="134"/>
      <c r="G21" s="134"/>
      <c r="H21" s="134"/>
      <c r="I21" s="21"/>
      <c r="J21" s="134"/>
      <c r="K21" s="21"/>
      <c r="L21" s="21">
        <v>70</v>
      </c>
      <c r="M21" s="21">
        <f t="shared" si="4"/>
        <v>71.428571428571431</v>
      </c>
      <c r="N21" s="21"/>
      <c r="O21">
        <v>22500</v>
      </c>
      <c r="P21" s="146">
        <f t="shared" si="5"/>
        <v>66.390041493775925</v>
      </c>
      <c r="Q21" s="23"/>
      <c r="AB21">
        <v>100</v>
      </c>
      <c r="AC21">
        <v>100</v>
      </c>
    </row>
    <row r="22" spans="1:29" x14ac:dyDescent="0.2">
      <c r="A22" s="23"/>
      <c r="B22" s="23"/>
      <c r="C22" s="23"/>
      <c r="D22" s="23"/>
      <c r="E22" s="23"/>
      <c r="F22" s="134"/>
      <c r="G22" s="134"/>
      <c r="H22" s="134"/>
      <c r="I22" s="21"/>
      <c r="J22" s="134"/>
      <c r="K22" s="21"/>
      <c r="L22" s="21">
        <v>84</v>
      </c>
      <c r="M22" s="21">
        <f t="shared" si="4"/>
        <v>85.714285714285708</v>
      </c>
      <c r="N22" s="21"/>
      <c r="O22">
        <v>33890.625</v>
      </c>
      <c r="P22" s="146">
        <f t="shared" si="5"/>
        <v>100</v>
      </c>
      <c r="Q22" s="23"/>
    </row>
    <row r="23" spans="1:29" x14ac:dyDescent="0.2">
      <c r="A23" s="23"/>
      <c r="B23" s="23"/>
      <c r="C23" s="23"/>
      <c r="D23" s="23"/>
      <c r="E23" s="23"/>
      <c r="F23" s="30"/>
      <c r="G23" s="134"/>
      <c r="H23" s="134"/>
      <c r="I23" s="21"/>
      <c r="J23" s="134"/>
      <c r="K23" s="21"/>
      <c r="L23" s="21">
        <v>98</v>
      </c>
      <c r="M23" s="21">
        <f t="shared" si="4"/>
        <v>100</v>
      </c>
      <c r="N23" s="21"/>
      <c r="O23">
        <v>30375</v>
      </c>
      <c r="P23" s="146">
        <f t="shared" si="5"/>
        <v>89.626556016597519</v>
      </c>
      <c r="Q23" s="23"/>
    </row>
    <row r="24" spans="1:29" x14ac:dyDescent="0.2">
      <c r="A24" s="23"/>
      <c r="B24" s="23"/>
      <c r="C24" s="23"/>
      <c r="D24" s="23"/>
      <c r="E24" s="23"/>
      <c r="F24" s="134"/>
      <c r="G24" s="134"/>
      <c r="H24" s="134"/>
      <c r="I24" s="21"/>
      <c r="J24" s="134"/>
      <c r="K24" s="21"/>
      <c r="L24" s="21"/>
      <c r="M24" s="21"/>
      <c r="N24" s="21"/>
      <c r="O24" s="21"/>
      <c r="P24" s="21"/>
      <c r="Q24" s="23"/>
    </row>
    <row r="25" spans="1:29" x14ac:dyDescent="0.2">
      <c r="A25" s="23"/>
      <c r="B25" s="23"/>
      <c r="C25" s="23"/>
      <c r="D25" s="23"/>
      <c r="E25" s="23"/>
      <c r="F25" s="30"/>
      <c r="G25" s="30"/>
      <c r="H25" s="134"/>
      <c r="I25" s="21"/>
      <c r="J25" s="134"/>
      <c r="K25" s="21"/>
      <c r="L25" s="21"/>
      <c r="M25" s="21"/>
      <c r="N25" s="21"/>
      <c r="O25" s="21"/>
      <c r="P25" s="21"/>
      <c r="Q25" s="23"/>
    </row>
    <row r="26" spans="1:29" x14ac:dyDescent="0.2">
      <c r="A26" s="23"/>
      <c r="B26" s="23"/>
      <c r="C26" s="23"/>
      <c r="D26" s="23"/>
      <c r="E26" s="23"/>
      <c r="F26" s="134"/>
      <c r="G26" s="134"/>
      <c r="H26" s="134"/>
      <c r="I26" s="21"/>
      <c r="J26" s="134"/>
      <c r="K26" s="21"/>
      <c r="L26" s="21"/>
      <c r="M26" s="21"/>
      <c r="N26" s="21"/>
      <c r="O26" s="21"/>
      <c r="P26" s="21"/>
      <c r="Q26" s="23"/>
    </row>
    <row r="27" spans="1:29" x14ac:dyDescent="0.2">
      <c r="A27" s="23"/>
      <c r="B27" s="23"/>
      <c r="C27" s="23"/>
      <c r="D27" s="23"/>
      <c r="E27" s="23"/>
      <c r="F27" s="134"/>
      <c r="G27" s="134"/>
      <c r="H27" s="134"/>
      <c r="I27" s="21"/>
      <c r="J27" s="134"/>
      <c r="K27" s="21"/>
      <c r="L27" s="21"/>
      <c r="M27" s="21"/>
      <c r="N27" s="21"/>
      <c r="O27" s="21"/>
      <c r="P27" s="21"/>
      <c r="Q27" s="23"/>
    </row>
    <row r="28" spans="1:29" x14ac:dyDescent="0.2">
      <c r="A28" s="23"/>
      <c r="B28" s="23"/>
      <c r="C28" s="23"/>
      <c r="D28" s="23"/>
      <c r="E28" s="23"/>
      <c r="F28" s="134"/>
      <c r="G28" s="134"/>
      <c r="H28" s="134"/>
      <c r="I28" s="21"/>
      <c r="J28" s="134"/>
      <c r="K28" s="21"/>
      <c r="L28" s="21"/>
      <c r="M28" s="21"/>
      <c r="N28" s="21"/>
      <c r="O28" s="21"/>
      <c r="P28" s="21"/>
      <c r="Q28" s="23"/>
    </row>
    <row r="29" spans="1:29" x14ac:dyDescent="0.2">
      <c r="A29" s="23"/>
      <c r="B29" s="23"/>
      <c r="C29" s="23"/>
      <c r="D29" s="23"/>
      <c r="E29" s="23"/>
      <c r="F29" s="134"/>
      <c r="G29" s="134"/>
      <c r="H29" s="134"/>
      <c r="I29" s="21"/>
      <c r="J29" s="134"/>
      <c r="K29" s="21"/>
      <c r="L29" s="21"/>
      <c r="M29" s="21"/>
      <c r="N29" s="21"/>
      <c r="O29" s="21"/>
      <c r="P29" s="21"/>
      <c r="Q29" s="23"/>
      <c r="AC29" s="11"/>
    </row>
    <row r="30" spans="1:29" x14ac:dyDescent="0.2">
      <c r="A30" s="23"/>
      <c r="B30" s="23"/>
      <c r="C30" s="23"/>
      <c r="D30" s="23"/>
      <c r="E30" s="23"/>
      <c r="F30" s="30"/>
      <c r="G30" s="30"/>
      <c r="H30" s="134"/>
      <c r="I30" s="21"/>
      <c r="J30" s="134"/>
      <c r="K30" s="21"/>
      <c r="L30" s="21"/>
      <c r="M30" s="21"/>
      <c r="N30" s="21"/>
      <c r="O30" s="21"/>
      <c r="P30" s="21"/>
      <c r="Q30" s="23"/>
      <c r="AC30" s="11"/>
    </row>
    <row r="31" spans="1:29" x14ac:dyDescent="0.2">
      <c r="A31" s="23"/>
      <c r="B31" s="23"/>
      <c r="C31" s="23"/>
      <c r="D31" s="23"/>
      <c r="E31" s="23"/>
      <c r="F31" s="134"/>
      <c r="G31" s="134"/>
      <c r="H31" s="134"/>
      <c r="I31" s="21"/>
      <c r="J31" s="134"/>
      <c r="K31" s="21"/>
      <c r="L31" s="21"/>
      <c r="M31" s="21"/>
      <c r="N31" s="21"/>
      <c r="O31" s="21"/>
      <c r="P31" s="21"/>
      <c r="Q31" s="23"/>
      <c r="AC31" s="11"/>
    </row>
    <row r="32" spans="1:29" x14ac:dyDescent="0.2">
      <c r="A32" s="23"/>
      <c r="B32" s="23"/>
      <c r="C32" s="23"/>
      <c r="D32" s="23"/>
      <c r="E32" s="23"/>
      <c r="F32" s="134"/>
      <c r="G32" s="134"/>
      <c r="H32" s="134"/>
      <c r="I32" s="21"/>
      <c r="J32" s="134"/>
      <c r="K32" s="21"/>
      <c r="L32" s="21"/>
      <c r="M32" s="21"/>
      <c r="N32" s="21"/>
      <c r="O32" s="21"/>
      <c r="P32" s="21"/>
      <c r="Q32" s="23"/>
      <c r="AC32" s="11"/>
    </row>
    <row r="33" spans="1:29" x14ac:dyDescent="0.2">
      <c r="A33" s="23"/>
      <c r="B33" s="23"/>
      <c r="C33" s="23"/>
      <c r="D33" s="23"/>
      <c r="E33" s="23"/>
      <c r="F33" s="134"/>
      <c r="G33" s="134"/>
      <c r="H33" s="134"/>
      <c r="I33" s="21"/>
      <c r="J33" s="134"/>
      <c r="K33" s="21"/>
      <c r="L33" s="21"/>
      <c r="M33" s="21"/>
      <c r="N33" s="21"/>
      <c r="O33" s="21"/>
      <c r="P33" s="21"/>
      <c r="Q33" s="23"/>
      <c r="AC33" s="11"/>
    </row>
    <row r="34" spans="1:29" x14ac:dyDescent="0.2">
      <c r="A34" s="23"/>
      <c r="B34" s="23"/>
      <c r="C34" s="23"/>
      <c r="D34" s="23"/>
      <c r="E34" s="23"/>
      <c r="F34" s="134"/>
      <c r="G34" s="134"/>
      <c r="H34" s="134"/>
      <c r="I34" s="21"/>
      <c r="J34" s="134"/>
      <c r="K34" s="21"/>
      <c r="L34" s="21"/>
      <c r="M34" s="21"/>
      <c r="N34" s="21"/>
      <c r="O34" s="21"/>
      <c r="P34" s="21"/>
      <c r="Q34" s="23"/>
      <c r="AC34" s="11"/>
    </row>
    <row r="35" spans="1:29" x14ac:dyDescent="0.2">
      <c r="A35" s="23"/>
      <c r="B35" s="23"/>
      <c r="C35" s="23"/>
      <c r="D35" s="23"/>
      <c r="E35" s="23"/>
      <c r="F35" s="30"/>
      <c r="G35" s="30"/>
      <c r="H35" s="134"/>
      <c r="I35" s="21"/>
      <c r="J35" s="134"/>
      <c r="K35" s="21"/>
      <c r="L35" s="21"/>
      <c r="M35" s="21"/>
      <c r="N35" s="21"/>
      <c r="O35" s="21"/>
      <c r="P35" s="21"/>
      <c r="Q35" s="23"/>
      <c r="AC35" s="11"/>
    </row>
    <row r="36" spans="1:29" x14ac:dyDescent="0.2">
      <c r="A36" s="23"/>
      <c r="B36" s="23"/>
      <c r="C36" s="23"/>
      <c r="D36" s="23"/>
      <c r="E36" s="23"/>
      <c r="F36" s="134"/>
      <c r="G36" s="134"/>
      <c r="H36" s="134"/>
      <c r="I36" s="21"/>
      <c r="J36" s="134"/>
      <c r="K36" s="21"/>
      <c r="L36" s="21"/>
      <c r="M36" s="21"/>
      <c r="N36" s="21"/>
      <c r="O36" s="21"/>
      <c r="P36" s="21"/>
      <c r="Q36" s="23"/>
      <c r="AC36" s="11"/>
    </row>
    <row r="37" spans="1:29" x14ac:dyDescent="0.2">
      <c r="A37" s="23"/>
      <c r="B37" s="23"/>
      <c r="C37" s="23"/>
      <c r="D37" s="23"/>
      <c r="E37" s="23"/>
      <c r="F37" s="134"/>
      <c r="G37" s="134"/>
      <c r="H37" s="134"/>
      <c r="I37" s="21"/>
      <c r="J37" s="134"/>
      <c r="K37" s="21"/>
      <c r="L37" s="21"/>
      <c r="M37" s="21"/>
      <c r="N37" s="21"/>
      <c r="O37" s="21"/>
      <c r="P37" s="21"/>
      <c r="Q37" s="23"/>
    </row>
    <row r="38" spans="1:29" x14ac:dyDescent="0.2">
      <c r="A38" s="23"/>
      <c r="B38" s="23"/>
      <c r="C38" s="23"/>
      <c r="D38" s="23"/>
      <c r="E38" s="23"/>
      <c r="F38" s="134"/>
      <c r="G38" s="134"/>
      <c r="H38" s="134"/>
      <c r="I38" s="21"/>
      <c r="J38" s="134"/>
      <c r="K38" s="21"/>
      <c r="L38" s="21"/>
      <c r="M38" s="21"/>
      <c r="N38" s="21"/>
      <c r="O38" s="21"/>
      <c r="P38" s="21"/>
      <c r="Q38" s="23"/>
    </row>
    <row r="39" spans="1:29" x14ac:dyDescent="0.2">
      <c r="A39" s="23"/>
      <c r="B39" s="23"/>
      <c r="C39" s="23"/>
      <c r="D39" s="23"/>
      <c r="E39" s="23"/>
      <c r="F39" s="134"/>
      <c r="G39" s="134"/>
      <c r="H39" s="134"/>
      <c r="I39" s="21"/>
      <c r="J39" s="134"/>
      <c r="K39" s="21"/>
      <c r="L39" s="21"/>
      <c r="M39" s="21"/>
      <c r="N39" s="21"/>
      <c r="O39" s="21"/>
      <c r="P39" s="21"/>
      <c r="Q39" s="23"/>
    </row>
    <row r="40" spans="1:29" x14ac:dyDescent="0.2">
      <c r="A40" s="23"/>
      <c r="B40" s="23"/>
      <c r="C40" s="23"/>
      <c r="D40" s="23"/>
      <c r="E40" s="23"/>
      <c r="F40" s="30"/>
      <c r="G40" s="30"/>
      <c r="H40" s="134"/>
      <c r="I40" s="21"/>
      <c r="J40" s="134"/>
      <c r="K40" s="21"/>
      <c r="L40" s="21"/>
      <c r="M40" s="21"/>
      <c r="N40" s="21"/>
      <c r="O40" s="21"/>
      <c r="P40" s="21"/>
      <c r="Q40" s="23"/>
    </row>
    <row r="41" spans="1:29" x14ac:dyDescent="0.2">
      <c r="A41" s="23"/>
      <c r="B41" s="23"/>
      <c r="C41" s="23"/>
      <c r="D41" s="23"/>
      <c r="E41" s="23"/>
      <c r="F41" s="134"/>
      <c r="G41" s="134"/>
      <c r="H41" s="134"/>
      <c r="I41" s="21"/>
      <c r="J41" s="134"/>
      <c r="K41" s="21"/>
      <c r="L41" s="21"/>
      <c r="M41" s="21"/>
      <c r="N41" s="21"/>
      <c r="O41" s="21"/>
      <c r="P41" s="21"/>
      <c r="Q41" s="23"/>
    </row>
    <row r="42" spans="1:29" x14ac:dyDescent="0.2">
      <c r="A42" s="23"/>
      <c r="B42" s="23"/>
      <c r="C42" s="23"/>
      <c r="D42" s="23"/>
      <c r="E42" s="23"/>
      <c r="F42" s="134"/>
      <c r="G42" s="134"/>
      <c r="H42" s="134"/>
      <c r="I42" s="21"/>
      <c r="J42" s="134"/>
      <c r="K42" s="21"/>
      <c r="L42" s="21"/>
      <c r="M42" s="21"/>
      <c r="N42" s="21"/>
      <c r="O42" s="21"/>
      <c r="P42" s="21"/>
      <c r="Q42" s="23"/>
    </row>
    <row r="43" spans="1:29" x14ac:dyDescent="0.2">
      <c r="A43" s="23"/>
      <c r="B43" s="23"/>
      <c r="C43" s="23"/>
      <c r="D43" s="23"/>
      <c r="E43" s="23"/>
      <c r="F43" s="134"/>
      <c r="G43" s="134"/>
      <c r="H43" s="134"/>
      <c r="I43" s="21"/>
      <c r="J43" s="134"/>
      <c r="K43" s="21"/>
      <c r="L43" s="21"/>
      <c r="M43" s="21"/>
      <c r="N43" s="21"/>
      <c r="O43" s="21"/>
      <c r="P43" s="21"/>
      <c r="Q43" s="23"/>
    </row>
    <row r="44" spans="1:29" x14ac:dyDescent="0.2">
      <c r="A44" s="23"/>
      <c r="B44" s="23"/>
      <c r="C44" s="23"/>
      <c r="D44" s="23"/>
      <c r="E44" s="23"/>
      <c r="F44" s="134"/>
      <c r="G44" s="134"/>
      <c r="H44" s="134"/>
      <c r="I44" s="21"/>
      <c r="J44" s="134"/>
      <c r="K44" s="21"/>
      <c r="L44" s="21"/>
      <c r="M44" s="21"/>
      <c r="N44" s="21"/>
      <c r="O44" s="21"/>
      <c r="P44" s="21"/>
      <c r="Q44" s="23"/>
    </row>
    <row r="45" spans="1:29" x14ac:dyDescent="0.2">
      <c r="A45" s="23"/>
      <c r="B45" s="23"/>
      <c r="C45" s="23"/>
      <c r="D45" s="23"/>
      <c r="E45" s="23"/>
      <c r="F45" s="30"/>
      <c r="G45" s="30"/>
      <c r="H45" s="134"/>
      <c r="I45" s="21"/>
      <c r="J45" s="134"/>
      <c r="K45" s="21"/>
      <c r="L45" s="21"/>
      <c r="M45" s="21"/>
      <c r="N45" s="21"/>
      <c r="O45" s="21"/>
      <c r="P45" s="21"/>
      <c r="Q45" s="23"/>
    </row>
    <row r="46" spans="1:29" x14ac:dyDescent="0.2">
      <c r="A46" s="23"/>
      <c r="B46" s="23"/>
      <c r="C46" s="23"/>
      <c r="D46" s="23"/>
      <c r="E46" s="23"/>
      <c r="F46" s="134"/>
      <c r="G46" s="134"/>
      <c r="H46" s="134"/>
      <c r="I46" s="21"/>
      <c r="J46" s="134"/>
      <c r="K46" s="21"/>
      <c r="L46" s="21"/>
      <c r="M46" s="21"/>
      <c r="N46" s="21"/>
      <c r="O46" s="21"/>
      <c r="P46" s="21"/>
      <c r="Q46" s="23"/>
    </row>
    <row r="47" spans="1:29" x14ac:dyDescent="0.2">
      <c r="A47" s="23"/>
      <c r="B47" s="23"/>
      <c r="C47" s="23"/>
      <c r="D47" s="23"/>
      <c r="E47" s="23"/>
      <c r="F47" s="134"/>
      <c r="G47" s="134"/>
      <c r="H47" s="134"/>
      <c r="I47" s="21"/>
      <c r="J47" s="134"/>
      <c r="K47" s="21"/>
      <c r="L47" s="21"/>
      <c r="M47" s="21"/>
      <c r="N47" s="21"/>
      <c r="O47" s="21"/>
      <c r="P47" s="21"/>
      <c r="Q47" s="23"/>
    </row>
    <row r="48" spans="1:29" x14ac:dyDescent="0.2">
      <c r="A48" s="23"/>
      <c r="B48" s="23"/>
      <c r="C48" s="23"/>
      <c r="D48" s="23"/>
      <c r="E48" s="23"/>
      <c r="F48" s="134"/>
      <c r="G48" s="134"/>
      <c r="H48" s="134"/>
      <c r="I48" s="21"/>
      <c r="J48" s="134"/>
      <c r="K48" s="21"/>
      <c r="L48" s="21"/>
      <c r="M48" s="21"/>
      <c r="N48" s="21"/>
      <c r="O48" s="21"/>
      <c r="P48" s="21"/>
      <c r="Q48" s="23"/>
    </row>
    <row r="49" spans="1:17" x14ac:dyDescent="0.2">
      <c r="A49" s="23"/>
      <c r="B49" s="23"/>
      <c r="C49" s="23"/>
      <c r="D49" s="23"/>
      <c r="E49" s="23"/>
      <c r="F49" s="134"/>
      <c r="G49" s="134"/>
      <c r="H49" s="134"/>
      <c r="I49" s="21"/>
      <c r="J49" s="134"/>
      <c r="K49" s="21"/>
      <c r="L49" s="21"/>
      <c r="M49" s="21"/>
      <c r="N49" s="21"/>
      <c r="O49" s="21"/>
      <c r="P49" s="21"/>
      <c r="Q49" s="23"/>
    </row>
    <row r="50" spans="1:17" x14ac:dyDescent="0.2">
      <c r="A50" s="23"/>
      <c r="B50" s="23"/>
      <c r="C50" s="23"/>
      <c r="D50" s="23"/>
      <c r="E50" s="23"/>
      <c r="F50" s="30"/>
      <c r="G50" s="30"/>
      <c r="H50" s="134"/>
      <c r="I50" s="21"/>
      <c r="J50" s="134"/>
      <c r="K50" s="21"/>
      <c r="L50" s="21"/>
      <c r="M50" s="21"/>
      <c r="N50" s="21"/>
      <c r="O50" s="21"/>
      <c r="P50" s="21"/>
      <c r="Q50" s="23"/>
    </row>
    <row r="51" spans="1:17" x14ac:dyDescent="0.2">
      <c r="A51" s="23"/>
      <c r="B51" s="23"/>
      <c r="C51" s="23"/>
      <c r="D51" s="23"/>
      <c r="E51" s="23"/>
      <c r="F51" s="134"/>
      <c r="G51" s="134"/>
      <c r="H51" s="134"/>
      <c r="I51" s="21"/>
      <c r="J51" s="134"/>
      <c r="K51" s="21"/>
      <c r="L51" s="21"/>
      <c r="M51" s="21"/>
      <c r="N51" s="21"/>
      <c r="O51" s="21"/>
      <c r="P51" s="21"/>
      <c r="Q51" s="23"/>
    </row>
    <row r="52" spans="1:17" x14ac:dyDescent="0.2">
      <c r="A52" s="23"/>
      <c r="B52" s="23"/>
      <c r="C52" s="23"/>
      <c r="D52" s="23"/>
      <c r="E52" s="23"/>
      <c r="F52" s="134"/>
      <c r="G52" s="134"/>
      <c r="H52" s="134"/>
      <c r="I52" s="21"/>
      <c r="J52" s="134"/>
      <c r="K52" s="21"/>
      <c r="L52" s="21"/>
      <c r="M52" s="21"/>
      <c r="N52" s="21"/>
      <c r="O52" s="21"/>
      <c r="P52" s="21"/>
      <c r="Q52" s="23"/>
    </row>
    <row r="53" spans="1:17" x14ac:dyDescent="0.2">
      <c r="A53" s="23"/>
      <c r="B53" s="23"/>
      <c r="C53" s="23"/>
      <c r="D53" s="23"/>
      <c r="E53" s="23"/>
      <c r="F53" s="134"/>
      <c r="G53" s="134"/>
      <c r="H53" s="134"/>
      <c r="I53" s="21"/>
      <c r="J53" s="134"/>
      <c r="K53" s="21"/>
      <c r="L53" s="21"/>
      <c r="M53" s="21"/>
      <c r="N53" s="21"/>
      <c r="O53" s="21"/>
      <c r="P53" s="21"/>
      <c r="Q53" s="23"/>
    </row>
    <row r="54" spans="1:17" x14ac:dyDescent="0.2">
      <c r="A54" s="23"/>
      <c r="B54" s="23"/>
      <c r="C54" s="23"/>
      <c r="D54" s="23"/>
      <c r="E54" s="23"/>
      <c r="F54" s="134"/>
      <c r="G54" s="134"/>
      <c r="H54" s="134"/>
      <c r="I54" s="21"/>
      <c r="J54" s="134"/>
      <c r="K54" s="21"/>
      <c r="L54" s="21"/>
      <c r="M54" s="21"/>
      <c r="N54" s="21"/>
      <c r="O54" s="21"/>
      <c r="P54" s="21"/>
      <c r="Q54" s="23"/>
    </row>
    <row r="55" spans="1:17" x14ac:dyDescent="0.2">
      <c r="A55" s="23"/>
      <c r="B55" s="23"/>
      <c r="C55" s="23"/>
      <c r="D55" s="23"/>
      <c r="E55" s="23"/>
      <c r="F55" s="30"/>
      <c r="G55" s="30"/>
      <c r="H55" s="134"/>
      <c r="I55" s="21"/>
      <c r="J55" s="134"/>
      <c r="K55" s="21"/>
      <c r="L55" s="21"/>
      <c r="M55" s="21"/>
      <c r="N55" s="21"/>
      <c r="O55" s="21"/>
      <c r="P55" s="21"/>
      <c r="Q55" s="23"/>
    </row>
    <row r="56" spans="1:17" x14ac:dyDescent="0.2">
      <c r="A56" s="23"/>
      <c r="B56" s="23"/>
      <c r="C56" s="23"/>
      <c r="D56" s="23"/>
      <c r="E56" s="23"/>
      <c r="F56" s="134"/>
      <c r="G56" s="134"/>
      <c r="H56" s="134"/>
      <c r="I56" s="21"/>
      <c r="J56" s="134"/>
      <c r="K56" s="21"/>
      <c r="L56" s="21"/>
      <c r="M56" s="21"/>
      <c r="N56" s="21"/>
      <c r="O56" s="21"/>
      <c r="P56" s="21"/>
      <c r="Q56" s="23"/>
    </row>
    <row r="57" spans="1:17" x14ac:dyDescent="0.2">
      <c r="A57" s="23"/>
      <c r="B57" s="23"/>
      <c r="C57" s="23"/>
      <c r="D57" s="23"/>
      <c r="E57" s="23"/>
      <c r="F57" s="134"/>
      <c r="G57" s="134"/>
      <c r="H57" s="134"/>
      <c r="I57" s="21"/>
      <c r="J57" s="134"/>
      <c r="K57" s="21"/>
      <c r="L57" s="21"/>
      <c r="M57" s="21"/>
      <c r="N57" s="21"/>
      <c r="O57" s="21"/>
      <c r="P57" s="21"/>
      <c r="Q57" s="23"/>
    </row>
    <row r="58" spans="1:17" x14ac:dyDescent="0.2">
      <c r="A58" s="23"/>
      <c r="B58" s="23"/>
      <c r="C58" s="23"/>
      <c r="D58" s="23"/>
      <c r="E58" s="23"/>
      <c r="F58" s="134"/>
      <c r="G58" s="134"/>
      <c r="H58" s="134"/>
      <c r="I58" s="21"/>
      <c r="J58" s="134"/>
      <c r="K58" s="21"/>
      <c r="L58" s="21"/>
      <c r="M58" s="21"/>
      <c r="N58" s="21"/>
      <c r="O58" s="21"/>
      <c r="P58" s="21"/>
      <c r="Q58" s="23"/>
    </row>
    <row r="59" spans="1:17" x14ac:dyDescent="0.2">
      <c r="A59" s="23"/>
      <c r="B59" s="23"/>
      <c r="C59" s="23"/>
      <c r="D59" s="23"/>
      <c r="E59" s="23"/>
      <c r="F59" s="134"/>
      <c r="G59" s="134"/>
      <c r="H59" s="134"/>
      <c r="I59" s="21"/>
      <c r="J59" s="134"/>
      <c r="K59" s="21"/>
      <c r="L59" s="21"/>
      <c r="M59" s="21"/>
      <c r="N59" s="21"/>
      <c r="O59" s="21"/>
      <c r="P59" s="21"/>
      <c r="Q59" s="23"/>
    </row>
    <row r="60" spans="1:17" x14ac:dyDescent="0.2">
      <c r="A60" s="23"/>
      <c r="B60" s="23"/>
      <c r="C60" s="23"/>
      <c r="D60" s="23"/>
      <c r="E60" s="23"/>
      <c r="F60" s="30"/>
      <c r="G60" s="30"/>
      <c r="H60" s="134"/>
      <c r="I60" s="21"/>
      <c r="J60" s="134"/>
      <c r="K60" s="21"/>
      <c r="L60" s="21"/>
      <c r="M60" s="21"/>
      <c r="N60" s="21"/>
      <c r="O60" s="21"/>
      <c r="P60" s="21"/>
      <c r="Q60" s="23"/>
    </row>
    <row r="61" spans="1:17" x14ac:dyDescent="0.2">
      <c r="A61" s="23"/>
      <c r="B61" s="23"/>
      <c r="C61" s="23"/>
      <c r="D61" s="23"/>
      <c r="E61" s="23"/>
      <c r="F61" s="134"/>
      <c r="G61" s="134"/>
      <c r="H61" s="134"/>
      <c r="I61" s="21"/>
      <c r="J61" s="134"/>
      <c r="K61" s="21"/>
      <c r="L61" s="21"/>
      <c r="M61" s="21"/>
      <c r="N61" s="21"/>
      <c r="O61" s="21"/>
      <c r="P61" s="21"/>
      <c r="Q61" s="23"/>
    </row>
    <row r="62" spans="1:17" x14ac:dyDescent="0.2">
      <c r="A62" s="23"/>
      <c r="B62" s="23"/>
      <c r="C62" s="23"/>
      <c r="D62" s="23"/>
      <c r="E62" s="23"/>
      <c r="F62" s="134"/>
      <c r="G62" s="134"/>
      <c r="H62" s="134"/>
      <c r="I62" s="21"/>
      <c r="J62" s="134"/>
      <c r="K62" s="21"/>
      <c r="L62" s="21"/>
      <c r="M62" s="21"/>
      <c r="N62" s="21"/>
      <c r="O62" s="21"/>
      <c r="P62" s="21"/>
      <c r="Q62" s="23"/>
    </row>
    <row r="63" spans="1:17" x14ac:dyDescent="0.2">
      <c r="A63" s="23"/>
      <c r="B63" s="23"/>
      <c r="C63" s="23"/>
      <c r="D63" s="23"/>
      <c r="E63" s="23"/>
      <c r="F63" s="134"/>
      <c r="G63" s="134"/>
      <c r="H63" s="134"/>
      <c r="I63" s="21"/>
      <c r="J63" s="134"/>
      <c r="K63" s="21"/>
      <c r="L63" s="21"/>
      <c r="M63" s="21"/>
      <c r="N63" s="21"/>
      <c r="O63" s="21"/>
      <c r="P63" s="21"/>
      <c r="Q63" s="23"/>
    </row>
    <row r="64" spans="1:17" x14ac:dyDescent="0.2">
      <c r="A64" s="23"/>
      <c r="B64" s="23"/>
      <c r="C64" s="23"/>
      <c r="D64" s="23"/>
      <c r="E64" s="23"/>
      <c r="F64" s="134"/>
      <c r="G64" s="134"/>
      <c r="H64" s="134"/>
      <c r="I64" s="21"/>
      <c r="J64" s="134"/>
      <c r="K64" s="21"/>
      <c r="L64" s="21"/>
      <c r="M64" s="21"/>
      <c r="N64" s="21"/>
      <c r="O64" s="21"/>
      <c r="P64" s="21"/>
      <c r="Q64" s="23"/>
    </row>
    <row r="65" spans="1:17" x14ac:dyDescent="0.2">
      <c r="A65" s="23"/>
      <c r="B65" s="23"/>
      <c r="C65" s="23"/>
      <c r="D65" s="17"/>
      <c r="E65" s="17"/>
      <c r="F65" s="30"/>
      <c r="G65" s="30"/>
      <c r="H65" s="134"/>
      <c r="I65" s="21"/>
      <c r="J65" s="134"/>
      <c r="K65" s="21"/>
      <c r="L65" s="21"/>
      <c r="M65" s="21"/>
      <c r="N65" s="21"/>
      <c r="O65" s="134"/>
      <c r="P65" s="21"/>
      <c r="Q65" s="23"/>
    </row>
    <row r="66" spans="1:17" x14ac:dyDescent="0.2">
      <c r="A66" s="23"/>
      <c r="B66" s="23"/>
      <c r="C66" s="23"/>
      <c r="D66" s="17"/>
      <c r="E66" s="17"/>
      <c r="F66" s="134"/>
      <c r="G66" s="134"/>
      <c r="H66" s="134"/>
      <c r="I66" s="21"/>
      <c r="J66" s="134"/>
      <c r="K66" s="21"/>
      <c r="L66" s="21"/>
      <c r="M66" s="21"/>
      <c r="N66" s="21"/>
      <c r="O66" s="21"/>
      <c r="P66" s="21"/>
      <c r="Q66" s="23"/>
    </row>
    <row r="67" spans="1:17" x14ac:dyDescent="0.2">
      <c r="A67" s="23"/>
      <c r="B67" s="23"/>
      <c r="C67" s="23"/>
      <c r="D67" s="17"/>
      <c r="E67" s="17"/>
      <c r="F67" s="134"/>
      <c r="G67" s="134"/>
      <c r="H67" s="134"/>
      <c r="I67" s="21"/>
      <c r="J67" s="134"/>
      <c r="K67" s="21"/>
      <c r="L67" s="21"/>
      <c r="M67" s="21"/>
      <c r="N67" s="21"/>
      <c r="O67" s="21"/>
      <c r="P67" s="21"/>
      <c r="Q67" s="23"/>
    </row>
    <row r="68" spans="1:17" x14ac:dyDescent="0.2">
      <c r="A68" s="23"/>
      <c r="B68" s="23"/>
      <c r="C68" s="23"/>
      <c r="D68" s="17"/>
      <c r="E68" s="17"/>
      <c r="F68" s="134"/>
      <c r="G68" s="134"/>
      <c r="H68" s="134"/>
      <c r="I68" s="21"/>
      <c r="J68" s="134"/>
      <c r="K68" s="21"/>
      <c r="L68" s="21"/>
      <c r="M68" s="21"/>
      <c r="N68" s="21"/>
      <c r="O68" s="21"/>
      <c r="P68" s="21"/>
      <c r="Q68" s="23"/>
    </row>
    <row r="69" spans="1:17" x14ac:dyDescent="0.2">
      <c r="A69" s="23"/>
      <c r="B69" s="23"/>
      <c r="C69" s="23"/>
      <c r="D69" s="17"/>
      <c r="E69" s="17"/>
      <c r="F69" s="134"/>
      <c r="G69" s="134"/>
      <c r="H69" s="134"/>
      <c r="I69" s="21"/>
      <c r="J69" s="134"/>
      <c r="K69" s="21"/>
      <c r="L69" s="21"/>
      <c r="M69" s="21"/>
      <c r="N69" s="21"/>
      <c r="O69" s="21"/>
      <c r="P69" s="21"/>
      <c r="Q69" s="23"/>
    </row>
    <row r="70" spans="1:17" x14ac:dyDescent="0.2">
      <c r="A70" s="23"/>
      <c r="B70" s="23"/>
      <c r="C70" s="23"/>
      <c r="D70" s="17"/>
      <c r="E70" s="17"/>
      <c r="F70" s="134"/>
      <c r="G70" s="134"/>
      <c r="H70" s="134"/>
      <c r="I70" s="21"/>
      <c r="J70" s="134"/>
      <c r="K70" s="21"/>
      <c r="L70" s="21"/>
      <c r="M70" s="21"/>
      <c r="N70" s="21"/>
      <c r="O70" s="21"/>
      <c r="P70" s="21"/>
      <c r="Q70" s="23"/>
    </row>
    <row r="71" spans="1:17" x14ac:dyDescent="0.2">
      <c r="A71" s="23"/>
      <c r="B71" s="23"/>
      <c r="C71" s="23"/>
      <c r="D71" s="17"/>
      <c r="E71" s="17"/>
      <c r="F71" s="134"/>
      <c r="G71" s="134"/>
      <c r="H71" s="134"/>
      <c r="I71" s="21"/>
      <c r="J71" s="134"/>
      <c r="K71" s="21"/>
      <c r="L71" s="21"/>
      <c r="M71" s="21"/>
      <c r="N71" s="21"/>
      <c r="O71" s="21"/>
      <c r="P71" s="21"/>
      <c r="Q71" s="23"/>
    </row>
    <row r="72" spans="1:17" x14ac:dyDescent="0.2">
      <c r="A72" s="23"/>
      <c r="B72" s="23"/>
      <c r="C72" s="23"/>
      <c r="D72" s="23"/>
      <c r="E72" s="23"/>
      <c r="F72" s="30"/>
      <c r="G72" s="30"/>
      <c r="H72" s="134"/>
      <c r="I72" s="21"/>
      <c r="J72" s="134"/>
      <c r="K72" s="21"/>
      <c r="L72" s="21"/>
      <c r="M72" s="21"/>
      <c r="N72" s="21"/>
      <c r="O72" s="134"/>
      <c r="P72" s="21"/>
      <c r="Q72" s="23"/>
    </row>
    <row r="73" spans="1:17" x14ac:dyDescent="0.2">
      <c r="A73" s="23"/>
      <c r="B73" s="23"/>
      <c r="C73" s="23"/>
      <c r="D73" s="23"/>
      <c r="E73" s="23"/>
      <c r="F73" s="134"/>
      <c r="G73" s="134"/>
      <c r="H73" s="134"/>
      <c r="I73" s="21"/>
      <c r="J73" s="134"/>
      <c r="K73" s="21"/>
      <c r="L73" s="21"/>
      <c r="M73" s="21"/>
      <c r="N73" s="21"/>
      <c r="O73" s="21"/>
      <c r="P73" s="21"/>
      <c r="Q73" s="23"/>
    </row>
    <row r="74" spans="1:17" x14ac:dyDescent="0.2">
      <c r="A74" s="23"/>
      <c r="B74" s="23"/>
      <c r="C74" s="23"/>
      <c r="D74" s="23"/>
      <c r="E74" s="23"/>
      <c r="F74" s="134"/>
      <c r="G74" s="134"/>
      <c r="H74" s="134"/>
      <c r="I74" s="21"/>
      <c r="J74" s="134"/>
      <c r="K74" s="21"/>
      <c r="L74" s="21"/>
      <c r="M74" s="21"/>
      <c r="N74" s="21"/>
      <c r="O74" s="21"/>
      <c r="P74" s="21"/>
      <c r="Q74" s="23"/>
    </row>
    <row r="75" spans="1:17" x14ac:dyDescent="0.2">
      <c r="A75" s="23"/>
      <c r="B75" s="23"/>
      <c r="C75" s="23"/>
      <c r="D75" s="23"/>
      <c r="E75" s="23"/>
      <c r="F75" s="134"/>
      <c r="G75" s="134"/>
      <c r="H75" s="134"/>
      <c r="I75" s="21"/>
      <c r="J75" s="134"/>
      <c r="K75" s="21"/>
      <c r="L75" s="21"/>
      <c r="M75" s="21"/>
      <c r="N75" s="21"/>
      <c r="O75" s="21"/>
      <c r="P75" s="21"/>
      <c r="Q75" s="23"/>
    </row>
    <row r="76" spans="1:17" x14ac:dyDescent="0.2">
      <c r="A76" s="23"/>
      <c r="B76" s="23"/>
      <c r="C76" s="23"/>
      <c r="D76" s="23"/>
      <c r="E76" s="23"/>
      <c r="F76" s="134"/>
      <c r="G76" s="134"/>
      <c r="H76" s="134"/>
      <c r="I76" s="21"/>
      <c r="J76" s="134"/>
      <c r="K76" s="21"/>
      <c r="L76" s="21"/>
      <c r="M76" s="21"/>
      <c r="N76" s="21"/>
      <c r="O76" s="21"/>
      <c r="P76" s="21"/>
      <c r="Q76" s="23"/>
    </row>
    <row r="77" spans="1:17" x14ac:dyDescent="0.2">
      <c r="A77" s="23"/>
      <c r="B77" s="23"/>
      <c r="C77" s="23"/>
      <c r="D77" s="23"/>
      <c r="E77" s="23"/>
      <c r="F77" s="134"/>
      <c r="G77" s="134"/>
      <c r="H77" s="134"/>
      <c r="I77" s="21"/>
      <c r="J77" s="134"/>
      <c r="K77" s="21"/>
      <c r="L77" s="21"/>
      <c r="M77" s="21"/>
      <c r="N77" s="21"/>
      <c r="O77" s="21"/>
      <c r="P77" s="21"/>
      <c r="Q77" s="23"/>
    </row>
    <row r="78" spans="1:17" x14ac:dyDescent="0.2">
      <c r="A78" s="23"/>
      <c r="B78" s="23"/>
      <c r="C78" s="23"/>
      <c r="D78" s="23"/>
      <c r="E78" s="23"/>
      <c r="F78" s="134"/>
      <c r="G78" s="134"/>
      <c r="H78" s="134"/>
      <c r="I78" s="21"/>
      <c r="J78" s="134"/>
      <c r="K78" s="21"/>
      <c r="L78" s="21"/>
      <c r="M78" s="21"/>
      <c r="N78" s="21"/>
      <c r="O78" s="21"/>
      <c r="P78" s="21"/>
      <c r="Q78" s="23"/>
    </row>
    <row r="81" spans="1:25" x14ac:dyDescent="0.2">
      <c r="A81" t="s">
        <v>37</v>
      </c>
      <c r="C81" s="254" t="s">
        <v>307</v>
      </c>
      <c r="D81" s="255"/>
      <c r="E81" s="255"/>
      <c r="F81" s="255"/>
      <c r="G81" s="255"/>
      <c r="H81" s="255"/>
      <c r="I81" s="255"/>
      <c r="J81" s="255"/>
      <c r="K81" s="255"/>
      <c r="L81" s="255"/>
      <c r="M81" s="256"/>
      <c r="N81" s="129"/>
    </row>
    <row r="82" spans="1:25" x14ac:dyDescent="0.2">
      <c r="C82" s="257"/>
      <c r="D82" s="258"/>
      <c r="E82" s="258"/>
      <c r="F82" s="258"/>
      <c r="G82" s="258"/>
      <c r="H82" s="258"/>
      <c r="I82" s="258"/>
      <c r="J82" s="258"/>
      <c r="K82" s="258"/>
      <c r="L82" s="258"/>
      <c r="M82" s="259"/>
      <c r="N82" s="129"/>
    </row>
    <row r="83" spans="1:25" x14ac:dyDescent="0.2">
      <c r="C83" s="260"/>
      <c r="D83" s="261"/>
      <c r="E83" s="261"/>
      <c r="F83" s="261"/>
      <c r="G83" s="261"/>
      <c r="H83" s="261"/>
      <c r="I83" s="261"/>
      <c r="J83" s="261"/>
      <c r="K83" s="261"/>
      <c r="L83" s="261"/>
      <c r="M83" s="262"/>
      <c r="N83" s="129"/>
    </row>
    <row r="84" spans="1:25" x14ac:dyDescent="0.2">
      <c r="C84" s="14"/>
      <c r="D84" s="14"/>
      <c r="E84" s="14"/>
      <c r="F84" s="14"/>
      <c r="G84" s="14"/>
      <c r="H84" s="14"/>
      <c r="I84" s="14"/>
      <c r="J84" s="14"/>
      <c r="K84" s="14"/>
      <c r="L84" s="14"/>
    </row>
    <row r="85" spans="1:25" x14ac:dyDescent="0.2">
      <c r="C85" s="232" t="s">
        <v>324</v>
      </c>
      <c r="D85" s="233"/>
      <c r="E85" s="233"/>
      <c r="F85" s="233"/>
      <c r="G85" s="233"/>
      <c r="H85" s="233"/>
      <c r="I85" s="233"/>
      <c r="J85" s="233"/>
      <c r="K85" s="233"/>
      <c r="L85" s="233"/>
      <c r="M85" s="233"/>
      <c r="N85" s="233"/>
      <c r="O85" s="233"/>
      <c r="P85" s="234"/>
    </row>
    <row r="86" spans="1:25" x14ac:dyDescent="0.2">
      <c r="C86" s="235"/>
      <c r="D86" s="236"/>
      <c r="E86" s="236"/>
      <c r="F86" s="236"/>
      <c r="G86" s="236"/>
      <c r="H86" s="236"/>
      <c r="I86" s="236"/>
      <c r="J86" s="236"/>
      <c r="K86" s="236"/>
      <c r="L86" s="236"/>
      <c r="M86" s="236"/>
      <c r="N86" s="236"/>
      <c r="O86" s="236"/>
      <c r="P86" s="237"/>
      <c r="Q86" s="241"/>
      <c r="R86" s="241"/>
      <c r="S86" s="241"/>
      <c r="T86" s="241"/>
      <c r="U86" s="241"/>
      <c r="V86" s="241"/>
      <c r="X86" s="241"/>
      <c r="Y86" s="241"/>
    </row>
    <row r="87" spans="1:25" x14ac:dyDescent="0.2">
      <c r="C87" s="238"/>
      <c r="D87" s="239"/>
      <c r="E87" s="239"/>
      <c r="F87" s="239"/>
      <c r="G87" s="239"/>
      <c r="H87" s="239"/>
      <c r="I87" s="239"/>
      <c r="J87" s="239"/>
      <c r="K87" s="239"/>
      <c r="L87" s="239"/>
      <c r="M87" s="239"/>
      <c r="N87" s="239"/>
      <c r="O87" s="239"/>
      <c r="P87" s="240"/>
      <c r="Q87" s="130"/>
      <c r="R87" s="130"/>
      <c r="U87" s="130"/>
      <c r="V87" s="130"/>
    </row>
    <row r="88" spans="1:25" x14ac:dyDescent="0.2">
      <c r="C88" s="131"/>
      <c r="D88" s="131"/>
      <c r="E88" s="131"/>
      <c r="F88" s="131"/>
      <c r="G88" s="131"/>
      <c r="H88" s="131"/>
      <c r="I88" s="131"/>
      <c r="J88" s="131"/>
      <c r="K88" s="131"/>
      <c r="L88" s="131"/>
      <c r="M88" s="131"/>
      <c r="N88" s="131"/>
      <c r="O88" s="131"/>
      <c r="P88" s="131"/>
      <c r="Q88" s="130"/>
      <c r="R88" s="130"/>
      <c r="U88" s="130"/>
      <c r="V88" s="130"/>
    </row>
    <row r="89" spans="1:25" x14ac:dyDescent="0.2">
      <c r="O89"/>
      <c r="P89" s="11"/>
      <c r="Q89" s="130"/>
      <c r="R89" s="11"/>
      <c r="T89" s="11"/>
      <c r="V89" s="11"/>
    </row>
    <row r="90" spans="1:25" x14ac:dyDescent="0.2">
      <c r="A90" s="1"/>
      <c r="B90" s="1"/>
      <c r="O90"/>
      <c r="P90" s="11"/>
      <c r="Q90" s="130"/>
      <c r="R90" s="11"/>
      <c r="T90" s="11"/>
      <c r="V90" s="11"/>
    </row>
    <row r="91" spans="1:25" x14ac:dyDescent="0.2">
      <c r="A91" s="1"/>
      <c r="B91" s="1"/>
      <c r="P91" s="11"/>
      <c r="Q91" s="130"/>
      <c r="R91" s="11"/>
      <c r="T91" s="11"/>
      <c r="V91" s="11"/>
    </row>
    <row r="92" spans="1:25" x14ac:dyDescent="0.2">
      <c r="P92" s="11"/>
      <c r="Q92" s="130"/>
      <c r="R92" s="11"/>
      <c r="T92" s="11"/>
      <c r="V92" s="11"/>
    </row>
    <row r="93" spans="1:25" x14ac:dyDescent="0.2">
      <c r="P93" s="11"/>
      <c r="Q93" s="130"/>
      <c r="R93" s="11"/>
      <c r="T93" s="11"/>
      <c r="V93" s="11"/>
    </row>
    <row r="94" spans="1:25" x14ac:dyDescent="0.2">
      <c r="P94" s="11"/>
      <c r="Q94" s="130"/>
      <c r="R94" s="11"/>
      <c r="T94" s="11"/>
      <c r="V94" s="11"/>
    </row>
  </sheetData>
  <mergeCells count="8">
    <mergeCell ref="K3:M3"/>
    <mergeCell ref="S3:Y10"/>
    <mergeCell ref="C81:M83"/>
    <mergeCell ref="C85:P87"/>
    <mergeCell ref="Q86:R86"/>
    <mergeCell ref="S86:T86"/>
    <mergeCell ref="U86:V86"/>
    <mergeCell ref="X86:Y86"/>
  </mergeCell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C94"/>
  <sheetViews>
    <sheetView topLeftCell="Q3" zoomScale="55" zoomScaleNormal="55" zoomScalePageLayoutView="55" workbookViewId="0">
      <selection activeCell="AA67" sqref="AA67"/>
    </sheetView>
  </sheetViews>
  <sheetFormatPr baseColWidth="10" defaultColWidth="8.83203125" defaultRowHeight="15" x14ac:dyDescent="0.2"/>
  <cols>
    <col min="1" max="2" width="20.6640625" customWidth="1"/>
    <col min="3" max="3" width="16.33203125" customWidth="1"/>
    <col min="4" max="4" width="10.1640625" customWidth="1"/>
    <col min="5" max="5" width="13.5" customWidth="1"/>
    <col min="6" max="6" width="13.5" style="136" customWidth="1"/>
    <col min="7" max="7" width="11.6640625" style="136" customWidth="1"/>
    <col min="8" max="8" width="10.1640625" style="136" customWidth="1"/>
    <col min="9" max="9" width="12.33203125" style="137" customWidth="1"/>
    <col min="10" max="10" width="10.1640625" style="136" customWidth="1"/>
    <col min="11" max="11" width="13.5" style="137" customWidth="1"/>
    <col min="12" max="12" width="13.5" style="144" customWidth="1"/>
    <col min="13" max="14" width="10.1640625" style="144" customWidth="1"/>
    <col min="15" max="15" width="10.1640625" style="142" customWidth="1"/>
    <col min="16" max="16" width="16.33203125" style="142" customWidth="1"/>
    <col min="17" max="17" width="41.33203125" style="142" customWidth="1"/>
  </cols>
  <sheetData>
    <row r="3" spans="1:26" ht="30" x14ac:dyDescent="0.2">
      <c r="A3" s="14" t="s">
        <v>0</v>
      </c>
      <c r="B3" s="14"/>
      <c r="C3" s="14"/>
      <c r="D3" s="14" t="s">
        <v>13</v>
      </c>
      <c r="E3" s="14" t="s">
        <v>28</v>
      </c>
      <c r="F3" s="139" t="s">
        <v>1</v>
      </c>
      <c r="G3" s="139" t="s">
        <v>2</v>
      </c>
      <c r="H3" s="139" t="s">
        <v>4</v>
      </c>
      <c r="I3" s="135" t="s">
        <v>8</v>
      </c>
      <c r="J3" s="139" t="s">
        <v>3</v>
      </c>
      <c r="K3" s="230" t="s">
        <v>20</v>
      </c>
      <c r="L3" s="230"/>
      <c r="M3" s="230"/>
      <c r="N3" s="141"/>
      <c r="O3" s="143" t="s">
        <v>21</v>
      </c>
      <c r="P3" s="143"/>
      <c r="Q3" s="143"/>
      <c r="R3" s="14"/>
      <c r="S3" s="231" t="s">
        <v>41</v>
      </c>
      <c r="T3" s="231"/>
      <c r="U3" s="231"/>
      <c r="V3" s="231"/>
      <c r="W3" s="231"/>
      <c r="X3" s="231"/>
      <c r="Y3" s="231"/>
      <c r="Z3" s="14"/>
    </row>
    <row r="4" spans="1:26" x14ac:dyDescent="0.2">
      <c r="A4" s="26"/>
      <c r="B4" s="26" t="s">
        <v>42</v>
      </c>
      <c r="C4" s="26" t="s">
        <v>10</v>
      </c>
      <c r="D4" s="26"/>
      <c r="E4" s="26" t="s">
        <v>27</v>
      </c>
      <c r="F4" s="25"/>
      <c r="G4" s="25"/>
      <c r="H4" s="25" t="s">
        <v>7</v>
      </c>
      <c r="I4" s="27" t="s">
        <v>9</v>
      </c>
      <c r="J4" s="25"/>
      <c r="K4" s="8" t="s">
        <v>55</v>
      </c>
      <c r="L4" s="27" t="s">
        <v>56</v>
      </c>
      <c r="M4" s="27" t="s">
        <v>5</v>
      </c>
      <c r="N4" s="27" t="s">
        <v>55</v>
      </c>
      <c r="O4" s="25" t="s">
        <v>120</v>
      </c>
      <c r="P4" s="25" t="s">
        <v>12</v>
      </c>
      <c r="Q4" s="25" t="s">
        <v>22</v>
      </c>
      <c r="R4" s="14"/>
      <c r="S4" s="231"/>
      <c r="T4" s="231"/>
      <c r="U4" s="231"/>
      <c r="V4" s="231"/>
      <c r="W4" s="231"/>
      <c r="X4" s="231"/>
      <c r="Y4" s="231"/>
      <c r="Z4" s="14"/>
    </row>
    <row r="5" spans="1:26" x14ac:dyDescent="0.2">
      <c r="A5" t="s">
        <v>308</v>
      </c>
      <c r="B5" t="s">
        <v>319</v>
      </c>
      <c r="C5" t="s">
        <v>309</v>
      </c>
      <c r="D5" t="s">
        <v>310</v>
      </c>
      <c r="E5">
        <f>38.8*0.446</f>
        <v>17.3048</v>
      </c>
      <c r="F5" s="5">
        <v>38246</v>
      </c>
      <c r="G5" s="5">
        <f>F5+L15</f>
        <v>38316</v>
      </c>
      <c r="H5" s="145">
        <f>L15</f>
        <v>70</v>
      </c>
      <c r="I5" s="137">
        <f>82/1.12</f>
        <v>73.214285714285708</v>
      </c>
      <c r="J5" s="136">
        <v>0</v>
      </c>
      <c r="K5" s="137" t="s">
        <v>311</v>
      </c>
      <c r="L5" s="144">
        <v>0</v>
      </c>
      <c r="M5" s="144">
        <f>L5/L$15*100</f>
        <v>0</v>
      </c>
      <c r="N5" s="144" t="s">
        <v>184</v>
      </c>
      <c r="O5" s="144">
        <v>0</v>
      </c>
      <c r="P5" s="144">
        <f>O5/O$15*100</f>
        <v>0</v>
      </c>
      <c r="Q5" s="142" t="s">
        <v>312</v>
      </c>
      <c r="S5" s="231"/>
      <c r="T5" s="231"/>
      <c r="U5" s="231"/>
      <c r="V5" s="231"/>
      <c r="W5" s="231"/>
      <c r="X5" s="231"/>
      <c r="Y5" s="231"/>
    </row>
    <row r="6" spans="1:26" x14ac:dyDescent="0.2">
      <c r="A6" s="23"/>
      <c r="B6" s="23"/>
      <c r="C6" s="23"/>
      <c r="D6" s="23"/>
      <c r="E6" s="23"/>
      <c r="F6" s="30">
        <f>F$5+L6</f>
        <v>38253</v>
      </c>
      <c r="G6" s="140"/>
      <c r="H6" s="140"/>
      <c r="I6" s="21"/>
      <c r="J6" s="140">
        <v>1</v>
      </c>
      <c r="K6" s="21"/>
      <c r="L6" s="142">
        <v>7</v>
      </c>
      <c r="M6" s="144">
        <f t="shared" ref="M6:M15" si="0">L6/L$15*100</f>
        <v>10</v>
      </c>
      <c r="N6" s="21"/>
      <c r="O6" s="21">
        <v>0</v>
      </c>
      <c r="P6" s="144">
        <f t="shared" ref="P6:P15" si="1">O6/O$15*100</f>
        <v>0</v>
      </c>
      <c r="Q6" s="145"/>
      <c r="S6" s="231"/>
      <c r="T6" s="231"/>
      <c r="U6" s="231"/>
      <c r="V6" s="231"/>
      <c r="W6" s="231"/>
      <c r="X6" s="231"/>
      <c r="Y6" s="231"/>
    </row>
    <row r="7" spans="1:26" x14ac:dyDescent="0.2">
      <c r="A7" s="23"/>
      <c r="B7" s="23"/>
      <c r="C7" s="23"/>
      <c r="D7" s="23"/>
      <c r="E7" s="23"/>
      <c r="F7" s="30">
        <f t="shared" ref="F7:F15" si="2">F$5+L7</f>
        <v>38260</v>
      </c>
      <c r="G7" s="140"/>
      <c r="H7" s="140"/>
      <c r="I7" s="21"/>
      <c r="J7" s="140">
        <v>2</v>
      </c>
      <c r="K7" s="21"/>
      <c r="L7" s="142">
        <v>14</v>
      </c>
      <c r="M7" s="144">
        <f t="shared" si="0"/>
        <v>20</v>
      </c>
      <c r="N7" s="21"/>
      <c r="O7" s="21">
        <v>0</v>
      </c>
      <c r="P7" s="144">
        <f t="shared" si="1"/>
        <v>0</v>
      </c>
      <c r="Q7" s="145"/>
      <c r="S7" s="231"/>
      <c r="T7" s="231"/>
      <c r="U7" s="231"/>
      <c r="V7" s="231"/>
      <c r="W7" s="231"/>
      <c r="X7" s="231"/>
      <c r="Y7" s="231"/>
    </row>
    <row r="8" spans="1:26" x14ac:dyDescent="0.2">
      <c r="A8" s="23"/>
      <c r="B8" s="23"/>
      <c r="C8" s="23"/>
      <c r="D8" s="23"/>
      <c r="E8" s="23"/>
      <c r="F8" s="30">
        <f t="shared" si="2"/>
        <v>38267</v>
      </c>
      <c r="G8" s="140"/>
      <c r="H8" s="140"/>
      <c r="J8" s="140">
        <v>3</v>
      </c>
      <c r="K8" s="21"/>
      <c r="L8" s="142">
        <v>21</v>
      </c>
      <c r="M8" s="144">
        <f t="shared" si="0"/>
        <v>30</v>
      </c>
      <c r="N8" s="21"/>
      <c r="O8" s="21">
        <v>2.3094688221709005</v>
      </c>
      <c r="P8" s="144">
        <f t="shared" si="1"/>
        <v>2.6595744680851068</v>
      </c>
      <c r="Q8" s="145"/>
      <c r="S8" s="231"/>
      <c r="T8" s="231"/>
      <c r="U8" s="231"/>
      <c r="V8" s="231"/>
      <c r="W8" s="231"/>
      <c r="X8" s="231"/>
      <c r="Y8" s="231"/>
    </row>
    <row r="9" spans="1:26" x14ac:dyDescent="0.2">
      <c r="A9" s="23"/>
      <c r="B9" s="23"/>
      <c r="C9" s="29"/>
      <c r="D9" s="23"/>
      <c r="E9" s="23"/>
      <c r="F9" s="30">
        <f t="shared" si="2"/>
        <v>38274</v>
      </c>
      <c r="G9" s="140"/>
      <c r="H9" s="140"/>
      <c r="I9" s="21"/>
      <c r="J9" s="140">
        <v>4</v>
      </c>
      <c r="K9" s="21"/>
      <c r="L9" s="142">
        <v>28</v>
      </c>
      <c r="M9" s="144">
        <f t="shared" si="0"/>
        <v>40</v>
      </c>
      <c r="N9" s="21"/>
      <c r="O9" s="21">
        <v>9.930715935334872</v>
      </c>
      <c r="P9" s="144">
        <f t="shared" si="1"/>
        <v>11.436170212765957</v>
      </c>
      <c r="Q9" s="145"/>
      <c r="S9" s="231"/>
      <c r="T9" s="231"/>
      <c r="U9" s="231"/>
      <c r="V9" s="231"/>
      <c r="W9" s="231"/>
      <c r="X9" s="231"/>
      <c r="Y9" s="231"/>
    </row>
    <row r="10" spans="1:26" x14ac:dyDescent="0.2">
      <c r="A10" s="23"/>
      <c r="B10" s="23"/>
      <c r="C10" s="29"/>
      <c r="D10" s="23"/>
      <c r="E10" s="23"/>
      <c r="F10" s="30">
        <f t="shared" si="2"/>
        <v>38281</v>
      </c>
      <c r="G10" s="30"/>
      <c r="H10" s="140"/>
      <c r="I10" s="21"/>
      <c r="J10" s="140">
        <v>5</v>
      </c>
      <c r="K10" s="21"/>
      <c r="L10" s="142">
        <v>35</v>
      </c>
      <c r="M10" s="144">
        <f t="shared" si="0"/>
        <v>50</v>
      </c>
      <c r="N10" s="21"/>
      <c r="O10" s="21">
        <v>24.018475750577366</v>
      </c>
      <c r="P10" s="144">
        <f t="shared" si="1"/>
        <v>27.659574468085108</v>
      </c>
      <c r="Q10" s="145"/>
      <c r="S10" s="231"/>
      <c r="T10" s="231"/>
      <c r="U10" s="231"/>
      <c r="V10" s="231"/>
      <c r="W10" s="231"/>
      <c r="X10" s="231"/>
      <c r="Y10" s="231"/>
    </row>
    <row r="11" spans="1:26" x14ac:dyDescent="0.2">
      <c r="A11" s="23"/>
      <c r="B11" s="23"/>
      <c r="C11" s="29"/>
      <c r="D11" s="23"/>
      <c r="E11" s="23"/>
      <c r="F11" s="30">
        <f t="shared" si="2"/>
        <v>38288</v>
      </c>
      <c r="G11" s="140"/>
      <c r="H11" s="140"/>
      <c r="J11" s="140">
        <v>6</v>
      </c>
      <c r="K11" s="21"/>
      <c r="L11" s="142">
        <v>42</v>
      </c>
      <c r="M11" s="144">
        <f t="shared" si="0"/>
        <v>60</v>
      </c>
      <c r="N11" s="21"/>
      <c r="O11" s="21">
        <v>41.108545034642034</v>
      </c>
      <c r="P11" s="144">
        <f t="shared" si="1"/>
        <v>47.340425531914903</v>
      </c>
      <c r="Q11" s="145"/>
    </row>
    <row r="12" spans="1:26" x14ac:dyDescent="0.2">
      <c r="A12" s="23"/>
      <c r="B12" s="23"/>
      <c r="C12" s="23"/>
      <c r="D12" s="23"/>
      <c r="E12" s="23"/>
      <c r="F12" s="30">
        <f t="shared" si="2"/>
        <v>38295</v>
      </c>
      <c r="G12" s="140"/>
      <c r="H12" s="140"/>
      <c r="I12" s="21"/>
      <c r="J12" s="140">
        <v>7</v>
      </c>
      <c r="K12" s="21"/>
      <c r="L12" s="142">
        <v>49</v>
      </c>
      <c r="M12" s="144">
        <f t="shared" si="0"/>
        <v>70</v>
      </c>
      <c r="N12" s="21"/>
      <c r="O12" s="21">
        <v>57.736720554272516</v>
      </c>
      <c r="P12" s="144">
        <f t="shared" si="1"/>
        <v>66.489361702127667</v>
      </c>
      <c r="Q12" s="145" t="s">
        <v>318</v>
      </c>
    </row>
    <row r="13" spans="1:26" x14ac:dyDescent="0.2">
      <c r="A13" s="23"/>
      <c r="B13" s="23"/>
      <c r="C13" s="23"/>
      <c r="D13" s="23"/>
      <c r="E13" s="23"/>
      <c r="F13" s="30">
        <f t="shared" si="2"/>
        <v>38302</v>
      </c>
      <c r="G13" s="140"/>
      <c r="H13" s="140"/>
      <c r="I13" s="21"/>
      <c r="J13" s="140">
        <v>8</v>
      </c>
      <c r="K13" s="21"/>
      <c r="L13" s="142">
        <v>56</v>
      </c>
      <c r="M13" s="144">
        <f t="shared" si="0"/>
        <v>80</v>
      </c>
      <c r="N13" s="21"/>
      <c r="O13" s="21">
        <v>70.669745958429559</v>
      </c>
      <c r="P13" s="144">
        <f t="shared" si="1"/>
        <v>81.382978723404264</v>
      </c>
      <c r="Q13" s="145"/>
    </row>
    <row r="14" spans="1:26" x14ac:dyDescent="0.2">
      <c r="A14" s="23"/>
      <c r="B14" s="23"/>
      <c r="C14" s="23"/>
      <c r="D14" s="23"/>
      <c r="E14" s="23"/>
      <c r="F14" s="30">
        <f t="shared" si="2"/>
        <v>38309</v>
      </c>
      <c r="G14" s="140"/>
      <c r="H14" s="140"/>
      <c r="I14" s="21"/>
      <c r="J14" s="140">
        <v>9</v>
      </c>
      <c r="K14" s="21"/>
      <c r="L14" s="142">
        <v>63</v>
      </c>
      <c r="M14" s="144">
        <f t="shared" si="0"/>
        <v>90</v>
      </c>
      <c r="N14" s="21"/>
      <c r="O14" s="21">
        <v>80.369515011547335</v>
      </c>
      <c r="P14" s="144">
        <f t="shared" si="1"/>
        <v>92.553191489361708</v>
      </c>
      <c r="Q14" s="145"/>
    </row>
    <row r="15" spans="1:26" x14ac:dyDescent="0.2">
      <c r="A15" s="23"/>
      <c r="B15" s="23"/>
      <c r="C15" s="23"/>
      <c r="D15" s="23"/>
      <c r="E15" s="23"/>
      <c r="F15" s="30">
        <f t="shared" si="2"/>
        <v>38316</v>
      </c>
      <c r="G15" s="30"/>
      <c r="H15" s="140"/>
      <c r="J15" s="140">
        <v>10</v>
      </c>
      <c r="K15" s="21"/>
      <c r="L15" s="142">
        <v>70</v>
      </c>
      <c r="M15" s="144">
        <f t="shared" si="0"/>
        <v>100</v>
      </c>
      <c r="N15" s="21"/>
      <c r="O15" s="21">
        <v>86.836027713625853</v>
      </c>
      <c r="P15" s="144">
        <f t="shared" si="1"/>
        <v>100</v>
      </c>
      <c r="Q15" s="145"/>
    </row>
    <row r="16" spans="1:26" x14ac:dyDescent="0.2">
      <c r="A16" s="23"/>
      <c r="B16" s="23"/>
      <c r="C16" s="23"/>
      <c r="D16" s="23"/>
      <c r="E16">
        <f>39.8*0.446</f>
        <v>17.750799999999998</v>
      </c>
      <c r="F16" s="140"/>
      <c r="G16" s="140"/>
      <c r="H16" s="145">
        <f>L26</f>
        <v>70</v>
      </c>
      <c r="I16" s="21">
        <f>164/1.12</f>
        <v>146.42857142857142</v>
      </c>
      <c r="J16" s="142">
        <v>0</v>
      </c>
      <c r="K16" s="21"/>
      <c r="L16" s="21">
        <v>0</v>
      </c>
      <c r="M16" s="144">
        <f>L16/L$26*100</f>
        <v>0</v>
      </c>
      <c r="N16" s="21"/>
      <c r="O16" s="21">
        <v>0</v>
      </c>
      <c r="P16" s="144">
        <f>O16/O$26*100</f>
        <v>0</v>
      </c>
      <c r="Q16" s="145"/>
    </row>
    <row r="17" spans="1:29" x14ac:dyDescent="0.2">
      <c r="A17" s="23"/>
      <c r="B17" s="23"/>
      <c r="C17" s="23"/>
      <c r="D17" s="23"/>
      <c r="E17" s="23"/>
      <c r="F17" s="140"/>
      <c r="G17" s="140"/>
      <c r="H17" s="140"/>
      <c r="I17" s="21"/>
      <c r="J17" s="145">
        <v>1</v>
      </c>
      <c r="K17" s="21"/>
      <c r="L17" s="142">
        <v>7</v>
      </c>
      <c r="M17" s="144">
        <f t="shared" ref="M17:M26" si="3">L17/L$26*100</f>
        <v>10</v>
      </c>
      <c r="N17" s="21"/>
      <c r="O17" s="142">
        <v>0</v>
      </c>
      <c r="P17" s="144">
        <f t="shared" ref="P17:P26" si="4">O17/O$26*100</f>
        <v>0</v>
      </c>
      <c r="Q17" s="145"/>
    </row>
    <row r="18" spans="1:29" x14ac:dyDescent="0.2">
      <c r="A18" s="23"/>
      <c r="B18" s="23"/>
      <c r="C18" s="23"/>
      <c r="D18" s="23"/>
      <c r="E18" s="23"/>
      <c r="F18" s="140"/>
      <c r="G18" s="140"/>
      <c r="H18" s="140"/>
      <c r="I18" s="21"/>
      <c r="J18" s="145">
        <v>2</v>
      </c>
      <c r="K18" s="21"/>
      <c r="L18" s="142">
        <v>14</v>
      </c>
      <c r="M18" s="144">
        <f t="shared" si="3"/>
        <v>20</v>
      </c>
      <c r="N18" s="21"/>
      <c r="O18" s="142">
        <v>0</v>
      </c>
      <c r="P18" s="144">
        <f t="shared" si="4"/>
        <v>0</v>
      </c>
      <c r="Q18" s="145"/>
    </row>
    <row r="19" spans="1:29" x14ac:dyDescent="0.2">
      <c r="A19" s="23"/>
      <c r="B19" s="23"/>
      <c r="C19" s="23"/>
      <c r="D19" s="23"/>
      <c r="E19" s="23"/>
      <c r="F19" s="140"/>
      <c r="G19" s="140"/>
      <c r="H19" s="140"/>
      <c r="I19" s="21"/>
      <c r="J19" s="145">
        <v>3</v>
      </c>
      <c r="K19" s="21"/>
      <c r="L19" s="142">
        <v>21</v>
      </c>
      <c r="M19" s="144">
        <f t="shared" si="3"/>
        <v>30</v>
      </c>
      <c r="N19" s="21"/>
      <c r="O19" s="21">
        <v>3.0023094688221708</v>
      </c>
      <c r="P19" s="144">
        <f t="shared" si="4"/>
        <v>2.736842105263158</v>
      </c>
      <c r="Q19" s="145"/>
    </row>
    <row r="20" spans="1:29" x14ac:dyDescent="0.2">
      <c r="A20" s="23"/>
      <c r="B20" s="23"/>
      <c r="C20" s="23"/>
      <c r="D20" s="23"/>
      <c r="E20" s="23"/>
      <c r="F20" s="30"/>
      <c r="G20" s="30"/>
      <c r="H20" s="140"/>
      <c r="I20" s="21"/>
      <c r="J20" s="145">
        <v>4</v>
      </c>
      <c r="K20" s="21"/>
      <c r="L20" s="142">
        <v>28</v>
      </c>
      <c r="M20" s="144">
        <f t="shared" si="3"/>
        <v>40</v>
      </c>
      <c r="N20" s="21"/>
      <c r="O20" s="21">
        <v>9.930715935334872</v>
      </c>
      <c r="P20" s="144">
        <f t="shared" si="4"/>
        <v>9.0526315789473681</v>
      </c>
      <c r="Q20" s="145"/>
    </row>
    <row r="21" spans="1:29" x14ac:dyDescent="0.2">
      <c r="A21" s="23"/>
      <c r="B21" s="23"/>
      <c r="C21" s="23"/>
      <c r="D21" s="23"/>
      <c r="E21" s="23"/>
      <c r="F21" s="140"/>
      <c r="G21" s="140"/>
      <c r="H21" s="140"/>
      <c r="I21" s="21"/>
      <c r="J21" s="145">
        <v>5</v>
      </c>
      <c r="K21" s="21"/>
      <c r="L21" s="142">
        <v>35</v>
      </c>
      <c r="M21" s="144">
        <f t="shared" si="3"/>
        <v>50</v>
      </c>
      <c r="N21" s="21"/>
      <c r="O21" s="21">
        <v>25.173210161662819</v>
      </c>
      <c r="P21" s="144">
        <f t="shared" si="4"/>
        <v>22.947368421052637</v>
      </c>
      <c r="Q21" s="145"/>
      <c r="AB21">
        <v>2.4500000000000002</v>
      </c>
      <c r="AC21">
        <v>100</v>
      </c>
    </row>
    <row r="22" spans="1:29" x14ac:dyDescent="0.2">
      <c r="A22" s="23"/>
      <c r="B22" s="23"/>
      <c r="C22" s="23"/>
      <c r="D22" s="23"/>
      <c r="E22" s="23"/>
      <c r="F22" s="140"/>
      <c r="G22" s="140"/>
      <c r="H22" s="140"/>
      <c r="I22" s="21"/>
      <c r="J22" s="145">
        <v>6</v>
      </c>
      <c r="K22" s="21"/>
      <c r="L22" s="142">
        <v>42</v>
      </c>
      <c r="M22" s="144">
        <f t="shared" si="3"/>
        <v>60</v>
      </c>
      <c r="N22" s="21"/>
      <c r="O22" s="21">
        <v>45.034642032332563</v>
      </c>
      <c r="P22" s="144">
        <f t="shared" si="4"/>
        <v>41.05263157894737</v>
      </c>
      <c r="Q22" s="145"/>
      <c r="AA22">
        <v>0</v>
      </c>
      <c r="AB22">
        <v>0</v>
      </c>
      <c r="AC22">
        <f>$AC$21/$AB$21*AB22</f>
        <v>0</v>
      </c>
    </row>
    <row r="23" spans="1:29" x14ac:dyDescent="0.2">
      <c r="A23" s="23"/>
      <c r="B23" s="23"/>
      <c r="C23" s="23"/>
      <c r="D23" s="23"/>
      <c r="E23" s="23"/>
      <c r="F23" s="140"/>
      <c r="G23" s="140"/>
      <c r="H23" s="140"/>
      <c r="I23" s="21"/>
      <c r="J23" s="145">
        <v>7</v>
      </c>
      <c r="K23" s="21"/>
      <c r="L23" s="142">
        <v>49</v>
      </c>
      <c r="M23" s="144">
        <f t="shared" si="3"/>
        <v>70</v>
      </c>
      <c r="N23" s="21"/>
      <c r="O23" s="21">
        <v>65.819861431870663</v>
      </c>
      <c r="P23" s="144">
        <f t="shared" si="4"/>
        <v>60</v>
      </c>
      <c r="Q23" s="145"/>
      <c r="AA23">
        <v>10</v>
      </c>
      <c r="AB23">
        <v>0</v>
      </c>
      <c r="AC23">
        <f t="shared" ref="AC23:AC32" si="5">$AC$21/$AB$21*AB23</f>
        <v>0</v>
      </c>
    </row>
    <row r="24" spans="1:29" x14ac:dyDescent="0.2">
      <c r="A24" s="23"/>
      <c r="B24" s="23"/>
      <c r="C24" s="23"/>
      <c r="D24" s="23"/>
      <c r="E24" s="23"/>
      <c r="F24" s="140"/>
      <c r="G24" s="140"/>
      <c r="H24" s="140"/>
      <c r="I24" s="21"/>
      <c r="J24" s="145">
        <v>8</v>
      </c>
      <c r="K24" s="21"/>
      <c r="L24" s="142">
        <v>56</v>
      </c>
      <c r="M24" s="144">
        <f t="shared" si="3"/>
        <v>80</v>
      </c>
      <c r="N24" s="21"/>
      <c r="O24" s="21">
        <v>84.757505773672051</v>
      </c>
      <c r="P24" s="144">
        <f t="shared" si="4"/>
        <v>77.26315789473685</v>
      </c>
      <c r="Q24" s="145"/>
      <c r="AA24">
        <v>20</v>
      </c>
      <c r="AB24">
        <v>0</v>
      </c>
      <c r="AC24">
        <f t="shared" si="5"/>
        <v>0</v>
      </c>
    </row>
    <row r="25" spans="1:29" x14ac:dyDescent="0.2">
      <c r="A25" s="23"/>
      <c r="B25" s="23"/>
      <c r="C25" s="23"/>
      <c r="D25" s="23"/>
      <c r="E25" s="23"/>
      <c r="F25" s="30"/>
      <c r="G25" s="30"/>
      <c r="H25" s="140"/>
      <c r="I25" s="21"/>
      <c r="J25" s="145">
        <v>9</v>
      </c>
      <c r="K25" s="21"/>
      <c r="L25" s="142">
        <v>63</v>
      </c>
      <c r="M25" s="144">
        <f t="shared" si="3"/>
        <v>90</v>
      </c>
      <c r="N25" s="21"/>
      <c r="O25" s="21">
        <v>99.769053117782917</v>
      </c>
      <c r="P25" s="144">
        <f t="shared" si="4"/>
        <v>90.947368421052644</v>
      </c>
      <c r="Q25" s="145"/>
      <c r="AA25">
        <v>30</v>
      </c>
      <c r="AB25">
        <v>0.05</v>
      </c>
      <c r="AC25">
        <f t="shared" si="5"/>
        <v>2.0408163265306123</v>
      </c>
    </row>
    <row r="26" spans="1:29" x14ac:dyDescent="0.2">
      <c r="A26" s="23"/>
      <c r="B26" s="23"/>
      <c r="C26" s="23"/>
      <c r="D26" s="23"/>
      <c r="E26" s="23"/>
      <c r="F26" s="140"/>
      <c r="G26" s="140"/>
      <c r="H26" s="140"/>
      <c r="I26" s="21"/>
      <c r="J26" s="145">
        <v>10</v>
      </c>
      <c r="K26" s="21"/>
      <c r="L26" s="142">
        <v>70</v>
      </c>
      <c r="M26" s="144">
        <f t="shared" si="3"/>
        <v>100</v>
      </c>
      <c r="N26" s="21"/>
      <c r="O26" s="21">
        <v>109.69976905311778</v>
      </c>
      <c r="P26" s="144">
        <f t="shared" si="4"/>
        <v>100</v>
      </c>
      <c r="Q26" s="145"/>
      <c r="AA26">
        <v>40</v>
      </c>
      <c r="AB26">
        <v>0.27</v>
      </c>
      <c r="AC26">
        <f t="shared" si="5"/>
        <v>11.020408163265307</v>
      </c>
    </row>
    <row r="27" spans="1:29" x14ac:dyDescent="0.2">
      <c r="A27" s="23"/>
      <c r="B27" s="23"/>
      <c r="C27" s="23"/>
      <c r="D27" s="23"/>
      <c r="E27" s="23">
        <f>42.3*0.446</f>
        <v>18.8658</v>
      </c>
      <c r="F27" s="140"/>
      <c r="G27" s="140"/>
      <c r="H27" s="140">
        <f>L37</f>
        <v>70</v>
      </c>
      <c r="I27" s="21">
        <f>246/1.12</f>
        <v>219.64285714285711</v>
      </c>
      <c r="J27" s="142">
        <v>0</v>
      </c>
      <c r="K27" s="21"/>
      <c r="L27" s="21">
        <v>0</v>
      </c>
      <c r="M27" s="144">
        <f>L27/L$37*100</f>
        <v>0</v>
      </c>
      <c r="N27" s="21"/>
      <c r="O27" s="21">
        <v>0</v>
      </c>
      <c r="P27" s="144">
        <f>O27/O$37*100</f>
        <v>0</v>
      </c>
      <c r="Q27" s="145"/>
      <c r="AA27">
        <v>50</v>
      </c>
      <c r="AB27">
        <v>0.59</v>
      </c>
      <c r="AC27">
        <f t="shared" si="5"/>
        <v>24.081632653061224</v>
      </c>
    </row>
    <row r="28" spans="1:29" x14ac:dyDescent="0.2">
      <c r="A28" s="23"/>
      <c r="B28" s="23"/>
      <c r="C28" s="23"/>
      <c r="D28" s="23"/>
      <c r="E28" s="23"/>
      <c r="F28" s="140"/>
      <c r="G28" s="140"/>
      <c r="H28" s="140"/>
      <c r="I28" s="21"/>
      <c r="J28" s="145">
        <v>1</v>
      </c>
      <c r="K28" s="21"/>
      <c r="L28" s="142">
        <v>7</v>
      </c>
      <c r="M28" s="144">
        <f t="shared" ref="M28:M37" si="6">L28/L$37*100</f>
        <v>10</v>
      </c>
      <c r="N28" s="21"/>
      <c r="O28" s="21">
        <v>0</v>
      </c>
      <c r="P28" s="144">
        <f>O28/O$37*100</f>
        <v>0</v>
      </c>
      <c r="Q28" s="145"/>
      <c r="AA28">
        <v>60</v>
      </c>
      <c r="AB28">
        <v>0.95</v>
      </c>
      <c r="AC28">
        <f t="shared" si="5"/>
        <v>38.775510204081627</v>
      </c>
    </row>
    <row r="29" spans="1:29" x14ac:dyDescent="0.2">
      <c r="A29" s="23"/>
      <c r="B29" s="23"/>
      <c r="C29" s="23"/>
      <c r="D29" s="23"/>
      <c r="E29" s="23"/>
      <c r="F29" s="140"/>
      <c r="G29" s="140"/>
      <c r="H29" s="140"/>
      <c r="I29" s="21"/>
      <c r="J29" s="145">
        <v>2</v>
      </c>
      <c r="K29" s="21"/>
      <c r="L29" s="142">
        <v>14</v>
      </c>
      <c r="M29" s="144">
        <f t="shared" si="6"/>
        <v>20</v>
      </c>
      <c r="N29" s="21"/>
      <c r="O29" s="21">
        <v>0</v>
      </c>
      <c r="P29" s="144">
        <f>O29/O$36*100</f>
        <v>0</v>
      </c>
      <c r="Q29" s="145"/>
      <c r="AA29">
        <v>70</v>
      </c>
      <c r="AB29">
        <v>1.33</v>
      </c>
      <c r="AC29">
        <f t="shared" si="5"/>
        <v>54.285714285714285</v>
      </c>
    </row>
    <row r="30" spans="1:29" x14ac:dyDescent="0.2">
      <c r="A30" s="23"/>
      <c r="B30" s="23"/>
      <c r="C30" s="23"/>
      <c r="D30" s="23"/>
      <c r="E30" s="23"/>
      <c r="F30" s="30"/>
      <c r="G30" s="30"/>
      <c r="H30" s="140"/>
      <c r="I30" s="21"/>
      <c r="J30" s="145">
        <v>3</v>
      </c>
      <c r="K30" s="21"/>
      <c r="L30" s="142">
        <v>21</v>
      </c>
      <c r="M30" s="144">
        <f t="shared" si="6"/>
        <v>30</v>
      </c>
      <c r="N30" s="21"/>
      <c r="O30" s="21">
        <v>2.0785219399538106</v>
      </c>
      <c r="P30" s="146">
        <f t="shared" ref="P30:P37" si="7">O30/O$36*100</f>
        <v>1.607142857142857</v>
      </c>
      <c r="Q30" s="145"/>
      <c r="AA30">
        <v>80</v>
      </c>
      <c r="AB30">
        <v>1.68</v>
      </c>
      <c r="AC30">
        <f t="shared" si="5"/>
        <v>68.571428571428569</v>
      </c>
    </row>
    <row r="31" spans="1:29" x14ac:dyDescent="0.2">
      <c r="A31" s="23"/>
      <c r="B31" s="23"/>
      <c r="C31" s="23"/>
      <c r="D31" s="23"/>
      <c r="E31" s="23"/>
      <c r="F31" s="140"/>
      <c r="G31" s="140"/>
      <c r="H31" s="140"/>
      <c r="I31" s="21"/>
      <c r="J31" s="145">
        <v>4</v>
      </c>
      <c r="K31" s="21"/>
      <c r="L31" s="142">
        <v>28</v>
      </c>
      <c r="M31" s="144">
        <f t="shared" si="6"/>
        <v>40</v>
      </c>
      <c r="N31" s="21"/>
      <c r="O31" s="21">
        <v>9.930715935334872</v>
      </c>
      <c r="P31" s="146">
        <f t="shared" si="7"/>
        <v>7.6785714285714279</v>
      </c>
      <c r="Q31" s="145"/>
      <c r="AA31">
        <v>90</v>
      </c>
      <c r="AB31">
        <v>2.02</v>
      </c>
      <c r="AC31">
        <f t="shared" si="5"/>
        <v>82.448979591836732</v>
      </c>
    </row>
    <row r="32" spans="1:29" x14ac:dyDescent="0.2">
      <c r="A32" s="23"/>
      <c r="B32" s="23"/>
      <c r="C32" s="23"/>
      <c r="D32" s="23"/>
      <c r="E32" s="23"/>
      <c r="F32" s="140"/>
      <c r="G32" s="140"/>
      <c r="H32" s="140"/>
      <c r="I32" s="21"/>
      <c r="J32" s="145">
        <v>5</v>
      </c>
      <c r="K32" s="21"/>
      <c r="L32" s="142">
        <v>35</v>
      </c>
      <c r="M32" s="144">
        <f t="shared" si="6"/>
        <v>50</v>
      </c>
      <c r="N32" s="21"/>
      <c r="O32" s="21">
        <v>27.020785219399535</v>
      </c>
      <c r="P32" s="146">
        <f t="shared" si="7"/>
        <v>20.892857142857142</v>
      </c>
      <c r="Q32" s="145"/>
      <c r="AA32">
        <v>100</v>
      </c>
      <c r="AB32">
        <v>2.41</v>
      </c>
      <c r="AC32">
        <f t="shared" si="5"/>
        <v>98.367346938775512</v>
      </c>
    </row>
    <row r="33" spans="1:23" x14ac:dyDescent="0.2">
      <c r="A33" s="23"/>
      <c r="B33" s="23"/>
      <c r="C33" s="23"/>
      <c r="D33" s="23"/>
      <c r="E33" s="23"/>
      <c r="F33" s="140"/>
      <c r="G33" s="140"/>
      <c r="H33" s="140"/>
      <c r="I33" s="21"/>
      <c r="J33" s="145">
        <v>6</v>
      </c>
      <c r="K33" s="21"/>
      <c r="L33" s="142">
        <v>42</v>
      </c>
      <c r="M33" s="144">
        <f t="shared" si="6"/>
        <v>60</v>
      </c>
      <c r="N33" s="21"/>
      <c r="O33" s="21">
        <v>49.884526558891459</v>
      </c>
      <c r="P33" s="146">
        <f t="shared" si="7"/>
        <v>38.571428571428577</v>
      </c>
      <c r="Q33" s="145"/>
      <c r="W33" s="11"/>
    </row>
    <row r="34" spans="1:23" x14ac:dyDescent="0.2">
      <c r="A34" s="23"/>
      <c r="B34" s="23"/>
      <c r="C34" s="23"/>
      <c r="D34" s="23"/>
      <c r="E34" s="23"/>
      <c r="F34" s="140"/>
      <c r="G34" s="140"/>
      <c r="H34" s="140"/>
      <c r="I34" s="21"/>
      <c r="J34" s="145">
        <v>7</v>
      </c>
      <c r="K34" s="21"/>
      <c r="L34" s="142">
        <v>49</v>
      </c>
      <c r="M34" s="144">
        <f t="shared" si="6"/>
        <v>70</v>
      </c>
      <c r="N34" s="21"/>
      <c r="O34" s="21">
        <v>72.979214780600458</v>
      </c>
      <c r="P34" s="146">
        <f t="shared" si="7"/>
        <v>56.428571428571431</v>
      </c>
      <c r="Q34" s="145"/>
      <c r="W34" s="11"/>
    </row>
    <row r="35" spans="1:23" x14ac:dyDescent="0.2">
      <c r="A35" s="23"/>
      <c r="B35" s="23"/>
      <c r="C35" s="23"/>
      <c r="D35" s="23"/>
      <c r="E35" s="23"/>
      <c r="F35" s="30"/>
      <c r="G35" s="30"/>
      <c r="H35" s="140"/>
      <c r="I35" s="21"/>
      <c r="J35" s="145">
        <v>8</v>
      </c>
      <c r="K35" s="21"/>
      <c r="L35" s="142">
        <v>56</v>
      </c>
      <c r="M35" s="144">
        <f t="shared" si="6"/>
        <v>80</v>
      </c>
      <c r="N35" s="21"/>
      <c r="O35" s="21">
        <v>92.378752886836025</v>
      </c>
      <c r="P35" s="146">
        <f t="shared" si="7"/>
        <v>71.428571428571431</v>
      </c>
      <c r="Q35" s="145"/>
      <c r="W35" s="11"/>
    </row>
    <row r="36" spans="1:23" x14ac:dyDescent="0.2">
      <c r="A36" s="23"/>
      <c r="B36" s="23"/>
      <c r="C36" s="23"/>
      <c r="D36" s="23"/>
      <c r="E36" s="23"/>
      <c r="F36" s="140"/>
      <c r="G36" s="140"/>
      <c r="H36" s="140"/>
      <c r="I36" s="21"/>
      <c r="J36" s="145">
        <v>9</v>
      </c>
      <c r="K36" s="21"/>
      <c r="L36" s="142">
        <v>63</v>
      </c>
      <c r="M36" s="144">
        <f t="shared" si="6"/>
        <v>90</v>
      </c>
      <c r="N36" s="21"/>
      <c r="O36" s="21">
        <v>129.33025404157044</v>
      </c>
      <c r="P36" s="146">
        <f t="shared" si="7"/>
        <v>100</v>
      </c>
      <c r="Q36" s="145"/>
      <c r="W36" s="11"/>
    </row>
    <row r="37" spans="1:23" x14ac:dyDescent="0.2">
      <c r="A37" s="23"/>
      <c r="B37" s="23"/>
      <c r="C37" s="23"/>
      <c r="D37" s="23"/>
      <c r="E37" s="23"/>
      <c r="F37" s="140"/>
      <c r="G37" s="140"/>
      <c r="H37" s="140"/>
      <c r="I37" s="21"/>
      <c r="J37" s="145">
        <v>10</v>
      </c>
      <c r="K37" s="21"/>
      <c r="L37" s="142">
        <v>70</v>
      </c>
      <c r="M37" s="144">
        <f t="shared" si="6"/>
        <v>100</v>
      </c>
      <c r="N37" s="21"/>
      <c r="O37" s="21">
        <v>117.55196304849883</v>
      </c>
      <c r="P37" s="146">
        <f t="shared" si="7"/>
        <v>90.892857142857125</v>
      </c>
      <c r="Q37" s="145"/>
      <c r="W37" s="11"/>
    </row>
    <row r="38" spans="1:23" x14ac:dyDescent="0.2">
      <c r="A38" s="23" t="s">
        <v>313</v>
      </c>
      <c r="B38" s="55" t="s">
        <v>316</v>
      </c>
      <c r="C38" s="23" t="s">
        <v>314</v>
      </c>
      <c r="D38" s="23" t="s">
        <v>315</v>
      </c>
      <c r="E38" s="23"/>
      <c r="F38" s="30">
        <v>38775</v>
      </c>
      <c r="G38" s="30">
        <v>38854</v>
      </c>
      <c r="H38" s="140">
        <f>G38-F38</f>
        <v>79</v>
      </c>
      <c r="I38" s="21"/>
      <c r="J38" s="140">
        <v>0</v>
      </c>
      <c r="K38" s="21" t="s">
        <v>320</v>
      </c>
      <c r="L38" s="21">
        <v>0</v>
      </c>
      <c r="M38" s="144">
        <f>L38/L$44*100</f>
        <v>0</v>
      </c>
      <c r="N38" s="21" t="s">
        <v>304</v>
      </c>
      <c r="O38" s="96">
        <v>0</v>
      </c>
      <c r="P38" s="144">
        <f>O38/O$44*100</f>
        <v>0</v>
      </c>
      <c r="Q38" s="145" t="s">
        <v>317</v>
      </c>
      <c r="W38" s="11"/>
    </row>
    <row r="39" spans="1:23" x14ac:dyDescent="0.2">
      <c r="A39" s="23"/>
      <c r="B39" s="23"/>
      <c r="C39" s="23"/>
      <c r="D39" s="23"/>
      <c r="E39" s="23"/>
      <c r="F39" s="140"/>
      <c r="G39" s="140"/>
      <c r="H39" s="140"/>
      <c r="I39" s="21"/>
      <c r="J39" s="140">
        <v>1</v>
      </c>
      <c r="K39" s="21"/>
      <c r="L39" s="21">
        <v>10</v>
      </c>
      <c r="M39" s="144">
        <f t="shared" ref="M39:M44" si="8">L39/L$44*100</f>
        <v>16.666666666666664</v>
      </c>
      <c r="N39" s="21"/>
      <c r="O39" s="96">
        <v>0</v>
      </c>
      <c r="P39" s="144">
        <f t="shared" ref="P39:P44" si="9">O39/O$44*100</f>
        <v>0</v>
      </c>
      <c r="Q39" s="145"/>
      <c r="W39" s="11"/>
    </row>
    <row r="40" spans="1:23" x14ac:dyDescent="0.2">
      <c r="A40" s="23"/>
      <c r="B40" s="23"/>
      <c r="C40" s="23"/>
      <c r="D40" s="23"/>
      <c r="E40" s="23"/>
      <c r="F40" s="30"/>
      <c r="G40" s="30"/>
      <c r="H40" s="140"/>
      <c r="I40" s="21"/>
      <c r="J40" s="140">
        <v>2</v>
      </c>
      <c r="K40" s="21"/>
      <c r="L40" s="21">
        <v>20</v>
      </c>
      <c r="M40" s="144">
        <f t="shared" si="8"/>
        <v>33.333333333333329</v>
      </c>
      <c r="N40" s="21"/>
      <c r="O40" s="96">
        <v>0.25527831094049902</v>
      </c>
      <c r="P40" s="144">
        <f t="shared" si="9"/>
        <v>3.7623762376237622</v>
      </c>
      <c r="Q40" s="145"/>
      <c r="W40" s="11"/>
    </row>
    <row r="41" spans="1:23" x14ac:dyDescent="0.2">
      <c r="A41" s="23"/>
      <c r="B41" s="23"/>
      <c r="C41" s="23"/>
      <c r="D41" s="23"/>
      <c r="E41" s="23"/>
      <c r="F41" s="140"/>
      <c r="G41" s="140"/>
      <c r="H41" s="140"/>
      <c r="I41" s="21"/>
      <c r="J41" s="140">
        <v>3</v>
      </c>
      <c r="K41" s="21"/>
      <c r="L41" s="21">
        <v>30</v>
      </c>
      <c r="M41" s="144">
        <f t="shared" si="8"/>
        <v>50</v>
      </c>
      <c r="N41" s="21"/>
      <c r="O41" s="96">
        <v>1.3166986564299423</v>
      </c>
      <c r="P41" s="144">
        <f t="shared" si="9"/>
        <v>19.405940594059405</v>
      </c>
      <c r="Q41" s="145"/>
      <c r="W41" s="11"/>
    </row>
    <row r="42" spans="1:23" x14ac:dyDescent="0.2">
      <c r="A42" s="23"/>
      <c r="B42" s="23"/>
      <c r="C42" s="23"/>
      <c r="D42" s="23"/>
      <c r="E42" s="23"/>
      <c r="F42" s="140"/>
      <c r="G42" s="140"/>
      <c r="H42" s="140"/>
      <c r="I42" s="21"/>
      <c r="J42" s="140">
        <v>4</v>
      </c>
      <c r="K42" s="21"/>
      <c r="L42" s="21">
        <v>40</v>
      </c>
      <c r="M42" s="144">
        <f t="shared" si="8"/>
        <v>66.666666666666657</v>
      </c>
      <c r="N42" s="21"/>
      <c r="O42" s="96">
        <v>2.0825335892514394</v>
      </c>
      <c r="P42" s="144">
        <f t="shared" si="9"/>
        <v>30.693069306930692</v>
      </c>
      <c r="Q42" s="145"/>
      <c r="W42" s="11"/>
    </row>
    <row r="43" spans="1:23" x14ac:dyDescent="0.2">
      <c r="A43" s="23"/>
      <c r="B43" s="23"/>
      <c r="C43" s="23"/>
      <c r="D43" s="23"/>
      <c r="E43" s="23"/>
      <c r="F43" s="140"/>
      <c r="G43" s="140"/>
      <c r="H43" s="140"/>
      <c r="I43" s="21"/>
      <c r="J43" s="140">
        <v>5</v>
      </c>
      <c r="K43" s="21"/>
      <c r="L43" s="21">
        <v>50</v>
      </c>
      <c r="M43" s="144">
        <f t="shared" si="8"/>
        <v>83.333333333333343</v>
      </c>
      <c r="N43" s="21"/>
      <c r="O43" s="96">
        <v>3.7216890595009597</v>
      </c>
      <c r="P43" s="144">
        <f t="shared" si="9"/>
        <v>54.851485148514854</v>
      </c>
      <c r="Q43" s="145"/>
    </row>
    <row r="44" spans="1:23" x14ac:dyDescent="0.2">
      <c r="A44" s="23"/>
      <c r="B44" s="23"/>
      <c r="C44" s="23"/>
      <c r="D44" s="23"/>
      <c r="E44" s="23"/>
      <c r="F44" s="140"/>
      <c r="G44" s="140"/>
      <c r="H44" s="140"/>
      <c r="I44" s="21"/>
      <c r="J44" s="140">
        <v>6</v>
      </c>
      <c r="K44" s="21"/>
      <c r="L44" s="21">
        <v>60</v>
      </c>
      <c r="M44" s="144">
        <f t="shared" si="8"/>
        <v>100</v>
      </c>
      <c r="N44" s="21"/>
      <c r="O44" s="96">
        <v>6.7850287907869475</v>
      </c>
      <c r="P44" s="144">
        <f t="shared" si="9"/>
        <v>100</v>
      </c>
      <c r="Q44" s="145"/>
    </row>
    <row r="45" spans="1:23" x14ac:dyDescent="0.2">
      <c r="A45" s="23"/>
      <c r="B45" s="23"/>
      <c r="C45" s="23"/>
      <c r="D45" s="23"/>
      <c r="E45" s="23"/>
      <c r="F45" s="30"/>
      <c r="G45" s="30"/>
      <c r="H45" s="140"/>
      <c r="I45" s="21"/>
      <c r="J45" s="140"/>
      <c r="K45" s="21"/>
      <c r="L45" s="21"/>
      <c r="M45" s="21"/>
      <c r="N45" s="21"/>
      <c r="O45" s="21"/>
      <c r="P45" s="21"/>
      <c r="Q45" s="145"/>
    </row>
    <row r="46" spans="1:23" x14ac:dyDescent="0.2">
      <c r="A46" s="23"/>
      <c r="B46" s="23"/>
      <c r="C46" s="23"/>
      <c r="D46" s="23"/>
      <c r="E46" s="23"/>
      <c r="F46" s="140"/>
      <c r="G46" s="140"/>
      <c r="H46" s="140"/>
      <c r="I46" s="21"/>
      <c r="J46" s="140"/>
      <c r="K46" s="21"/>
      <c r="L46" s="21"/>
      <c r="M46" s="21"/>
      <c r="N46" s="21"/>
      <c r="O46" s="21"/>
      <c r="P46" s="21"/>
      <c r="Q46" s="145"/>
    </row>
    <row r="47" spans="1:23" x14ac:dyDescent="0.2">
      <c r="A47" s="23"/>
      <c r="B47" s="23"/>
      <c r="C47" s="23"/>
      <c r="D47" s="23"/>
      <c r="E47" s="23"/>
      <c r="F47" s="140"/>
      <c r="G47" s="140"/>
      <c r="H47" s="140"/>
      <c r="I47" s="21"/>
      <c r="J47" s="140"/>
      <c r="K47" s="21"/>
      <c r="L47" s="21"/>
      <c r="M47" s="21"/>
      <c r="N47" s="21"/>
      <c r="O47" s="21"/>
      <c r="P47" s="21"/>
      <c r="Q47" s="145"/>
    </row>
    <row r="48" spans="1:23" x14ac:dyDescent="0.2">
      <c r="A48" s="23"/>
      <c r="B48" s="23"/>
      <c r="C48" s="23"/>
      <c r="D48" s="23"/>
      <c r="E48" s="23"/>
      <c r="F48" s="140"/>
      <c r="G48" s="140"/>
      <c r="H48" s="140"/>
      <c r="I48" s="21"/>
      <c r="J48" s="140"/>
      <c r="K48" s="21"/>
      <c r="L48" s="21"/>
      <c r="M48" s="21"/>
      <c r="N48" s="21"/>
      <c r="O48" s="21"/>
      <c r="P48" s="21"/>
      <c r="Q48" s="145"/>
    </row>
    <row r="49" spans="1:17" x14ac:dyDescent="0.2">
      <c r="A49" s="23"/>
      <c r="B49" s="23"/>
      <c r="C49" s="23"/>
      <c r="D49" s="23"/>
      <c r="E49" s="23"/>
      <c r="F49" s="140"/>
      <c r="G49" s="140"/>
      <c r="H49" s="140"/>
      <c r="I49" s="21"/>
      <c r="J49" s="140"/>
      <c r="K49" s="21"/>
      <c r="L49" s="21"/>
      <c r="M49" s="21"/>
      <c r="N49" s="21"/>
      <c r="O49" s="21"/>
      <c r="P49" s="21"/>
      <c r="Q49" s="145"/>
    </row>
    <row r="50" spans="1:17" x14ac:dyDescent="0.2">
      <c r="A50" s="23"/>
      <c r="B50" s="23"/>
      <c r="C50" s="23"/>
      <c r="D50" s="23"/>
      <c r="E50" s="23"/>
      <c r="F50" s="30"/>
      <c r="G50" s="30"/>
      <c r="H50" s="140"/>
      <c r="I50" s="21"/>
      <c r="J50" s="140"/>
      <c r="K50" s="21"/>
      <c r="L50" s="21"/>
      <c r="M50" s="21"/>
      <c r="N50" s="21"/>
      <c r="O50" s="21"/>
      <c r="P50" s="21"/>
      <c r="Q50" s="145"/>
    </row>
    <row r="51" spans="1:17" x14ac:dyDescent="0.2">
      <c r="A51" s="23"/>
      <c r="B51" s="23"/>
      <c r="C51" s="23"/>
      <c r="D51" s="23"/>
      <c r="E51" s="23"/>
      <c r="F51" s="140"/>
      <c r="G51" s="140"/>
      <c r="H51" s="140"/>
      <c r="I51" s="21"/>
      <c r="J51" s="140"/>
      <c r="K51" s="21"/>
      <c r="L51" s="21"/>
      <c r="M51" s="21"/>
      <c r="N51" s="21"/>
      <c r="O51" s="21"/>
      <c r="P51" s="21"/>
      <c r="Q51" s="145"/>
    </row>
    <row r="52" spans="1:17" x14ac:dyDescent="0.2">
      <c r="A52" s="23"/>
      <c r="B52" s="23"/>
      <c r="C52" s="23"/>
      <c r="D52" s="23"/>
      <c r="E52" s="23"/>
      <c r="F52" s="140"/>
      <c r="G52" s="140"/>
      <c r="H52" s="140"/>
      <c r="I52" s="21"/>
      <c r="J52" s="140"/>
      <c r="K52" s="21"/>
      <c r="L52" s="21"/>
      <c r="M52" s="21"/>
      <c r="N52" s="21"/>
      <c r="O52" s="21"/>
      <c r="P52" s="21"/>
      <c r="Q52" s="145"/>
    </row>
    <row r="53" spans="1:17" x14ac:dyDescent="0.2">
      <c r="A53" s="23"/>
      <c r="B53" s="23"/>
      <c r="C53" s="23"/>
      <c r="D53" s="23"/>
      <c r="E53" s="23"/>
      <c r="F53" s="140"/>
      <c r="G53" s="140"/>
      <c r="H53" s="140"/>
      <c r="I53" s="21"/>
      <c r="J53" s="140"/>
      <c r="K53" s="21"/>
      <c r="L53" s="21"/>
      <c r="M53" s="96"/>
      <c r="N53" s="21"/>
      <c r="O53" s="21"/>
      <c r="P53" s="21"/>
      <c r="Q53" s="145"/>
    </row>
    <row r="54" spans="1:17" x14ac:dyDescent="0.2">
      <c r="A54" s="23"/>
      <c r="B54" s="23"/>
      <c r="C54" s="23"/>
      <c r="D54" s="23"/>
      <c r="E54" s="23"/>
      <c r="F54" s="140"/>
      <c r="G54" s="140"/>
      <c r="H54" s="140"/>
      <c r="I54" s="21"/>
      <c r="J54" s="140"/>
      <c r="K54" s="21"/>
      <c r="L54" s="21"/>
      <c r="M54" s="96"/>
      <c r="N54" s="21"/>
      <c r="O54" s="21"/>
      <c r="P54" s="21"/>
      <c r="Q54" s="145"/>
    </row>
    <row r="55" spans="1:17" x14ac:dyDescent="0.2">
      <c r="A55" s="23"/>
      <c r="B55" s="23"/>
      <c r="C55" s="23"/>
      <c r="D55" s="23"/>
      <c r="E55" s="23"/>
      <c r="F55" s="30"/>
      <c r="G55" s="30"/>
      <c r="H55" s="140"/>
      <c r="I55" s="21"/>
      <c r="J55" s="140"/>
      <c r="K55" s="21"/>
      <c r="L55" s="21"/>
      <c r="M55" s="96"/>
      <c r="N55" s="21"/>
      <c r="O55" s="21"/>
      <c r="P55" s="21"/>
      <c r="Q55" s="145"/>
    </row>
    <row r="56" spans="1:17" x14ac:dyDescent="0.2">
      <c r="A56" s="23"/>
      <c r="B56" s="23"/>
      <c r="C56" s="23"/>
      <c r="D56" s="23"/>
      <c r="E56" s="23"/>
      <c r="F56" s="140"/>
      <c r="G56" s="140"/>
      <c r="H56" s="140"/>
      <c r="I56" s="21"/>
      <c r="J56" s="140"/>
      <c r="K56" s="21"/>
      <c r="L56" s="21"/>
      <c r="M56" s="96"/>
      <c r="N56" s="21"/>
      <c r="O56" s="21"/>
      <c r="P56" s="21"/>
      <c r="Q56" s="145"/>
    </row>
    <row r="57" spans="1:17" x14ac:dyDescent="0.2">
      <c r="A57" s="23"/>
      <c r="B57" s="23"/>
      <c r="C57" s="23"/>
      <c r="D57" s="23"/>
      <c r="E57" s="23"/>
      <c r="F57" s="140"/>
      <c r="G57" s="140"/>
      <c r="H57" s="140"/>
      <c r="I57" s="21"/>
      <c r="J57" s="140"/>
      <c r="K57" s="21"/>
      <c r="L57" s="21"/>
      <c r="M57" s="96"/>
      <c r="N57" s="21"/>
      <c r="O57" s="21"/>
      <c r="P57" s="21"/>
      <c r="Q57" s="145"/>
    </row>
    <row r="58" spans="1:17" x14ac:dyDescent="0.2">
      <c r="A58" s="23"/>
      <c r="B58" s="23"/>
      <c r="C58" s="23"/>
      <c r="D58" s="23"/>
      <c r="E58" s="23"/>
      <c r="F58" s="140"/>
      <c r="G58" s="140"/>
      <c r="H58" s="140"/>
      <c r="I58" s="21"/>
      <c r="J58" s="140"/>
      <c r="K58" s="21"/>
      <c r="L58" s="21"/>
      <c r="M58" s="96"/>
      <c r="N58"/>
      <c r="O58"/>
      <c r="P58" s="21"/>
      <c r="Q58" s="145"/>
    </row>
    <row r="59" spans="1:17" x14ac:dyDescent="0.2">
      <c r="A59" s="23"/>
      <c r="B59" s="23"/>
      <c r="C59" s="23"/>
      <c r="D59" s="23"/>
      <c r="E59" s="23"/>
      <c r="F59" s="140"/>
      <c r="G59" s="140"/>
      <c r="H59" s="140"/>
      <c r="K59" s="21"/>
      <c r="L59" s="21"/>
      <c r="M59" s="96"/>
      <c r="N59" s="21"/>
      <c r="O59" s="21"/>
      <c r="P59" s="21"/>
      <c r="Q59" s="145"/>
    </row>
    <row r="60" spans="1:17" x14ac:dyDescent="0.2">
      <c r="A60" s="23"/>
      <c r="B60" s="23"/>
      <c r="C60" s="23"/>
      <c r="D60" s="23"/>
      <c r="E60" s="23"/>
      <c r="F60" s="30"/>
      <c r="G60" s="30"/>
      <c r="H60" s="140"/>
      <c r="L60" s="21"/>
      <c r="M60" s="140"/>
      <c r="N60" s="21"/>
      <c r="O60" s="21"/>
      <c r="P60" s="21"/>
      <c r="Q60" s="145"/>
    </row>
    <row r="61" spans="1:17" x14ac:dyDescent="0.2">
      <c r="A61" s="23"/>
      <c r="B61" s="23"/>
      <c r="C61" s="23"/>
      <c r="D61" s="23"/>
      <c r="E61" s="23"/>
      <c r="F61" s="140"/>
      <c r="G61" s="140"/>
      <c r="H61" s="140"/>
      <c r="L61" s="21"/>
      <c r="M61" s="140"/>
      <c r="N61" s="21"/>
      <c r="O61" s="21"/>
      <c r="P61" s="21"/>
      <c r="Q61" s="145"/>
    </row>
    <row r="62" spans="1:17" x14ac:dyDescent="0.2">
      <c r="A62" s="23"/>
      <c r="B62" s="23"/>
      <c r="C62" s="23"/>
      <c r="D62" s="23"/>
      <c r="E62" s="23"/>
      <c r="F62" s="140"/>
      <c r="G62" s="140"/>
      <c r="H62" s="140"/>
      <c r="L62" s="21"/>
      <c r="M62" s="140"/>
      <c r="N62" s="21"/>
      <c r="O62" s="21"/>
      <c r="P62" s="21"/>
      <c r="Q62" s="145"/>
    </row>
    <row r="63" spans="1:17" x14ac:dyDescent="0.2">
      <c r="A63" s="23"/>
      <c r="B63" s="23"/>
      <c r="C63" s="23"/>
      <c r="D63" s="23"/>
      <c r="E63" s="23"/>
      <c r="F63" s="140"/>
      <c r="G63" s="140"/>
      <c r="H63" s="140"/>
      <c r="L63" s="21"/>
      <c r="M63" s="140"/>
      <c r="N63" s="21"/>
      <c r="O63" s="21"/>
      <c r="P63" s="21"/>
      <c r="Q63" s="145"/>
    </row>
    <row r="64" spans="1:17" x14ac:dyDescent="0.2">
      <c r="A64" s="23"/>
      <c r="B64" s="23"/>
      <c r="C64" s="23"/>
      <c r="D64" s="23"/>
      <c r="E64" s="23"/>
      <c r="F64" s="140"/>
      <c r="G64" s="140"/>
      <c r="H64" s="140"/>
      <c r="L64" s="21"/>
      <c r="M64" s="140"/>
      <c r="N64" s="21"/>
      <c r="O64" s="21"/>
      <c r="P64" s="21"/>
      <c r="Q64" s="145"/>
    </row>
    <row r="65" spans="1:17" x14ac:dyDescent="0.2">
      <c r="A65" s="23"/>
      <c r="B65" s="23"/>
      <c r="C65" s="23"/>
      <c r="D65" s="17"/>
      <c r="E65" s="17"/>
      <c r="F65" s="30"/>
      <c r="G65" s="30"/>
      <c r="H65" s="140"/>
      <c r="L65" s="21"/>
      <c r="M65" s="140"/>
      <c r="N65" s="21"/>
      <c r="O65" s="21"/>
      <c r="P65" s="21"/>
      <c r="Q65" s="145"/>
    </row>
    <row r="66" spans="1:17" x14ac:dyDescent="0.2">
      <c r="A66" s="23"/>
      <c r="B66" s="23"/>
      <c r="C66" s="23"/>
      <c r="D66" s="17"/>
      <c r="E66" s="17"/>
      <c r="F66" s="140"/>
      <c r="G66" s="140"/>
      <c r="H66" s="140"/>
      <c r="M66" s="21"/>
      <c r="N66" s="21"/>
      <c r="O66" s="21"/>
      <c r="P66" s="21"/>
      <c r="Q66" s="145"/>
    </row>
    <row r="67" spans="1:17" x14ac:dyDescent="0.2">
      <c r="A67" s="23"/>
      <c r="B67" s="23"/>
      <c r="C67" s="23"/>
      <c r="D67" s="17"/>
      <c r="E67" s="17"/>
      <c r="F67" s="140"/>
      <c r="G67" s="140"/>
      <c r="H67" s="140"/>
      <c r="I67" s="21"/>
      <c r="J67" s="140"/>
      <c r="K67" s="21"/>
      <c r="L67" s="21"/>
      <c r="M67" s="21"/>
      <c r="N67" s="21"/>
      <c r="O67" s="21"/>
      <c r="P67" s="21"/>
      <c r="Q67" s="145"/>
    </row>
    <row r="68" spans="1:17" x14ac:dyDescent="0.2">
      <c r="A68" s="23"/>
      <c r="B68" s="23"/>
      <c r="C68" s="23"/>
      <c r="D68" s="17"/>
      <c r="E68" s="17"/>
      <c r="F68" s="140"/>
      <c r="G68" s="140"/>
      <c r="H68" s="140"/>
      <c r="I68" s="21"/>
      <c r="J68" s="140"/>
      <c r="K68" s="21"/>
      <c r="L68" s="21"/>
      <c r="M68" s="21"/>
      <c r="N68" s="21"/>
      <c r="O68" s="21"/>
      <c r="P68" s="21"/>
      <c r="Q68" s="145"/>
    </row>
    <row r="69" spans="1:17" x14ac:dyDescent="0.2">
      <c r="A69" s="23"/>
      <c r="B69" s="23"/>
      <c r="C69" s="23"/>
      <c r="D69" s="17"/>
      <c r="E69" s="17"/>
      <c r="F69" s="140"/>
      <c r="G69" s="140"/>
      <c r="H69" s="140"/>
      <c r="I69" s="21"/>
      <c r="J69" s="140"/>
      <c r="K69" s="21"/>
      <c r="L69" s="21"/>
      <c r="M69" s="21"/>
      <c r="N69" s="21"/>
      <c r="O69" s="21"/>
      <c r="P69" s="21"/>
      <c r="Q69" s="145"/>
    </row>
    <row r="70" spans="1:17" x14ac:dyDescent="0.2">
      <c r="A70" s="23"/>
      <c r="B70" s="23"/>
      <c r="C70" s="23"/>
      <c r="D70" s="17"/>
      <c r="E70" s="17"/>
      <c r="F70" s="140"/>
      <c r="G70" s="140"/>
      <c r="H70" s="140"/>
      <c r="I70" s="21"/>
      <c r="J70" s="140"/>
      <c r="K70" s="21"/>
      <c r="L70" s="21"/>
      <c r="M70" s="21"/>
      <c r="N70" s="21"/>
      <c r="O70" s="21"/>
      <c r="P70" s="21"/>
      <c r="Q70" s="145"/>
    </row>
    <row r="71" spans="1:17" x14ac:dyDescent="0.2">
      <c r="A71" s="23"/>
      <c r="B71" s="23"/>
      <c r="C71" s="23"/>
      <c r="D71" s="17"/>
      <c r="E71" s="17"/>
      <c r="F71" s="140"/>
      <c r="G71" s="140"/>
      <c r="H71" s="140"/>
      <c r="I71" s="21"/>
      <c r="J71" s="140"/>
      <c r="K71" s="21"/>
      <c r="L71" s="21"/>
      <c r="M71" s="21"/>
      <c r="N71" s="21"/>
      <c r="O71" s="21"/>
      <c r="P71" s="21"/>
      <c r="Q71" s="145"/>
    </row>
    <row r="72" spans="1:17" x14ac:dyDescent="0.2">
      <c r="A72" s="23"/>
      <c r="B72" s="23"/>
      <c r="C72" s="23"/>
      <c r="D72" s="23"/>
      <c r="E72" s="23"/>
      <c r="F72" s="30"/>
      <c r="G72" s="30"/>
      <c r="H72" s="140"/>
      <c r="I72" s="21"/>
      <c r="J72" s="140"/>
      <c r="K72" s="21"/>
      <c r="L72" s="21"/>
      <c r="M72" s="21"/>
      <c r="N72" s="21"/>
      <c r="O72" s="145"/>
      <c r="P72" s="21"/>
      <c r="Q72" s="145"/>
    </row>
    <row r="73" spans="1:17" x14ac:dyDescent="0.2">
      <c r="A73" s="23"/>
      <c r="B73" s="23"/>
      <c r="C73" s="23"/>
      <c r="D73" s="23"/>
      <c r="E73" s="23"/>
      <c r="F73" s="140"/>
      <c r="G73" s="140"/>
      <c r="H73" s="140"/>
      <c r="I73" s="21"/>
      <c r="J73" s="140"/>
      <c r="K73" s="21"/>
      <c r="L73" s="21"/>
      <c r="M73" s="21"/>
      <c r="N73" s="21"/>
      <c r="O73" s="21"/>
      <c r="P73" s="21"/>
      <c r="Q73" s="145"/>
    </row>
    <row r="74" spans="1:17" x14ac:dyDescent="0.2">
      <c r="A74" s="23"/>
      <c r="B74" s="23"/>
      <c r="C74" s="23"/>
      <c r="D74" s="23"/>
      <c r="E74" s="23"/>
      <c r="F74" s="140"/>
      <c r="G74" s="140"/>
      <c r="H74" s="140"/>
      <c r="I74" s="21"/>
      <c r="J74" s="140"/>
      <c r="K74" s="21"/>
      <c r="L74" s="21"/>
      <c r="M74" s="21"/>
      <c r="N74" s="21"/>
      <c r="O74" s="21"/>
      <c r="P74" s="21"/>
      <c r="Q74" s="145"/>
    </row>
    <row r="75" spans="1:17" x14ac:dyDescent="0.2">
      <c r="A75" s="23"/>
      <c r="B75" s="23"/>
      <c r="C75" s="23"/>
      <c r="D75" s="23"/>
      <c r="E75" s="23"/>
      <c r="F75" s="140"/>
      <c r="G75" s="140"/>
      <c r="H75" s="140"/>
      <c r="I75" s="21"/>
      <c r="J75" s="140"/>
      <c r="K75" s="21"/>
      <c r="L75" s="21"/>
      <c r="M75" s="21"/>
      <c r="N75" s="21"/>
      <c r="O75" s="21"/>
      <c r="P75" s="21"/>
      <c r="Q75" s="145"/>
    </row>
    <row r="76" spans="1:17" x14ac:dyDescent="0.2">
      <c r="A76" s="23"/>
      <c r="B76" s="23"/>
      <c r="C76" s="23"/>
      <c r="D76" s="23"/>
      <c r="E76" s="23"/>
      <c r="F76" s="140"/>
      <c r="G76" s="140"/>
      <c r="H76" s="140"/>
      <c r="I76" s="21"/>
      <c r="J76" s="140"/>
      <c r="K76" s="21"/>
      <c r="L76" s="21"/>
      <c r="M76" s="21"/>
      <c r="N76" s="21"/>
      <c r="O76" s="21"/>
      <c r="P76" s="21"/>
      <c r="Q76" s="145"/>
    </row>
    <row r="77" spans="1:17" x14ac:dyDescent="0.2">
      <c r="A77" s="23"/>
      <c r="B77" s="23"/>
      <c r="C77" s="23"/>
      <c r="D77" s="23"/>
      <c r="E77" s="23"/>
      <c r="F77" s="140"/>
      <c r="G77" s="140"/>
      <c r="H77" s="140"/>
      <c r="I77" s="21"/>
      <c r="J77" s="140"/>
      <c r="K77" s="21"/>
      <c r="L77" s="21"/>
      <c r="M77" s="21"/>
      <c r="N77" s="21"/>
      <c r="O77" s="21"/>
      <c r="P77" s="21"/>
      <c r="Q77" s="145"/>
    </row>
    <row r="78" spans="1:17" x14ac:dyDescent="0.2">
      <c r="A78" s="23"/>
      <c r="B78" s="23"/>
      <c r="C78" s="23"/>
      <c r="D78" s="23"/>
      <c r="E78" s="23"/>
      <c r="F78" s="140"/>
      <c r="G78" s="140"/>
      <c r="H78" s="140"/>
      <c r="I78" s="21"/>
      <c r="J78" s="140"/>
      <c r="K78" s="21"/>
      <c r="L78" s="21"/>
      <c r="M78" s="21"/>
      <c r="N78" s="21"/>
      <c r="O78" s="21"/>
      <c r="P78" s="21"/>
      <c r="Q78" s="145"/>
    </row>
    <row r="81" spans="1:25" x14ac:dyDescent="0.2">
      <c r="A81" t="s">
        <v>37</v>
      </c>
      <c r="C81" s="232" t="s">
        <v>537</v>
      </c>
      <c r="D81" s="233"/>
      <c r="E81" s="233"/>
      <c r="F81" s="233"/>
      <c r="G81" s="233"/>
      <c r="H81" s="233"/>
      <c r="I81" s="233"/>
      <c r="J81" s="233"/>
      <c r="K81" s="233"/>
      <c r="L81" s="233"/>
      <c r="M81" s="234"/>
      <c r="N81" s="64"/>
    </row>
    <row r="82" spans="1:25" x14ac:dyDescent="0.2">
      <c r="C82" s="235"/>
      <c r="D82" s="236"/>
      <c r="E82" s="236"/>
      <c r="F82" s="236"/>
      <c r="G82" s="236"/>
      <c r="H82" s="236"/>
      <c r="I82" s="236"/>
      <c r="J82" s="236"/>
      <c r="K82" s="236"/>
      <c r="L82" s="236"/>
      <c r="M82" s="237"/>
      <c r="N82" s="64"/>
    </row>
    <row r="83" spans="1:25" x14ac:dyDescent="0.2">
      <c r="C83" s="238"/>
      <c r="D83" s="239"/>
      <c r="E83" s="239"/>
      <c r="F83" s="239"/>
      <c r="G83" s="239"/>
      <c r="H83" s="239"/>
      <c r="I83" s="239"/>
      <c r="J83" s="239"/>
      <c r="K83" s="239"/>
      <c r="L83" s="239"/>
      <c r="M83" s="240"/>
      <c r="N83" s="64"/>
    </row>
    <row r="84" spans="1:25" x14ac:dyDescent="0.2">
      <c r="C84" s="14"/>
      <c r="D84" s="14"/>
      <c r="E84" s="14"/>
      <c r="F84" s="14"/>
      <c r="G84" s="14"/>
      <c r="H84" s="14"/>
      <c r="I84" s="14"/>
      <c r="J84" s="14"/>
      <c r="K84" s="14"/>
      <c r="L84" s="143"/>
    </row>
    <row r="85" spans="1:25" x14ac:dyDescent="0.2">
      <c r="C85" s="232" t="s">
        <v>538</v>
      </c>
      <c r="D85" s="233"/>
      <c r="E85" s="233"/>
      <c r="F85" s="233"/>
      <c r="G85" s="233"/>
      <c r="H85" s="233"/>
      <c r="I85" s="233"/>
      <c r="J85" s="233"/>
      <c r="K85" s="233"/>
      <c r="L85" s="233"/>
      <c r="M85" s="233"/>
      <c r="N85" s="233"/>
      <c r="O85" s="233"/>
      <c r="P85" s="234"/>
    </row>
    <row r="86" spans="1:25" x14ac:dyDescent="0.2">
      <c r="C86" s="235"/>
      <c r="D86" s="236"/>
      <c r="E86" s="236"/>
      <c r="F86" s="236"/>
      <c r="G86" s="236"/>
      <c r="H86" s="236"/>
      <c r="I86" s="236"/>
      <c r="J86" s="236"/>
      <c r="K86" s="236"/>
      <c r="L86" s="236"/>
      <c r="M86" s="236"/>
      <c r="N86" s="236"/>
      <c r="O86" s="236"/>
      <c r="P86" s="237"/>
      <c r="Q86" s="241"/>
      <c r="R86" s="241"/>
      <c r="S86" s="241"/>
      <c r="T86" s="241"/>
      <c r="U86" s="241"/>
      <c r="V86" s="241"/>
      <c r="X86" s="241"/>
      <c r="Y86" s="241"/>
    </row>
    <row r="87" spans="1:25" x14ac:dyDescent="0.2">
      <c r="C87" s="238"/>
      <c r="D87" s="239"/>
      <c r="E87" s="239"/>
      <c r="F87" s="239"/>
      <c r="G87" s="239"/>
      <c r="H87" s="239"/>
      <c r="I87" s="239"/>
      <c r="J87" s="239"/>
      <c r="K87" s="239"/>
      <c r="L87" s="239"/>
      <c r="M87" s="239"/>
      <c r="N87" s="239"/>
      <c r="O87" s="239"/>
      <c r="P87" s="240"/>
      <c r="R87" s="136"/>
      <c r="U87" s="136"/>
      <c r="V87" s="136"/>
    </row>
    <row r="88" spans="1:25" x14ac:dyDescent="0.2">
      <c r="C88" s="138"/>
      <c r="D88" s="138"/>
      <c r="E88" s="138"/>
      <c r="F88" s="138"/>
      <c r="G88" s="138"/>
      <c r="H88" s="138"/>
      <c r="I88" s="138"/>
      <c r="J88" s="138"/>
      <c r="K88" s="138"/>
      <c r="L88" s="143"/>
      <c r="M88" s="143"/>
      <c r="N88" s="143"/>
      <c r="O88" s="143"/>
      <c r="P88" s="143"/>
      <c r="R88" s="136"/>
      <c r="U88" s="136"/>
      <c r="V88" s="136"/>
    </row>
    <row r="89" spans="1:25" x14ac:dyDescent="0.2">
      <c r="P89" s="144"/>
      <c r="R89" s="11"/>
      <c r="T89" s="11"/>
      <c r="V89" s="11"/>
    </row>
    <row r="90" spans="1:25" x14ac:dyDescent="0.2">
      <c r="A90" s="1"/>
      <c r="B90" s="1"/>
      <c r="P90" s="144"/>
      <c r="R90" s="11"/>
      <c r="T90" s="11"/>
      <c r="V90" s="11"/>
    </row>
    <row r="91" spans="1:25" x14ac:dyDescent="0.2">
      <c r="A91" s="1"/>
      <c r="B91" s="1"/>
      <c r="P91" s="144"/>
      <c r="R91" s="11"/>
      <c r="T91" s="11"/>
      <c r="V91" s="11"/>
    </row>
    <row r="92" spans="1:25" x14ac:dyDescent="0.2">
      <c r="P92" s="144"/>
      <c r="R92" s="11"/>
      <c r="T92" s="11"/>
      <c r="V92" s="11"/>
    </row>
    <row r="93" spans="1:25" x14ac:dyDescent="0.2">
      <c r="P93" s="144"/>
      <c r="R93" s="11"/>
      <c r="T93" s="11"/>
      <c r="V93" s="11"/>
    </row>
    <row r="94" spans="1:25" x14ac:dyDescent="0.2">
      <c r="P94" s="144"/>
      <c r="R94" s="11"/>
      <c r="T94" s="11"/>
      <c r="V94" s="11"/>
    </row>
  </sheetData>
  <mergeCells count="8">
    <mergeCell ref="K3:M3"/>
    <mergeCell ref="S3:Y10"/>
    <mergeCell ref="C81:M83"/>
    <mergeCell ref="C85:P87"/>
    <mergeCell ref="Q86:R86"/>
    <mergeCell ref="S86:T86"/>
    <mergeCell ref="U86:V86"/>
    <mergeCell ref="X86:Y86"/>
  </mergeCell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D100"/>
  <sheetViews>
    <sheetView topLeftCell="R1" zoomScale="55" zoomScaleNormal="55" zoomScalePageLayoutView="55" workbookViewId="0">
      <selection activeCell="C93" sqref="C93:P95"/>
    </sheetView>
  </sheetViews>
  <sheetFormatPr baseColWidth="10" defaultColWidth="8.83203125" defaultRowHeight="15" x14ac:dyDescent="0.2"/>
  <cols>
    <col min="1" max="1" width="27.6640625" customWidth="1"/>
    <col min="2" max="2" width="20.6640625" customWidth="1"/>
    <col min="3" max="3" width="16.33203125" customWidth="1"/>
    <col min="4" max="4" width="10.1640625" customWidth="1"/>
    <col min="5" max="5" width="13.5" customWidth="1"/>
    <col min="6" max="6" width="13.5" style="149" customWidth="1"/>
    <col min="7" max="7" width="11.6640625" style="149" customWidth="1"/>
    <col min="8" max="8" width="10.1640625" style="149" customWidth="1"/>
    <col min="9" max="9" width="12.33203125" style="151" customWidth="1"/>
    <col min="10" max="10" width="10.1640625" style="149" customWidth="1"/>
    <col min="11" max="12" width="13.5" style="151" customWidth="1"/>
    <col min="13" max="14" width="10.1640625" style="151" customWidth="1"/>
    <col min="15" max="15" width="10.1640625" style="149" customWidth="1"/>
    <col min="16" max="16" width="16.33203125" style="149" customWidth="1"/>
    <col min="17" max="17" width="41.33203125" customWidth="1"/>
  </cols>
  <sheetData>
    <row r="3" spans="1:29" ht="30" x14ac:dyDescent="0.2">
      <c r="A3" s="14" t="s">
        <v>0</v>
      </c>
      <c r="B3" s="14"/>
      <c r="C3" s="14"/>
      <c r="D3" s="14" t="s">
        <v>13</v>
      </c>
      <c r="E3" s="14" t="s">
        <v>28</v>
      </c>
      <c r="F3" s="150" t="s">
        <v>1</v>
      </c>
      <c r="G3" s="150" t="s">
        <v>2</v>
      </c>
      <c r="H3" s="150" t="s">
        <v>4</v>
      </c>
      <c r="I3" s="147" t="s">
        <v>8</v>
      </c>
      <c r="J3" s="150" t="s">
        <v>3</v>
      </c>
      <c r="K3" s="230" t="s">
        <v>20</v>
      </c>
      <c r="L3" s="230"/>
      <c r="M3" s="230"/>
      <c r="N3" s="147"/>
      <c r="O3" s="14" t="s">
        <v>21</v>
      </c>
      <c r="P3" s="14"/>
      <c r="Q3" s="14"/>
      <c r="R3" s="14"/>
      <c r="S3" s="231" t="s">
        <v>41</v>
      </c>
      <c r="T3" s="231"/>
      <c r="U3" s="231"/>
      <c r="V3" s="231"/>
      <c r="W3" s="231"/>
      <c r="X3" s="231"/>
      <c r="Y3" s="231"/>
      <c r="Z3" s="14"/>
    </row>
    <row r="4" spans="1:29" x14ac:dyDescent="0.2">
      <c r="A4" s="26"/>
      <c r="B4" s="26" t="s">
        <v>42</v>
      </c>
      <c r="C4" s="26" t="s">
        <v>10</v>
      </c>
      <c r="D4" s="26"/>
      <c r="E4" s="26" t="s">
        <v>27</v>
      </c>
      <c r="F4" s="25"/>
      <c r="G4" s="25"/>
      <c r="H4" s="25" t="s">
        <v>7</v>
      </c>
      <c r="I4" s="27" t="s">
        <v>9</v>
      </c>
      <c r="J4" s="25"/>
      <c r="K4" s="8" t="s">
        <v>55</v>
      </c>
      <c r="L4" s="27" t="s">
        <v>56</v>
      </c>
      <c r="M4" s="27" t="s">
        <v>5</v>
      </c>
      <c r="N4" s="27" t="s">
        <v>55</v>
      </c>
      <c r="O4" s="25" t="s">
        <v>120</v>
      </c>
      <c r="P4" s="25" t="s">
        <v>12</v>
      </c>
      <c r="Q4" s="26" t="s">
        <v>22</v>
      </c>
      <c r="R4" s="14"/>
      <c r="S4" s="231"/>
      <c r="T4" s="231"/>
      <c r="U4" s="231"/>
      <c r="V4" s="231"/>
      <c r="W4" s="231"/>
      <c r="X4" s="231"/>
      <c r="Y4" s="231"/>
      <c r="Z4" s="14"/>
    </row>
    <row r="5" spans="1:29" x14ac:dyDescent="0.2">
      <c r="A5" t="s">
        <v>331</v>
      </c>
      <c r="B5" s="45" t="s">
        <v>333</v>
      </c>
      <c r="C5" t="s">
        <v>332</v>
      </c>
      <c r="D5" t="s">
        <v>338</v>
      </c>
      <c r="F5" s="5">
        <v>39387</v>
      </c>
      <c r="G5" s="5">
        <v>39448</v>
      </c>
      <c r="H5" s="151">
        <f>L10</f>
        <v>52</v>
      </c>
      <c r="K5" s="151" t="s">
        <v>214</v>
      </c>
      <c r="L5" s="151">
        <v>0</v>
      </c>
      <c r="M5" s="151">
        <f t="shared" ref="M5:M10" si="0">L5/L$10*100</f>
        <v>0</v>
      </c>
      <c r="N5" s="151" t="s">
        <v>304</v>
      </c>
      <c r="O5" s="6">
        <v>0</v>
      </c>
      <c r="P5" s="151">
        <f t="shared" ref="P5:P10" si="1">O5/O$10*100</f>
        <v>0</v>
      </c>
      <c r="S5" s="231"/>
      <c r="T5" s="231"/>
      <c r="U5" s="231"/>
      <c r="V5" s="231"/>
      <c r="W5" s="231"/>
      <c r="X5" s="231"/>
      <c r="Y5" s="231"/>
    </row>
    <row r="6" spans="1:29" x14ac:dyDescent="0.2">
      <c r="B6" s="23"/>
      <c r="C6" s="23"/>
      <c r="D6" s="23"/>
      <c r="E6" s="23"/>
      <c r="F6" s="152"/>
      <c r="G6" s="152"/>
      <c r="H6" s="152"/>
      <c r="I6" s="21"/>
      <c r="J6" s="152"/>
      <c r="K6" s="21"/>
      <c r="L6" s="21">
        <v>12</v>
      </c>
      <c r="M6" s="151">
        <f t="shared" si="0"/>
        <v>23.076923076923077</v>
      </c>
      <c r="N6" s="21"/>
      <c r="O6" s="96">
        <v>0.30718336483931946</v>
      </c>
      <c r="P6" s="151">
        <f t="shared" si="1"/>
        <v>5.3533190578158454</v>
      </c>
      <c r="Q6" s="23"/>
      <c r="S6" s="231"/>
      <c r="T6" s="231"/>
      <c r="U6" s="231"/>
      <c r="V6" s="231"/>
      <c r="W6" s="231"/>
      <c r="X6" s="231"/>
      <c r="Y6" s="231"/>
    </row>
    <row r="7" spans="1:29" x14ac:dyDescent="0.2">
      <c r="A7" s="23"/>
      <c r="B7" s="23"/>
      <c r="C7" s="23"/>
      <c r="D7" s="23"/>
      <c r="E7" s="23"/>
      <c r="F7" s="152"/>
      <c r="G7" s="152"/>
      <c r="H7" s="152"/>
      <c r="I7" s="21"/>
      <c r="J7" s="152"/>
      <c r="K7" s="21"/>
      <c r="L7" s="21">
        <v>22</v>
      </c>
      <c r="M7" s="151">
        <f t="shared" si="0"/>
        <v>42.307692307692307</v>
      </c>
      <c r="N7" s="21"/>
      <c r="O7" s="96">
        <v>1.4744801512287333</v>
      </c>
      <c r="P7" s="151">
        <f t="shared" si="1"/>
        <v>25.695931477516059</v>
      </c>
      <c r="Q7" s="23"/>
      <c r="S7" s="231"/>
      <c r="T7" s="231"/>
      <c r="U7" s="231"/>
      <c r="V7" s="231"/>
      <c r="W7" s="231"/>
      <c r="X7" s="231"/>
      <c r="Y7" s="231"/>
    </row>
    <row r="8" spans="1:29" x14ac:dyDescent="0.2">
      <c r="A8" s="23"/>
      <c r="B8" s="23"/>
      <c r="C8" s="23"/>
      <c r="D8" s="23"/>
      <c r="E8" s="23"/>
      <c r="F8" s="152"/>
      <c r="G8" s="152"/>
      <c r="H8" s="152"/>
      <c r="I8" s="21"/>
      <c r="J8" s="152"/>
      <c r="K8" s="21"/>
      <c r="L8" s="21">
        <v>32</v>
      </c>
      <c r="M8" s="151">
        <f t="shared" si="0"/>
        <v>61.53846153846154</v>
      </c>
      <c r="N8" s="21"/>
      <c r="O8" s="96">
        <v>2.0151228733459354</v>
      </c>
      <c r="P8" s="151">
        <f t="shared" si="1"/>
        <v>35.117773019271944</v>
      </c>
      <c r="Q8" s="23"/>
      <c r="S8" s="231"/>
      <c r="T8" s="231"/>
      <c r="U8" s="231"/>
      <c r="V8" s="231"/>
      <c r="W8" s="231"/>
      <c r="X8" s="231"/>
      <c r="Y8" s="231"/>
    </row>
    <row r="9" spans="1:29" x14ac:dyDescent="0.2">
      <c r="A9" s="23"/>
      <c r="B9" s="23"/>
      <c r="C9" s="29"/>
      <c r="D9" s="23"/>
      <c r="E9" s="23"/>
      <c r="F9" s="152"/>
      <c r="G9" s="152"/>
      <c r="H9" s="152"/>
      <c r="I9" s="21"/>
      <c r="K9" s="21"/>
      <c r="L9" s="21">
        <v>42</v>
      </c>
      <c r="M9" s="151">
        <f t="shared" si="0"/>
        <v>80.769230769230774</v>
      </c>
      <c r="N9" s="21"/>
      <c r="O9" s="96">
        <v>5.6153119092627604</v>
      </c>
      <c r="P9" s="151">
        <f t="shared" si="1"/>
        <v>97.85867237687367</v>
      </c>
      <c r="Q9" s="152" t="s">
        <v>334</v>
      </c>
      <c r="S9" s="231"/>
      <c r="T9" s="231"/>
      <c r="U9" s="231"/>
      <c r="V9" s="231"/>
      <c r="W9" s="231"/>
      <c r="X9" s="231"/>
      <c r="Y9" s="231"/>
    </row>
    <row r="10" spans="1:29" x14ac:dyDescent="0.2">
      <c r="A10" s="23"/>
      <c r="B10" s="23"/>
      <c r="C10" s="29"/>
      <c r="D10" s="23"/>
      <c r="E10" s="23"/>
      <c r="F10" s="30"/>
      <c r="G10" s="30"/>
      <c r="H10" s="152"/>
      <c r="I10" s="21"/>
      <c r="J10" s="152"/>
      <c r="K10" s="21"/>
      <c r="L10" s="21">
        <v>52</v>
      </c>
      <c r="M10" s="151">
        <f t="shared" si="0"/>
        <v>100</v>
      </c>
      <c r="N10" s="21"/>
      <c r="O10" s="96">
        <v>5.7381852551984878</v>
      </c>
      <c r="P10" s="151">
        <f t="shared" si="1"/>
        <v>100</v>
      </c>
      <c r="Q10" s="23"/>
      <c r="S10" s="231"/>
      <c r="T10" s="231"/>
      <c r="U10" s="231"/>
      <c r="V10" s="231"/>
      <c r="W10" s="231"/>
      <c r="X10" s="231"/>
      <c r="Y10" s="231"/>
    </row>
    <row r="11" spans="1:29" x14ac:dyDescent="0.2">
      <c r="A11" s="23" t="s">
        <v>337</v>
      </c>
      <c r="B11" s="55" t="s">
        <v>339</v>
      </c>
      <c r="C11" s="29" t="s">
        <v>323</v>
      </c>
      <c r="D11" s="23" t="s">
        <v>14</v>
      </c>
      <c r="E11" s="23">
        <v>17.8</v>
      </c>
      <c r="F11" s="153">
        <v>37165</v>
      </c>
      <c r="G11" s="153">
        <v>37226</v>
      </c>
      <c r="H11" s="21">
        <f>L16</f>
        <v>75</v>
      </c>
      <c r="I11" s="21"/>
      <c r="J11" s="152"/>
      <c r="K11" s="21" t="s">
        <v>214</v>
      </c>
      <c r="L11" s="21">
        <v>0</v>
      </c>
      <c r="M11" s="21">
        <f t="shared" ref="M11:M16" si="2">L11/L$16*100</f>
        <v>0</v>
      </c>
      <c r="N11" s="21" t="s">
        <v>184</v>
      </c>
      <c r="O11" s="21">
        <v>0</v>
      </c>
      <c r="P11" s="151">
        <f t="shared" ref="P11:P16" si="3">O11/O$16*100</f>
        <v>0</v>
      </c>
      <c r="Q11" s="23" t="s">
        <v>346</v>
      </c>
    </row>
    <row r="12" spans="1:29" x14ac:dyDescent="0.2">
      <c r="A12" s="23"/>
      <c r="B12" s="23"/>
      <c r="C12" s="23"/>
      <c r="D12" s="23"/>
      <c r="E12" s="23"/>
      <c r="F12" s="152"/>
      <c r="G12" s="152"/>
      <c r="H12" s="152"/>
      <c r="I12" s="21"/>
      <c r="J12" s="152"/>
      <c r="K12" s="21"/>
      <c r="L12" s="21">
        <v>15</v>
      </c>
      <c r="M12" s="21">
        <f t="shared" si="2"/>
        <v>20</v>
      </c>
      <c r="N12" s="21"/>
      <c r="O12" s="21">
        <v>0</v>
      </c>
      <c r="P12" s="151">
        <f t="shared" si="3"/>
        <v>0</v>
      </c>
      <c r="Q12" s="23"/>
    </row>
    <row r="13" spans="1:29" x14ac:dyDescent="0.2">
      <c r="A13" s="23"/>
      <c r="B13" s="23"/>
      <c r="C13" s="23"/>
      <c r="D13" s="23"/>
      <c r="E13" s="23"/>
      <c r="F13" s="152"/>
      <c r="G13" s="152"/>
      <c r="H13" s="152"/>
      <c r="I13" s="21"/>
      <c r="J13" s="152"/>
      <c r="L13" s="21">
        <v>30</v>
      </c>
      <c r="M13" s="21">
        <f t="shared" si="2"/>
        <v>40</v>
      </c>
      <c r="N13" s="21"/>
      <c r="O13" s="21">
        <v>2.3391812865497079</v>
      </c>
      <c r="P13" s="151">
        <f t="shared" si="3"/>
        <v>1.7064846416382253</v>
      </c>
      <c r="Q13" s="21" t="s">
        <v>349</v>
      </c>
    </row>
    <row r="14" spans="1:29" x14ac:dyDescent="0.2">
      <c r="A14" s="23"/>
      <c r="B14" s="23"/>
      <c r="C14" s="23"/>
      <c r="D14" s="23"/>
      <c r="E14" s="23"/>
      <c r="F14" s="152"/>
      <c r="G14" s="152"/>
      <c r="H14" s="152"/>
      <c r="I14" s="21"/>
      <c r="J14" s="152"/>
      <c r="L14" s="21">
        <v>45</v>
      </c>
      <c r="M14" s="21">
        <f t="shared" si="2"/>
        <v>60</v>
      </c>
      <c r="N14" s="21"/>
      <c r="O14" s="21">
        <v>17.309941520467838</v>
      </c>
      <c r="P14" s="151">
        <f t="shared" si="3"/>
        <v>12.627986348122869</v>
      </c>
      <c r="Q14" s="21" t="s">
        <v>340</v>
      </c>
    </row>
    <row r="15" spans="1:29" x14ac:dyDescent="0.2">
      <c r="A15" s="23"/>
      <c r="B15" s="23"/>
      <c r="C15" s="23"/>
      <c r="D15" s="23"/>
      <c r="E15" s="23"/>
      <c r="F15" s="30"/>
      <c r="G15" s="30"/>
      <c r="H15" s="152"/>
      <c r="I15" s="21"/>
      <c r="J15" s="152"/>
      <c r="L15" s="21">
        <v>60</v>
      </c>
      <c r="M15" s="21">
        <f t="shared" si="2"/>
        <v>80</v>
      </c>
      <c r="N15" s="21"/>
      <c r="O15" s="21">
        <v>94.970760233918128</v>
      </c>
      <c r="P15" s="151">
        <f t="shared" si="3"/>
        <v>69.283276450511948</v>
      </c>
      <c r="Q15" s="21" t="s">
        <v>341</v>
      </c>
      <c r="AB15">
        <v>0</v>
      </c>
      <c r="AC15">
        <v>0</v>
      </c>
    </row>
    <row r="16" spans="1:29" x14ac:dyDescent="0.2">
      <c r="A16" s="23"/>
      <c r="B16" s="23"/>
      <c r="C16" s="23"/>
      <c r="D16" s="23"/>
      <c r="E16" s="23"/>
      <c r="F16" s="152"/>
      <c r="G16" s="152"/>
      <c r="H16" s="152"/>
      <c r="I16" s="21"/>
      <c r="J16" s="152"/>
      <c r="K16" s="21"/>
      <c r="L16" s="21">
        <v>75</v>
      </c>
      <c r="M16" s="21">
        <f t="shared" si="2"/>
        <v>100</v>
      </c>
      <c r="N16" s="21"/>
      <c r="O16" s="21">
        <v>137.07602339181287</v>
      </c>
      <c r="P16" s="151">
        <f t="shared" si="3"/>
        <v>100</v>
      </c>
      <c r="Q16" s="23"/>
      <c r="AB16">
        <v>10</v>
      </c>
      <c r="AC16">
        <v>0</v>
      </c>
    </row>
    <row r="17" spans="1:30" x14ac:dyDescent="0.2">
      <c r="A17" s="23" t="s">
        <v>345</v>
      </c>
      <c r="B17" s="55" t="s">
        <v>347</v>
      </c>
      <c r="C17" s="23" t="s">
        <v>323</v>
      </c>
      <c r="D17" s="23" t="s">
        <v>14</v>
      </c>
      <c r="E17" s="23"/>
      <c r="F17" s="153">
        <v>37165</v>
      </c>
      <c r="G17" s="153">
        <v>37226</v>
      </c>
      <c r="H17" s="152">
        <v>70</v>
      </c>
      <c r="I17" s="21"/>
      <c r="J17" s="152"/>
      <c r="K17" s="21" t="s">
        <v>214</v>
      </c>
      <c r="L17" s="21">
        <v>0</v>
      </c>
      <c r="M17" s="21">
        <f t="shared" ref="M17:M22" si="4">L17/L$22*100</f>
        <v>0</v>
      </c>
      <c r="N17" s="21" t="s">
        <v>304</v>
      </c>
      <c r="O17" s="96">
        <v>0</v>
      </c>
      <c r="P17" s="151">
        <f t="shared" ref="P17:P22" si="5">O17/O$22*100</f>
        <v>0</v>
      </c>
      <c r="Q17" s="23"/>
      <c r="AB17">
        <v>20</v>
      </c>
      <c r="AC17" s="11">
        <v>0.91743119266055029</v>
      </c>
    </row>
    <row r="18" spans="1:30" x14ac:dyDescent="0.2">
      <c r="A18" s="23"/>
      <c r="B18" s="23"/>
      <c r="C18" s="23"/>
      <c r="D18" s="23"/>
      <c r="E18" s="23"/>
      <c r="F18" s="152"/>
      <c r="G18" s="152"/>
      <c r="H18" s="152"/>
      <c r="I18" s="21"/>
      <c r="J18" s="152"/>
      <c r="K18" s="21"/>
      <c r="L18" s="21">
        <v>15</v>
      </c>
      <c r="M18" s="21">
        <f t="shared" si="4"/>
        <v>21.428571428571427</v>
      </c>
      <c r="N18" s="21"/>
      <c r="O18" s="96">
        <v>0</v>
      </c>
      <c r="P18" s="151">
        <f t="shared" si="5"/>
        <v>0</v>
      </c>
      <c r="Q18" s="23"/>
      <c r="AB18">
        <v>30</v>
      </c>
      <c r="AC18" s="11">
        <v>3.2110091743119265</v>
      </c>
    </row>
    <row r="19" spans="1:30" x14ac:dyDescent="0.2">
      <c r="A19" s="23"/>
      <c r="B19" s="23"/>
      <c r="C19" s="23"/>
      <c r="D19" s="23"/>
      <c r="E19" s="23"/>
      <c r="F19" s="152"/>
      <c r="G19" s="152"/>
      <c r="H19" s="152"/>
      <c r="I19" s="21"/>
      <c r="J19" s="152"/>
      <c r="K19" s="21"/>
      <c r="L19" s="21">
        <v>30</v>
      </c>
      <c r="M19" s="21">
        <f t="shared" si="4"/>
        <v>42.857142857142854</v>
      </c>
      <c r="N19" s="21"/>
      <c r="O19" s="96">
        <v>0.33333333333333337</v>
      </c>
      <c r="P19" s="151">
        <f t="shared" si="5"/>
        <v>1.4749262536873158</v>
      </c>
      <c r="Q19" s="23"/>
      <c r="AB19">
        <v>40</v>
      </c>
      <c r="AC19" s="11">
        <v>6.4220183486238529</v>
      </c>
    </row>
    <row r="20" spans="1:30" x14ac:dyDescent="0.2">
      <c r="A20" s="23"/>
      <c r="B20" s="23"/>
      <c r="C20" s="23"/>
      <c r="D20" s="23"/>
      <c r="E20" s="23"/>
      <c r="F20" s="30"/>
      <c r="G20" s="30"/>
      <c r="H20" s="152"/>
      <c r="I20" s="21"/>
      <c r="J20" s="152"/>
      <c r="K20" s="21"/>
      <c r="L20" s="21">
        <v>45</v>
      </c>
      <c r="M20" s="21">
        <f t="shared" si="4"/>
        <v>64.285714285714292</v>
      </c>
      <c r="N20" s="21"/>
      <c r="O20" s="96">
        <v>4.5333333333333341</v>
      </c>
      <c r="P20" s="151">
        <f t="shared" si="5"/>
        <v>20.058997050147497</v>
      </c>
      <c r="Q20" s="23"/>
      <c r="AB20">
        <v>50</v>
      </c>
      <c r="AC20" s="11">
        <v>15.596330275229356</v>
      </c>
    </row>
    <row r="21" spans="1:30" x14ac:dyDescent="0.2">
      <c r="A21" s="23"/>
      <c r="B21" s="23"/>
      <c r="C21" s="23"/>
      <c r="D21" s="23"/>
      <c r="E21" s="23"/>
      <c r="F21" s="152"/>
      <c r="G21" s="152"/>
      <c r="H21" s="152"/>
      <c r="I21" s="21"/>
      <c r="J21" s="152"/>
      <c r="K21" s="21"/>
      <c r="L21" s="21">
        <v>60</v>
      </c>
      <c r="M21" s="21">
        <f t="shared" si="4"/>
        <v>85.714285714285708</v>
      </c>
      <c r="N21" s="21"/>
      <c r="O21" s="96">
        <v>15.2</v>
      </c>
      <c r="P21" s="151">
        <f t="shared" si="5"/>
        <v>67.25663716814158</v>
      </c>
      <c r="Q21" s="23"/>
      <c r="AB21">
        <v>60</v>
      </c>
      <c r="AC21" s="11">
        <v>33.027522935779814</v>
      </c>
    </row>
    <row r="22" spans="1:30" x14ac:dyDescent="0.2">
      <c r="A22" s="23"/>
      <c r="B22" s="23"/>
      <c r="C22" s="23"/>
      <c r="D22" s="23"/>
      <c r="E22" s="23"/>
      <c r="F22" s="152"/>
      <c r="G22" s="152"/>
      <c r="H22" s="152"/>
      <c r="I22" s="21"/>
      <c r="J22" s="152"/>
      <c r="K22" s="21"/>
      <c r="L22" s="21">
        <v>70</v>
      </c>
      <c r="M22" s="21">
        <f t="shared" si="4"/>
        <v>100</v>
      </c>
      <c r="N22" s="21"/>
      <c r="O22" s="96">
        <v>22.6</v>
      </c>
      <c r="P22" s="151">
        <f t="shared" si="5"/>
        <v>100</v>
      </c>
      <c r="Q22" s="23"/>
      <c r="AB22">
        <v>70</v>
      </c>
      <c r="AC22" s="11">
        <v>51.834862385321088</v>
      </c>
    </row>
    <row r="23" spans="1:30" x14ac:dyDescent="0.2">
      <c r="A23" s="23" t="s">
        <v>350</v>
      </c>
      <c r="B23" s="55" t="s">
        <v>351</v>
      </c>
      <c r="C23" s="23" t="s">
        <v>352</v>
      </c>
      <c r="D23" s="23" t="s">
        <v>356</v>
      </c>
      <c r="E23" s="23">
        <f>45.6+2.4</f>
        <v>48</v>
      </c>
      <c r="F23" s="30">
        <v>32954</v>
      </c>
      <c r="G23" s="152"/>
      <c r="H23" s="152"/>
      <c r="I23" s="21">
        <v>100</v>
      </c>
      <c r="J23" s="152"/>
      <c r="K23" s="21" t="s">
        <v>353</v>
      </c>
      <c r="L23" s="21">
        <v>0</v>
      </c>
      <c r="M23" s="21">
        <f t="shared" ref="M23:M28" si="6">L23/L$28*100</f>
        <v>0</v>
      </c>
      <c r="N23" s="21"/>
      <c r="O23" s="21">
        <v>0</v>
      </c>
      <c r="P23" s="151">
        <f t="shared" ref="P23:P28" si="7">O23/O$28*100</f>
        <v>0</v>
      </c>
      <c r="Q23" s="23"/>
      <c r="T23" s="151"/>
      <c r="V23" s="18"/>
      <c r="AB23">
        <v>80</v>
      </c>
      <c r="AC23" s="11">
        <v>73.394495412844023</v>
      </c>
    </row>
    <row r="24" spans="1:30" x14ac:dyDescent="0.2">
      <c r="A24" s="23"/>
      <c r="B24" s="23"/>
      <c r="C24" s="23"/>
      <c r="D24" s="23"/>
      <c r="E24" s="23"/>
      <c r="F24" s="152"/>
      <c r="G24" s="152"/>
      <c r="H24" s="152"/>
      <c r="I24" s="21"/>
      <c r="J24" s="152"/>
      <c r="K24" s="21"/>
      <c r="L24" s="21">
        <v>20</v>
      </c>
      <c r="M24" s="21">
        <f t="shared" si="6"/>
        <v>19.230769230769234</v>
      </c>
      <c r="N24" s="21"/>
      <c r="O24" s="21">
        <v>0</v>
      </c>
      <c r="P24" s="151">
        <f t="shared" si="7"/>
        <v>0</v>
      </c>
      <c r="Q24" s="23" t="s">
        <v>357</v>
      </c>
      <c r="T24" s="21"/>
      <c r="V24" s="18"/>
      <c r="AB24">
        <v>90</v>
      </c>
      <c r="AC24" s="11">
        <v>91.284403669724753</v>
      </c>
    </row>
    <row r="25" spans="1:30" x14ac:dyDescent="0.2">
      <c r="A25" s="23"/>
      <c r="B25" s="23"/>
      <c r="C25" s="23"/>
      <c r="D25" s="23"/>
      <c r="E25" s="23"/>
      <c r="F25" s="30"/>
      <c r="G25" s="30"/>
      <c r="H25" s="152"/>
      <c r="I25" s="21"/>
      <c r="J25" s="152"/>
      <c r="K25" s="21"/>
      <c r="L25" s="21">
        <v>40</v>
      </c>
      <c r="M25" s="21">
        <f t="shared" si="6"/>
        <v>38.461538461538467</v>
      </c>
      <c r="N25" s="21"/>
      <c r="O25" s="21">
        <v>7.2832369942196529</v>
      </c>
      <c r="P25" s="151">
        <f t="shared" si="7"/>
        <v>7.4468085106382977</v>
      </c>
      <c r="Q25" s="23"/>
      <c r="T25" s="21"/>
      <c r="V25" s="18"/>
      <c r="AB25">
        <v>100</v>
      </c>
      <c r="AC25">
        <v>99.999999999999986</v>
      </c>
    </row>
    <row r="26" spans="1:30" x14ac:dyDescent="0.2">
      <c r="A26" s="23"/>
      <c r="B26" s="23"/>
      <c r="C26" s="23"/>
      <c r="D26" s="23"/>
      <c r="E26" s="23"/>
      <c r="F26" s="152"/>
      <c r="G26" s="152"/>
      <c r="H26" s="152"/>
      <c r="I26" s="21"/>
      <c r="J26" s="152"/>
      <c r="K26" s="21"/>
      <c r="L26" s="21">
        <v>60</v>
      </c>
      <c r="M26" s="21">
        <f t="shared" si="6"/>
        <v>57.692307692307686</v>
      </c>
      <c r="N26" s="21"/>
      <c r="O26" s="21">
        <v>52.369942196531788</v>
      </c>
      <c r="P26" s="151">
        <f t="shared" si="7"/>
        <v>53.546099290780134</v>
      </c>
      <c r="Q26" s="23" t="s">
        <v>358</v>
      </c>
      <c r="T26" s="21"/>
      <c r="V26" s="18"/>
    </row>
    <row r="27" spans="1:30" x14ac:dyDescent="0.2">
      <c r="A27" s="23"/>
      <c r="B27" s="23"/>
      <c r="C27" s="23"/>
      <c r="D27" s="23"/>
      <c r="E27" s="23"/>
      <c r="F27" s="152"/>
      <c r="G27" s="152"/>
      <c r="H27" s="152"/>
      <c r="I27" s="21"/>
      <c r="J27" s="152"/>
      <c r="K27" s="21"/>
      <c r="L27" s="21">
        <v>80</v>
      </c>
      <c r="M27" s="21">
        <f t="shared" si="6"/>
        <v>76.923076923076934</v>
      </c>
      <c r="N27" s="21"/>
      <c r="O27" s="21">
        <v>81.156069364161837</v>
      </c>
      <c r="P27" s="151">
        <f t="shared" si="7"/>
        <v>82.978723404255305</v>
      </c>
      <c r="Q27" s="23" t="s">
        <v>359</v>
      </c>
      <c r="T27" s="21"/>
      <c r="V27" s="18"/>
      <c r="AD27" s="11"/>
    </row>
    <row r="28" spans="1:30" x14ac:dyDescent="0.2">
      <c r="A28" s="23"/>
      <c r="B28" s="23"/>
      <c r="C28" s="23"/>
      <c r="D28" s="23"/>
      <c r="E28" s="23"/>
      <c r="F28" s="152"/>
      <c r="G28" s="152"/>
      <c r="H28" s="152"/>
      <c r="I28" s="21"/>
      <c r="J28" s="152"/>
      <c r="K28" s="21"/>
      <c r="L28" s="21">
        <v>104</v>
      </c>
      <c r="M28" s="21">
        <f t="shared" si="6"/>
        <v>100</v>
      </c>
      <c r="N28" s="21"/>
      <c r="O28" s="21">
        <v>97.803468208092482</v>
      </c>
      <c r="P28" s="151">
        <f t="shared" si="7"/>
        <v>100</v>
      </c>
      <c r="Q28" s="23"/>
      <c r="T28" s="21"/>
      <c r="V28" s="18"/>
    </row>
    <row r="29" spans="1:30" x14ac:dyDescent="0.2">
      <c r="A29" s="23"/>
      <c r="B29" s="23"/>
      <c r="C29" s="23"/>
      <c r="D29" s="23"/>
      <c r="E29" s="23"/>
      <c r="F29" s="152"/>
      <c r="G29" s="152"/>
      <c r="H29" s="152"/>
      <c r="I29" s="21"/>
      <c r="J29" s="152"/>
      <c r="K29" s="21"/>
      <c r="L29" s="21"/>
      <c r="M29" s="21"/>
      <c r="N29" s="21"/>
      <c r="O29" s="21"/>
      <c r="P29" s="21"/>
      <c r="Q29" s="23"/>
    </row>
    <row r="30" spans="1:30" x14ac:dyDescent="0.2">
      <c r="A30" s="23"/>
      <c r="B30" s="23"/>
      <c r="C30" s="23"/>
      <c r="D30" s="23"/>
      <c r="E30" s="23"/>
      <c r="F30" s="30"/>
      <c r="G30" s="30"/>
      <c r="H30" s="152"/>
      <c r="I30" s="21"/>
      <c r="J30" s="152"/>
      <c r="K30" s="21"/>
      <c r="L30" s="21"/>
      <c r="M30" s="21"/>
      <c r="N30" s="21"/>
      <c r="O30" s="21"/>
      <c r="P30" s="21"/>
      <c r="Q30" s="23"/>
      <c r="AC30" s="11"/>
    </row>
    <row r="31" spans="1:30" x14ac:dyDescent="0.2">
      <c r="A31" s="23"/>
      <c r="B31" s="23"/>
      <c r="C31" s="23"/>
      <c r="D31" s="23"/>
      <c r="E31" s="23"/>
      <c r="F31" s="152"/>
      <c r="G31" s="152"/>
      <c r="H31" s="152"/>
      <c r="I31" s="21"/>
      <c r="J31" s="152"/>
      <c r="K31" s="21"/>
      <c r="L31" s="21"/>
      <c r="M31" s="21"/>
      <c r="N31" s="21"/>
      <c r="O31" s="21"/>
      <c r="P31" s="21"/>
      <c r="Q31" s="23"/>
      <c r="AC31" s="11"/>
    </row>
    <row r="32" spans="1:30" x14ac:dyDescent="0.2">
      <c r="A32" s="23"/>
      <c r="B32" s="23"/>
      <c r="C32" s="23"/>
      <c r="D32" s="23"/>
      <c r="E32" s="23"/>
      <c r="F32" s="152"/>
      <c r="G32" s="152"/>
      <c r="H32" s="152"/>
      <c r="I32" s="21"/>
      <c r="J32" s="152"/>
      <c r="K32" s="21"/>
      <c r="L32" s="21"/>
      <c r="M32" s="21"/>
      <c r="N32" s="21"/>
      <c r="O32" s="21"/>
      <c r="P32" s="21"/>
      <c r="Q32" s="23"/>
      <c r="AC32" s="11"/>
    </row>
    <row r="33" spans="1:29" x14ac:dyDescent="0.2">
      <c r="A33" s="23"/>
      <c r="B33" s="23"/>
      <c r="C33" s="23"/>
      <c r="D33" s="23"/>
      <c r="E33" s="23"/>
      <c r="F33" s="152"/>
      <c r="G33" s="152"/>
      <c r="H33" s="152"/>
      <c r="I33" s="21"/>
      <c r="J33" s="152"/>
      <c r="K33" s="21"/>
      <c r="L33" s="21"/>
      <c r="M33" s="21"/>
      <c r="N33" s="21"/>
      <c r="O33" s="21"/>
      <c r="P33" s="21"/>
      <c r="Q33" s="23"/>
      <c r="AC33" s="11"/>
    </row>
    <row r="34" spans="1:29" x14ac:dyDescent="0.2">
      <c r="A34" s="23"/>
      <c r="B34" s="23"/>
      <c r="C34" s="23"/>
      <c r="D34" s="23"/>
      <c r="E34" s="23"/>
      <c r="F34" s="152"/>
      <c r="G34" s="152"/>
      <c r="H34" s="152"/>
      <c r="I34" s="21"/>
      <c r="J34" s="152"/>
      <c r="K34" s="21"/>
      <c r="L34" s="21"/>
      <c r="M34" s="21"/>
      <c r="N34" s="21"/>
      <c r="O34" s="21"/>
      <c r="P34" s="21"/>
      <c r="Q34" s="23"/>
      <c r="AC34" s="11"/>
    </row>
    <row r="35" spans="1:29" x14ac:dyDescent="0.2">
      <c r="A35" s="23"/>
      <c r="B35" s="23"/>
      <c r="C35" s="23"/>
      <c r="D35" s="23"/>
      <c r="E35" s="23"/>
      <c r="F35" s="30"/>
      <c r="G35" s="30"/>
      <c r="H35" s="152"/>
      <c r="I35" s="21"/>
      <c r="J35" s="152"/>
      <c r="K35" s="21"/>
      <c r="L35" s="21"/>
      <c r="M35" s="21"/>
      <c r="N35" s="21"/>
      <c r="O35" s="21"/>
      <c r="P35" s="21"/>
      <c r="Q35" s="23"/>
      <c r="AC35" s="11"/>
    </row>
    <row r="36" spans="1:29" x14ac:dyDescent="0.2">
      <c r="A36" s="23"/>
      <c r="B36" s="23"/>
      <c r="C36" s="23"/>
      <c r="D36" s="23"/>
      <c r="E36" s="23"/>
      <c r="F36" s="152"/>
      <c r="G36" s="152"/>
      <c r="H36" s="152"/>
      <c r="I36" s="21"/>
      <c r="J36" s="152"/>
      <c r="K36" s="21"/>
      <c r="L36" s="21"/>
      <c r="M36" s="21"/>
      <c r="N36" s="21"/>
      <c r="O36" s="21"/>
      <c r="P36" s="21"/>
      <c r="Q36" s="23"/>
      <c r="AC36" s="11"/>
    </row>
    <row r="37" spans="1:29" x14ac:dyDescent="0.2">
      <c r="A37" s="23"/>
      <c r="B37" s="23"/>
      <c r="C37" s="23"/>
      <c r="D37" s="23"/>
      <c r="E37" s="23"/>
      <c r="F37" s="152"/>
      <c r="G37" s="152"/>
      <c r="H37" s="152"/>
      <c r="I37" s="21"/>
      <c r="J37" s="152"/>
      <c r="K37" s="21"/>
      <c r="L37" s="21"/>
      <c r="M37" s="21"/>
      <c r="N37" s="21"/>
      <c r="O37" s="21"/>
      <c r="P37" s="21"/>
      <c r="Q37" s="23"/>
      <c r="AC37" s="11"/>
    </row>
    <row r="38" spans="1:29" x14ac:dyDescent="0.2">
      <c r="A38" s="23"/>
      <c r="B38" s="23"/>
      <c r="C38" s="23"/>
      <c r="D38" s="23"/>
      <c r="E38" s="23"/>
      <c r="F38" s="152"/>
      <c r="G38" s="152"/>
      <c r="H38" s="152"/>
      <c r="I38" s="21"/>
      <c r="J38" s="152"/>
      <c r="K38" s="21"/>
      <c r="L38" s="21"/>
      <c r="M38" s="21"/>
      <c r="N38" s="21"/>
      <c r="O38" s="21"/>
      <c r="P38" s="21"/>
      <c r="Q38" s="23"/>
      <c r="AC38" s="11"/>
    </row>
    <row r="39" spans="1:29" x14ac:dyDescent="0.2">
      <c r="A39" s="23"/>
      <c r="B39" s="23"/>
      <c r="C39" s="23"/>
      <c r="D39" s="23"/>
      <c r="E39" s="23"/>
      <c r="F39" s="152"/>
      <c r="G39" s="152"/>
      <c r="H39" s="152"/>
      <c r="I39" s="21"/>
      <c r="J39" s="152"/>
      <c r="K39" s="21"/>
      <c r="L39" s="21"/>
      <c r="M39" s="21"/>
      <c r="N39" s="21"/>
      <c r="O39" s="21"/>
      <c r="P39" s="21"/>
      <c r="Q39" s="23"/>
    </row>
    <row r="40" spans="1:29" x14ac:dyDescent="0.2">
      <c r="A40" s="23"/>
      <c r="B40" s="23"/>
      <c r="C40" s="23"/>
      <c r="D40" s="23"/>
      <c r="E40" s="23"/>
      <c r="F40" s="30"/>
      <c r="G40" s="30"/>
      <c r="H40" s="152"/>
      <c r="I40" s="21"/>
      <c r="J40" s="152"/>
      <c r="K40" s="21"/>
      <c r="L40" s="21"/>
      <c r="M40" s="21"/>
      <c r="N40" s="21"/>
      <c r="O40" s="21"/>
      <c r="P40" s="21"/>
      <c r="Q40" s="23"/>
    </row>
    <row r="41" spans="1:29" x14ac:dyDescent="0.2">
      <c r="A41" s="23"/>
      <c r="B41" s="23"/>
      <c r="C41" s="23"/>
      <c r="D41" s="23"/>
      <c r="E41" s="23"/>
      <c r="F41" s="152"/>
      <c r="G41" s="152"/>
      <c r="H41" s="152"/>
      <c r="I41" s="21"/>
      <c r="J41" s="152"/>
      <c r="K41" s="21"/>
      <c r="L41" s="21"/>
      <c r="M41" s="21"/>
      <c r="N41" s="21"/>
      <c r="O41" s="21"/>
      <c r="P41" s="21"/>
      <c r="Q41" s="23"/>
    </row>
    <row r="42" spans="1:29" x14ac:dyDescent="0.2">
      <c r="A42" s="23"/>
      <c r="B42" s="23"/>
      <c r="C42" s="23"/>
      <c r="D42" s="23"/>
      <c r="E42" s="23"/>
      <c r="F42" s="152"/>
      <c r="G42" s="152"/>
      <c r="H42" s="152"/>
      <c r="I42" s="21"/>
      <c r="J42" s="152"/>
      <c r="K42" s="21"/>
      <c r="L42" s="21"/>
      <c r="M42" s="21"/>
      <c r="N42" s="21"/>
      <c r="O42" s="21"/>
      <c r="P42" s="21"/>
      <c r="Q42" s="23"/>
      <c r="Z42" s="11"/>
    </row>
    <row r="43" spans="1:29" x14ac:dyDescent="0.2">
      <c r="A43" s="23"/>
      <c r="B43" s="23"/>
      <c r="C43" s="23"/>
      <c r="D43" s="23"/>
      <c r="E43" s="23"/>
      <c r="F43" s="152"/>
      <c r="G43" s="152"/>
      <c r="H43" s="152"/>
      <c r="I43" s="21"/>
      <c r="J43" s="152"/>
      <c r="K43" s="21"/>
      <c r="L43" s="21"/>
      <c r="M43" s="21"/>
      <c r="N43" s="21"/>
      <c r="O43" s="21"/>
      <c r="P43" s="21"/>
      <c r="Q43" s="23"/>
      <c r="Z43" s="11"/>
    </row>
    <row r="44" spans="1:29" x14ac:dyDescent="0.2">
      <c r="A44" s="23"/>
      <c r="B44" s="23"/>
      <c r="C44" s="23"/>
      <c r="D44" s="23"/>
      <c r="E44" s="23"/>
      <c r="F44" s="152"/>
      <c r="G44" s="152"/>
      <c r="H44" s="152"/>
      <c r="I44" s="21"/>
      <c r="J44" s="152"/>
      <c r="K44" s="21"/>
      <c r="L44" s="21"/>
      <c r="M44" s="21"/>
      <c r="N44" s="21"/>
      <c r="O44" s="21"/>
      <c r="P44" s="21"/>
      <c r="Q44" s="23"/>
    </row>
    <row r="45" spans="1:29" x14ac:dyDescent="0.2">
      <c r="A45" s="23"/>
      <c r="B45" s="23"/>
      <c r="C45" s="23"/>
      <c r="D45" s="23"/>
      <c r="E45" s="23"/>
      <c r="F45" s="30"/>
      <c r="G45" s="30"/>
      <c r="H45" s="152"/>
      <c r="I45" s="21"/>
      <c r="J45" s="152"/>
      <c r="K45" s="21"/>
      <c r="L45" s="21"/>
      <c r="M45" s="21"/>
      <c r="N45" s="21"/>
      <c r="O45" s="21"/>
      <c r="P45" s="21"/>
      <c r="Q45" s="23"/>
      <c r="Z45" s="18"/>
    </row>
    <row r="46" spans="1:29" x14ac:dyDescent="0.2">
      <c r="A46" s="23"/>
      <c r="B46" s="23"/>
      <c r="C46" s="23"/>
      <c r="D46" s="23"/>
      <c r="E46" s="23"/>
      <c r="F46" s="152"/>
      <c r="G46" s="152"/>
      <c r="H46" s="152"/>
      <c r="I46" s="21"/>
      <c r="J46" s="152"/>
      <c r="K46" s="21"/>
      <c r="L46" s="21"/>
      <c r="M46" s="21"/>
      <c r="N46" s="21"/>
      <c r="O46" s="21"/>
      <c r="P46" s="21"/>
      <c r="Q46" s="23"/>
      <c r="Z46" s="18"/>
    </row>
    <row r="47" spans="1:29" x14ac:dyDescent="0.2">
      <c r="A47" s="23"/>
      <c r="B47" s="23"/>
      <c r="C47" s="23"/>
      <c r="D47" s="23"/>
      <c r="E47" s="23"/>
      <c r="F47" s="152"/>
      <c r="G47" s="152"/>
      <c r="H47" s="152"/>
      <c r="I47" s="21"/>
      <c r="J47" s="152"/>
      <c r="K47" s="21"/>
      <c r="L47" s="21"/>
      <c r="M47" s="21"/>
      <c r="N47" s="21"/>
      <c r="O47" s="21"/>
      <c r="P47" s="21"/>
      <c r="Q47" s="23"/>
      <c r="Z47" s="18"/>
    </row>
    <row r="48" spans="1:29" x14ac:dyDescent="0.2">
      <c r="A48" s="23"/>
      <c r="B48" s="23"/>
      <c r="C48" s="23"/>
      <c r="D48" s="23"/>
      <c r="E48" s="23"/>
      <c r="F48" s="152"/>
      <c r="G48" s="152"/>
      <c r="H48" s="152"/>
      <c r="I48" s="21"/>
      <c r="J48" s="152"/>
      <c r="K48" s="21"/>
      <c r="L48" s="21"/>
      <c r="M48" s="21"/>
      <c r="N48" s="21"/>
      <c r="O48" s="21"/>
      <c r="P48" s="21"/>
      <c r="Q48" s="23"/>
    </row>
    <row r="49" spans="1:17" x14ac:dyDescent="0.2">
      <c r="A49" s="23"/>
      <c r="B49" s="23"/>
      <c r="C49" s="23"/>
      <c r="D49" s="23"/>
      <c r="E49" s="23"/>
      <c r="F49" s="152"/>
      <c r="G49" s="152"/>
      <c r="H49" s="152"/>
      <c r="I49" s="21"/>
      <c r="J49" s="152"/>
      <c r="K49" s="21"/>
      <c r="L49" s="21"/>
      <c r="M49" s="21"/>
      <c r="N49" s="21"/>
      <c r="O49" s="21"/>
      <c r="P49" s="21"/>
      <c r="Q49" s="23"/>
    </row>
    <row r="50" spans="1:17" x14ac:dyDescent="0.2">
      <c r="A50" s="23"/>
      <c r="B50" s="23"/>
      <c r="C50" s="23"/>
      <c r="D50" s="23"/>
      <c r="E50" s="23"/>
      <c r="F50" s="30"/>
      <c r="G50" s="30"/>
      <c r="H50" s="152"/>
      <c r="I50" s="21"/>
      <c r="J50" s="152"/>
      <c r="K50" s="21"/>
      <c r="L50" s="21"/>
      <c r="M50" s="21"/>
      <c r="N50" s="21"/>
      <c r="O50" s="21"/>
      <c r="P50" s="21"/>
      <c r="Q50" s="23"/>
    </row>
    <row r="51" spans="1:17" x14ac:dyDescent="0.2">
      <c r="A51" s="23"/>
      <c r="B51" s="23"/>
      <c r="C51" s="23"/>
      <c r="D51" s="23"/>
      <c r="E51" s="23"/>
      <c r="F51" s="152"/>
      <c r="G51" s="152"/>
      <c r="H51" s="152"/>
      <c r="I51" s="21"/>
      <c r="J51" s="152"/>
      <c r="K51" s="21"/>
      <c r="L51" s="21"/>
      <c r="M51" s="21"/>
      <c r="N51" s="21"/>
      <c r="O51" s="21"/>
      <c r="P51" s="21"/>
      <c r="Q51" s="23"/>
    </row>
    <row r="52" spans="1:17" x14ac:dyDescent="0.2">
      <c r="A52" s="23"/>
      <c r="B52" s="23"/>
      <c r="C52" s="23"/>
      <c r="D52" s="23"/>
      <c r="E52" s="23"/>
      <c r="F52" s="152"/>
      <c r="G52" s="152"/>
      <c r="H52" s="152"/>
      <c r="I52" s="21"/>
      <c r="J52" s="152"/>
      <c r="K52" s="21"/>
      <c r="L52" s="21"/>
      <c r="M52" s="21"/>
      <c r="N52" s="21"/>
      <c r="O52" s="21"/>
      <c r="P52" s="21"/>
      <c r="Q52" s="23"/>
    </row>
    <row r="53" spans="1:17" x14ac:dyDescent="0.2">
      <c r="A53" s="23"/>
      <c r="B53" s="23"/>
      <c r="C53" s="23"/>
      <c r="D53" s="23"/>
      <c r="E53" s="23"/>
      <c r="F53" s="152"/>
      <c r="G53" s="152"/>
      <c r="H53" s="152"/>
      <c r="I53" s="21"/>
      <c r="J53" s="152"/>
      <c r="K53" s="21"/>
      <c r="L53" s="21"/>
      <c r="M53" s="21"/>
      <c r="N53" s="21"/>
      <c r="O53" s="21"/>
      <c r="P53" s="21"/>
      <c r="Q53" s="23"/>
    </row>
    <row r="54" spans="1:17" x14ac:dyDescent="0.2">
      <c r="A54" s="23"/>
      <c r="B54" s="23"/>
      <c r="C54" s="23"/>
      <c r="D54" s="23"/>
      <c r="E54" s="23"/>
      <c r="F54" s="152"/>
      <c r="G54" s="152"/>
      <c r="H54" s="152"/>
      <c r="I54" s="21"/>
      <c r="J54" s="152"/>
      <c r="K54" s="21"/>
      <c r="L54" s="21"/>
      <c r="M54" s="21"/>
      <c r="N54" s="21"/>
      <c r="O54" s="21"/>
      <c r="P54" s="21"/>
      <c r="Q54" s="23"/>
    </row>
    <row r="55" spans="1:17" x14ac:dyDescent="0.2">
      <c r="A55" s="23"/>
      <c r="B55" s="23"/>
      <c r="C55" s="23"/>
      <c r="D55" s="23"/>
      <c r="E55" s="23"/>
      <c r="F55" s="30"/>
      <c r="G55" s="30"/>
      <c r="H55" s="152"/>
      <c r="I55" s="21"/>
      <c r="J55" s="152"/>
      <c r="K55" s="21"/>
      <c r="L55" s="21"/>
      <c r="M55" s="21"/>
      <c r="N55" s="21"/>
      <c r="O55" s="21"/>
      <c r="P55" s="21"/>
      <c r="Q55" s="23"/>
    </row>
    <row r="56" spans="1:17" x14ac:dyDescent="0.2">
      <c r="A56" s="23"/>
      <c r="B56" s="23"/>
      <c r="C56" s="23"/>
      <c r="D56" s="23"/>
      <c r="E56" s="23"/>
      <c r="F56" s="152"/>
      <c r="G56" s="152"/>
      <c r="H56" s="152"/>
      <c r="I56" s="21"/>
      <c r="J56" s="152"/>
      <c r="K56" s="21"/>
      <c r="L56" s="21"/>
      <c r="M56" s="21"/>
      <c r="N56" s="21"/>
      <c r="O56" s="21"/>
      <c r="P56" s="21"/>
      <c r="Q56" s="23"/>
    </row>
    <row r="57" spans="1:17" x14ac:dyDescent="0.2">
      <c r="A57" s="23"/>
      <c r="B57" s="23"/>
      <c r="C57" s="23"/>
      <c r="D57" s="23"/>
      <c r="E57" s="23"/>
      <c r="F57" s="152"/>
      <c r="G57" s="152"/>
      <c r="H57" s="152"/>
      <c r="I57" s="21"/>
      <c r="J57" s="152"/>
      <c r="K57" s="21"/>
      <c r="L57" s="21"/>
      <c r="M57" s="21"/>
      <c r="N57" s="21"/>
      <c r="O57" s="21"/>
      <c r="P57" s="21"/>
      <c r="Q57" s="23"/>
    </row>
    <row r="58" spans="1:17" x14ac:dyDescent="0.2">
      <c r="A58" s="23"/>
      <c r="B58" s="23"/>
      <c r="C58" s="23"/>
      <c r="D58" s="23"/>
      <c r="E58" s="23"/>
      <c r="F58" s="152"/>
      <c r="G58" s="152"/>
      <c r="H58" s="152"/>
      <c r="I58" s="21"/>
      <c r="J58" s="152"/>
      <c r="K58" s="21"/>
      <c r="L58" s="21"/>
      <c r="M58" s="21"/>
      <c r="N58" s="21"/>
      <c r="O58" s="21"/>
      <c r="P58" s="21"/>
      <c r="Q58" s="23"/>
    </row>
    <row r="59" spans="1:17" x14ac:dyDescent="0.2">
      <c r="A59" s="23"/>
      <c r="B59" s="23"/>
      <c r="C59" s="23"/>
      <c r="D59" s="23"/>
      <c r="E59" s="23"/>
      <c r="F59" s="152"/>
      <c r="G59" s="152"/>
      <c r="H59" s="152"/>
      <c r="I59" s="21"/>
      <c r="J59" s="152"/>
      <c r="K59" s="21"/>
      <c r="L59" s="21"/>
      <c r="M59" s="21"/>
      <c r="N59" s="21"/>
      <c r="O59" s="21"/>
      <c r="P59" s="21"/>
      <c r="Q59" s="23"/>
    </row>
    <row r="60" spans="1:17" x14ac:dyDescent="0.2">
      <c r="A60" s="23"/>
      <c r="B60" s="23"/>
      <c r="C60" s="23"/>
      <c r="D60" s="23"/>
      <c r="E60" s="23"/>
      <c r="F60" s="30"/>
      <c r="G60" s="30"/>
      <c r="H60" s="152"/>
      <c r="I60" s="21"/>
      <c r="J60" s="152"/>
      <c r="K60" s="21"/>
      <c r="L60" s="21"/>
      <c r="M60" s="21"/>
      <c r="N60" s="21"/>
      <c r="O60" s="21"/>
      <c r="P60" s="21"/>
      <c r="Q60" s="23"/>
    </row>
    <row r="61" spans="1:17" x14ac:dyDescent="0.2">
      <c r="A61" s="23"/>
      <c r="B61" s="23"/>
      <c r="C61" s="23"/>
      <c r="D61" s="23"/>
      <c r="E61" s="23"/>
      <c r="F61" s="152"/>
      <c r="G61" s="152"/>
      <c r="H61" s="152"/>
      <c r="I61" s="21"/>
      <c r="J61" s="152"/>
      <c r="K61" s="21"/>
      <c r="L61" s="21"/>
      <c r="M61" s="21"/>
      <c r="N61" s="21"/>
      <c r="O61" s="21"/>
      <c r="P61" s="21"/>
      <c r="Q61" s="23"/>
    </row>
    <row r="62" spans="1:17" x14ac:dyDescent="0.2">
      <c r="A62" s="23"/>
      <c r="B62" s="23"/>
      <c r="C62" s="23"/>
      <c r="D62" s="23"/>
      <c r="E62" s="23"/>
      <c r="F62" s="152"/>
      <c r="G62" s="152"/>
      <c r="H62" s="152"/>
      <c r="I62" s="21"/>
      <c r="J62" s="152"/>
      <c r="K62" s="21"/>
      <c r="L62" s="21"/>
      <c r="M62" s="21"/>
      <c r="N62" s="21"/>
      <c r="O62" s="21"/>
      <c r="P62" s="21"/>
      <c r="Q62" s="23"/>
    </row>
    <row r="63" spans="1:17" x14ac:dyDescent="0.2">
      <c r="A63" s="23"/>
      <c r="B63" s="23"/>
      <c r="C63" s="23"/>
      <c r="D63" s="23"/>
      <c r="E63" s="23"/>
      <c r="F63" s="152"/>
      <c r="G63" s="152"/>
      <c r="H63" s="152"/>
      <c r="I63" s="21"/>
      <c r="J63" s="152"/>
      <c r="K63" s="21"/>
      <c r="L63" s="21"/>
      <c r="M63" s="21"/>
      <c r="N63" s="21"/>
      <c r="O63" s="21"/>
      <c r="P63" s="21"/>
      <c r="Q63" s="23"/>
    </row>
    <row r="64" spans="1:17" x14ac:dyDescent="0.2">
      <c r="A64" s="23"/>
      <c r="B64" s="23"/>
      <c r="C64" s="23"/>
      <c r="D64" s="23"/>
      <c r="E64" s="23"/>
      <c r="F64" s="152"/>
      <c r="G64" s="152"/>
      <c r="H64" s="152"/>
      <c r="I64" s="21"/>
      <c r="J64" s="152"/>
      <c r="K64" s="21"/>
      <c r="L64" s="21"/>
      <c r="M64" s="21"/>
      <c r="N64" s="21"/>
      <c r="O64" s="21"/>
      <c r="P64" s="21"/>
      <c r="Q64" s="23"/>
    </row>
    <row r="65" spans="1:17" x14ac:dyDescent="0.2">
      <c r="A65" s="23"/>
      <c r="B65" s="23"/>
      <c r="C65" s="23"/>
      <c r="D65" s="17"/>
      <c r="E65" s="17"/>
      <c r="F65" s="30"/>
      <c r="G65" s="30"/>
      <c r="H65" s="152"/>
      <c r="I65" s="21"/>
      <c r="J65" s="152"/>
      <c r="K65" s="21"/>
      <c r="L65" s="21"/>
      <c r="M65" s="21"/>
      <c r="N65" s="21"/>
      <c r="O65" s="152"/>
      <c r="P65" s="21"/>
      <c r="Q65" s="23"/>
    </row>
    <row r="66" spans="1:17" x14ac:dyDescent="0.2">
      <c r="A66" s="23"/>
      <c r="B66" s="23"/>
      <c r="C66" s="23"/>
      <c r="D66" s="17"/>
      <c r="E66" s="17"/>
      <c r="F66" s="152"/>
      <c r="G66" s="152"/>
      <c r="H66" s="152"/>
      <c r="I66" s="21"/>
      <c r="J66" s="152"/>
      <c r="K66" s="21"/>
      <c r="L66" s="21"/>
      <c r="M66" s="21"/>
      <c r="N66" s="21"/>
      <c r="O66" s="21"/>
      <c r="P66" s="21"/>
      <c r="Q66" s="23"/>
    </row>
    <row r="67" spans="1:17" x14ac:dyDescent="0.2">
      <c r="A67" s="23"/>
      <c r="B67" s="23"/>
      <c r="C67" s="23"/>
      <c r="D67" s="17"/>
      <c r="E67" s="17"/>
      <c r="F67" s="152"/>
      <c r="G67" s="152"/>
      <c r="H67" s="152"/>
      <c r="I67" s="21"/>
      <c r="J67" s="152"/>
      <c r="K67" s="21"/>
      <c r="L67" s="21"/>
      <c r="M67" s="21"/>
      <c r="N67" s="21"/>
      <c r="O67" s="21"/>
      <c r="P67" s="21"/>
      <c r="Q67" s="23"/>
    </row>
    <row r="68" spans="1:17" x14ac:dyDescent="0.2">
      <c r="A68" s="23"/>
      <c r="B68" s="23"/>
      <c r="C68" s="23"/>
      <c r="D68" s="17"/>
      <c r="E68" s="17"/>
      <c r="F68" s="152"/>
      <c r="G68" s="152"/>
      <c r="H68" s="152"/>
      <c r="I68" s="21"/>
      <c r="J68" s="152"/>
      <c r="K68" s="21"/>
      <c r="L68" s="21"/>
      <c r="M68" s="21"/>
      <c r="N68" s="21"/>
      <c r="O68" s="21"/>
      <c r="P68" s="21"/>
      <c r="Q68" s="23"/>
    </row>
    <row r="69" spans="1:17" x14ac:dyDescent="0.2">
      <c r="A69" s="23"/>
      <c r="B69" s="23"/>
      <c r="C69" s="23"/>
      <c r="D69" s="17"/>
      <c r="E69" s="17"/>
      <c r="F69" s="152"/>
      <c r="G69" s="152"/>
      <c r="H69" s="152"/>
      <c r="I69" s="21"/>
      <c r="J69" s="152"/>
      <c r="K69" s="21"/>
      <c r="L69" s="21"/>
      <c r="M69" s="21"/>
      <c r="N69" s="21"/>
      <c r="O69" s="21"/>
      <c r="P69" s="21"/>
      <c r="Q69" s="23"/>
    </row>
    <row r="70" spans="1:17" x14ac:dyDescent="0.2">
      <c r="A70" s="23"/>
      <c r="B70" s="23"/>
      <c r="C70" s="23"/>
      <c r="D70" s="17"/>
      <c r="E70" s="17"/>
      <c r="F70" s="152"/>
      <c r="G70" s="152"/>
      <c r="H70" s="152"/>
      <c r="I70" s="21"/>
      <c r="J70" s="152"/>
      <c r="K70" s="21"/>
      <c r="L70" s="21"/>
      <c r="M70" s="21"/>
      <c r="N70" s="21"/>
      <c r="O70" s="21"/>
      <c r="P70" s="21"/>
      <c r="Q70" s="23"/>
    </row>
    <row r="71" spans="1:17" x14ac:dyDescent="0.2">
      <c r="A71" s="23"/>
      <c r="B71" s="23"/>
      <c r="C71" s="23"/>
      <c r="D71" s="17"/>
      <c r="E71" s="17"/>
      <c r="F71" s="152"/>
      <c r="G71" s="152"/>
      <c r="H71" s="152"/>
      <c r="I71" s="21"/>
      <c r="J71" s="152"/>
      <c r="K71" s="21"/>
      <c r="L71" s="21"/>
      <c r="M71" s="21"/>
      <c r="N71" s="21"/>
      <c r="O71" s="21"/>
      <c r="P71" s="21"/>
      <c r="Q71" s="23"/>
    </row>
    <row r="72" spans="1:17" x14ac:dyDescent="0.2">
      <c r="A72" s="23"/>
      <c r="B72" s="23"/>
      <c r="C72" s="23"/>
      <c r="D72" s="23"/>
      <c r="E72" s="23"/>
      <c r="F72" s="30"/>
      <c r="G72" s="30"/>
      <c r="H72" s="152"/>
      <c r="I72" s="21"/>
      <c r="J72" s="152"/>
      <c r="K72" s="21"/>
      <c r="L72" s="21"/>
      <c r="M72" s="21"/>
      <c r="N72" s="21"/>
      <c r="O72" s="152"/>
      <c r="P72" s="21"/>
      <c r="Q72" s="23"/>
    </row>
    <row r="73" spans="1:17" x14ac:dyDescent="0.2">
      <c r="A73" s="23"/>
      <c r="B73" s="23"/>
      <c r="C73" s="23"/>
      <c r="D73" s="23"/>
      <c r="E73" s="23"/>
      <c r="F73" s="152"/>
      <c r="G73" s="152"/>
      <c r="H73" s="152"/>
      <c r="I73" s="21"/>
      <c r="J73" s="152"/>
      <c r="K73" s="21"/>
      <c r="L73" s="21"/>
      <c r="M73" s="21"/>
      <c r="N73" s="21"/>
      <c r="O73" s="21"/>
      <c r="P73" s="21"/>
      <c r="Q73" s="23"/>
    </row>
    <row r="74" spans="1:17" x14ac:dyDescent="0.2">
      <c r="A74" s="23"/>
      <c r="B74" s="23"/>
      <c r="C74" s="23"/>
      <c r="D74" s="23"/>
      <c r="E74" s="23"/>
      <c r="F74" s="152"/>
      <c r="G74" s="152"/>
      <c r="H74" s="152"/>
      <c r="I74" s="21"/>
      <c r="J74" s="152"/>
      <c r="K74" s="21"/>
      <c r="L74" s="21"/>
      <c r="M74" s="21"/>
      <c r="N74" s="21"/>
      <c r="O74" s="21"/>
      <c r="P74" s="21"/>
      <c r="Q74" s="23"/>
    </row>
    <row r="75" spans="1:17" x14ac:dyDescent="0.2">
      <c r="A75" s="23"/>
      <c r="B75" s="23"/>
      <c r="C75" s="23"/>
      <c r="D75" s="23"/>
      <c r="E75" s="23"/>
      <c r="F75" s="152"/>
      <c r="G75" s="152"/>
      <c r="H75" s="152"/>
      <c r="I75" s="21"/>
      <c r="J75" s="152"/>
      <c r="K75" s="21"/>
      <c r="L75" s="21"/>
      <c r="M75" s="21"/>
      <c r="N75" s="21"/>
      <c r="O75" s="21"/>
      <c r="P75" s="21"/>
      <c r="Q75" s="23"/>
    </row>
    <row r="76" spans="1:17" x14ac:dyDescent="0.2">
      <c r="A76" s="23"/>
      <c r="B76" s="23"/>
      <c r="C76" s="23"/>
      <c r="D76" s="23"/>
      <c r="E76" s="23"/>
      <c r="F76" s="152"/>
      <c r="G76" s="152"/>
      <c r="H76" s="152"/>
      <c r="I76" s="21"/>
      <c r="J76" s="152"/>
      <c r="K76" s="21"/>
      <c r="L76" s="21"/>
      <c r="M76" s="21"/>
      <c r="N76" s="21"/>
      <c r="O76" s="21"/>
      <c r="P76" s="21"/>
      <c r="Q76" s="23"/>
    </row>
    <row r="77" spans="1:17" x14ac:dyDescent="0.2">
      <c r="A77" s="23"/>
      <c r="B77" s="23"/>
      <c r="C77" s="23"/>
      <c r="D77" s="23"/>
      <c r="E77" s="23"/>
      <c r="F77" s="152"/>
      <c r="G77" s="152"/>
      <c r="H77" s="152"/>
      <c r="I77" s="21"/>
      <c r="J77" s="152"/>
      <c r="K77" s="21"/>
      <c r="L77" s="21"/>
      <c r="M77" s="21"/>
      <c r="N77" s="21"/>
      <c r="O77" s="21"/>
      <c r="P77" s="21"/>
      <c r="Q77" s="23"/>
    </row>
    <row r="78" spans="1:17" x14ac:dyDescent="0.2">
      <c r="A78" s="23"/>
      <c r="B78" s="23"/>
      <c r="C78" s="23"/>
      <c r="D78" s="23"/>
      <c r="E78" s="23"/>
      <c r="F78" s="152"/>
      <c r="G78" s="152"/>
      <c r="H78" s="152"/>
      <c r="I78" s="21"/>
      <c r="J78" s="152"/>
      <c r="K78" s="21"/>
      <c r="L78" s="21"/>
      <c r="M78" s="21"/>
      <c r="N78" s="21"/>
      <c r="O78" s="21"/>
      <c r="P78" s="21"/>
      <c r="Q78" s="23"/>
    </row>
    <row r="81" spans="1:25" x14ac:dyDescent="0.2">
      <c r="A81" t="s">
        <v>37</v>
      </c>
      <c r="C81" s="232" t="s">
        <v>336</v>
      </c>
      <c r="D81" s="233"/>
      <c r="E81" s="233"/>
      <c r="F81" s="233"/>
      <c r="G81" s="233"/>
      <c r="H81" s="233"/>
      <c r="I81" s="233"/>
      <c r="J81" s="233"/>
      <c r="K81" s="233"/>
      <c r="L81" s="233"/>
      <c r="M81" s="234"/>
      <c r="N81" s="148"/>
    </row>
    <row r="82" spans="1:25" x14ac:dyDescent="0.2">
      <c r="C82" s="235"/>
      <c r="D82" s="236"/>
      <c r="E82" s="236"/>
      <c r="F82" s="236"/>
      <c r="G82" s="236"/>
      <c r="H82" s="236"/>
      <c r="I82" s="236"/>
      <c r="J82" s="236"/>
      <c r="K82" s="236"/>
      <c r="L82" s="236"/>
      <c r="M82" s="237"/>
      <c r="N82" s="148"/>
    </row>
    <row r="83" spans="1:25" x14ac:dyDescent="0.2">
      <c r="C83" s="238"/>
      <c r="D83" s="239"/>
      <c r="E83" s="239"/>
      <c r="F83" s="239"/>
      <c r="G83" s="239"/>
      <c r="H83" s="239"/>
      <c r="I83" s="239"/>
      <c r="J83" s="239"/>
      <c r="K83" s="239"/>
      <c r="L83" s="239"/>
      <c r="M83" s="240"/>
      <c r="N83" s="148"/>
    </row>
    <row r="84" spans="1:25" x14ac:dyDescent="0.2">
      <c r="C84" s="14"/>
      <c r="D84" s="14"/>
      <c r="E84" s="14"/>
      <c r="F84" s="14"/>
      <c r="G84" s="14"/>
      <c r="H84" s="14"/>
      <c r="I84" s="14"/>
      <c r="J84" s="14"/>
      <c r="K84" s="14"/>
      <c r="L84" s="14"/>
    </row>
    <row r="85" spans="1:25" x14ac:dyDescent="0.2">
      <c r="C85" s="232" t="s">
        <v>343</v>
      </c>
      <c r="D85" s="233"/>
      <c r="E85" s="233"/>
      <c r="F85" s="233"/>
      <c r="G85" s="233"/>
      <c r="H85" s="233"/>
      <c r="I85" s="233"/>
      <c r="J85" s="233"/>
      <c r="K85" s="233"/>
      <c r="L85" s="233"/>
      <c r="M85" s="233"/>
      <c r="N85" s="233"/>
      <c r="O85" s="233"/>
      <c r="P85" s="234"/>
    </row>
    <row r="86" spans="1:25" x14ac:dyDescent="0.2">
      <c r="C86" s="235"/>
      <c r="D86" s="236"/>
      <c r="E86" s="236"/>
      <c r="F86" s="236"/>
      <c r="G86" s="236"/>
      <c r="H86" s="236"/>
      <c r="I86" s="236"/>
      <c r="J86" s="236"/>
      <c r="K86" s="236"/>
      <c r="L86" s="236"/>
      <c r="M86" s="236"/>
      <c r="N86" s="236"/>
      <c r="O86" s="236"/>
      <c r="P86" s="237"/>
      <c r="Q86" s="241"/>
      <c r="R86" s="241"/>
      <c r="S86" s="241"/>
      <c r="T86" s="241"/>
      <c r="U86" s="241"/>
      <c r="V86" s="241"/>
      <c r="X86" s="241"/>
      <c r="Y86" s="241"/>
    </row>
    <row r="87" spans="1:25" x14ac:dyDescent="0.2">
      <c r="C87" s="238"/>
      <c r="D87" s="239"/>
      <c r="E87" s="239"/>
      <c r="F87" s="239"/>
      <c r="G87" s="239"/>
      <c r="H87" s="239"/>
      <c r="I87" s="239"/>
      <c r="J87" s="239"/>
      <c r="K87" s="239"/>
      <c r="L87" s="239"/>
      <c r="M87" s="239"/>
      <c r="N87" s="239"/>
      <c r="O87" s="239"/>
      <c r="P87" s="240"/>
      <c r="Q87" s="149"/>
      <c r="R87" s="149"/>
      <c r="U87" s="149"/>
      <c r="V87" s="149"/>
    </row>
    <row r="88" spans="1:25" x14ac:dyDescent="0.2">
      <c r="C88" s="148"/>
      <c r="D88" s="148"/>
      <c r="E88" s="148"/>
      <c r="F88" s="148"/>
      <c r="G88" s="148"/>
      <c r="H88" s="148"/>
      <c r="I88" s="148"/>
      <c r="J88" s="148"/>
      <c r="K88" s="148"/>
      <c r="L88" s="148"/>
      <c r="M88" s="148"/>
      <c r="N88" s="148"/>
      <c r="O88" s="148"/>
      <c r="P88" s="148"/>
      <c r="Q88" s="149"/>
      <c r="R88" s="149"/>
      <c r="U88" s="149"/>
      <c r="V88" s="149"/>
    </row>
    <row r="89" spans="1:25" ht="15" customHeight="1" x14ac:dyDescent="0.2">
      <c r="C89" s="232" t="s">
        <v>344</v>
      </c>
      <c r="D89" s="233"/>
      <c r="E89" s="233"/>
      <c r="F89" s="233"/>
      <c r="G89" s="233"/>
      <c r="H89" s="233"/>
      <c r="I89" s="233"/>
      <c r="J89" s="233"/>
      <c r="K89" s="233"/>
      <c r="L89" s="233"/>
      <c r="M89" s="233"/>
      <c r="N89" s="233"/>
      <c r="O89" s="233"/>
      <c r="P89" s="234"/>
      <c r="Q89" s="149"/>
      <c r="R89" s="149"/>
      <c r="U89" s="149"/>
      <c r="V89" s="149"/>
    </row>
    <row r="90" spans="1:25" x14ac:dyDescent="0.2">
      <c r="C90" s="235"/>
      <c r="D90" s="236"/>
      <c r="E90" s="236"/>
      <c r="F90" s="236"/>
      <c r="G90" s="236"/>
      <c r="H90" s="236"/>
      <c r="I90" s="236"/>
      <c r="J90" s="236"/>
      <c r="K90" s="236"/>
      <c r="L90" s="236"/>
      <c r="M90" s="236"/>
      <c r="N90" s="236"/>
      <c r="O90" s="236"/>
      <c r="P90" s="237"/>
      <c r="Q90" s="149"/>
      <c r="R90" s="149"/>
      <c r="U90" s="149"/>
      <c r="V90" s="149"/>
    </row>
    <row r="91" spans="1:25" x14ac:dyDescent="0.2">
      <c r="C91" s="238"/>
      <c r="D91" s="239"/>
      <c r="E91" s="239"/>
      <c r="F91" s="239"/>
      <c r="G91" s="239"/>
      <c r="H91" s="239"/>
      <c r="I91" s="239"/>
      <c r="J91" s="239"/>
      <c r="K91" s="239"/>
      <c r="L91" s="239"/>
      <c r="M91" s="239"/>
      <c r="N91" s="239"/>
      <c r="O91" s="239"/>
      <c r="P91" s="240"/>
      <c r="Q91" s="149"/>
      <c r="R91" s="149"/>
      <c r="U91" s="149"/>
      <c r="V91" s="149"/>
    </row>
    <row r="92" spans="1:25" x14ac:dyDescent="0.2">
      <c r="C92" s="148"/>
      <c r="D92" s="148"/>
      <c r="E92" s="148"/>
      <c r="F92" s="148"/>
      <c r="G92" s="148"/>
      <c r="H92" s="148"/>
      <c r="I92" s="148"/>
      <c r="J92" s="148"/>
      <c r="K92" s="148"/>
      <c r="L92" s="148"/>
      <c r="M92" s="148"/>
      <c r="N92" s="148"/>
      <c r="O92" s="148"/>
      <c r="P92" s="148"/>
      <c r="Q92" s="149"/>
      <c r="R92" s="149"/>
      <c r="U92" s="149"/>
      <c r="V92" s="149"/>
    </row>
    <row r="93" spans="1:25" x14ac:dyDescent="0.2">
      <c r="C93" s="232" t="s">
        <v>355</v>
      </c>
      <c r="D93" s="233"/>
      <c r="E93" s="233"/>
      <c r="F93" s="233"/>
      <c r="G93" s="233"/>
      <c r="H93" s="233"/>
      <c r="I93" s="233"/>
      <c r="J93" s="233"/>
      <c r="K93" s="233"/>
      <c r="L93" s="233"/>
      <c r="M93" s="233"/>
      <c r="N93" s="233"/>
      <c r="O93" s="233"/>
      <c r="P93" s="234"/>
      <c r="Q93" s="149"/>
      <c r="R93" s="149"/>
      <c r="U93" s="149"/>
      <c r="V93" s="149"/>
    </row>
    <row r="94" spans="1:25" x14ac:dyDescent="0.2">
      <c r="C94" s="235"/>
      <c r="D94" s="236"/>
      <c r="E94" s="236"/>
      <c r="F94" s="236"/>
      <c r="G94" s="236"/>
      <c r="H94" s="236"/>
      <c r="I94" s="236"/>
      <c r="J94" s="236"/>
      <c r="K94" s="236"/>
      <c r="L94" s="236"/>
      <c r="M94" s="236"/>
      <c r="N94" s="236"/>
      <c r="O94" s="236"/>
      <c r="P94" s="237"/>
      <c r="Q94" s="149"/>
      <c r="R94" s="149"/>
      <c r="U94" s="149"/>
      <c r="V94" s="149"/>
    </row>
    <row r="95" spans="1:25" x14ac:dyDescent="0.2">
      <c r="C95" s="238"/>
      <c r="D95" s="239"/>
      <c r="E95" s="239"/>
      <c r="F95" s="239"/>
      <c r="G95" s="239"/>
      <c r="H95" s="239"/>
      <c r="I95" s="239"/>
      <c r="J95" s="239"/>
      <c r="K95" s="239"/>
      <c r="L95" s="239"/>
      <c r="M95" s="239"/>
      <c r="N95" s="239"/>
      <c r="O95" s="239"/>
      <c r="P95" s="240"/>
      <c r="Q95" s="149"/>
      <c r="R95" s="11"/>
      <c r="T95" s="11"/>
      <c r="V95" s="11"/>
    </row>
    <row r="96" spans="1:25" x14ac:dyDescent="0.2">
      <c r="A96" s="1"/>
      <c r="B96" s="1"/>
      <c r="O96"/>
      <c r="P96" s="11"/>
      <c r="Q96" s="149"/>
      <c r="R96" s="11"/>
      <c r="T96" s="11"/>
      <c r="V96" s="11"/>
    </row>
    <row r="97" spans="1:22" x14ac:dyDescent="0.2">
      <c r="A97" s="1" t="s">
        <v>335</v>
      </c>
      <c r="B97" s="1"/>
      <c r="E97" t="s">
        <v>342</v>
      </c>
      <c r="J97" s="149" t="s">
        <v>348</v>
      </c>
      <c r="P97" s="11" t="s">
        <v>354</v>
      </c>
      <c r="Q97" s="149"/>
      <c r="R97" s="11"/>
      <c r="T97" s="11"/>
      <c r="V97" s="11"/>
    </row>
    <row r="98" spans="1:22" x14ac:dyDescent="0.2">
      <c r="P98" s="11"/>
      <c r="Q98" s="149"/>
      <c r="R98" s="11"/>
      <c r="T98" s="11"/>
      <c r="V98" s="11"/>
    </row>
    <row r="99" spans="1:22" x14ac:dyDescent="0.2">
      <c r="P99" s="11"/>
      <c r="Q99" s="149"/>
      <c r="R99" s="11"/>
      <c r="T99" s="11"/>
      <c r="V99" s="11"/>
    </row>
    <row r="100" spans="1:22" x14ac:dyDescent="0.2">
      <c r="P100" s="11"/>
      <c r="Q100" s="149"/>
      <c r="R100" s="11"/>
      <c r="T100" s="11"/>
      <c r="V100" s="11"/>
    </row>
  </sheetData>
  <mergeCells count="10">
    <mergeCell ref="C89:P91"/>
    <mergeCell ref="C93:P95"/>
    <mergeCell ref="K3:M3"/>
    <mergeCell ref="S3:Y10"/>
    <mergeCell ref="C81:M83"/>
    <mergeCell ref="C85:P87"/>
    <mergeCell ref="Q86:R86"/>
    <mergeCell ref="S86:T86"/>
    <mergeCell ref="U86:V86"/>
    <mergeCell ref="X86:Y86"/>
  </mergeCell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J98"/>
  <sheetViews>
    <sheetView topLeftCell="Y1" zoomScale="80" zoomScaleNormal="80" zoomScalePageLayoutView="80" workbookViewId="0">
      <selection activeCell="AW36" sqref="AW36"/>
    </sheetView>
  </sheetViews>
  <sheetFormatPr baseColWidth="10" defaultColWidth="8.83203125" defaultRowHeight="15" x14ac:dyDescent="0.2"/>
  <cols>
    <col min="1" max="2" width="20.6640625" customWidth="1"/>
    <col min="3" max="3" width="16.33203125" customWidth="1"/>
    <col min="4" max="4" width="10.1640625" customWidth="1"/>
    <col min="5" max="5" width="13.5" customWidth="1"/>
    <col min="6" max="6" width="13.5" style="156" customWidth="1"/>
    <col min="7" max="7" width="11.6640625" style="156" customWidth="1"/>
    <col min="8" max="8" width="10.1640625" style="156" customWidth="1"/>
    <col min="9" max="9" width="12.33203125" style="159" customWidth="1"/>
    <col min="10" max="10" width="10.1640625" style="156" customWidth="1"/>
    <col min="11" max="12" width="13.5" style="159" customWidth="1"/>
    <col min="13" max="14" width="10.1640625" style="159" customWidth="1"/>
    <col min="15" max="15" width="10.1640625" style="156" customWidth="1"/>
    <col min="16" max="16" width="11.83203125" style="156" customWidth="1"/>
    <col min="17" max="17" width="41.33203125" customWidth="1"/>
  </cols>
  <sheetData>
    <row r="3" spans="1:36" ht="30" x14ac:dyDescent="0.2">
      <c r="A3" s="14" t="s">
        <v>0</v>
      </c>
      <c r="B3" s="14"/>
      <c r="C3" s="14"/>
      <c r="D3" s="14" t="s">
        <v>13</v>
      </c>
      <c r="E3" s="14" t="s">
        <v>28</v>
      </c>
      <c r="F3" s="158" t="s">
        <v>1</v>
      </c>
      <c r="G3" s="158" t="s">
        <v>2</v>
      </c>
      <c r="H3" s="158" t="s">
        <v>4</v>
      </c>
      <c r="I3" s="154" t="s">
        <v>8</v>
      </c>
      <c r="J3" s="158" t="s">
        <v>3</v>
      </c>
      <c r="K3" s="230" t="s">
        <v>20</v>
      </c>
      <c r="L3" s="230"/>
      <c r="M3" s="230"/>
      <c r="N3" s="154"/>
      <c r="O3" s="14" t="s">
        <v>21</v>
      </c>
      <c r="P3" s="14"/>
      <c r="Q3" s="14"/>
      <c r="R3" s="14"/>
      <c r="S3" s="231" t="s">
        <v>388</v>
      </c>
      <c r="T3" s="231"/>
      <c r="U3" s="231"/>
      <c r="V3" s="231"/>
      <c r="W3" s="231"/>
      <c r="X3" s="231"/>
      <c r="Y3" s="231"/>
      <c r="Z3" s="14"/>
    </row>
    <row r="4" spans="1:36" x14ac:dyDescent="0.2">
      <c r="A4" s="26"/>
      <c r="B4" s="26" t="s">
        <v>42</v>
      </c>
      <c r="C4" s="26" t="s">
        <v>10</v>
      </c>
      <c r="D4" s="26"/>
      <c r="E4" s="26" t="s">
        <v>27</v>
      </c>
      <c r="F4" s="25"/>
      <c r="G4" s="25"/>
      <c r="H4" s="25" t="s">
        <v>7</v>
      </c>
      <c r="I4" s="27" t="s">
        <v>9</v>
      </c>
      <c r="J4" s="25"/>
      <c r="K4" s="8" t="s">
        <v>55</v>
      </c>
      <c r="L4" s="27" t="s">
        <v>56</v>
      </c>
      <c r="M4" s="27" t="s">
        <v>5</v>
      </c>
      <c r="N4" s="27" t="s">
        <v>55</v>
      </c>
      <c r="O4" s="25" t="s">
        <v>120</v>
      </c>
      <c r="P4" s="25" t="s">
        <v>12</v>
      </c>
      <c r="Q4" s="26" t="s">
        <v>22</v>
      </c>
      <c r="R4" s="14"/>
      <c r="S4" s="231"/>
      <c r="T4" s="231"/>
      <c r="U4" s="231"/>
      <c r="V4" s="231"/>
      <c r="W4" s="231"/>
      <c r="X4" s="231"/>
      <c r="Y4" s="231"/>
      <c r="Z4" s="14"/>
    </row>
    <row r="5" spans="1:36" x14ac:dyDescent="0.2">
      <c r="A5" t="s">
        <v>361</v>
      </c>
      <c r="B5" s="45" t="s">
        <v>362</v>
      </c>
      <c r="C5" t="s">
        <v>352</v>
      </c>
      <c r="D5" t="s">
        <v>14</v>
      </c>
      <c r="E5" t="s">
        <v>372</v>
      </c>
      <c r="F5" s="5">
        <v>32561</v>
      </c>
      <c r="G5" s="5">
        <v>32658</v>
      </c>
      <c r="H5" s="156">
        <f>G5-F5</f>
        <v>97</v>
      </c>
      <c r="I5" s="21">
        <v>156</v>
      </c>
      <c r="J5" s="160" t="s">
        <v>74</v>
      </c>
      <c r="K5" s="21" t="s">
        <v>353</v>
      </c>
      <c r="L5" s="159">
        <v>0</v>
      </c>
      <c r="M5" s="159">
        <f>L5/L$12*100</f>
        <v>0</v>
      </c>
      <c r="N5" s="159" t="s">
        <v>273</v>
      </c>
      <c r="O5" s="159">
        <v>0</v>
      </c>
      <c r="P5" s="159">
        <f>O5/O$12*100</f>
        <v>0</v>
      </c>
      <c r="S5" s="231"/>
      <c r="T5" s="231"/>
      <c r="U5" s="231"/>
      <c r="V5" s="231"/>
      <c r="W5" s="231"/>
      <c r="X5" s="231"/>
      <c r="Y5" s="231"/>
    </row>
    <row r="6" spans="1:36" x14ac:dyDescent="0.2">
      <c r="A6" s="23"/>
      <c r="B6" s="23"/>
      <c r="C6" s="23"/>
      <c r="D6" s="23"/>
      <c r="E6" s="23"/>
      <c r="F6" s="160"/>
      <c r="G6" s="160"/>
      <c r="H6" s="160"/>
      <c r="I6" s="21"/>
      <c r="J6" s="160"/>
      <c r="K6" s="21"/>
      <c r="L6" s="21">
        <v>20</v>
      </c>
      <c r="M6" s="159">
        <f t="shared" ref="M6:M12" si="0">L6/L$12*100</f>
        <v>21.290322580645167</v>
      </c>
      <c r="N6" s="21"/>
      <c r="O6" s="21">
        <v>0</v>
      </c>
      <c r="P6" s="159">
        <f t="shared" ref="P6:P12" si="1">O6/O$12*100</f>
        <v>0</v>
      </c>
      <c r="Q6" s="23"/>
      <c r="S6" s="231"/>
      <c r="T6" s="231"/>
      <c r="U6" s="231"/>
      <c r="V6" s="231"/>
      <c r="W6" s="231"/>
      <c r="X6" s="231"/>
      <c r="Y6" s="231"/>
    </row>
    <row r="7" spans="1:36" x14ac:dyDescent="0.2">
      <c r="A7" s="23"/>
      <c r="B7" s="23"/>
      <c r="C7" s="23"/>
      <c r="D7" s="23"/>
      <c r="E7" s="23"/>
      <c r="F7" s="160"/>
      <c r="G7" s="160"/>
      <c r="H7" s="160"/>
      <c r="I7" s="21"/>
      <c r="J7" s="160" t="s">
        <v>363</v>
      </c>
      <c r="K7" s="21"/>
      <c r="L7" s="21">
        <v>39.962121212121204</v>
      </c>
      <c r="M7" s="159">
        <f t="shared" si="0"/>
        <v>42.54032258064516</v>
      </c>
      <c r="N7" s="21"/>
      <c r="O7" s="21">
        <v>2.918287937743191</v>
      </c>
      <c r="P7" s="159">
        <f t="shared" si="1"/>
        <v>3.5211267605633805</v>
      </c>
      <c r="Q7" s="23"/>
      <c r="S7" s="231"/>
      <c r="T7" s="231"/>
      <c r="U7" s="231"/>
      <c r="V7" s="231"/>
      <c r="W7" s="231"/>
      <c r="X7" s="231"/>
      <c r="Y7" s="231"/>
    </row>
    <row r="8" spans="1:36" x14ac:dyDescent="0.2">
      <c r="A8" s="23"/>
      <c r="B8" s="23"/>
      <c r="C8" s="23"/>
      <c r="D8" s="23"/>
      <c r="E8" s="23"/>
      <c r="F8" s="160"/>
      <c r="G8" s="160"/>
      <c r="H8" s="160"/>
      <c r="I8" s="21"/>
      <c r="J8" s="160" t="s">
        <v>364</v>
      </c>
      <c r="K8" s="21"/>
      <c r="L8" s="21">
        <v>49.810606060606055</v>
      </c>
      <c r="M8" s="159">
        <f t="shared" si="0"/>
        <v>53.024193548387103</v>
      </c>
      <c r="N8" s="21"/>
      <c r="O8" s="21">
        <v>18.677042801556421</v>
      </c>
      <c r="P8" s="159">
        <f t="shared" si="1"/>
        <v>22.535211267605636</v>
      </c>
      <c r="Q8" s="23"/>
      <c r="S8" s="231"/>
      <c r="T8" s="231"/>
      <c r="U8" s="231"/>
      <c r="V8" s="231"/>
      <c r="W8" s="231"/>
      <c r="X8" s="231"/>
      <c r="Y8" s="231"/>
    </row>
    <row r="9" spans="1:36" x14ac:dyDescent="0.2">
      <c r="A9" s="23"/>
      <c r="B9" s="23"/>
      <c r="C9" s="29"/>
      <c r="D9" s="23"/>
      <c r="E9" s="23"/>
      <c r="F9" s="160"/>
      <c r="G9" s="160"/>
      <c r="H9" s="160"/>
      <c r="I9" s="21"/>
      <c r="J9" s="160" t="s">
        <v>365</v>
      </c>
      <c r="K9" s="21"/>
      <c r="L9" s="21">
        <v>59.848484848484844</v>
      </c>
      <c r="M9" s="159">
        <f t="shared" si="0"/>
        <v>63.709677419354847</v>
      </c>
      <c r="N9" s="21"/>
      <c r="O9" s="21">
        <v>41.439688715953309</v>
      </c>
      <c r="P9" s="159">
        <f t="shared" si="1"/>
        <v>50</v>
      </c>
      <c r="Q9" s="23"/>
      <c r="S9" s="231"/>
      <c r="T9" s="231"/>
      <c r="U9" s="231"/>
      <c r="V9" s="231"/>
      <c r="W9" s="231"/>
      <c r="X9" s="231"/>
      <c r="Y9" s="231"/>
    </row>
    <row r="10" spans="1:36" x14ac:dyDescent="0.2">
      <c r="A10" s="23"/>
      <c r="B10" s="23"/>
      <c r="C10" s="29"/>
      <c r="D10" s="23"/>
      <c r="E10" s="23"/>
      <c r="F10" s="30"/>
      <c r="G10" s="30"/>
      <c r="H10" s="160"/>
      <c r="I10" s="21"/>
      <c r="J10" s="160" t="s">
        <v>366</v>
      </c>
      <c r="K10" s="21"/>
      <c r="L10" s="21">
        <v>70.075757575757578</v>
      </c>
      <c r="M10" s="159">
        <f t="shared" si="0"/>
        <v>74.596774193548399</v>
      </c>
      <c r="N10" s="21"/>
      <c r="O10" s="21">
        <v>66.536964980544752</v>
      </c>
      <c r="P10" s="159">
        <f t="shared" si="1"/>
        <v>80.281690140845072</v>
      </c>
      <c r="Q10" s="23"/>
      <c r="S10" s="231"/>
      <c r="T10" s="231"/>
      <c r="U10" s="231"/>
      <c r="V10" s="231"/>
      <c r="W10" s="231"/>
      <c r="X10" s="231"/>
      <c r="Y10" s="231"/>
    </row>
    <row r="11" spans="1:36" x14ac:dyDescent="0.2">
      <c r="A11" s="23"/>
      <c r="B11" s="23"/>
      <c r="C11" s="29"/>
      <c r="D11" s="23"/>
      <c r="E11" s="23"/>
      <c r="F11" s="160"/>
      <c r="G11" s="160"/>
      <c r="H11" s="160"/>
      <c r="J11" s="160" t="s">
        <v>367</v>
      </c>
      <c r="K11" s="21"/>
      <c r="L11" s="159">
        <v>79.924242424242408</v>
      </c>
      <c r="M11" s="159">
        <f t="shared" si="0"/>
        <v>85.08064516129032</v>
      </c>
      <c r="N11" s="21"/>
      <c r="O11" s="21">
        <v>72.95719844357977</v>
      </c>
      <c r="P11" s="159">
        <f t="shared" si="1"/>
        <v>88.028169014084511</v>
      </c>
      <c r="Q11" s="23"/>
    </row>
    <row r="12" spans="1:36" x14ac:dyDescent="0.2">
      <c r="A12" s="23"/>
      <c r="B12" s="23"/>
      <c r="C12" s="23"/>
      <c r="D12" s="23"/>
      <c r="E12" s="23"/>
      <c r="F12" s="160"/>
      <c r="G12" s="160"/>
      <c r="H12" s="160"/>
      <c r="I12" s="21"/>
      <c r="J12" s="160" t="s">
        <v>194</v>
      </c>
      <c r="K12" s="21"/>
      <c r="L12" s="159">
        <v>93.939393939393923</v>
      </c>
      <c r="M12" s="159">
        <f t="shared" si="0"/>
        <v>100</v>
      </c>
      <c r="N12" s="21"/>
      <c r="O12" s="21">
        <v>82.879377431906619</v>
      </c>
      <c r="P12" s="159">
        <f t="shared" si="1"/>
        <v>100</v>
      </c>
      <c r="Q12" s="23"/>
      <c r="AH12" t="s">
        <v>305</v>
      </c>
      <c r="AI12" t="s">
        <v>306</v>
      </c>
    </row>
    <row r="13" spans="1:36" x14ac:dyDescent="0.2">
      <c r="A13" s="23"/>
      <c r="B13" s="23"/>
      <c r="C13" s="23"/>
      <c r="D13" s="23"/>
      <c r="E13" s="23"/>
      <c r="F13" s="160"/>
      <c r="G13" s="160"/>
      <c r="H13" s="160"/>
      <c r="I13" s="21">
        <v>245</v>
      </c>
      <c r="J13" s="156" t="s">
        <v>74</v>
      </c>
      <c r="K13" s="21"/>
      <c r="L13" s="159">
        <v>0</v>
      </c>
      <c r="M13" s="159">
        <f>L13/L$20*100</f>
        <v>0</v>
      </c>
      <c r="N13" s="21"/>
      <c r="O13" s="21">
        <v>0</v>
      </c>
      <c r="P13" s="159">
        <f>O13/O$20*100</f>
        <v>0</v>
      </c>
      <c r="Q13" s="23"/>
      <c r="AH13">
        <v>0</v>
      </c>
      <c r="AI13">
        <v>0</v>
      </c>
    </row>
    <row r="14" spans="1:36" x14ac:dyDescent="0.2">
      <c r="A14" s="23"/>
      <c r="B14" s="23"/>
      <c r="C14" s="23"/>
      <c r="D14" s="23"/>
      <c r="E14" s="23"/>
      <c r="F14" s="160"/>
      <c r="G14" s="160"/>
      <c r="H14" s="160"/>
      <c r="I14" s="21"/>
      <c r="K14" s="21"/>
      <c r="L14" s="21">
        <v>20</v>
      </c>
      <c r="M14" s="159">
        <f t="shared" ref="M14:M20" si="2">L14/L$20*100</f>
        <v>21.290322580645167</v>
      </c>
      <c r="N14" s="21"/>
      <c r="O14" s="21">
        <v>0</v>
      </c>
      <c r="P14" s="159">
        <f t="shared" ref="P14:P20" si="3">O14/O$20*100</f>
        <v>0</v>
      </c>
      <c r="Q14" s="23"/>
      <c r="AH14">
        <v>10</v>
      </c>
      <c r="AI14">
        <v>0</v>
      </c>
    </row>
    <row r="15" spans="1:36" x14ac:dyDescent="0.2">
      <c r="A15" s="23"/>
      <c r="B15" s="23"/>
      <c r="C15" s="23"/>
      <c r="D15" s="23"/>
      <c r="E15" s="23"/>
      <c r="F15" s="30"/>
      <c r="G15" s="30"/>
      <c r="H15" s="160"/>
      <c r="I15" s="21"/>
      <c r="J15" s="160" t="s">
        <v>363</v>
      </c>
      <c r="K15" s="21"/>
      <c r="L15" s="21">
        <v>39.962121212121204</v>
      </c>
      <c r="M15" s="159">
        <f t="shared" si="2"/>
        <v>42.54032258064516</v>
      </c>
      <c r="N15" s="21"/>
      <c r="O15" s="21">
        <v>2.918287937743191</v>
      </c>
      <c r="P15" s="159">
        <f t="shared" si="3"/>
        <v>2.1276595744680846</v>
      </c>
      <c r="Q15" s="23"/>
      <c r="AH15">
        <v>20</v>
      </c>
      <c r="AI15">
        <v>0</v>
      </c>
    </row>
    <row r="16" spans="1:36" x14ac:dyDescent="0.2">
      <c r="A16" s="23"/>
      <c r="B16" s="23"/>
      <c r="C16" s="23"/>
      <c r="D16" s="23"/>
      <c r="E16" s="23"/>
      <c r="F16" s="160"/>
      <c r="G16" s="160"/>
      <c r="H16" s="160"/>
      <c r="I16" s="21"/>
      <c r="J16" s="160" t="s">
        <v>364</v>
      </c>
      <c r="K16" s="21"/>
      <c r="L16" s="21">
        <v>49.810606060606055</v>
      </c>
      <c r="M16" s="159">
        <f t="shared" si="2"/>
        <v>53.024193548387103</v>
      </c>
      <c r="N16" s="21"/>
      <c r="O16" s="21">
        <v>18.677042801556421</v>
      </c>
      <c r="P16" s="159">
        <f t="shared" si="3"/>
        <v>13.617021276595743</v>
      </c>
      <c r="Q16" s="23"/>
      <c r="AH16">
        <v>30</v>
      </c>
      <c r="AI16" s="11">
        <v>0.92165898617511532</v>
      </c>
      <c r="AJ16" s="11"/>
    </row>
    <row r="17" spans="1:36" x14ac:dyDescent="0.2">
      <c r="A17" s="23"/>
      <c r="B17" s="23"/>
      <c r="C17" s="23"/>
      <c r="D17" s="23"/>
      <c r="E17" s="23"/>
      <c r="F17" s="160"/>
      <c r="G17" s="160"/>
      <c r="H17" s="160"/>
      <c r="J17" s="160" t="s">
        <v>365</v>
      </c>
      <c r="L17" s="21">
        <v>59.848484848484844</v>
      </c>
      <c r="M17" s="159">
        <f t="shared" si="2"/>
        <v>63.709677419354847</v>
      </c>
      <c r="N17" s="21"/>
      <c r="O17" s="21">
        <v>47.859922178988327</v>
      </c>
      <c r="P17" s="159">
        <f t="shared" si="3"/>
        <v>34.89361702127659</v>
      </c>
      <c r="Q17" s="23"/>
      <c r="AH17">
        <v>40</v>
      </c>
      <c r="AI17" s="11">
        <v>4.1474654377880187</v>
      </c>
      <c r="AJ17" s="11"/>
    </row>
    <row r="18" spans="1:36" x14ac:dyDescent="0.2">
      <c r="A18" s="23"/>
      <c r="B18" s="23"/>
      <c r="C18" s="23"/>
      <c r="D18" s="23"/>
      <c r="E18" s="23"/>
      <c r="F18" s="160"/>
      <c r="G18" s="160"/>
      <c r="H18" s="160"/>
      <c r="J18" s="160" t="s">
        <v>366</v>
      </c>
      <c r="L18" s="21">
        <v>70.075757575757578</v>
      </c>
      <c r="M18" s="159">
        <f t="shared" si="2"/>
        <v>74.596774193548399</v>
      </c>
      <c r="N18" s="21"/>
      <c r="O18" s="21">
        <v>84.630350194552534</v>
      </c>
      <c r="P18" s="159">
        <f t="shared" si="3"/>
        <v>61.702127659574458</v>
      </c>
      <c r="Q18" s="23"/>
      <c r="AH18">
        <v>50</v>
      </c>
      <c r="AI18" s="11">
        <v>19.35483870967742</v>
      </c>
      <c r="AJ18" s="11"/>
    </row>
    <row r="19" spans="1:36" x14ac:dyDescent="0.2">
      <c r="A19" s="23"/>
      <c r="B19" s="23"/>
      <c r="C19" s="23"/>
      <c r="D19" s="23"/>
      <c r="E19" s="23"/>
      <c r="F19" s="160"/>
      <c r="G19" s="160"/>
      <c r="H19" s="160"/>
      <c r="J19" s="160" t="s">
        <v>367</v>
      </c>
      <c r="L19" s="159">
        <v>79.924242424242408</v>
      </c>
      <c r="M19" s="159">
        <f t="shared" si="2"/>
        <v>85.08064516129032</v>
      </c>
      <c r="N19" s="21"/>
      <c r="O19" s="21">
        <v>99.221789883268485</v>
      </c>
      <c r="P19" s="159">
        <f t="shared" si="3"/>
        <v>72.340425531914875</v>
      </c>
      <c r="Q19" s="23"/>
      <c r="AH19">
        <v>60</v>
      </c>
      <c r="AI19" s="11">
        <v>38.248847926267281</v>
      </c>
      <c r="AJ19" s="11"/>
    </row>
    <row r="20" spans="1:36" x14ac:dyDescent="0.2">
      <c r="A20" s="23"/>
      <c r="B20" s="23"/>
      <c r="C20" s="23"/>
      <c r="D20" s="23"/>
      <c r="E20" s="23"/>
      <c r="F20" s="30"/>
      <c r="G20" s="30"/>
      <c r="H20" s="160"/>
      <c r="J20" s="160" t="s">
        <v>194</v>
      </c>
      <c r="L20" s="159">
        <v>93.939393939393923</v>
      </c>
      <c r="M20" s="159">
        <f t="shared" si="2"/>
        <v>100</v>
      </c>
      <c r="O20" s="159">
        <v>137.15953307392999</v>
      </c>
      <c r="P20" s="159">
        <f t="shared" si="3"/>
        <v>100</v>
      </c>
      <c r="Q20" s="23"/>
      <c r="AH20">
        <v>70</v>
      </c>
      <c r="AI20" s="11">
        <v>54.838709677419359</v>
      </c>
      <c r="AJ20" s="11"/>
    </row>
    <row r="21" spans="1:36" x14ac:dyDescent="0.2">
      <c r="A21" s="23" t="s">
        <v>370</v>
      </c>
      <c r="B21" s="55" t="s">
        <v>371</v>
      </c>
      <c r="C21" s="23" t="s">
        <v>352</v>
      </c>
      <c r="D21" s="23" t="s">
        <v>14</v>
      </c>
      <c r="E21" s="17" t="s">
        <v>373</v>
      </c>
      <c r="F21" s="30">
        <v>32203</v>
      </c>
      <c r="G21" s="30">
        <v>32304</v>
      </c>
      <c r="H21" s="156">
        <f>G21-F21</f>
        <v>101</v>
      </c>
      <c r="I21" s="159">
        <v>160</v>
      </c>
      <c r="J21" s="156" t="s">
        <v>74</v>
      </c>
      <c r="K21" s="159" t="s">
        <v>353</v>
      </c>
      <c r="L21" s="159">
        <f>F21-$F$21</f>
        <v>0</v>
      </c>
      <c r="M21" s="159">
        <f>L21/L$28*100</f>
        <v>0</v>
      </c>
      <c r="O21" s="156">
        <v>0</v>
      </c>
      <c r="P21" s="159">
        <f>O21/O$28*100</f>
        <v>0</v>
      </c>
      <c r="Q21" s="23"/>
      <c r="AH21">
        <v>80</v>
      </c>
      <c r="AI21" s="11">
        <v>64.516129032258064</v>
      </c>
      <c r="AJ21" s="11"/>
    </row>
    <row r="22" spans="1:36" x14ac:dyDescent="0.2">
      <c r="A22" s="23"/>
      <c r="B22" s="23"/>
      <c r="C22" s="23"/>
      <c r="D22" s="23"/>
      <c r="E22" s="23"/>
      <c r="F22" s="30">
        <v>32231</v>
      </c>
      <c r="G22" s="160"/>
      <c r="H22" s="160"/>
      <c r="J22" s="156" t="s">
        <v>374</v>
      </c>
      <c r="L22" s="159">
        <f>F22-$F$21</f>
        <v>28</v>
      </c>
      <c r="M22" s="159">
        <f t="shared" ref="M22:M28" si="4">L22/L$28*100</f>
        <v>27.722772277227726</v>
      </c>
      <c r="O22" s="156">
        <v>0</v>
      </c>
      <c r="P22" s="159">
        <f t="shared" ref="P22:P28" si="5">O22/O$28*100</f>
        <v>0</v>
      </c>
      <c r="Q22" s="23"/>
      <c r="AH22">
        <v>90</v>
      </c>
      <c r="AI22" s="11">
        <v>81.105990783410149</v>
      </c>
      <c r="AJ22" s="11"/>
    </row>
    <row r="23" spans="1:36" x14ac:dyDescent="0.2">
      <c r="A23" s="23"/>
      <c r="B23" s="23"/>
      <c r="C23" s="23"/>
      <c r="D23" s="23"/>
      <c r="E23" s="23"/>
      <c r="F23" s="30">
        <v>32246</v>
      </c>
      <c r="G23" s="160"/>
      <c r="H23" s="160"/>
      <c r="I23" s="21"/>
      <c r="J23" s="160" t="s">
        <v>375</v>
      </c>
      <c r="K23" s="21"/>
      <c r="L23" s="159">
        <f>F23-$F$21</f>
        <v>43</v>
      </c>
      <c r="M23" s="159">
        <f t="shared" si="4"/>
        <v>42.574257425742573</v>
      </c>
      <c r="N23" s="21"/>
      <c r="O23" s="159">
        <v>4.1551246537396125</v>
      </c>
      <c r="P23" s="159">
        <f t="shared" si="5"/>
        <v>4.1782729805013927</v>
      </c>
      <c r="Q23" s="23"/>
      <c r="AH23">
        <v>100</v>
      </c>
      <c r="AI23">
        <v>100</v>
      </c>
    </row>
    <row r="24" spans="1:36" x14ac:dyDescent="0.2">
      <c r="A24" s="23"/>
      <c r="B24" s="23"/>
      <c r="C24" s="23"/>
      <c r="D24" s="23"/>
      <c r="E24" s="23"/>
      <c r="F24" s="30">
        <v>32253</v>
      </c>
      <c r="G24" s="160"/>
      <c r="H24" s="160"/>
      <c r="I24" s="21"/>
      <c r="J24" s="160" t="s">
        <v>376</v>
      </c>
      <c r="K24" s="21"/>
      <c r="L24" s="159">
        <f>F24-$F$21</f>
        <v>50</v>
      </c>
      <c r="M24" s="159">
        <f t="shared" si="4"/>
        <v>49.504950495049506</v>
      </c>
      <c r="N24" s="21"/>
      <c r="O24" s="159">
        <v>8.0332409972299175</v>
      </c>
      <c r="P24" s="159">
        <f t="shared" si="5"/>
        <v>8.0779944289693599</v>
      </c>
      <c r="Q24" s="23"/>
    </row>
    <row r="25" spans="1:36" x14ac:dyDescent="0.2">
      <c r="A25" s="23"/>
      <c r="B25" s="23"/>
      <c r="C25" s="23"/>
      <c r="D25" s="23"/>
      <c r="E25" s="23"/>
      <c r="F25" s="30">
        <v>32267</v>
      </c>
      <c r="G25" s="30"/>
      <c r="H25" s="160"/>
      <c r="I25" s="21"/>
      <c r="J25" s="160" t="s">
        <v>364</v>
      </c>
      <c r="K25" s="21"/>
      <c r="L25" s="159">
        <f>F25-$F$21</f>
        <v>64</v>
      </c>
      <c r="M25" s="159">
        <f t="shared" si="4"/>
        <v>63.366336633663366</v>
      </c>
      <c r="N25" s="21"/>
      <c r="O25" s="159">
        <v>46.814404432132967</v>
      </c>
      <c r="P25" s="159">
        <f t="shared" si="5"/>
        <v>47.075208913649028</v>
      </c>
      <c r="Q25" s="23"/>
    </row>
    <row r="26" spans="1:36" x14ac:dyDescent="0.2">
      <c r="A26" s="23"/>
      <c r="B26" s="23"/>
      <c r="C26" s="23"/>
      <c r="D26" s="23"/>
      <c r="E26" s="23"/>
      <c r="F26" s="160"/>
      <c r="G26" s="160"/>
      <c r="H26" s="160"/>
      <c r="I26" s="21"/>
      <c r="J26" s="160" t="s">
        <v>377</v>
      </c>
      <c r="K26" s="21"/>
      <c r="L26" s="159">
        <v>69.948186528497402</v>
      </c>
      <c r="M26" s="159">
        <f t="shared" si="4"/>
        <v>69.255630226235056</v>
      </c>
      <c r="N26" s="21"/>
      <c r="O26" s="159">
        <v>65.37396121883657</v>
      </c>
      <c r="P26" s="159">
        <f t="shared" si="5"/>
        <v>65.738161559888582</v>
      </c>
      <c r="Q26" s="23"/>
    </row>
    <row r="27" spans="1:36" x14ac:dyDescent="0.2">
      <c r="A27" s="23"/>
      <c r="B27" s="23"/>
      <c r="C27" s="23"/>
      <c r="D27" s="23"/>
      <c r="E27" s="23"/>
      <c r="F27" s="160"/>
      <c r="G27" s="160"/>
      <c r="H27" s="160"/>
      <c r="I27" s="21"/>
      <c r="J27" s="160" t="s">
        <v>366</v>
      </c>
      <c r="K27" s="21"/>
      <c r="L27" s="159">
        <v>77.547495682210709</v>
      </c>
      <c r="M27" s="159">
        <f t="shared" si="4"/>
        <v>76.779698695258119</v>
      </c>
      <c r="N27" s="21"/>
      <c r="O27" s="159">
        <v>86.70360110803324</v>
      </c>
      <c r="P27" s="159">
        <f t="shared" si="5"/>
        <v>87.186629526462383</v>
      </c>
      <c r="Q27" s="23"/>
    </row>
    <row r="28" spans="1:36" x14ac:dyDescent="0.2">
      <c r="A28" s="23"/>
      <c r="B28" s="23"/>
      <c r="C28" s="23"/>
      <c r="D28" s="23"/>
      <c r="E28" s="23"/>
      <c r="I28" s="21"/>
      <c r="J28" s="160" t="s">
        <v>194</v>
      </c>
      <c r="K28" s="21"/>
      <c r="L28" s="159">
        <f>F29-$F$21</f>
        <v>101</v>
      </c>
      <c r="M28" s="159">
        <f t="shared" si="4"/>
        <v>100</v>
      </c>
      <c r="N28" s="21"/>
      <c r="O28" s="21">
        <v>99.445983379501385</v>
      </c>
      <c r="P28" s="159">
        <f t="shared" si="5"/>
        <v>100</v>
      </c>
      <c r="Q28" s="23"/>
    </row>
    <row r="29" spans="1:36" x14ac:dyDescent="0.2">
      <c r="A29" s="23" t="s">
        <v>380</v>
      </c>
      <c r="B29" s="45" t="s">
        <v>382</v>
      </c>
      <c r="C29" s="23" t="s">
        <v>381</v>
      </c>
      <c r="D29" s="23" t="s">
        <v>121</v>
      </c>
      <c r="E29" s="23"/>
      <c r="F29" s="30">
        <v>32304</v>
      </c>
      <c r="G29" s="30">
        <v>32393</v>
      </c>
      <c r="H29" s="160">
        <f>G29-F29</f>
        <v>89</v>
      </c>
      <c r="I29" s="21">
        <v>150</v>
      </c>
      <c r="J29" s="156" t="s">
        <v>74</v>
      </c>
      <c r="L29" s="159">
        <f t="shared" ref="L29:L34" si="6">F29-$F$29</f>
        <v>0</v>
      </c>
      <c r="M29" s="159">
        <f t="shared" ref="M29:M34" si="7">L29/L$34*100</f>
        <v>0</v>
      </c>
      <c r="N29" s="21"/>
      <c r="O29" s="156">
        <v>0</v>
      </c>
      <c r="P29" s="159">
        <f t="shared" ref="P29:P34" si="8">O29/O$34*100</f>
        <v>0</v>
      </c>
      <c r="Q29" s="23"/>
    </row>
    <row r="30" spans="1:36" x14ac:dyDescent="0.2">
      <c r="A30" s="23"/>
      <c r="B30" s="23"/>
      <c r="C30" s="23"/>
      <c r="D30" s="23"/>
      <c r="E30" s="23"/>
      <c r="F30" s="30">
        <v>32342</v>
      </c>
      <c r="G30" s="160"/>
      <c r="H30" s="160"/>
      <c r="I30" s="21"/>
      <c r="J30" s="160" t="s">
        <v>383</v>
      </c>
      <c r="K30" s="21"/>
      <c r="L30" s="159">
        <f t="shared" si="6"/>
        <v>38</v>
      </c>
      <c r="M30" s="159">
        <f t="shared" si="7"/>
        <v>42.696629213483142</v>
      </c>
      <c r="N30" s="21"/>
      <c r="O30" s="21">
        <v>0</v>
      </c>
      <c r="P30" s="159">
        <f t="shared" si="8"/>
        <v>0</v>
      </c>
      <c r="Q30" s="23"/>
    </row>
    <row r="31" spans="1:36" x14ac:dyDescent="0.2">
      <c r="A31" s="23"/>
      <c r="B31" s="23"/>
      <c r="C31" s="23"/>
      <c r="D31" s="23"/>
      <c r="E31" s="23"/>
      <c r="F31" s="30">
        <v>32349</v>
      </c>
      <c r="G31" s="30"/>
      <c r="H31" s="160"/>
      <c r="I31" s="21"/>
      <c r="J31" s="160" t="s">
        <v>384</v>
      </c>
      <c r="K31" s="21"/>
      <c r="L31" s="159">
        <f t="shared" si="6"/>
        <v>45</v>
      </c>
      <c r="M31" s="159">
        <f t="shared" si="7"/>
        <v>50.561797752808992</v>
      </c>
      <c r="N31" s="21"/>
      <c r="O31" s="21">
        <v>51.214953271028044</v>
      </c>
      <c r="P31" s="159">
        <f t="shared" si="8"/>
        <v>36.63101604278075</v>
      </c>
      <c r="Q31" s="23"/>
    </row>
    <row r="32" spans="1:36" x14ac:dyDescent="0.2">
      <c r="A32" s="23"/>
      <c r="B32" s="23"/>
      <c r="C32" s="23"/>
      <c r="D32" s="23"/>
      <c r="E32" s="23"/>
      <c r="F32" s="30">
        <v>32368</v>
      </c>
      <c r="G32" s="160"/>
      <c r="H32" s="160"/>
      <c r="I32" s="21"/>
      <c r="J32" s="160" t="s">
        <v>385</v>
      </c>
      <c r="K32" s="21"/>
      <c r="L32" s="159">
        <f t="shared" si="6"/>
        <v>64</v>
      </c>
      <c r="M32" s="159">
        <f t="shared" si="7"/>
        <v>71.910112359550567</v>
      </c>
      <c r="N32" s="21"/>
      <c r="O32" s="21">
        <v>82.990654205607484</v>
      </c>
      <c r="P32" s="159">
        <f t="shared" si="8"/>
        <v>59.358288770053477</v>
      </c>
      <c r="Q32" s="23"/>
    </row>
    <row r="33" spans="1:22" x14ac:dyDescent="0.2">
      <c r="A33" s="23"/>
      <c r="B33" s="23"/>
      <c r="C33" s="23"/>
      <c r="D33" s="23"/>
      <c r="E33" s="23"/>
      <c r="F33" s="30">
        <v>32376</v>
      </c>
      <c r="G33" s="160"/>
      <c r="H33" s="160"/>
      <c r="I33" s="21"/>
      <c r="J33" s="160" t="s">
        <v>386</v>
      </c>
      <c r="K33" s="21"/>
      <c r="L33" s="159">
        <f t="shared" si="6"/>
        <v>72</v>
      </c>
      <c r="M33" s="159">
        <f t="shared" si="7"/>
        <v>80.898876404494374</v>
      </c>
      <c r="N33" s="21"/>
      <c r="O33" s="21">
        <v>91.588785046728987</v>
      </c>
      <c r="P33" s="159">
        <f t="shared" si="8"/>
        <v>65.508021390374338</v>
      </c>
      <c r="Q33" s="23"/>
      <c r="S33" s="159"/>
      <c r="T33" s="156"/>
    </row>
    <row r="34" spans="1:22" x14ac:dyDescent="0.2">
      <c r="A34" s="23"/>
      <c r="B34" s="23"/>
      <c r="C34" s="23"/>
      <c r="D34" s="23"/>
      <c r="E34" s="23"/>
      <c r="F34" s="30">
        <v>32393</v>
      </c>
      <c r="G34" s="160"/>
      <c r="H34" s="160"/>
      <c r="I34" s="21"/>
      <c r="J34" s="160" t="s">
        <v>387</v>
      </c>
      <c r="K34" s="21"/>
      <c r="L34" s="159">
        <f t="shared" si="6"/>
        <v>89</v>
      </c>
      <c r="M34" s="159">
        <f t="shared" si="7"/>
        <v>100</v>
      </c>
      <c r="N34" s="21"/>
      <c r="O34" s="21">
        <v>139.81308411214954</v>
      </c>
      <c r="P34" s="159">
        <f t="shared" si="8"/>
        <v>100</v>
      </c>
      <c r="Q34" s="23"/>
      <c r="S34" s="159"/>
      <c r="T34" s="156"/>
    </row>
    <row r="35" spans="1:22" x14ac:dyDescent="0.2">
      <c r="A35" s="23"/>
      <c r="B35" s="23"/>
      <c r="C35" s="23"/>
      <c r="D35" s="23"/>
      <c r="E35" s="23"/>
      <c r="G35" s="160"/>
      <c r="H35" s="160"/>
      <c r="I35" s="21"/>
      <c r="J35" s="160"/>
      <c r="K35" s="21"/>
      <c r="L35" s="21"/>
      <c r="M35" s="21"/>
      <c r="N35" s="21"/>
      <c r="O35" s="21"/>
      <c r="P35" s="21"/>
      <c r="Q35" s="23"/>
      <c r="S35" s="159"/>
      <c r="T35" s="160"/>
    </row>
    <row r="36" spans="1:22" x14ac:dyDescent="0.2">
      <c r="A36" s="23"/>
      <c r="B36" s="23"/>
      <c r="C36" s="23"/>
      <c r="D36" s="23"/>
      <c r="E36" s="23"/>
      <c r="F36" s="160"/>
      <c r="G36" s="160"/>
      <c r="H36" s="160"/>
      <c r="I36" s="21"/>
      <c r="J36" s="160"/>
      <c r="K36" s="21"/>
      <c r="L36" s="21"/>
      <c r="M36" s="21"/>
      <c r="N36" s="21"/>
      <c r="O36" s="21"/>
      <c r="P36" s="21"/>
      <c r="Q36" s="23"/>
      <c r="S36" s="159"/>
      <c r="T36" s="160"/>
    </row>
    <row r="37" spans="1:22" x14ac:dyDescent="0.2">
      <c r="A37" s="23"/>
      <c r="B37" s="23"/>
      <c r="C37" s="23"/>
      <c r="D37" s="23"/>
      <c r="E37" s="23"/>
      <c r="F37" s="160"/>
      <c r="G37" s="160"/>
      <c r="H37" s="160"/>
      <c r="I37" s="21"/>
      <c r="J37" s="160"/>
      <c r="K37" s="21"/>
      <c r="L37" s="21"/>
      <c r="M37" s="21"/>
      <c r="N37" s="21"/>
      <c r="O37" s="21"/>
      <c r="P37" s="21"/>
      <c r="Q37" s="23"/>
      <c r="S37" s="159"/>
      <c r="T37" s="160"/>
    </row>
    <row r="38" spans="1:22" x14ac:dyDescent="0.2">
      <c r="A38" s="23"/>
      <c r="B38" s="23"/>
      <c r="C38" s="23"/>
      <c r="D38" s="23"/>
      <c r="E38" s="23"/>
      <c r="F38" s="160"/>
      <c r="G38" s="160"/>
      <c r="H38" s="160"/>
      <c r="I38" s="21"/>
      <c r="J38" s="160"/>
      <c r="K38" s="21"/>
      <c r="L38" s="21"/>
      <c r="M38" s="21"/>
      <c r="N38" s="21"/>
      <c r="O38" s="21"/>
      <c r="P38" s="21"/>
      <c r="Q38" s="23"/>
      <c r="S38" s="159"/>
      <c r="T38" s="160"/>
    </row>
    <row r="39" spans="1:22" x14ac:dyDescent="0.2">
      <c r="A39" s="23"/>
      <c r="B39" s="23"/>
      <c r="C39" s="23"/>
      <c r="D39" s="23"/>
      <c r="E39" s="23"/>
      <c r="F39" s="160"/>
      <c r="G39" s="160"/>
      <c r="H39" s="160"/>
      <c r="I39" s="21"/>
      <c r="J39" s="160"/>
      <c r="K39" s="21"/>
      <c r="L39" s="21"/>
      <c r="M39" s="21"/>
      <c r="N39" s="21"/>
      <c r="O39" s="21"/>
      <c r="P39" s="21"/>
      <c r="Q39" s="23"/>
      <c r="S39" s="159"/>
      <c r="T39" s="160"/>
    </row>
    <row r="40" spans="1:22" x14ac:dyDescent="0.2">
      <c r="A40" s="23"/>
      <c r="B40" s="23"/>
      <c r="C40" s="23"/>
      <c r="D40" s="23"/>
      <c r="E40" s="23"/>
      <c r="F40" s="30"/>
      <c r="G40" s="30"/>
      <c r="H40" s="160"/>
      <c r="I40" s="21"/>
      <c r="J40" s="160"/>
      <c r="K40" s="21"/>
      <c r="L40" s="21"/>
      <c r="M40" s="21"/>
      <c r="N40" s="21"/>
      <c r="O40" s="21"/>
      <c r="P40" s="21"/>
      <c r="Q40" s="23"/>
      <c r="S40" s="159"/>
      <c r="T40" s="160"/>
    </row>
    <row r="41" spans="1:22" x14ac:dyDescent="0.2">
      <c r="A41" s="23"/>
      <c r="B41" s="23"/>
      <c r="C41" s="23"/>
      <c r="D41" s="23"/>
      <c r="E41" s="23"/>
      <c r="F41" s="160"/>
      <c r="G41" s="160"/>
      <c r="H41" s="160"/>
      <c r="I41" s="21"/>
      <c r="J41" s="160"/>
      <c r="K41" s="21"/>
      <c r="L41" s="21"/>
      <c r="M41" s="21"/>
      <c r="N41" s="21"/>
      <c r="O41" s="21"/>
      <c r="P41" s="21"/>
      <c r="Q41" s="23"/>
      <c r="T41" s="50"/>
    </row>
    <row r="42" spans="1:22" x14ac:dyDescent="0.2">
      <c r="A42" s="23"/>
      <c r="B42" s="23"/>
      <c r="C42" s="23"/>
      <c r="D42" s="23"/>
      <c r="E42" s="23"/>
      <c r="F42" s="160"/>
      <c r="G42" s="160"/>
      <c r="H42" s="160"/>
      <c r="I42" s="21"/>
      <c r="J42" s="160"/>
      <c r="K42" s="21"/>
      <c r="L42" s="21"/>
      <c r="M42" s="21"/>
      <c r="N42" s="21"/>
      <c r="O42" s="21"/>
      <c r="P42" s="21"/>
      <c r="Q42" s="23"/>
    </row>
    <row r="43" spans="1:22" x14ac:dyDescent="0.2">
      <c r="A43" s="23"/>
      <c r="B43" s="23"/>
      <c r="C43" s="23"/>
      <c r="D43" s="23"/>
      <c r="E43" s="23"/>
      <c r="F43" s="160"/>
      <c r="G43" s="160"/>
      <c r="H43" s="160"/>
      <c r="I43" s="21"/>
      <c r="J43" s="160"/>
      <c r="K43" s="21"/>
      <c r="L43" s="21"/>
      <c r="M43" s="21"/>
      <c r="N43" s="21"/>
      <c r="O43" s="21"/>
      <c r="P43" s="21"/>
      <c r="Q43" s="23"/>
    </row>
    <row r="44" spans="1:22" x14ac:dyDescent="0.2">
      <c r="A44" s="23"/>
      <c r="B44" s="23"/>
      <c r="C44" s="23"/>
      <c r="D44" s="23"/>
      <c r="E44" s="23"/>
      <c r="F44" s="160"/>
      <c r="G44" s="160"/>
      <c r="H44" s="160"/>
      <c r="I44" s="21"/>
      <c r="J44" s="160"/>
      <c r="K44" s="21"/>
      <c r="L44" s="21"/>
      <c r="M44" s="21"/>
      <c r="N44" s="21"/>
      <c r="O44" s="21"/>
      <c r="P44" s="21"/>
      <c r="Q44" s="23"/>
    </row>
    <row r="45" spans="1:22" x14ac:dyDescent="0.2">
      <c r="A45" s="23"/>
      <c r="B45" s="23"/>
      <c r="C45" s="23"/>
      <c r="D45" s="23"/>
      <c r="E45" s="23"/>
      <c r="F45" s="30"/>
      <c r="G45" s="30"/>
      <c r="H45" s="160"/>
      <c r="I45" s="21"/>
      <c r="J45" s="160"/>
      <c r="K45" s="21"/>
      <c r="L45" s="21"/>
      <c r="M45" s="21"/>
      <c r="N45" s="21"/>
      <c r="O45" s="21"/>
      <c r="P45" s="21"/>
      <c r="Q45" s="23"/>
      <c r="V45" s="11"/>
    </row>
    <row r="46" spans="1:22" x14ac:dyDescent="0.2">
      <c r="A46" s="23"/>
      <c r="B46" s="23"/>
      <c r="C46" s="23"/>
      <c r="D46" s="23"/>
      <c r="E46" s="23"/>
      <c r="F46" s="160"/>
      <c r="G46" s="160"/>
      <c r="H46" s="160"/>
      <c r="I46" s="21"/>
      <c r="J46" s="160"/>
      <c r="K46" s="21"/>
      <c r="L46" s="21"/>
      <c r="M46" s="21"/>
      <c r="N46" s="21"/>
      <c r="O46" s="21"/>
      <c r="P46" s="21"/>
      <c r="Q46" s="23"/>
      <c r="V46" s="11"/>
    </row>
    <row r="47" spans="1:22" x14ac:dyDescent="0.2">
      <c r="A47" s="23"/>
      <c r="B47" s="23"/>
      <c r="C47" s="23"/>
      <c r="D47" s="23"/>
      <c r="E47" s="23"/>
      <c r="F47" s="160"/>
      <c r="G47" s="160"/>
      <c r="H47" s="160"/>
      <c r="I47" s="21"/>
      <c r="J47" s="160"/>
      <c r="K47" s="21"/>
      <c r="L47" s="21"/>
      <c r="M47" s="21"/>
      <c r="N47" s="21"/>
      <c r="O47" s="21"/>
      <c r="P47" s="21"/>
      <c r="Q47" s="23"/>
      <c r="V47" s="11"/>
    </row>
    <row r="48" spans="1:22" x14ac:dyDescent="0.2">
      <c r="A48" s="23"/>
      <c r="B48" s="23"/>
      <c r="C48" s="23"/>
      <c r="D48" s="23"/>
      <c r="E48" s="23"/>
      <c r="F48" s="160"/>
      <c r="G48" s="160"/>
      <c r="H48" s="160"/>
      <c r="I48" s="21"/>
      <c r="J48" s="160"/>
      <c r="K48" s="21"/>
      <c r="L48" s="21"/>
      <c r="M48" s="21"/>
      <c r="N48" s="21"/>
      <c r="O48" s="21"/>
      <c r="P48" s="21"/>
      <c r="Q48" s="23"/>
      <c r="V48" s="11"/>
    </row>
    <row r="49" spans="1:22" x14ac:dyDescent="0.2">
      <c r="A49" s="23"/>
      <c r="B49" s="23"/>
      <c r="C49" s="23"/>
      <c r="D49" s="23"/>
      <c r="E49" s="23"/>
      <c r="F49" s="160"/>
      <c r="G49" s="160"/>
      <c r="H49" s="160"/>
      <c r="I49" s="21"/>
      <c r="J49" s="160"/>
      <c r="K49" s="21"/>
      <c r="L49" s="21"/>
      <c r="M49" s="21"/>
      <c r="N49" s="21"/>
      <c r="O49" s="21"/>
      <c r="P49" s="21"/>
      <c r="Q49" s="23"/>
      <c r="V49" s="11"/>
    </row>
    <row r="50" spans="1:22" x14ac:dyDescent="0.2">
      <c r="A50" s="23"/>
      <c r="B50" s="23"/>
      <c r="C50" s="23"/>
      <c r="D50" s="23"/>
      <c r="E50" s="23"/>
      <c r="F50" s="30"/>
      <c r="G50" s="30"/>
      <c r="H50" s="160"/>
      <c r="I50" s="21"/>
      <c r="J50" s="160"/>
      <c r="K50" s="21"/>
      <c r="L50" s="21"/>
      <c r="M50" s="21"/>
      <c r="N50" s="21"/>
      <c r="O50" s="21"/>
      <c r="P50" s="21"/>
      <c r="Q50" s="23"/>
    </row>
    <row r="51" spans="1:22" x14ac:dyDescent="0.2">
      <c r="A51" s="23"/>
      <c r="B51" s="23"/>
      <c r="C51" s="23"/>
      <c r="D51" s="23"/>
      <c r="E51" s="23"/>
      <c r="F51" s="160"/>
      <c r="G51" s="160"/>
      <c r="H51" s="160"/>
      <c r="I51" s="21"/>
      <c r="J51" s="160"/>
      <c r="K51" s="21"/>
      <c r="L51" s="21"/>
      <c r="M51" s="21"/>
      <c r="N51" s="21"/>
      <c r="O51" s="21"/>
      <c r="P51" s="21"/>
      <c r="Q51" s="23"/>
    </row>
    <row r="52" spans="1:22" x14ac:dyDescent="0.2">
      <c r="A52" s="23"/>
      <c r="B52" s="23"/>
      <c r="C52" s="23"/>
      <c r="D52" s="23"/>
      <c r="E52" s="23"/>
      <c r="F52" s="160"/>
      <c r="G52" s="160"/>
      <c r="H52" s="160"/>
      <c r="I52" s="21"/>
      <c r="J52" s="160"/>
      <c r="K52" s="21"/>
      <c r="L52" s="21"/>
      <c r="M52" s="21"/>
      <c r="N52" s="21"/>
      <c r="O52" s="21"/>
      <c r="P52" s="21"/>
      <c r="Q52" s="23"/>
    </row>
    <row r="53" spans="1:22" x14ac:dyDescent="0.2">
      <c r="A53" s="23"/>
      <c r="B53" s="23"/>
      <c r="C53" s="23"/>
      <c r="D53" s="23"/>
      <c r="E53" s="23"/>
      <c r="F53" s="160"/>
      <c r="G53" s="160"/>
      <c r="H53" s="160"/>
      <c r="I53" s="21"/>
      <c r="J53" s="160"/>
      <c r="K53" s="21"/>
      <c r="L53" s="21"/>
      <c r="M53" s="21"/>
      <c r="N53" s="21"/>
      <c r="O53" s="21"/>
      <c r="P53" s="21"/>
      <c r="Q53" s="23"/>
    </row>
    <row r="54" spans="1:22" x14ac:dyDescent="0.2">
      <c r="A54" s="23"/>
      <c r="B54" s="23"/>
      <c r="C54" s="23"/>
      <c r="D54" s="23"/>
      <c r="E54" s="23"/>
      <c r="F54" s="160"/>
      <c r="G54" s="160"/>
      <c r="H54" s="160"/>
      <c r="I54" s="21"/>
      <c r="J54" s="160"/>
      <c r="K54" s="21"/>
      <c r="L54" s="21"/>
      <c r="M54" s="21"/>
      <c r="N54" s="21"/>
      <c r="O54" s="21"/>
      <c r="P54" s="21"/>
      <c r="Q54" s="23"/>
    </row>
    <row r="55" spans="1:22" x14ac:dyDescent="0.2">
      <c r="A55" s="23"/>
      <c r="B55" s="23"/>
      <c r="C55" s="23"/>
      <c r="D55" s="23"/>
      <c r="E55" s="23"/>
      <c r="F55" s="30"/>
      <c r="G55" s="30"/>
      <c r="H55" s="160"/>
      <c r="I55" s="21"/>
      <c r="J55" s="160"/>
      <c r="K55" s="21"/>
      <c r="L55" s="21"/>
      <c r="M55" s="21"/>
      <c r="N55" s="21"/>
      <c r="O55" s="21"/>
      <c r="P55" s="21"/>
      <c r="Q55" s="23"/>
    </row>
    <row r="56" spans="1:22" x14ac:dyDescent="0.2">
      <c r="A56" s="23"/>
      <c r="B56" s="23"/>
      <c r="C56" s="23"/>
      <c r="D56" s="23"/>
      <c r="E56" s="23"/>
      <c r="F56" s="160"/>
      <c r="G56" s="160"/>
      <c r="H56" s="160"/>
      <c r="I56" s="21"/>
      <c r="J56" s="160"/>
      <c r="K56" s="21"/>
      <c r="L56" s="21"/>
      <c r="M56" s="21"/>
      <c r="N56" s="21"/>
      <c r="O56" s="21"/>
      <c r="P56" s="21"/>
      <c r="Q56" s="23"/>
    </row>
    <row r="57" spans="1:22" x14ac:dyDescent="0.2">
      <c r="A57" s="23"/>
      <c r="B57" s="23"/>
      <c r="C57" s="23"/>
      <c r="D57" s="23"/>
      <c r="E57" s="23"/>
      <c r="F57" s="160"/>
      <c r="G57" s="160"/>
      <c r="H57" s="160"/>
      <c r="I57" s="21"/>
      <c r="J57" s="160"/>
      <c r="K57" s="21"/>
      <c r="L57" s="21"/>
      <c r="M57" s="21"/>
      <c r="N57" s="21"/>
      <c r="O57" s="21"/>
      <c r="P57" s="21"/>
      <c r="Q57" s="23"/>
    </row>
    <row r="58" spans="1:22" x14ac:dyDescent="0.2">
      <c r="A58" s="23"/>
      <c r="B58" s="23"/>
      <c r="C58" s="23"/>
      <c r="D58" s="23"/>
      <c r="E58" s="23"/>
      <c r="F58" s="160"/>
      <c r="G58" s="160"/>
      <c r="H58" s="160"/>
      <c r="I58" s="21"/>
      <c r="J58" s="160"/>
      <c r="K58" s="21"/>
      <c r="L58" s="21"/>
      <c r="M58" s="21"/>
      <c r="N58" s="21"/>
      <c r="O58" s="21"/>
      <c r="P58" s="21"/>
      <c r="Q58" s="23"/>
    </row>
    <row r="59" spans="1:22" x14ac:dyDescent="0.2">
      <c r="A59" s="23"/>
      <c r="B59" s="23"/>
      <c r="C59" s="23"/>
      <c r="D59" s="23"/>
      <c r="E59" s="23"/>
      <c r="F59" s="160"/>
      <c r="G59" s="160"/>
      <c r="H59" s="160"/>
      <c r="I59" s="21"/>
      <c r="J59" s="160"/>
      <c r="K59" s="21"/>
      <c r="L59" s="21"/>
      <c r="M59" s="21"/>
      <c r="N59" s="21"/>
      <c r="O59" s="21"/>
      <c r="P59" s="21"/>
      <c r="Q59" s="23"/>
    </row>
    <row r="60" spans="1:22" x14ac:dyDescent="0.2">
      <c r="A60" s="23"/>
      <c r="B60" s="23"/>
      <c r="C60" s="23"/>
      <c r="D60" s="23"/>
      <c r="E60" s="23"/>
      <c r="F60" s="30"/>
      <c r="G60" s="30"/>
      <c r="H60" s="160"/>
      <c r="I60" s="21"/>
      <c r="J60" s="160"/>
      <c r="K60" s="21"/>
      <c r="L60" s="21"/>
      <c r="M60" s="21"/>
      <c r="N60" s="21"/>
      <c r="O60" s="21"/>
      <c r="P60" s="21"/>
      <c r="Q60" s="23"/>
    </row>
    <row r="61" spans="1:22" x14ac:dyDescent="0.2">
      <c r="A61" s="23"/>
      <c r="B61" s="23"/>
      <c r="C61" s="23"/>
      <c r="D61" s="23"/>
      <c r="E61" s="23"/>
      <c r="F61" s="160"/>
      <c r="G61" s="160"/>
      <c r="H61" s="160"/>
      <c r="I61" s="21"/>
      <c r="J61" s="160"/>
      <c r="K61" s="21"/>
      <c r="L61" s="21"/>
      <c r="M61" s="21"/>
      <c r="N61" s="21"/>
      <c r="O61" s="21"/>
      <c r="P61" s="21"/>
      <c r="Q61" s="23"/>
    </row>
    <row r="62" spans="1:22" x14ac:dyDescent="0.2">
      <c r="A62" s="23"/>
      <c r="B62" s="23"/>
      <c r="C62" s="23"/>
      <c r="D62" s="23"/>
      <c r="E62" s="23"/>
      <c r="F62" s="160"/>
      <c r="G62" s="160"/>
      <c r="H62" s="160"/>
      <c r="I62" s="21"/>
      <c r="J62" s="160"/>
      <c r="K62" s="21"/>
      <c r="L62" s="21"/>
      <c r="M62" s="21"/>
      <c r="N62" s="21"/>
      <c r="O62" s="21"/>
      <c r="P62" s="21"/>
      <c r="Q62" s="23"/>
    </row>
    <row r="63" spans="1:22" x14ac:dyDescent="0.2">
      <c r="A63" s="23"/>
      <c r="B63" s="23"/>
      <c r="C63" s="23"/>
      <c r="D63" s="23"/>
      <c r="E63" s="23"/>
      <c r="F63" s="160"/>
      <c r="G63" s="160"/>
      <c r="H63" s="160"/>
      <c r="I63" s="21"/>
      <c r="J63" s="160"/>
      <c r="K63" s="21"/>
      <c r="L63" s="21"/>
      <c r="M63" s="21"/>
      <c r="N63" s="21"/>
      <c r="O63" s="21"/>
      <c r="P63" s="21"/>
      <c r="Q63" s="23"/>
    </row>
    <row r="64" spans="1:22" x14ac:dyDescent="0.2">
      <c r="A64" s="23"/>
      <c r="B64" s="23"/>
      <c r="C64" s="23"/>
      <c r="D64" s="23"/>
      <c r="E64" s="23"/>
      <c r="F64" s="160"/>
      <c r="G64" s="160"/>
      <c r="H64" s="160"/>
      <c r="I64" s="21"/>
      <c r="J64" s="160"/>
      <c r="K64" s="21"/>
      <c r="L64" s="21"/>
      <c r="M64" s="21"/>
      <c r="N64" s="21"/>
      <c r="O64" s="21"/>
      <c r="P64" s="21"/>
      <c r="Q64" s="23"/>
    </row>
    <row r="65" spans="1:17" x14ac:dyDescent="0.2">
      <c r="A65" s="23"/>
      <c r="B65" s="23"/>
      <c r="C65" s="23"/>
      <c r="D65" s="17"/>
      <c r="E65" s="17"/>
      <c r="F65" s="30"/>
      <c r="G65" s="30"/>
      <c r="H65" s="160"/>
      <c r="I65" s="21"/>
      <c r="J65" s="160"/>
      <c r="K65" s="21"/>
      <c r="L65" s="21"/>
      <c r="M65" s="21"/>
      <c r="N65" s="21"/>
      <c r="O65" s="160"/>
      <c r="P65" s="21"/>
      <c r="Q65" s="23"/>
    </row>
    <row r="66" spans="1:17" x14ac:dyDescent="0.2">
      <c r="A66" s="23"/>
      <c r="B66" s="23"/>
      <c r="C66" s="23"/>
      <c r="D66" s="17"/>
      <c r="E66" s="17"/>
      <c r="F66" s="160"/>
      <c r="G66" s="160"/>
      <c r="H66" s="160"/>
      <c r="I66" s="21"/>
      <c r="J66" s="160"/>
      <c r="K66" s="21"/>
      <c r="L66" s="21"/>
      <c r="M66" s="21"/>
      <c r="N66" s="21"/>
      <c r="O66" s="21"/>
      <c r="P66" s="21"/>
      <c r="Q66" s="23"/>
    </row>
    <row r="67" spans="1:17" x14ac:dyDescent="0.2">
      <c r="A67" s="23"/>
      <c r="B67" s="23"/>
      <c r="C67" s="23"/>
      <c r="D67" s="17"/>
      <c r="E67" s="17"/>
      <c r="F67" s="160"/>
      <c r="G67" s="160"/>
      <c r="H67" s="160"/>
      <c r="I67" s="21"/>
      <c r="J67" s="160"/>
      <c r="K67" s="21"/>
      <c r="L67" s="21"/>
      <c r="M67" s="21"/>
      <c r="N67" s="21"/>
      <c r="O67" s="21"/>
      <c r="P67" s="21"/>
      <c r="Q67" s="23"/>
    </row>
    <row r="68" spans="1:17" x14ac:dyDescent="0.2">
      <c r="A68" s="23"/>
      <c r="B68" s="23"/>
      <c r="C68" s="23"/>
      <c r="D68" s="17"/>
      <c r="E68" s="17"/>
      <c r="F68" s="160"/>
      <c r="G68" s="160"/>
      <c r="H68" s="160"/>
      <c r="I68" s="21"/>
      <c r="J68" s="160"/>
      <c r="K68" s="21"/>
      <c r="L68" s="21"/>
      <c r="M68" s="21"/>
      <c r="N68" s="21"/>
      <c r="O68" s="21"/>
      <c r="P68" s="21"/>
      <c r="Q68" s="23"/>
    </row>
    <row r="69" spans="1:17" x14ac:dyDescent="0.2">
      <c r="A69" s="23"/>
      <c r="B69" s="23"/>
      <c r="C69" s="23"/>
      <c r="D69" s="17"/>
      <c r="E69" s="17"/>
      <c r="F69" s="160"/>
      <c r="G69" s="160"/>
      <c r="H69" s="160"/>
      <c r="I69" s="21"/>
      <c r="J69" s="160"/>
      <c r="K69" s="21"/>
      <c r="L69" s="21"/>
      <c r="M69" s="21"/>
      <c r="N69" s="21"/>
      <c r="O69" s="21"/>
      <c r="P69" s="21"/>
      <c r="Q69" s="23"/>
    </row>
    <row r="70" spans="1:17" x14ac:dyDescent="0.2">
      <c r="A70" s="23"/>
      <c r="B70" s="23"/>
      <c r="C70" s="23"/>
      <c r="D70" s="17"/>
      <c r="E70" s="17"/>
      <c r="F70" s="160"/>
      <c r="G70" s="160"/>
      <c r="H70" s="160"/>
      <c r="I70" s="21"/>
      <c r="J70" s="160"/>
      <c r="K70" s="21"/>
      <c r="L70" s="21"/>
      <c r="M70" s="21"/>
      <c r="N70" s="21"/>
      <c r="O70" s="21"/>
      <c r="P70" s="21"/>
      <c r="Q70" s="23"/>
    </row>
    <row r="71" spans="1:17" x14ac:dyDescent="0.2">
      <c r="A71" s="23"/>
      <c r="B71" s="23"/>
      <c r="C71" s="23"/>
      <c r="D71" s="17"/>
      <c r="E71" s="17"/>
      <c r="F71" s="160"/>
      <c r="G71" s="160"/>
      <c r="H71" s="160"/>
      <c r="I71" s="21"/>
      <c r="J71" s="160"/>
      <c r="K71" s="21"/>
      <c r="L71" s="21"/>
      <c r="M71" s="21"/>
      <c r="N71" s="21"/>
      <c r="O71" s="21"/>
      <c r="P71" s="21"/>
      <c r="Q71" s="23"/>
    </row>
    <row r="72" spans="1:17" x14ac:dyDescent="0.2">
      <c r="A72" s="23"/>
      <c r="B72" s="23"/>
      <c r="C72" s="23"/>
      <c r="D72" s="23"/>
      <c r="E72" s="23"/>
      <c r="F72" s="30"/>
      <c r="G72" s="30"/>
      <c r="H72" s="160"/>
      <c r="I72" s="21"/>
      <c r="J72" s="160"/>
      <c r="K72" s="21"/>
      <c r="L72" s="21"/>
      <c r="M72" s="21"/>
      <c r="N72" s="21"/>
      <c r="O72" s="160"/>
      <c r="P72" s="21"/>
      <c r="Q72" s="23"/>
    </row>
    <row r="73" spans="1:17" x14ac:dyDescent="0.2">
      <c r="A73" s="23"/>
      <c r="B73" s="23"/>
      <c r="C73" s="23"/>
      <c r="D73" s="23"/>
      <c r="E73" s="23"/>
      <c r="F73" s="160"/>
      <c r="G73" s="160"/>
      <c r="H73" s="160"/>
      <c r="I73" s="21"/>
      <c r="J73" s="160"/>
      <c r="K73" s="21"/>
      <c r="L73" s="21"/>
      <c r="M73" s="21"/>
      <c r="N73" s="21"/>
      <c r="O73" s="21"/>
      <c r="P73" s="21"/>
      <c r="Q73" s="23"/>
    </row>
    <row r="74" spans="1:17" x14ac:dyDescent="0.2">
      <c r="A74" s="23"/>
      <c r="B74" s="23"/>
      <c r="C74" s="23"/>
      <c r="D74" s="23"/>
      <c r="E74" s="23"/>
      <c r="F74" s="160"/>
      <c r="G74" s="160"/>
      <c r="H74" s="160"/>
      <c r="I74" s="21"/>
      <c r="J74" s="160"/>
      <c r="K74" s="21"/>
      <c r="L74" s="21"/>
      <c r="M74" s="21"/>
      <c r="N74" s="21"/>
      <c r="O74" s="21"/>
      <c r="P74" s="21"/>
      <c r="Q74" s="23"/>
    </row>
    <row r="75" spans="1:17" x14ac:dyDescent="0.2">
      <c r="A75" s="23"/>
      <c r="B75" s="23"/>
      <c r="C75" s="23"/>
      <c r="D75" s="23"/>
      <c r="E75" s="23"/>
      <c r="F75" s="160"/>
      <c r="G75" s="160"/>
      <c r="H75" s="160"/>
      <c r="I75" s="21"/>
      <c r="J75" s="160"/>
      <c r="K75" s="21"/>
      <c r="L75" s="21"/>
      <c r="M75" s="21"/>
      <c r="N75" s="21"/>
      <c r="O75" s="21"/>
      <c r="P75" s="21"/>
      <c r="Q75" s="23"/>
    </row>
    <row r="76" spans="1:17" x14ac:dyDescent="0.2">
      <c r="A76" s="23"/>
      <c r="B76" s="23"/>
      <c r="C76" s="23"/>
      <c r="D76" s="23"/>
      <c r="E76" s="23"/>
      <c r="F76" s="160"/>
      <c r="G76" s="160"/>
      <c r="H76" s="160"/>
      <c r="I76" s="21"/>
      <c r="J76" s="160"/>
      <c r="K76" s="21"/>
      <c r="L76" s="21"/>
      <c r="M76" s="21"/>
      <c r="N76" s="21"/>
      <c r="O76" s="21"/>
      <c r="P76" s="21"/>
      <c r="Q76" s="23"/>
    </row>
    <row r="77" spans="1:17" x14ac:dyDescent="0.2">
      <c r="A77" s="23"/>
      <c r="B77" s="23"/>
      <c r="C77" s="23"/>
      <c r="D77" s="23"/>
      <c r="E77" s="23"/>
      <c r="F77" s="160"/>
      <c r="G77" s="160"/>
      <c r="H77" s="160"/>
      <c r="I77" s="21"/>
      <c r="J77" s="160"/>
      <c r="K77" s="21"/>
      <c r="L77" s="21"/>
      <c r="M77" s="21"/>
      <c r="N77" s="21"/>
      <c r="O77" s="21"/>
      <c r="P77" s="21"/>
      <c r="Q77" s="23"/>
    </row>
    <row r="78" spans="1:17" x14ac:dyDescent="0.2">
      <c r="A78" s="23"/>
      <c r="B78" s="23"/>
      <c r="C78" s="23"/>
      <c r="D78" s="23"/>
      <c r="E78" s="23"/>
      <c r="F78" s="160"/>
      <c r="G78" s="160"/>
      <c r="H78" s="160"/>
      <c r="I78" s="21"/>
      <c r="J78" s="160"/>
      <c r="K78" s="21"/>
      <c r="L78" s="21"/>
      <c r="M78" s="21"/>
      <c r="N78" s="21"/>
      <c r="O78" s="21"/>
      <c r="P78" s="21"/>
      <c r="Q78" s="23"/>
    </row>
    <row r="81" spans="1:25" x14ac:dyDescent="0.2">
      <c r="A81" t="s">
        <v>37</v>
      </c>
      <c r="C81" s="232" t="s">
        <v>369</v>
      </c>
      <c r="D81" s="233"/>
      <c r="E81" s="233"/>
      <c r="F81" s="233"/>
      <c r="G81" s="233"/>
      <c r="H81" s="233"/>
      <c r="I81" s="233"/>
      <c r="J81" s="233"/>
      <c r="K81" s="233"/>
      <c r="L81" s="233"/>
      <c r="M81" s="234"/>
      <c r="N81" s="155"/>
    </row>
    <row r="82" spans="1:25" x14ac:dyDescent="0.2">
      <c r="C82" s="235"/>
      <c r="D82" s="236"/>
      <c r="E82" s="236"/>
      <c r="F82" s="236"/>
      <c r="G82" s="236"/>
      <c r="H82" s="236"/>
      <c r="I82" s="236"/>
      <c r="J82" s="236"/>
      <c r="K82" s="236"/>
      <c r="L82" s="236"/>
      <c r="M82" s="237"/>
      <c r="N82" s="155"/>
    </row>
    <row r="83" spans="1:25" x14ac:dyDescent="0.2">
      <c r="C83" s="238"/>
      <c r="D83" s="239"/>
      <c r="E83" s="239"/>
      <c r="F83" s="239"/>
      <c r="G83" s="239"/>
      <c r="H83" s="239"/>
      <c r="I83" s="239"/>
      <c r="J83" s="239"/>
      <c r="K83" s="239"/>
      <c r="L83" s="239"/>
      <c r="M83" s="240"/>
      <c r="N83" s="155"/>
    </row>
    <row r="84" spans="1:25" x14ac:dyDescent="0.2">
      <c r="C84" s="14"/>
      <c r="D84" s="14"/>
      <c r="E84" s="14"/>
      <c r="F84" s="14"/>
      <c r="G84" s="14"/>
      <c r="H84" s="14"/>
      <c r="I84" s="14"/>
      <c r="J84" s="14"/>
      <c r="K84" s="14"/>
      <c r="L84" s="14"/>
    </row>
    <row r="85" spans="1:25" x14ac:dyDescent="0.2">
      <c r="C85" s="232" t="s">
        <v>378</v>
      </c>
      <c r="D85" s="233"/>
      <c r="E85" s="233"/>
      <c r="F85" s="233"/>
      <c r="G85" s="233"/>
      <c r="H85" s="233"/>
      <c r="I85" s="233"/>
      <c r="J85" s="233"/>
      <c r="K85" s="233"/>
      <c r="L85" s="233"/>
      <c r="M85" s="233"/>
      <c r="N85" s="233"/>
      <c r="O85" s="233"/>
      <c r="P85" s="234"/>
    </row>
    <row r="86" spans="1:25" x14ac:dyDescent="0.2">
      <c r="C86" s="235"/>
      <c r="D86" s="236"/>
      <c r="E86" s="236"/>
      <c r="F86" s="236"/>
      <c r="G86" s="236"/>
      <c r="H86" s="236"/>
      <c r="I86" s="236"/>
      <c r="J86" s="236"/>
      <c r="K86" s="236"/>
      <c r="L86" s="236"/>
      <c r="M86" s="236"/>
      <c r="N86" s="236"/>
      <c r="O86" s="236"/>
      <c r="P86" s="237"/>
      <c r="Q86" s="241"/>
      <c r="R86" s="241"/>
      <c r="S86" s="241"/>
      <c r="T86" s="241"/>
      <c r="U86" s="241"/>
      <c r="V86" s="241"/>
      <c r="X86" s="241"/>
      <c r="Y86" s="241"/>
    </row>
    <row r="87" spans="1:25" x14ac:dyDescent="0.2">
      <c r="C87" s="238"/>
      <c r="D87" s="239"/>
      <c r="E87" s="239"/>
      <c r="F87" s="239"/>
      <c r="G87" s="239"/>
      <c r="H87" s="239"/>
      <c r="I87" s="239"/>
      <c r="J87" s="239"/>
      <c r="K87" s="239"/>
      <c r="L87" s="239"/>
      <c r="M87" s="239"/>
      <c r="N87" s="239"/>
      <c r="O87" s="239"/>
      <c r="P87" s="240"/>
      <c r="Q87" s="156"/>
      <c r="R87" s="156"/>
      <c r="U87" s="156"/>
      <c r="V87" s="156"/>
    </row>
    <row r="88" spans="1:25" x14ac:dyDescent="0.2">
      <c r="C88" s="157"/>
      <c r="D88" s="157"/>
      <c r="E88" s="157"/>
      <c r="F88" s="157"/>
      <c r="G88" s="157"/>
      <c r="H88" s="157"/>
      <c r="I88" s="157"/>
      <c r="J88" s="157"/>
      <c r="K88" s="157"/>
      <c r="L88" s="157"/>
      <c r="M88" s="157"/>
      <c r="N88" s="157"/>
      <c r="O88" s="157"/>
      <c r="P88" s="157"/>
      <c r="Q88" s="156"/>
      <c r="R88" s="156"/>
      <c r="U88" s="156"/>
      <c r="V88" s="156"/>
    </row>
    <row r="89" spans="1:25" x14ac:dyDescent="0.2">
      <c r="C89" s="232" t="s">
        <v>539</v>
      </c>
      <c r="D89" s="233"/>
      <c r="E89" s="233"/>
      <c r="F89" s="233"/>
      <c r="G89" s="233"/>
      <c r="H89" s="233"/>
      <c r="I89" s="233"/>
      <c r="J89" s="233"/>
      <c r="K89" s="233"/>
      <c r="L89" s="233"/>
      <c r="M89" s="233"/>
      <c r="N89" s="233"/>
      <c r="O89" s="233"/>
      <c r="P89" s="234"/>
    </row>
    <row r="90" spans="1:25" x14ac:dyDescent="0.2">
      <c r="C90" s="235"/>
      <c r="D90" s="236"/>
      <c r="E90" s="236"/>
      <c r="F90" s="236"/>
      <c r="G90" s="236"/>
      <c r="H90" s="236"/>
      <c r="I90" s="236"/>
      <c r="J90" s="236"/>
      <c r="K90" s="236"/>
      <c r="L90" s="236"/>
      <c r="M90" s="236"/>
      <c r="N90" s="236"/>
      <c r="O90" s="236"/>
      <c r="P90" s="237"/>
      <c r="Q90" s="241"/>
      <c r="R90" s="241"/>
      <c r="S90" s="241"/>
      <c r="T90" s="241"/>
      <c r="U90" s="241"/>
      <c r="V90" s="241"/>
      <c r="X90" s="241"/>
      <c r="Y90" s="241"/>
    </row>
    <row r="91" spans="1:25" x14ac:dyDescent="0.2">
      <c r="C91" s="238"/>
      <c r="D91" s="239"/>
      <c r="E91" s="239"/>
      <c r="F91" s="239"/>
      <c r="G91" s="239"/>
      <c r="H91" s="239"/>
      <c r="I91" s="239"/>
      <c r="J91" s="239"/>
      <c r="K91" s="239"/>
      <c r="L91" s="239"/>
      <c r="M91" s="239"/>
      <c r="N91" s="239"/>
      <c r="O91" s="239"/>
      <c r="P91" s="240"/>
      <c r="Q91" s="214"/>
      <c r="R91" s="214"/>
      <c r="U91" s="214"/>
      <c r="V91" s="214"/>
    </row>
    <row r="92" spans="1:25" x14ac:dyDescent="0.2">
      <c r="C92" s="215"/>
      <c r="D92" s="215"/>
      <c r="E92" s="215"/>
      <c r="F92" s="215"/>
      <c r="G92" s="215"/>
      <c r="H92" s="215"/>
      <c r="I92" s="215"/>
      <c r="J92" s="215"/>
      <c r="K92" s="215"/>
      <c r="L92" s="215"/>
      <c r="M92" s="215"/>
      <c r="N92" s="215"/>
      <c r="O92" s="215"/>
      <c r="P92" s="215"/>
      <c r="Q92" s="214"/>
      <c r="R92" s="214"/>
      <c r="U92" s="214"/>
      <c r="V92" s="214"/>
    </row>
    <row r="93" spans="1:25" x14ac:dyDescent="0.2">
      <c r="O93"/>
      <c r="P93" s="11"/>
      <c r="Q93" s="156"/>
      <c r="R93" s="11"/>
      <c r="T93" s="11"/>
      <c r="V93" s="11"/>
    </row>
    <row r="94" spans="1:25" x14ac:dyDescent="0.2">
      <c r="A94" s="1"/>
      <c r="B94" s="1"/>
      <c r="O94"/>
      <c r="P94" s="11"/>
      <c r="Q94" s="156"/>
      <c r="R94" s="11"/>
      <c r="T94" s="11"/>
      <c r="V94" s="11"/>
    </row>
    <row r="95" spans="1:25" x14ac:dyDescent="0.2">
      <c r="A95" s="1"/>
      <c r="B95" s="1"/>
      <c r="K95" s="159" t="s">
        <v>380</v>
      </c>
      <c r="P95" s="11"/>
      <c r="Q95" s="156"/>
      <c r="R95" s="11"/>
      <c r="T95" s="11"/>
      <c r="V95" s="11"/>
    </row>
    <row r="96" spans="1:25" x14ac:dyDescent="0.2">
      <c r="A96" t="s">
        <v>368</v>
      </c>
      <c r="E96" t="s">
        <v>379</v>
      </c>
      <c r="P96" s="11"/>
      <c r="Q96" s="156"/>
      <c r="R96" s="11"/>
      <c r="T96" s="11"/>
      <c r="V96" s="11"/>
    </row>
    <row r="97" spans="16:22" x14ac:dyDescent="0.2">
      <c r="P97" s="11"/>
      <c r="Q97" s="156"/>
      <c r="R97" s="11"/>
      <c r="T97" s="11"/>
      <c r="V97" s="11"/>
    </row>
    <row r="98" spans="16:22" x14ac:dyDescent="0.2">
      <c r="P98" s="11"/>
      <c r="Q98" s="156"/>
      <c r="R98" s="11"/>
      <c r="T98" s="11"/>
      <c r="V98" s="11"/>
    </row>
  </sheetData>
  <mergeCells count="13">
    <mergeCell ref="C89:P91"/>
    <mergeCell ref="Q90:R90"/>
    <mergeCell ref="S90:T90"/>
    <mergeCell ref="U90:V90"/>
    <mergeCell ref="X90:Y90"/>
    <mergeCell ref="K3:M3"/>
    <mergeCell ref="S3:Y10"/>
    <mergeCell ref="C81:M83"/>
    <mergeCell ref="C85:P87"/>
    <mergeCell ref="Q86:R86"/>
    <mergeCell ref="S86:T86"/>
    <mergeCell ref="U86:V86"/>
    <mergeCell ref="X86:Y86"/>
  </mergeCells>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Z104"/>
  <sheetViews>
    <sheetView topLeftCell="Q1" zoomScale="70" zoomScaleNormal="70" zoomScalePageLayoutView="70" workbookViewId="0">
      <selection activeCell="AF39" sqref="AF39"/>
    </sheetView>
  </sheetViews>
  <sheetFormatPr baseColWidth="10" defaultColWidth="8.83203125" defaultRowHeight="15" x14ac:dyDescent="0.2"/>
  <cols>
    <col min="1" max="2" width="20.6640625" customWidth="1"/>
    <col min="3" max="3" width="16.33203125" customWidth="1"/>
    <col min="4" max="4" width="10.1640625" customWidth="1"/>
    <col min="5" max="5" width="13.5" customWidth="1"/>
    <col min="6" max="6" width="13.5" style="163" customWidth="1"/>
    <col min="7" max="7" width="11.6640625" style="163" customWidth="1"/>
    <col min="8" max="8" width="10.1640625" style="163" customWidth="1"/>
    <col min="9" max="9" width="12.33203125" style="164" customWidth="1"/>
    <col min="10" max="10" width="10.1640625" style="163" customWidth="1"/>
    <col min="11" max="12" width="13.5" style="164" customWidth="1"/>
    <col min="13" max="14" width="10.1640625" style="164" customWidth="1"/>
    <col min="15" max="15" width="10.1640625" style="163" customWidth="1"/>
    <col min="16" max="16" width="16.33203125" style="163" customWidth="1"/>
    <col min="17" max="17" width="41.33203125" customWidth="1"/>
  </cols>
  <sheetData>
    <row r="3" spans="1:26" ht="30" x14ac:dyDescent="0.2">
      <c r="A3" s="14" t="s">
        <v>0</v>
      </c>
      <c r="B3" s="14"/>
      <c r="C3" s="14"/>
      <c r="D3" s="14" t="s">
        <v>13</v>
      </c>
      <c r="E3" s="14" t="s">
        <v>28</v>
      </c>
      <c r="F3" s="166" t="s">
        <v>1</v>
      </c>
      <c r="G3" s="166" t="s">
        <v>2</v>
      </c>
      <c r="H3" s="166" t="s">
        <v>4</v>
      </c>
      <c r="I3" s="161" t="s">
        <v>8</v>
      </c>
      <c r="J3" s="166" t="s">
        <v>3</v>
      </c>
      <c r="K3" s="230" t="s">
        <v>20</v>
      </c>
      <c r="L3" s="230"/>
      <c r="M3" s="230"/>
      <c r="N3" s="161"/>
      <c r="O3" s="14" t="s">
        <v>21</v>
      </c>
      <c r="P3" s="14"/>
      <c r="Q3" s="14"/>
      <c r="R3" s="14"/>
      <c r="S3" s="231" t="s">
        <v>402</v>
      </c>
      <c r="T3" s="231"/>
      <c r="U3" s="231"/>
      <c r="V3" s="231"/>
      <c r="W3" s="231"/>
      <c r="X3" s="231"/>
      <c r="Y3" s="231"/>
      <c r="Z3" s="14"/>
    </row>
    <row r="4" spans="1:26" x14ac:dyDescent="0.2">
      <c r="A4" s="26"/>
      <c r="B4" s="26" t="s">
        <v>42</v>
      </c>
      <c r="C4" s="26" t="s">
        <v>10</v>
      </c>
      <c r="D4" s="26"/>
      <c r="E4" s="26" t="s">
        <v>27</v>
      </c>
      <c r="F4" s="25"/>
      <c r="G4" s="25"/>
      <c r="H4" s="25" t="s">
        <v>7</v>
      </c>
      <c r="I4" s="27" t="s">
        <v>273</v>
      </c>
      <c r="J4" s="25"/>
      <c r="K4" s="8" t="s">
        <v>55</v>
      </c>
      <c r="L4" s="27" t="s">
        <v>56</v>
      </c>
      <c r="M4" s="27" t="s">
        <v>5</v>
      </c>
      <c r="N4" s="27" t="s">
        <v>55</v>
      </c>
      <c r="O4" s="25" t="s">
        <v>120</v>
      </c>
      <c r="P4" s="25" t="s">
        <v>12</v>
      </c>
      <c r="Q4" s="26" t="s">
        <v>22</v>
      </c>
      <c r="R4" s="14"/>
      <c r="S4" s="231"/>
      <c r="T4" s="231"/>
      <c r="U4" s="231"/>
      <c r="V4" s="231"/>
      <c r="W4" s="231"/>
      <c r="X4" s="231"/>
      <c r="Y4" s="231"/>
      <c r="Z4" s="14"/>
    </row>
    <row r="5" spans="1:26" x14ac:dyDescent="0.2">
      <c r="A5" t="s">
        <v>389</v>
      </c>
      <c r="B5" s="45" t="s">
        <v>390</v>
      </c>
      <c r="C5" t="s">
        <v>391</v>
      </c>
      <c r="F5" s="5">
        <v>33013</v>
      </c>
      <c r="G5" s="5"/>
      <c r="I5" s="164">
        <f>50/1.12</f>
        <v>44.642857142857139</v>
      </c>
      <c r="K5" s="164" t="s">
        <v>214</v>
      </c>
      <c r="L5" s="164">
        <v>0</v>
      </c>
      <c r="M5" s="164">
        <f t="shared" ref="M5:M10" si="0">L5/L$10*100</f>
        <v>0</v>
      </c>
      <c r="N5" s="164" t="s">
        <v>392</v>
      </c>
      <c r="O5" s="164">
        <v>0</v>
      </c>
      <c r="P5" s="164">
        <f t="shared" ref="P5:P10" si="1">O5/O$9*100</f>
        <v>0</v>
      </c>
      <c r="S5" s="231"/>
      <c r="T5" s="231"/>
      <c r="U5" s="231"/>
      <c r="V5" s="231"/>
      <c r="W5" s="231"/>
      <c r="X5" s="231"/>
      <c r="Y5" s="231"/>
    </row>
    <row r="6" spans="1:26" x14ac:dyDescent="0.2">
      <c r="A6" s="23"/>
      <c r="B6" s="23" t="s">
        <v>400</v>
      </c>
      <c r="C6" s="23"/>
      <c r="D6" s="23"/>
      <c r="E6" s="23"/>
      <c r="F6" s="167"/>
      <c r="G6" s="167"/>
      <c r="H6" s="167"/>
      <c r="I6" s="21"/>
      <c r="J6" s="167"/>
      <c r="K6" s="21"/>
      <c r="L6" s="21">
        <v>43.450881612090676</v>
      </c>
      <c r="M6" s="164">
        <f t="shared" si="0"/>
        <v>33.430232558139537</v>
      </c>
      <c r="N6" s="21"/>
      <c r="O6" s="21">
        <v>4.2405063291139244</v>
      </c>
      <c r="P6" s="164">
        <f t="shared" si="1"/>
        <v>19.793205317577549</v>
      </c>
      <c r="S6" s="231"/>
      <c r="T6" s="231"/>
      <c r="U6" s="231"/>
      <c r="V6" s="231"/>
      <c r="W6" s="231"/>
      <c r="X6" s="231"/>
      <c r="Y6" s="231"/>
    </row>
    <row r="7" spans="1:26" x14ac:dyDescent="0.2">
      <c r="A7" s="23"/>
      <c r="B7" s="23"/>
      <c r="C7" s="23"/>
      <c r="D7" s="23"/>
      <c r="E7" s="23"/>
      <c r="F7" s="167"/>
      <c r="G7" s="167"/>
      <c r="H7" s="167"/>
      <c r="I7" s="21"/>
      <c r="J7" s="167"/>
      <c r="K7" s="21"/>
      <c r="L7" s="21">
        <v>67.2544080604534</v>
      </c>
      <c r="M7" s="164">
        <f t="shared" si="0"/>
        <v>51.744186046511629</v>
      </c>
      <c r="N7" s="21"/>
      <c r="O7" s="21">
        <v>8.9873417721518987</v>
      </c>
      <c r="P7" s="164">
        <f t="shared" si="1"/>
        <v>41.949778434268836</v>
      </c>
      <c r="Q7" s="23"/>
      <c r="S7" s="231"/>
      <c r="T7" s="231"/>
      <c r="U7" s="231"/>
      <c r="V7" s="231"/>
      <c r="W7" s="231"/>
      <c r="X7" s="231"/>
      <c r="Y7" s="231"/>
    </row>
    <row r="8" spans="1:26" x14ac:dyDescent="0.2">
      <c r="A8" s="23"/>
      <c r="B8" s="23"/>
      <c r="C8" s="23"/>
      <c r="D8" s="23"/>
      <c r="E8" s="23"/>
      <c r="F8" s="167"/>
      <c r="G8" s="167"/>
      <c r="H8" s="167"/>
      <c r="I8" s="21"/>
      <c r="J8" s="167"/>
      <c r="K8" s="21"/>
      <c r="L8" s="21">
        <v>84.634760705289679</v>
      </c>
      <c r="M8" s="164">
        <f t="shared" si="0"/>
        <v>65.116279069767444</v>
      </c>
      <c r="N8" s="21"/>
      <c r="O8" s="21">
        <v>10.253164556962027</v>
      </c>
      <c r="P8" s="164">
        <f t="shared" si="1"/>
        <v>47.85819793205318</v>
      </c>
      <c r="Q8" s="23"/>
      <c r="S8" s="231"/>
      <c r="T8" s="231"/>
      <c r="U8" s="231"/>
      <c r="V8" s="231"/>
      <c r="W8" s="231"/>
      <c r="X8" s="231"/>
      <c r="Y8" s="231"/>
    </row>
    <row r="9" spans="1:26" x14ac:dyDescent="0.2">
      <c r="A9" s="23"/>
      <c r="B9" s="23"/>
      <c r="C9" s="29"/>
      <c r="D9" s="23"/>
      <c r="E9" s="23"/>
      <c r="F9" s="167"/>
      <c r="G9" s="167"/>
      <c r="H9" s="167"/>
      <c r="I9" s="21"/>
      <c r="J9" s="167"/>
      <c r="K9" s="21"/>
      <c r="L9" s="21">
        <v>105.03778337531485</v>
      </c>
      <c r="M9" s="164">
        <f t="shared" si="0"/>
        <v>80.813953488372078</v>
      </c>
      <c r="N9" s="21"/>
      <c r="O9" s="21">
        <v>21.424050632911392</v>
      </c>
      <c r="P9" s="164">
        <f t="shared" si="1"/>
        <v>100</v>
      </c>
      <c r="Q9" s="23"/>
      <c r="S9" s="231"/>
      <c r="T9" s="231"/>
      <c r="U9" s="231"/>
      <c r="V9" s="231"/>
      <c r="W9" s="231"/>
      <c r="X9" s="231"/>
      <c r="Y9" s="231"/>
    </row>
    <row r="10" spans="1:26" x14ac:dyDescent="0.2">
      <c r="A10" s="23"/>
      <c r="B10" s="55"/>
      <c r="C10" s="29"/>
      <c r="D10" s="23"/>
      <c r="E10" s="23"/>
      <c r="F10" s="30"/>
      <c r="G10" s="30"/>
      <c r="H10" s="167"/>
      <c r="I10" s="21"/>
      <c r="J10" s="167"/>
      <c r="K10" s="21"/>
      <c r="L10" s="164">
        <v>129.97481108312343</v>
      </c>
      <c r="M10" s="164">
        <f t="shared" si="0"/>
        <v>100</v>
      </c>
      <c r="N10" s="21"/>
      <c r="O10" s="21">
        <v>16.803797468354428</v>
      </c>
      <c r="P10" s="164">
        <f t="shared" si="1"/>
        <v>78.434268833087145</v>
      </c>
      <c r="Q10" s="23"/>
      <c r="S10" s="231"/>
      <c r="T10" s="231"/>
      <c r="U10" s="231"/>
      <c r="V10" s="231"/>
      <c r="W10" s="231"/>
      <c r="X10" s="231"/>
      <c r="Y10" s="231"/>
    </row>
    <row r="11" spans="1:26" ht="15" customHeight="1" x14ac:dyDescent="0.2">
      <c r="A11" s="23" t="s">
        <v>394</v>
      </c>
      <c r="B11" s="55" t="s">
        <v>390</v>
      </c>
      <c r="C11" s="29" t="s">
        <v>391</v>
      </c>
      <c r="D11" s="23"/>
      <c r="E11" s="23"/>
      <c r="F11" s="30">
        <v>33022</v>
      </c>
      <c r="G11" s="30">
        <v>33126</v>
      </c>
      <c r="H11" s="167">
        <f>G11-F11</f>
        <v>104</v>
      </c>
      <c r="I11" s="21">
        <f>50/1.12</f>
        <v>44.642857142857139</v>
      </c>
      <c r="J11" s="167"/>
      <c r="K11" s="21"/>
      <c r="L11" s="21">
        <v>0</v>
      </c>
      <c r="M11" s="164">
        <f>L11/L$14*100</f>
        <v>0</v>
      </c>
      <c r="N11" s="21" t="s">
        <v>392</v>
      </c>
      <c r="O11" s="21">
        <v>0</v>
      </c>
      <c r="P11" s="164">
        <f>O11/O$14*100</f>
        <v>0</v>
      </c>
      <c r="Q11" s="263" t="s">
        <v>395</v>
      </c>
    </row>
    <row r="12" spans="1:26" x14ac:dyDescent="0.2">
      <c r="A12" s="23"/>
      <c r="B12" s="23"/>
      <c r="C12" s="23"/>
      <c r="D12" s="23"/>
      <c r="E12" s="23"/>
      <c r="F12" s="167"/>
      <c r="G12" s="167"/>
      <c r="H12" s="167"/>
      <c r="I12" s="21"/>
      <c r="J12" s="167"/>
      <c r="K12" s="21"/>
      <c r="L12" s="21">
        <v>66</v>
      </c>
      <c r="M12" s="164">
        <f>L12/L$14*100</f>
        <v>63.46153846153846</v>
      </c>
      <c r="N12" s="21"/>
      <c r="O12" s="21">
        <v>8.9208633093525194</v>
      </c>
      <c r="P12" s="164">
        <f>O12/O$14*100</f>
        <v>41.333333333333336</v>
      </c>
      <c r="Q12" s="263"/>
    </row>
    <row r="13" spans="1:26" x14ac:dyDescent="0.2">
      <c r="A13" s="23"/>
      <c r="B13" s="23"/>
      <c r="C13" s="23"/>
      <c r="D13" s="23"/>
      <c r="E13" s="23"/>
      <c r="F13" s="167"/>
      <c r="G13" s="167"/>
      <c r="H13" s="167"/>
      <c r="I13" s="21"/>
      <c r="J13" s="167"/>
      <c r="K13" s="21"/>
      <c r="L13" s="21">
        <v>83.454545454545453</v>
      </c>
      <c r="M13" s="164">
        <f>L13/L$14*100</f>
        <v>80.24475524475524</v>
      </c>
      <c r="N13" s="21"/>
      <c r="O13" s="21">
        <v>10.263788968824942</v>
      </c>
      <c r="P13" s="164">
        <f>O13/O$14*100</f>
        <v>47.555555555555564</v>
      </c>
      <c r="Q13" s="263"/>
    </row>
    <row r="14" spans="1:26" x14ac:dyDescent="0.2">
      <c r="A14" s="23"/>
      <c r="B14" s="23"/>
      <c r="C14" s="23"/>
      <c r="D14" s="23"/>
      <c r="E14" s="23"/>
      <c r="F14" s="167"/>
      <c r="G14" s="167"/>
      <c r="H14" s="167"/>
      <c r="I14" s="21"/>
      <c r="J14" s="167"/>
      <c r="K14" s="21"/>
      <c r="L14" s="21">
        <v>104</v>
      </c>
      <c r="M14" s="164">
        <f>L14/L$14*100</f>
        <v>100</v>
      </c>
      <c r="N14" s="21"/>
      <c r="O14" s="21">
        <v>21.582733812949641</v>
      </c>
      <c r="P14" s="164">
        <f>O14/O$14*100</f>
        <v>100</v>
      </c>
      <c r="Q14" s="176"/>
    </row>
    <row r="15" spans="1:26" x14ac:dyDescent="0.2">
      <c r="A15" s="23"/>
      <c r="B15" s="23"/>
      <c r="C15" s="23"/>
      <c r="D15" s="23"/>
      <c r="E15" s="23"/>
      <c r="F15" s="30"/>
      <c r="G15" s="30"/>
      <c r="H15" s="167"/>
      <c r="I15" s="21">
        <f>100/1.12</f>
        <v>89.285714285714278</v>
      </c>
      <c r="J15" s="167"/>
      <c r="K15" s="21"/>
      <c r="L15" s="21">
        <v>0</v>
      </c>
      <c r="M15" s="21">
        <f>L15/L$19*100</f>
        <v>0</v>
      </c>
      <c r="N15" s="21"/>
      <c r="O15" s="21">
        <v>0</v>
      </c>
      <c r="P15" s="21">
        <f>O15/O$17*100</f>
        <v>0</v>
      </c>
      <c r="Q15" s="176"/>
    </row>
    <row r="16" spans="1:26" x14ac:dyDescent="0.2">
      <c r="A16" s="23"/>
      <c r="B16" s="23"/>
      <c r="C16" s="23"/>
      <c r="D16" s="23"/>
      <c r="E16" s="23"/>
      <c r="F16" s="167"/>
      <c r="G16" s="167"/>
      <c r="H16" s="167"/>
      <c r="J16" s="167"/>
      <c r="K16" s="21"/>
      <c r="L16" s="21">
        <v>43.090909090909093</v>
      </c>
      <c r="M16" s="21">
        <f>L16/L$19*100</f>
        <v>41.43356643356644</v>
      </c>
      <c r="N16" s="21"/>
      <c r="O16" s="21">
        <v>12.278177458033575</v>
      </c>
      <c r="P16" s="21">
        <f>O16/O$17*100</f>
        <v>49.230769230769234</v>
      </c>
      <c r="Q16" s="23" t="s">
        <v>396</v>
      </c>
    </row>
    <row r="17" spans="1:17" x14ac:dyDescent="0.2">
      <c r="A17" s="23"/>
      <c r="B17" s="23"/>
      <c r="C17" s="23"/>
      <c r="D17" s="23"/>
      <c r="E17" s="23"/>
      <c r="F17" s="167"/>
      <c r="G17" s="167"/>
      <c r="H17" s="167"/>
      <c r="J17" s="167"/>
      <c r="K17" s="21"/>
      <c r="L17" s="21">
        <v>66</v>
      </c>
      <c r="M17" s="21">
        <f>L17/L$19*100</f>
        <v>63.46153846153846</v>
      </c>
      <c r="N17" s="21"/>
      <c r="O17" s="21">
        <v>24.940047961630697</v>
      </c>
      <c r="P17" s="21">
        <f>O17/O$17*100</f>
        <v>100</v>
      </c>
      <c r="Q17" s="176" t="s">
        <v>397</v>
      </c>
    </row>
    <row r="18" spans="1:17" x14ac:dyDescent="0.2">
      <c r="A18" s="23"/>
      <c r="B18" s="23"/>
      <c r="C18" s="23"/>
      <c r="D18" s="23"/>
      <c r="E18" s="23"/>
      <c r="F18" s="167"/>
      <c r="G18" s="167"/>
      <c r="H18" s="167"/>
      <c r="J18" s="167"/>
      <c r="K18" s="21"/>
      <c r="L18" s="21">
        <v>86.181818181818187</v>
      </c>
      <c r="M18" s="21">
        <f>L18/L$19*100</f>
        <v>82.867132867132881</v>
      </c>
      <c r="N18" s="21"/>
      <c r="O18" s="21">
        <v>21.966426858513191</v>
      </c>
      <c r="P18" s="21">
        <f>O18/O$17*100</f>
        <v>88.07692307692308</v>
      </c>
      <c r="Q18" s="176"/>
    </row>
    <row r="19" spans="1:17" x14ac:dyDescent="0.2">
      <c r="A19" s="23"/>
      <c r="B19" s="23"/>
      <c r="C19" s="23"/>
      <c r="D19" s="23"/>
      <c r="E19" s="23"/>
      <c r="F19" s="167"/>
      <c r="G19" s="167"/>
      <c r="H19" s="167"/>
      <c r="J19" s="167"/>
      <c r="K19" s="21"/>
      <c r="L19" s="21">
        <v>104</v>
      </c>
      <c r="M19" s="21">
        <f>L19/L$19*100</f>
        <v>100</v>
      </c>
      <c r="O19" s="164">
        <v>20.143884892086334</v>
      </c>
      <c r="P19" s="21">
        <f>O19/O$17*100</f>
        <v>80.769230769230774</v>
      </c>
      <c r="Q19" s="176"/>
    </row>
    <row r="20" spans="1:17" x14ac:dyDescent="0.2">
      <c r="A20" s="23" t="s">
        <v>398</v>
      </c>
      <c r="B20" s="55" t="s">
        <v>399</v>
      </c>
      <c r="C20" s="23" t="s">
        <v>323</v>
      </c>
      <c r="D20" s="23"/>
      <c r="E20" s="23">
        <v>16.3</v>
      </c>
      <c r="F20" s="30">
        <v>39295</v>
      </c>
      <c r="G20" s="30">
        <v>39417</v>
      </c>
      <c r="H20" s="167">
        <v>145</v>
      </c>
      <c r="K20" s="164" t="s">
        <v>214</v>
      </c>
      <c r="L20" s="164">
        <v>0</v>
      </c>
      <c r="M20" s="21">
        <f>L20/L$28*100</f>
        <v>0</v>
      </c>
      <c r="O20" s="163">
        <v>0</v>
      </c>
      <c r="P20" s="21">
        <f>O20/O$28*100</f>
        <v>0</v>
      </c>
      <c r="Q20" s="23"/>
    </row>
    <row r="21" spans="1:17" x14ac:dyDescent="0.2">
      <c r="A21" s="23"/>
      <c r="B21" s="23" t="s">
        <v>401</v>
      </c>
      <c r="C21" s="23"/>
      <c r="D21" s="23"/>
      <c r="E21" s="23"/>
      <c r="F21" s="167"/>
      <c r="G21" s="167"/>
      <c r="H21" s="167"/>
      <c r="J21" s="167"/>
      <c r="K21" s="21"/>
      <c r="L21" s="21">
        <v>40</v>
      </c>
      <c r="M21" s="21">
        <f>L21/L$28*100</f>
        <v>27.586206896551722</v>
      </c>
      <c r="O21" s="164">
        <v>20.450676982591879</v>
      </c>
      <c r="P21" s="21">
        <f>O21/O$28*100</f>
        <v>6.0243475077100328</v>
      </c>
      <c r="Q21" s="23"/>
    </row>
    <row r="22" spans="1:17" x14ac:dyDescent="0.2">
      <c r="A22" s="23"/>
      <c r="B22" s="23"/>
      <c r="C22" s="23"/>
      <c r="D22" s="23"/>
      <c r="E22" s="23"/>
      <c r="F22" s="167"/>
      <c r="G22" s="167"/>
      <c r="H22" s="167"/>
      <c r="J22" s="167"/>
      <c r="K22" s="21"/>
      <c r="L22" s="21">
        <f t="shared" ref="L22:L28" si="2">L21+15</f>
        <v>55</v>
      </c>
      <c r="M22" s="21">
        <f t="shared" ref="M22:M28" si="3">L22/L$28*100</f>
        <v>37.931034482758619</v>
      </c>
      <c r="O22" s="164">
        <v>50.163037374430658</v>
      </c>
      <c r="P22" s="21">
        <f t="shared" ref="P22:P28" si="4">O22/O$28*100</f>
        <v>14.776995863904959</v>
      </c>
      <c r="Q22" s="23"/>
    </row>
    <row r="23" spans="1:17" x14ac:dyDescent="0.2">
      <c r="A23" s="23"/>
      <c r="B23" s="23"/>
      <c r="C23" s="23"/>
      <c r="D23" s="23"/>
      <c r="E23" s="23"/>
      <c r="F23" s="167"/>
      <c r="G23" s="167"/>
      <c r="H23" s="167"/>
      <c r="I23" s="21"/>
      <c r="J23" s="167"/>
      <c r="K23" s="21"/>
      <c r="L23" s="21">
        <f t="shared" si="2"/>
        <v>70</v>
      </c>
      <c r="M23" s="21">
        <f t="shared" si="3"/>
        <v>48.275862068965516</v>
      </c>
      <c r="O23" s="164">
        <v>103.79459661820678</v>
      </c>
      <c r="P23" s="21">
        <f t="shared" si="4"/>
        <v>30.575746709164125</v>
      </c>
      <c r="Q23" s="23"/>
    </row>
    <row r="24" spans="1:17" x14ac:dyDescent="0.2">
      <c r="A24" s="23"/>
      <c r="B24" s="23"/>
      <c r="C24" s="23"/>
      <c r="D24" s="23"/>
      <c r="E24" s="23"/>
      <c r="F24" s="167"/>
      <c r="G24" s="167"/>
      <c r="H24" s="167"/>
      <c r="I24" s="21"/>
      <c r="J24" s="167"/>
      <c r="K24" s="21"/>
      <c r="L24" s="21">
        <f t="shared" si="2"/>
        <v>85</v>
      </c>
      <c r="M24" s="21">
        <f t="shared" si="3"/>
        <v>58.620689655172406</v>
      </c>
      <c r="O24" s="164">
        <v>108.30872901977912</v>
      </c>
      <c r="P24" s="21">
        <f t="shared" si="4"/>
        <v>31.905516980634076</v>
      </c>
      <c r="Q24" s="23"/>
    </row>
    <row r="25" spans="1:17" x14ac:dyDescent="0.2">
      <c r="A25" s="23"/>
      <c r="B25" s="23"/>
      <c r="C25" s="23"/>
      <c r="D25" s="23"/>
      <c r="E25" s="23"/>
      <c r="F25" s="30"/>
      <c r="G25" s="30"/>
      <c r="H25" s="167"/>
      <c r="I25" s="21"/>
      <c r="J25" s="167"/>
      <c r="K25" s="21"/>
      <c r="L25" s="21">
        <f t="shared" si="2"/>
        <v>100</v>
      </c>
      <c r="M25" s="21">
        <f t="shared" si="3"/>
        <v>68.965517241379317</v>
      </c>
      <c r="O25" s="164">
        <v>158.06657515442691</v>
      </c>
      <c r="P25" s="21">
        <f t="shared" si="4"/>
        <v>46.563151865065855</v>
      </c>
      <c r="Q25" s="23"/>
    </row>
    <row r="26" spans="1:17" x14ac:dyDescent="0.2">
      <c r="A26" s="23"/>
      <c r="B26" s="23"/>
      <c r="C26" s="23"/>
      <c r="D26" s="23"/>
      <c r="E26" s="23"/>
      <c r="F26" s="167"/>
      <c r="G26" s="167"/>
      <c r="H26" s="167"/>
      <c r="I26" s="21"/>
      <c r="J26" s="167"/>
      <c r="K26" s="21"/>
      <c r="L26" s="21">
        <f t="shared" si="2"/>
        <v>115</v>
      </c>
      <c r="M26" s="21">
        <f t="shared" si="3"/>
        <v>79.310344827586206</v>
      </c>
      <c r="N26" s="21"/>
      <c r="O26" s="21">
        <v>139.20072377862357</v>
      </c>
      <c r="P26" s="21">
        <f t="shared" si="4"/>
        <v>41.005661283536732</v>
      </c>
      <c r="Q26" s="23"/>
    </row>
    <row r="27" spans="1:17" x14ac:dyDescent="0.2">
      <c r="A27" s="23"/>
      <c r="B27" s="23"/>
      <c r="C27" s="23"/>
      <c r="D27" s="23"/>
      <c r="E27" s="23"/>
      <c r="F27" s="167"/>
      <c r="G27" s="167"/>
      <c r="H27" s="167"/>
      <c r="I27" s="21"/>
      <c r="J27" s="167"/>
      <c r="K27" s="21"/>
      <c r="L27" s="21">
        <f t="shared" si="2"/>
        <v>130</v>
      </c>
      <c r="M27" s="21">
        <f t="shared" si="3"/>
        <v>89.65517241379311</v>
      </c>
      <c r="O27" s="21">
        <v>208.09533911524304</v>
      </c>
      <c r="P27" s="21">
        <f t="shared" si="4"/>
        <v>61.300593551603043</v>
      </c>
      <c r="Q27" s="23"/>
    </row>
    <row r="28" spans="1:17" x14ac:dyDescent="0.2">
      <c r="A28" s="23"/>
      <c r="B28" s="23"/>
      <c r="C28" s="23"/>
      <c r="D28" s="23"/>
      <c r="E28" s="23"/>
      <c r="F28" s="167"/>
      <c r="G28" s="167"/>
      <c r="H28" s="167"/>
      <c r="I28" s="21"/>
      <c r="J28" s="167"/>
      <c r="K28" s="21"/>
      <c r="L28" s="21">
        <f t="shared" si="2"/>
        <v>145</v>
      </c>
      <c r="M28" s="21">
        <f t="shared" si="3"/>
        <v>100</v>
      </c>
      <c r="O28" s="21">
        <v>339.46708679104012</v>
      </c>
      <c r="P28" s="21">
        <f t="shared" si="4"/>
        <v>100</v>
      </c>
      <c r="Q28" s="23"/>
    </row>
    <row r="29" spans="1:17" x14ac:dyDescent="0.2">
      <c r="A29" s="23"/>
      <c r="B29" s="23"/>
      <c r="C29" s="23"/>
      <c r="D29" s="23"/>
      <c r="E29" s="23"/>
      <c r="F29" s="167"/>
      <c r="G29" s="167"/>
      <c r="H29" s="167"/>
      <c r="I29" s="21"/>
      <c r="J29" s="167"/>
      <c r="K29" s="21"/>
      <c r="L29" s="21"/>
      <c r="M29" s="21"/>
      <c r="O29" s="21"/>
      <c r="P29" s="164"/>
      <c r="Q29" s="23"/>
    </row>
    <row r="30" spans="1:17" x14ac:dyDescent="0.2">
      <c r="A30" s="23"/>
      <c r="B30" s="23"/>
      <c r="C30" s="23"/>
      <c r="D30" s="23"/>
      <c r="E30" s="23"/>
      <c r="F30" s="30"/>
      <c r="G30" s="30"/>
      <c r="H30" s="167"/>
      <c r="I30" s="21"/>
      <c r="J30" s="167"/>
      <c r="K30" s="21"/>
      <c r="L30" s="21"/>
      <c r="M30" s="21"/>
      <c r="O30" s="21"/>
      <c r="P30" s="164"/>
      <c r="Q30" s="23"/>
    </row>
    <row r="31" spans="1:17" x14ac:dyDescent="0.2">
      <c r="A31" s="23"/>
      <c r="B31" s="23"/>
      <c r="C31" s="23"/>
      <c r="D31" s="23"/>
      <c r="E31" s="23"/>
      <c r="F31" s="167"/>
      <c r="G31" s="167"/>
      <c r="H31" s="167"/>
      <c r="I31" s="21"/>
      <c r="K31" s="167"/>
      <c r="L31" s="21"/>
      <c r="M31" s="21"/>
      <c r="O31" s="21"/>
      <c r="P31" s="164"/>
      <c r="Q31" s="23"/>
    </row>
    <row r="32" spans="1:17" x14ac:dyDescent="0.2">
      <c r="A32" s="23"/>
      <c r="B32" s="23"/>
      <c r="C32" s="23"/>
      <c r="D32" s="23"/>
      <c r="E32" s="23"/>
      <c r="F32" s="167"/>
      <c r="G32" s="167"/>
      <c r="H32" s="164"/>
      <c r="I32" s="21"/>
      <c r="J32" s="167"/>
      <c r="K32" s="21"/>
      <c r="L32" s="21"/>
      <c r="M32" s="21"/>
      <c r="N32" s="21"/>
      <c r="O32" s="21"/>
      <c r="P32" s="21"/>
      <c r="Q32" s="23"/>
    </row>
    <row r="33" spans="1:17" x14ac:dyDescent="0.2">
      <c r="A33" s="23"/>
      <c r="B33" s="23"/>
      <c r="C33" s="23"/>
      <c r="D33" s="23"/>
      <c r="E33" s="23"/>
      <c r="F33" s="167"/>
      <c r="G33" s="167"/>
      <c r="H33" s="21"/>
      <c r="I33" s="21"/>
      <c r="J33" s="21"/>
      <c r="K33" s="21"/>
      <c r="L33" s="21"/>
      <c r="M33" s="21"/>
      <c r="N33" s="21"/>
      <c r="O33" s="21"/>
      <c r="P33" s="21"/>
      <c r="Q33" s="23"/>
    </row>
    <row r="34" spans="1:17" x14ac:dyDescent="0.2">
      <c r="A34" s="23"/>
      <c r="B34" s="23"/>
      <c r="C34" s="23"/>
      <c r="D34" s="23"/>
      <c r="E34" s="23"/>
      <c r="F34" s="167"/>
      <c r="G34" s="167"/>
      <c r="H34" s="21"/>
      <c r="I34" s="21"/>
      <c r="J34" s="21"/>
      <c r="K34" s="21"/>
      <c r="L34" s="21"/>
      <c r="M34" s="21"/>
      <c r="N34" s="21"/>
      <c r="O34" s="21"/>
      <c r="P34" s="21"/>
      <c r="Q34" s="23"/>
    </row>
    <row r="35" spans="1:17" x14ac:dyDescent="0.2">
      <c r="A35" s="23"/>
      <c r="B35" s="23"/>
      <c r="C35" s="23"/>
      <c r="D35" s="23"/>
      <c r="E35" s="23"/>
      <c r="F35" s="30"/>
      <c r="G35" s="30"/>
      <c r="H35" s="21"/>
      <c r="I35" s="21"/>
      <c r="J35" s="21"/>
      <c r="K35" s="21"/>
      <c r="L35" s="21"/>
      <c r="M35" s="21"/>
      <c r="N35" s="21"/>
      <c r="O35" s="21"/>
      <c r="P35" s="21"/>
      <c r="Q35" s="23"/>
    </row>
    <row r="36" spans="1:17" x14ac:dyDescent="0.2">
      <c r="A36" s="23"/>
      <c r="B36" s="23"/>
      <c r="C36" s="23"/>
      <c r="D36" s="23"/>
      <c r="E36" s="23"/>
      <c r="F36" s="167"/>
      <c r="G36" s="167"/>
      <c r="H36" s="21"/>
      <c r="I36" s="21"/>
      <c r="J36" s="21"/>
      <c r="K36" s="21"/>
      <c r="L36" s="21"/>
      <c r="M36" s="21"/>
      <c r="N36" s="21"/>
      <c r="O36" s="21"/>
      <c r="P36" s="21"/>
      <c r="Q36" s="23"/>
    </row>
    <row r="37" spans="1:17" x14ac:dyDescent="0.2">
      <c r="A37" s="23"/>
      <c r="B37" s="23"/>
      <c r="C37" s="23"/>
      <c r="D37" s="23"/>
      <c r="E37" s="23"/>
      <c r="F37" s="167"/>
      <c r="G37" s="167"/>
      <c r="H37" s="21"/>
      <c r="I37" s="21"/>
      <c r="J37" s="21"/>
      <c r="K37" s="21"/>
      <c r="L37" s="21"/>
      <c r="M37" s="21"/>
      <c r="N37" s="21"/>
      <c r="O37" s="21"/>
      <c r="P37" s="21"/>
      <c r="Q37" s="23"/>
    </row>
    <row r="38" spans="1:17" x14ac:dyDescent="0.2">
      <c r="A38" s="23"/>
      <c r="B38" s="23"/>
      <c r="C38" s="23"/>
      <c r="D38" s="23"/>
      <c r="E38" s="23"/>
      <c r="F38" s="167"/>
      <c r="G38" s="167"/>
      <c r="H38" s="21"/>
      <c r="I38" s="21"/>
      <c r="J38" s="21"/>
      <c r="K38" s="21"/>
      <c r="L38" s="21"/>
      <c r="M38" s="21"/>
      <c r="N38" s="21"/>
      <c r="O38" s="21"/>
      <c r="P38" s="21"/>
      <c r="Q38" s="23"/>
    </row>
    <row r="39" spans="1:17" x14ac:dyDescent="0.2">
      <c r="A39" s="23"/>
      <c r="B39" s="23"/>
      <c r="C39" s="23"/>
      <c r="D39" s="23"/>
      <c r="E39" s="23"/>
      <c r="F39" s="167"/>
      <c r="G39" s="167"/>
      <c r="H39" s="21"/>
      <c r="I39" s="21"/>
      <c r="J39" s="21"/>
      <c r="K39" s="21"/>
      <c r="L39" s="21"/>
      <c r="M39" s="21"/>
      <c r="N39" s="21"/>
      <c r="O39" s="21"/>
      <c r="P39" s="21"/>
      <c r="Q39" s="23"/>
    </row>
    <row r="40" spans="1:17" x14ac:dyDescent="0.2">
      <c r="A40" s="23"/>
      <c r="B40" s="23"/>
      <c r="C40" s="23"/>
      <c r="D40" s="23"/>
      <c r="E40" s="23"/>
      <c r="F40" s="30"/>
      <c r="G40" s="30"/>
      <c r="H40" s="21"/>
      <c r="I40" s="21"/>
      <c r="J40" s="21"/>
      <c r="K40" s="21"/>
      <c r="L40" s="21"/>
      <c r="M40" s="21"/>
      <c r="N40" s="21"/>
      <c r="O40" s="21"/>
      <c r="P40" s="21"/>
      <c r="Q40" s="23"/>
    </row>
    <row r="41" spans="1:17" x14ac:dyDescent="0.2">
      <c r="A41" s="23"/>
      <c r="B41" s="23"/>
      <c r="C41" s="23"/>
      <c r="D41" s="23"/>
      <c r="E41" s="23"/>
      <c r="F41" s="167"/>
      <c r="G41" s="167"/>
      <c r="H41" s="21"/>
      <c r="I41" s="167"/>
      <c r="K41" s="21"/>
      <c r="L41" s="21"/>
      <c r="M41" s="21"/>
      <c r="N41" s="21"/>
      <c r="O41" s="21"/>
      <c r="P41" s="21"/>
      <c r="Q41" s="23"/>
    </row>
    <row r="42" spans="1:17" x14ac:dyDescent="0.2">
      <c r="A42" s="23"/>
      <c r="B42" s="23"/>
      <c r="C42" s="23"/>
      <c r="D42" s="23"/>
      <c r="E42" s="23"/>
      <c r="F42" s="167"/>
      <c r="G42" s="167"/>
      <c r="H42" s="167"/>
      <c r="I42" s="167"/>
      <c r="J42" s="167"/>
      <c r="K42" s="21"/>
      <c r="L42" s="21"/>
      <c r="M42" s="21"/>
      <c r="N42" s="21"/>
      <c r="O42" s="21"/>
      <c r="P42" s="21"/>
      <c r="Q42" s="23"/>
    </row>
    <row r="43" spans="1:17" x14ac:dyDescent="0.2">
      <c r="A43" s="23"/>
      <c r="B43" s="23"/>
      <c r="C43" s="23"/>
      <c r="D43" s="23"/>
      <c r="E43" s="23"/>
      <c r="F43" s="167"/>
      <c r="G43" s="167"/>
      <c r="H43" s="164"/>
      <c r="I43" s="21"/>
      <c r="J43" s="167"/>
      <c r="K43" s="21"/>
      <c r="L43" s="21"/>
      <c r="M43" s="21"/>
      <c r="N43" s="21"/>
      <c r="O43" s="21"/>
      <c r="P43" s="21"/>
      <c r="Q43" s="23"/>
    </row>
    <row r="44" spans="1:17" x14ac:dyDescent="0.2">
      <c r="A44" s="23"/>
      <c r="B44" s="23"/>
      <c r="C44" s="23"/>
      <c r="D44" s="23"/>
      <c r="E44" s="23"/>
      <c r="F44" s="167"/>
      <c r="G44" s="167"/>
      <c r="H44" s="21"/>
      <c r="I44" s="21"/>
      <c r="J44" s="167"/>
      <c r="K44" s="21"/>
      <c r="L44" s="21"/>
      <c r="M44" s="21"/>
      <c r="N44" s="21"/>
      <c r="O44" s="21"/>
      <c r="P44" s="21"/>
      <c r="Q44" s="23"/>
    </row>
    <row r="45" spans="1:17" x14ac:dyDescent="0.2">
      <c r="A45" s="23"/>
      <c r="B45" s="23"/>
      <c r="C45" s="23"/>
      <c r="D45" s="23"/>
      <c r="E45" s="23"/>
      <c r="F45" s="30"/>
      <c r="G45" s="30"/>
      <c r="H45" s="21"/>
      <c r="I45" s="21"/>
      <c r="J45" s="167"/>
      <c r="K45" s="21"/>
      <c r="L45" s="21"/>
      <c r="M45" s="21"/>
      <c r="N45" s="21"/>
      <c r="O45" s="21"/>
      <c r="P45" s="21"/>
      <c r="Q45" s="23"/>
    </row>
    <row r="46" spans="1:17" x14ac:dyDescent="0.2">
      <c r="A46" s="23"/>
      <c r="B46" s="23"/>
      <c r="C46" s="23"/>
      <c r="D46" s="23"/>
      <c r="E46" s="23"/>
      <c r="F46" s="167"/>
      <c r="G46" s="167"/>
      <c r="H46" s="21"/>
      <c r="I46" s="21"/>
      <c r="J46" s="167"/>
      <c r="K46" s="21"/>
      <c r="L46" s="21"/>
      <c r="M46" s="21"/>
      <c r="N46" s="21"/>
      <c r="O46" s="21"/>
      <c r="P46" s="21"/>
      <c r="Q46" s="23"/>
    </row>
    <row r="47" spans="1:17" x14ac:dyDescent="0.2">
      <c r="A47" s="23"/>
      <c r="B47" s="23"/>
      <c r="C47" s="23"/>
      <c r="D47" s="23"/>
      <c r="E47" s="23"/>
      <c r="F47" s="167"/>
      <c r="G47" s="167"/>
      <c r="H47" s="21"/>
      <c r="I47" s="21"/>
      <c r="J47" s="167"/>
      <c r="K47" s="21"/>
      <c r="L47" s="21"/>
      <c r="M47" s="21"/>
      <c r="N47" s="21"/>
      <c r="O47" s="21"/>
      <c r="P47" s="21"/>
      <c r="Q47" s="23"/>
    </row>
    <row r="48" spans="1:17" x14ac:dyDescent="0.2">
      <c r="A48" s="23"/>
      <c r="B48" s="23"/>
      <c r="C48" s="23"/>
      <c r="D48" s="23"/>
      <c r="E48" s="23"/>
      <c r="F48" s="167"/>
      <c r="G48" s="167"/>
      <c r="H48" s="21"/>
      <c r="I48" s="21"/>
      <c r="J48" s="167"/>
      <c r="K48" s="21"/>
      <c r="L48" s="21"/>
      <c r="M48" s="21"/>
      <c r="N48" s="21"/>
      <c r="O48" s="21"/>
      <c r="P48" s="21"/>
      <c r="Q48" s="23"/>
    </row>
    <row r="49" spans="1:17" x14ac:dyDescent="0.2">
      <c r="A49" s="23"/>
      <c r="B49" s="23"/>
      <c r="C49" s="23"/>
      <c r="D49" s="23"/>
      <c r="E49" s="23"/>
      <c r="F49" s="167"/>
      <c r="G49" s="167"/>
      <c r="H49" s="21"/>
      <c r="I49" s="21"/>
      <c r="J49" s="167"/>
      <c r="K49" s="21"/>
      <c r="L49" s="21"/>
      <c r="M49" s="21"/>
      <c r="N49" s="21"/>
      <c r="O49" s="21"/>
      <c r="P49" s="21"/>
      <c r="Q49" s="23"/>
    </row>
    <row r="50" spans="1:17" x14ac:dyDescent="0.2">
      <c r="A50" s="23"/>
      <c r="B50" s="23"/>
      <c r="C50" s="23"/>
      <c r="D50" s="23"/>
      <c r="E50" s="23"/>
      <c r="F50" s="30"/>
      <c r="G50" s="30"/>
      <c r="H50" s="21"/>
      <c r="I50" s="21"/>
      <c r="J50" s="167"/>
      <c r="K50" s="21"/>
      <c r="L50" s="21"/>
      <c r="M50" s="21"/>
      <c r="N50" s="21"/>
      <c r="O50" s="21"/>
      <c r="P50" s="21"/>
      <c r="Q50" s="23"/>
    </row>
    <row r="51" spans="1:17" x14ac:dyDescent="0.2">
      <c r="A51" s="23"/>
      <c r="B51" s="23"/>
      <c r="C51" s="23"/>
      <c r="D51" s="23"/>
      <c r="E51" s="23"/>
      <c r="F51" s="167"/>
      <c r="G51" s="167"/>
      <c r="H51" s="21"/>
      <c r="I51" s="21"/>
      <c r="J51" s="167"/>
      <c r="K51" s="21"/>
      <c r="L51" s="21"/>
      <c r="M51" s="21"/>
      <c r="N51" s="21"/>
      <c r="O51" s="21"/>
      <c r="P51" s="21"/>
      <c r="Q51" s="23"/>
    </row>
    <row r="52" spans="1:17" x14ac:dyDescent="0.2">
      <c r="A52" s="23"/>
      <c r="B52" s="23"/>
      <c r="C52" s="23"/>
      <c r="D52" s="23"/>
      <c r="E52" s="23"/>
      <c r="F52" s="167"/>
      <c r="G52" s="167"/>
      <c r="H52" s="167"/>
      <c r="I52" s="21"/>
      <c r="J52" s="167"/>
      <c r="K52" s="21"/>
      <c r="L52" s="21"/>
      <c r="M52" s="21"/>
      <c r="N52" s="21"/>
      <c r="O52" s="21"/>
      <c r="P52" s="21"/>
      <c r="Q52" s="23"/>
    </row>
    <row r="53" spans="1:17" x14ac:dyDescent="0.2">
      <c r="A53" s="23"/>
      <c r="B53" s="23"/>
      <c r="C53" s="23"/>
      <c r="D53" s="23"/>
      <c r="E53" s="23"/>
      <c r="F53" s="167"/>
      <c r="G53" s="167"/>
      <c r="H53" s="167"/>
      <c r="I53" s="21"/>
      <c r="J53" s="167"/>
      <c r="K53" s="21"/>
      <c r="L53" s="21"/>
      <c r="M53" s="21"/>
      <c r="N53" s="21"/>
      <c r="O53" s="21"/>
      <c r="P53" s="21"/>
      <c r="Q53" s="23"/>
    </row>
    <row r="54" spans="1:17" x14ac:dyDescent="0.2">
      <c r="A54" s="23"/>
      <c r="B54" s="23"/>
      <c r="C54" s="23"/>
      <c r="D54" s="23"/>
      <c r="E54" s="23"/>
      <c r="F54" s="167"/>
      <c r="G54" s="167"/>
      <c r="H54" s="167"/>
      <c r="I54" s="21"/>
      <c r="J54" s="167"/>
      <c r="K54" s="21"/>
      <c r="L54" s="21"/>
      <c r="M54" s="21"/>
      <c r="N54" s="21"/>
      <c r="O54" s="21"/>
      <c r="P54" s="21"/>
      <c r="Q54" s="23"/>
    </row>
    <row r="55" spans="1:17" x14ac:dyDescent="0.2">
      <c r="A55" s="23"/>
      <c r="B55" s="23"/>
      <c r="C55" s="23"/>
      <c r="D55" s="23"/>
      <c r="E55" s="23"/>
      <c r="F55" s="30"/>
      <c r="G55" s="30"/>
      <c r="H55" s="167"/>
      <c r="I55" s="21"/>
      <c r="J55" s="167"/>
      <c r="K55" s="21"/>
      <c r="L55" s="21"/>
      <c r="M55" s="21"/>
      <c r="N55" s="21"/>
      <c r="O55" s="21"/>
      <c r="P55" s="21"/>
      <c r="Q55" s="23"/>
    </row>
    <row r="56" spans="1:17" x14ac:dyDescent="0.2">
      <c r="A56" s="23"/>
      <c r="B56" s="23"/>
      <c r="C56" s="23"/>
      <c r="D56" s="23"/>
      <c r="E56" s="23"/>
      <c r="F56" s="167"/>
      <c r="G56" s="167"/>
      <c r="H56" s="167"/>
      <c r="I56" s="21"/>
      <c r="J56" s="167"/>
      <c r="K56" s="21"/>
      <c r="L56" s="21"/>
      <c r="M56" s="21"/>
      <c r="N56" s="21"/>
      <c r="O56" s="21"/>
      <c r="P56" s="21"/>
      <c r="Q56" s="23"/>
    </row>
    <row r="57" spans="1:17" x14ac:dyDescent="0.2">
      <c r="A57" s="23"/>
      <c r="B57" s="23"/>
      <c r="C57" s="23"/>
      <c r="D57" s="23"/>
      <c r="E57" s="23"/>
      <c r="F57" s="167"/>
      <c r="G57" s="167"/>
      <c r="H57" s="167"/>
      <c r="I57" s="21"/>
      <c r="J57" s="167"/>
      <c r="K57" s="21"/>
      <c r="L57" s="21"/>
      <c r="M57" s="21"/>
      <c r="N57" s="21"/>
      <c r="O57" s="21"/>
      <c r="P57" s="21"/>
      <c r="Q57" s="23"/>
    </row>
    <row r="58" spans="1:17" x14ac:dyDescent="0.2">
      <c r="A58" s="23"/>
      <c r="B58" s="23"/>
      <c r="C58" s="23"/>
      <c r="D58" s="23"/>
      <c r="E58" s="23"/>
      <c r="F58" s="167"/>
      <c r="G58" s="167"/>
      <c r="H58" s="167"/>
      <c r="I58" s="21"/>
      <c r="J58" s="167"/>
      <c r="K58" s="21"/>
      <c r="L58" s="21"/>
      <c r="M58" s="21"/>
      <c r="N58" s="21"/>
      <c r="O58" s="21"/>
      <c r="P58" s="21"/>
      <c r="Q58" s="23"/>
    </row>
    <row r="59" spans="1:17" x14ac:dyDescent="0.2">
      <c r="A59" s="23"/>
      <c r="B59" s="23"/>
      <c r="C59" s="23"/>
      <c r="D59" s="23"/>
      <c r="E59" s="23"/>
      <c r="F59" s="167"/>
      <c r="G59" s="167"/>
      <c r="H59" s="167"/>
      <c r="I59" s="21"/>
      <c r="J59" s="167"/>
      <c r="K59" s="21"/>
      <c r="L59" s="21"/>
      <c r="M59" s="21"/>
      <c r="N59" s="21"/>
      <c r="O59" s="21"/>
      <c r="P59" s="21"/>
      <c r="Q59" s="23"/>
    </row>
    <row r="60" spans="1:17" x14ac:dyDescent="0.2">
      <c r="A60" s="23"/>
      <c r="B60" s="23"/>
      <c r="C60" s="23"/>
      <c r="D60" s="23"/>
      <c r="E60" s="23"/>
      <c r="F60" s="30"/>
      <c r="G60" s="30"/>
      <c r="H60" s="167"/>
      <c r="I60" s="21"/>
      <c r="J60" s="167"/>
      <c r="K60" s="21"/>
      <c r="L60" s="21"/>
      <c r="M60" s="21"/>
      <c r="N60" s="21"/>
      <c r="O60" s="21"/>
      <c r="P60" s="21"/>
      <c r="Q60" s="23"/>
    </row>
    <row r="61" spans="1:17" x14ac:dyDescent="0.2">
      <c r="A61" s="23"/>
      <c r="B61" s="23"/>
      <c r="C61" s="23"/>
      <c r="D61" s="23"/>
      <c r="E61" s="23"/>
      <c r="F61" s="167"/>
      <c r="G61" s="167"/>
      <c r="H61" s="167"/>
      <c r="I61" s="21"/>
      <c r="J61" s="167"/>
      <c r="K61" s="21"/>
      <c r="L61" s="21"/>
      <c r="M61" s="21"/>
      <c r="N61" s="21"/>
      <c r="O61" s="21"/>
      <c r="P61" s="21"/>
      <c r="Q61" s="23"/>
    </row>
    <row r="62" spans="1:17" x14ac:dyDescent="0.2">
      <c r="A62" s="23"/>
      <c r="B62" s="23"/>
      <c r="C62" s="23"/>
      <c r="D62" s="23"/>
      <c r="E62" s="23"/>
      <c r="F62" s="167"/>
      <c r="G62" s="167"/>
      <c r="H62" s="167"/>
      <c r="I62" s="21"/>
      <c r="J62" s="167"/>
      <c r="K62" s="21"/>
      <c r="L62" s="21"/>
      <c r="M62" s="21"/>
      <c r="N62" s="21"/>
      <c r="O62" s="21"/>
      <c r="P62" s="21"/>
      <c r="Q62" s="23"/>
    </row>
    <row r="63" spans="1:17" x14ac:dyDescent="0.2">
      <c r="A63" s="23"/>
      <c r="B63" s="23"/>
      <c r="C63" s="23"/>
      <c r="D63" s="23"/>
      <c r="E63" s="23"/>
      <c r="F63" s="167"/>
      <c r="G63" s="167"/>
      <c r="H63" s="167"/>
      <c r="I63" s="21"/>
      <c r="J63" s="167"/>
      <c r="K63" s="21"/>
      <c r="L63" s="21"/>
      <c r="M63" s="21"/>
      <c r="N63" s="21"/>
      <c r="O63" s="21"/>
      <c r="P63" s="21"/>
      <c r="Q63" s="23"/>
    </row>
    <row r="64" spans="1:17" x14ac:dyDescent="0.2">
      <c r="A64" s="23"/>
      <c r="B64" s="23"/>
      <c r="C64" s="23"/>
      <c r="D64" s="23"/>
      <c r="E64" s="23"/>
      <c r="F64" s="167"/>
      <c r="G64" s="167"/>
      <c r="H64" s="167"/>
      <c r="I64" s="21"/>
      <c r="J64" s="167"/>
      <c r="K64" s="21"/>
      <c r="L64" s="21"/>
      <c r="M64" s="21"/>
      <c r="N64" s="21"/>
      <c r="O64" s="21"/>
      <c r="P64" s="21"/>
      <c r="Q64" s="23"/>
    </row>
    <row r="65" spans="1:17" x14ac:dyDescent="0.2">
      <c r="A65" s="23"/>
      <c r="B65" s="23"/>
      <c r="C65" s="23"/>
      <c r="D65" s="17"/>
      <c r="E65" s="17"/>
      <c r="F65" s="30"/>
      <c r="G65" s="30"/>
      <c r="H65" s="167"/>
      <c r="I65" s="21"/>
      <c r="J65" s="167"/>
      <c r="K65" s="21"/>
      <c r="L65" s="21"/>
      <c r="M65" s="21"/>
      <c r="N65" s="21"/>
      <c r="O65" s="167"/>
      <c r="P65" s="21"/>
      <c r="Q65" s="23"/>
    </row>
    <row r="66" spans="1:17" x14ac:dyDescent="0.2">
      <c r="A66" s="23"/>
      <c r="B66" s="23"/>
      <c r="C66" s="23"/>
      <c r="D66" s="17"/>
      <c r="E66" s="17"/>
      <c r="F66" s="167"/>
      <c r="G66" s="167"/>
      <c r="H66" s="167"/>
      <c r="I66" s="21"/>
      <c r="J66" s="167"/>
      <c r="K66" s="21"/>
      <c r="L66" s="21"/>
      <c r="M66" s="21"/>
      <c r="N66" s="21"/>
      <c r="O66" s="21"/>
      <c r="P66" s="21"/>
      <c r="Q66" s="23"/>
    </row>
    <row r="67" spans="1:17" x14ac:dyDescent="0.2">
      <c r="A67" s="23"/>
      <c r="B67" s="23"/>
      <c r="C67" s="23"/>
      <c r="D67" s="17"/>
      <c r="E67" s="17"/>
      <c r="F67" s="167"/>
      <c r="G67" s="167"/>
      <c r="H67" s="167"/>
      <c r="I67" s="21"/>
      <c r="J67" s="167"/>
      <c r="K67" s="21"/>
      <c r="L67" s="21"/>
      <c r="M67" s="21"/>
      <c r="N67" s="21"/>
      <c r="O67" s="21"/>
      <c r="P67" s="21"/>
      <c r="Q67" s="23"/>
    </row>
    <row r="68" spans="1:17" x14ac:dyDescent="0.2">
      <c r="A68" s="23"/>
      <c r="B68" s="23"/>
      <c r="C68" s="23"/>
      <c r="D68" s="17"/>
      <c r="E68" s="17"/>
      <c r="F68" s="167"/>
      <c r="G68" s="167"/>
      <c r="H68" s="167"/>
      <c r="I68" s="21"/>
      <c r="J68" s="167"/>
      <c r="K68" s="21"/>
      <c r="L68" s="21"/>
      <c r="M68" s="21"/>
      <c r="N68" s="21"/>
      <c r="O68" s="21"/>
      <c r="P68" s="21"/>
      <c r="Q68" s="23"/>
    </row>
    <row r="69" spans="1:17" x14ac:dyDescent="0.2">
      <c r="A69" s="23"/>
      <c r="B69" s="23"/>
      <c r="C69" s="23"/>
      <c r="D69" s="17"/>
      <c r="E69" s="17"/>
      <c r="F69" s="167"/>
      <c r="G69" s="167"/>
      <c r="H69" s="164"/>
      <c r="I69" s="21"/>
      <c r="J69" s="167"/>
      <c r="K69" s="21"/>
      <c r="L69" s="21"/>
      <c r="M69" s="21"/>
      <c r="N69" s="21"/>
      <c r="O69" s="21"/>
      <c r="P69" s="21"/>
      <c r="Q69" s="23"/>
    </row>
    <row r="70" spans="1:17" x14ac:dyDescent="0.2">
      <c r="A70" s="23"/>
      <c r="B70" s="23"/>
      <c r="C70" s="23"/>
      <c r="D70" s="17"/>
      <c r="E70" s="17"/>
      <c r="F70" s="167"/>
      <c r="G70" s="167"/>
      <c r="H70" s="21"/>
      <c r="I70" s="21"/>
      <c r="J70" s="167"/>
      <c r="K70" s="21"/>
      <c r="L70" s="21"/>
      <c r="M70" s="21"/>
      <c r="N70" s="21"/>
      <c r="O70" s="21"/>
      <c r="P70" s="21"/>
      <c r="Q70" s="23"/>
    </row>
    <row r="71" spans="1:17" x14ac:dyDescent="0.2">
      <c r="A71" s="23"/>
      <c r="B71" s="23"/>
      <c r="C71" s="23"/>
      <c r="D71" s="17"/>
      <c r="E71" s="17"/>
      <c r="F71" s="167"/>
      <c r="G71" s="167"/>
      <c r="H71" s="21"/>
      <c r="I71" s="21"/>
      <c r="J71" s="167"/>
      <c r="K71" s="21"/>
      <c r="L71" s="21"/>
      <c r="M71" s="21"/>
      <c r="N71" s="21"/>
      <c r="O71" s="21"/>
      <c r="P71" s="21"/>
      <c r="Q71" s="23"/>
    </row>
    <row r="72" spans="1:17" x14ac:dyDescent="0.2">
      <c r="A72" s="23"/>
      <c r="B72" s="23"/>
      <c r="C72" s="23"/>
      <c r="D72" s="23"/>
      <c r="E72" s="23"/>
      <c r="F72" s="30"/>
      <c r="G72" s="30"/>
      <c r="H72" s="21"/>
      <c r="I72" s="21"/>
      <c r="J72" s="167"/>
      <c r="K72" s="21"/>
      <c r="L72" s="21"/>
      <c r="M72" s="21"/>
      <c r="N72" s="21"/>
      <c r="O72" s="167"/>
      <c r="P72" s="21"/>
      <c r="Q72" s="23"/>
    </row>
    <row r="73" spans="1:17" x14ac:dyDescent="0.2">
      <c r="A73" s="23"/>
      <c r="B73" s="23"/>
      <c r="C73" s="23"/>
      <c r="D73" s="23"/>
      <c r="E73" s="23"/>
      <c r="F73" s="167"/>
      <c r="G73" s="167"/>
      <c r="H73" s="21"/>
      <c r="I73" s="21"/>
      <c r="J73" s="167"/>
      <c r="K73" s="21"/>
      <c r="L73" s="21"/>
      <c r="M73" s="21"/>
      <c r="N73" s="21"/>
      <c r="O73" s="21"/>
      <c r="P73" s="21"/>
      <c r="Q73" s="23"/>
    </row>
    <row r="74" spans="1:17" x14ac:dyDescent="0.2">
      <c r="A74" s="23"/>
      <c r="B74" s="23"/>
      <c r="C74" s="23"/>
      <c r="D74" s="23"/>
      <c r="E74" s="23"/>
      <c r="F74" s="167"/>
      <c r="G74" s="167"/>
      <c r="H74" s="21"/>
      <c r="I74" s="21"/>
      <c r="J74" s="167"/>
      <c r="K74" s="21"/>
      <c r="L74" s="21"/>
      <c r="M74" s="21"/>
      <c r="N74" s="21"/>
      <c r="O74" s="21"/>
      <c r="P74" s="21"/>
      <c r="Q74" s="23"/>
    </row>
    <row r="75" spans="1:17" x14ac:dyDescent="0.2">
      <c r="A75" s="23"/>
      <c r="B75" s="23"/>
      <c r="C75" s="23"/>
      <c r="D75" s="23"/>
      <c r="E75" s="23"/>
      <c r="F75" s="167"/>
      <c r="G75" s="167"/>
      <c r="H75" s="21"/>
      <c r="I75" s="21"/>
      <c r="J75" s="167"/>
      <c r="K75" s="21"/>
      <c r="L75" s="21"/>
      <c r="M75" s="21"/>
      <c r="N75" s="21"/>
      <c r="O75" s="21"/>
      <c r="P75" s="21"/>
      <c r="Q75" s="23"/>
    </row>
    <row r="76" spans="1:17" x14ac:dyDescent="0.2">
      <c r="A76" s="23"/>
      <c r="B76" s="23"/>
      <c r="C76" s="23"/>
      <c r="D76" s="23"/>
      <c r="E76" s="23"/>
      <c r="F76" s="167"/>
      <c r="G76" s="167"/>
      <c r="H76" s="21"/>
      <c r="I76" s="21"/>
      <c r="J76" s="167"/>
      <c r="K76" s="21"/>
      <c r="L76" s="21"/>
      <c r="M76" s="21"/>
      <c r="N76" s="21"/>
      <c r="O76" s="21"/>
      <c r="P76" s="21"/>
      <c r="Q76" s="23"/>
    </row>
    <row r="77" spans="1:17" x14ac:dyDescent="0.2">
      <c r="A77" s="23"/>
      <c r="B77" s="23"/>
      <c r="C77" s="23"/>
      <c r="D77" s="23"/>
      <c r="E77" s="23"/>
      <c r="F77" s="167"/>
      <c r="G77" s="167"/>
      <c r="H77" s="21"/>
      <c r="I77" s="21"/>
      <c r="J77" s="167"/>
      <c r="K77" s="21"/>
      <c r="L77" s="21"/>
      <c r="M77" s="21"/>
      <c r="N77" s="21"/>
      <c r="O77" s="21"/>
      <c r="P77" s="21"/>
      <c r="Q77" s="23"/>
    </row>
    <row r="78" spans="1:17" x14ac:dyDescent="0.2">
      <c r="A78" s="23"/>
      <c r="B78" s="23"/>
      <c r="C78" s="23"/>
      <c r="D78" s="23"/>
      <c r="E78" s="23"/>
      <c r="F78" s="167"/>
      <c r="G78" s="167"/>
      <c r="H78" s="167"/>
      <c r="I78" s="21"/>
      <c r="J78" s="167"/>
      <c r="K78" s="21"/>
      <c r="L78" s="21"/>
      <c r="M78" s="21"/>
      <c r="N78" s="21"/>
      <c r="O78" s="21"/>
      <c r="P78" s="21"/>
      <c r="Q78" s="23"/>
    </row>
    <row r="81" spans="1:25" x14ac:dyDescent="0.2">
      <c r="A81" t="s">
        <v>37</v>
      </c>
      <c r="C81" s="232" t="s">
        <v>393</v>
      </c>
      <c r="D81" s="233"/>
      <c r="E81" s="233"/>
      <c r="F81" s="233"/>
      <c r="G81" s="233"/>
      <c r="H81" s="233"/>
      <c r="I81" s="233"/>
      <c r="J81" s="233"/>
      <c r="K81" s="233"/>
      <c r="L81" s="233"/>
      <c r="M81" s="234"/>
      <c r="N81" s="162"/>
    </row>
    <row r="82" spans="1:25" x14ac:dyDescent="0.2">
      <c r="C82" s="235"/>
      <c r="D82" s="236"/>
      <c r="E82" s="236"/>
      <c r="F82" s="236"/>
      <c r="G82" s="236"/>
      <c r="H82" s="236"/>
      <c r="I82" s="236"/>
      <c r="J82" s="236"/>
      <c r="K82" s="236"/>
      <c r="L82" s="236"/>
      <c r="M82" s="237"/>
      <c r="N82" s="162"/>
    </row>
    <row r="83" spans="1:25" x14ac:dyDescent="0.2">
      <c r="C83" s="238"/>
      <c r="D83" s="239"/>
      <c r="E83" s="239"/>
      <c r="F83" s="239"/>
      <c r="G83" s="239"/>
      <c r="H83" s="239"/>
      <c r="I83" s="239"/>
      <c r="J83" s="239"/>
      <c r="K83" s="239"/>
      <c r="L83" s="239"/>
      <c r="M83" s="240"/>
      <c r="N83" s="162"/>
    </row>
    <row r="84" spans="1:25" x14ac:dyDescent="0.2">
      <c r="C84" s="14"/>
      <c r="D84" s="14"/>
      <c r="E84" s="14"/>
      <c r="F84" s="14"/>
      <c r="G84" s="14"/>
      <c r="H84" s="14"/>
      <c r="I84" s="14"/>
      <c r="J84" s="14"/>
      <c r="K84" s="14"/>
      <c r="L84" s="14"/>
    </row>
    <row r="85" spans="1:25" x14ac:dyDescent="0.2">
      <c r="C85" s="232" t="s">
        <v>403</v>
      </c>
      <c r="D85" s="233"/>
      <c r="E85" s="233"/>
      <c r="F85" s="233"/>
      <c r="G85" s="233"/>
      <c r="H85" s="233"/>
      <c r="I85" s="233"/>
      <c r="J85" s="233"/>
      <c r="K85" s="233"/>
      <c r="L85" s="233"/>
      <c r="M85" s="233"/>
      <c r="N85" s="233"/>
      <c r="O85" s="233"/>
      <c r="P85" s="234"/>
    </row>
    <row r="86" spans="1:25" x14ac:dyDescent="0.2">
      <c r="C86" s="235"/>
      <c r="D86" s="236"/>
      <c r="E86" s="236"/>
      <c r="F86" s="236"/>
      <c r="G86" s="236"/>
      <c r="H86" s="236"/>
      <c r="I86" s="236"/>
      <c r="J86" s="236"/>
      <c r="K86" s="236"/>
      <c r="L86" s="236"/>
      <c r="M86" s="236"/>
      <c r="N86" s="236"/>
      <c r="O86" s="236"/>
      <c r="P86" s="237"/>
      <c r="Q86" s="241"/>
      <c r="R86" s="241"/>
      <c r="S86" s="241"/>
      <c r="T86" s="241"/>
      <c r="U86" s="241"/>
      <c r="V86" s="241"/>
      <c r="X86" s="241"/>
      <c r="Y86" s="241"/>
    </row>
    <row r="87" spans="1:25" x14ac:dyDescent="0.2">
      <c r="C87" s="238"/>
      <c r="D87" s="239"/>
      <c r="E87" s="239"/>
      <c r="F87" s="239"/>
      <c r="G87" s="239"/>
      <c r="H87" s="239"/>
      <c r="I87" s="239"/>
      <c r="J87" s="239"/>
      <c r="K87" s="239"/>
      <c r="L87" s="239"/>
      <c r="M87" s="239"/>
      <c r="N87" s="239"/>
      <c r="O87" s="239"/>
      <c r="P87" s="240"/>
      <c r="Q87" s="163"/>
      <c r="R87" s="163"/>
      <c r="U87" s="163"/>
      <c r="V87" s="163"/>
    </row>
    <row r="88" spans="1:25" x14ac:dyDescent="0.2">
      <c r="C88" s="165"/>
      <c r="D88" s="165"/>
      <c r="E88" s="165"/>
      <c r="F88" s="165"/>
      <c r="G88" s="165"/>
      <c r="H88" s="165"/>
      <c r="I88" s="165"/>
      <c r="J88" s="165"/>
      <c r="K88" s="165"/>
      <c r="L88" s="165"/>
      <c r="M88" s="165"/>
      <c r="N88" s="165"/>
      <c r="O88" s="165"/>
      <c r="P88" s="165"/>
      <c r="Q88" s="163"/>
      <c r="R88" s="163"/>
      <c r="U88" s="163"/>
      <c r="V88" s="163"/>
    </row>
    <row r="89" spans="1:25" x14ac:dyDescent="0.2">
      <c r="C89" s="232" t="s">
        <v>405</v>
      </c>
      <c r="D89" s="233"/>
      <c r="E89" s="233"/>
      <c r="F89" s="233"/>
      <c r="G89" s="233"/>
      <c r="H89" s="233"/>
      <c r="I89" s="233"/>
      <c r="J89" s="233"/>
      <c r="K89" s="233"/>
      <c r="L89" s="233"/>
      <c r="M89" s="233"/>
      <c r="N89" s="233"/>
      <c r="O89" s="233"/>
      <c r="P89" s="234"/>
      <c r="Q89" s="163"/>
      <c r="R89" s="11"/>
      <c r="T89" s="11"/>
      <c r="V89" s="11"/>
    </row>
    <row r="90" spans="1:25" x14ac:dyDescent="0.2">
      <c r="A90" s="1"/>
      <c r="B90" s="1"/>
      <c r="C90" s="235"/>
      <c r="D90" s="236"/>
      <c r="E90" s="236"/>
      <c r="F90" s="236"/>
      <c r="G90" s="236"/>
      <c r="H90" s="236"/>
      <c r="I90" s="236"/>
      <c r="J90" s="236"/>
      <c r="K90" s="236"/>
      <c r="L90" s="236"/>
      <c r="M90" s="236"/>
      <c r="N90" s="236"/>
      <c r="O90" s="236"/>
      <c r="P90" s="237"/>
      <c r="Q90" s="163"/>
      <c r="R90" s="11"/>
      <c r="T90" s="11"/>
      <c r="V90" s="11"/>
    </row>
    <row r="91" spans="1:25" x14ac:dyDescent="0.2">
      <c r="A91" s="1"/>
      <c r="B91" s="1"/>
      <c r="C91" s="238"/>
      <c r="D91" s="239"/>
      <c r="E91" s="239"/>
      <c r="F91" s="239"/>
      <c r="G91" s="239"/>
      <c r="H91" s="239"/>
      <c r="I91" s="239"/>
      <c r="J91" s="239"/>
      <c r="K91" s="239"/>
      <c r="L91" s="239"/>
      <c r="M91" s="239"/>
      <c r="N91" s="239"/>
      <c r="O91" s="239"/>
      <c r="P91" s="240"/>
      <c r="Q91" s="163"/>
      <c r="R91" s="11"/>
      <c r="T91" s="11"/>
      <c r="V91" s="11"/>
    </row>
    <row r="92" spans="1:25" x14ac:dyDescent="0.2">
      <c r="P92" s="11"/>
      <c r="Q92" s="163"/>
      <c r="R92" s="11"/>
      <c r="T92" s="11"/>
      <c r="V92" s="11"/>
    </row>
    <row r="93" spans="1:25" x14ac:dyDescent="0.2">
      <c r="P93" s="11"/>
      <c r="Q93" s="163"/>
      <c r="R93" s="11"/>
      <c r="T93" s="11"/>
      <c r="V93" s="11"/>
    </row>
    <row r="94" spans="1:25" x14ac:dyDescent="0.2">
      <c r="P94" s="11"/>
      <c r="Q94" s="163"/>
      <c r="R94" s="11"/>
      <c r="T94" s="11"/>
      <c r="V94" s="11"/>
    </row>
    <row r="102" spans="2:17" x14ac:dyDescent="0.2">
      <c r="B102" t="s">
        <v>389</v>
      </c>
    </row>
    <row r="104" spans="2:17" x14ac:dyDescent="0.2">
      <c r="J104" s="163" t="s">
        <v>394</v>
      </c>
      <c r="Q104" t="s">
        <v>404</v>
      </c>
    </row>
  </sheetData>
  <mergeCells count="10">
    <mergeCell ref="C89:P91"/>
    <mergeCell ref="K3:M3"/>
    <mergeCell ref="S3:Y10"/>
    <mergeCell ref="C81:M83"/>
    <mergeCell ref="C85:P87"/>
    <mergeCell ref="Q86:R86"/>
    <mergeCell ref="S86:T86"/>
    <mergeCell ref="U86:V86"/>
    <mergeCell ref="X86:Y86"/>
    <mergeCell ref="Q11:Q13"/>
  </mergeCell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3:AU146"/>
  <sheetViews>
    <sheetView topLeftCell="Q1" zoomScale="55" zoomScaleNormal="55" zoomScalePageLayoutView="55" workbookViewId="0">
      <selection activeCell="AT54" sqref="AT54"/>
    </sheetView>
  </sheetViews>
  <sheetFormatPr baseColWidth="10" defaultColWidth="8.83203125" defaultRowHeight="15" x14ac:dyDescent="0.2"/>
  <cols>
    <col min="1" max="2" width="20.6640625" customWidth="1"/>
    <col min="3" max="3" width="16.33203125" customWidth="1"/>
    <col min="4" max="4" width="10.1640625" customWidth="1"/>
    <col min="5" max="5" width="13.5" customWidth="1"/>
    <col min="6" max="6" width="13.5" style="170" customWidth="1"/>
    <col min="7" max="7" width="11.6640625" style="170" customWidth="1"/>
    <col min="8" max="8" width="10.1640625" style="170" customWidth="1"/>
    <col min="9" max="9" width="12.33203125" style="173" customWidth="1"/>
    <col min="10" max="10" width="10.1640625" style="170" customWidth="1"/>
    <col min="11" max="12" width="13.5" style="173" customWidth="1"/>
    <col min="13" max="14" width="10.1640625" style="173" customWidth="1"/>
    <col min="15" max="15" width="10.1640625" style="170" customWidth="1"/>
    <col min="16" max="16" width="16.33203125" style="170" customWidth="1"/>
    <col min="17" max="17" width="41.33203125" customWidth="1"/>
  </cols>
  <sheetData>
    <row r="3" spans="1:26" ht="30" x14ac:dyDescent="0.2">
      <c r="A3" s="14" t="s">
        <v>0</v>
      </c>
      <c r="B3" s="14"/>
      <c r="C3" s="14"/>
      <c r="D3" s="14" t="s">
        <v>13</v>
      </c>
      <c r="E3" s="14" t="s">
        <v>28</v>
      </c>
      <c r="F3" s="172" t="s">
        <v>1</v>
      </c>
      <c r="G3" s="172" t="s">
        <v>2</v>
      </c>
      <c r="H3" s="172" t="s">
        <v>4</v>
      </c>
      <c r="I3" s="168" t="s">
        <v>8</v>
      </c>
      <c r="J3" s="172" t="s">
        <v>3</v>
      </c>
      <c r="K3" s="230" t="s">
        <v>20</v>
      </c>
      <c r="L3" s="230"/>
      <c r="M3" s="230"/>
      <c r="N3" s="168"/>
      <c r="O3" s="14" t="s">
        <v>21</v>
      </c>
      <c r="P3" s="14"/>
      <c r="Q3" s="14"/>
      <c r="R3" s="14"/>
      <c r="S3" s="231" t="s">
        <v>411</v>
      </c>
      <c r="T3" s="231"/>
      <c r="U3" s="231"/>
      <c r="V3" s="231"/>
      <c r="W3" s="231"/>
      <c r="X3" s="231"/>
      <c r="Y3" s="231"/>
      <c r="Z3" s="14"/>
    </row>
    <row r="4" spans="1:26" x14ac:dyDescent="0.2">
      <c r="A4" s="26"/>
      <c r="B4" s="26" t="s">
        <v>42</v>
      </c>
      <c r="C4" s="26" t="s">
        <v>10</v>
      </c>
      <c r="D4" s="26"/>
      <c r="E4" s="26" t="s">
        <v>27</v>
      </c>
      <c r="F4" s="25"/>
      <c r="G4" s="25"/>
      <c r="H4" s="25" t="s">
        <v>7</v>
      </c>
      <c r="I4" s="27" t="s">
        <v>9</v>
      </c>
      <c r="J4" s="25"/>
      <c r="K4" s="8" t="s">
        <v>55</v>
      </c>
      <c r="L4" s="27" t="s">
        <v>56</v>
      </c>
      <c r="M4" s="27" t="s">
        <v>5</v>
      </c>
      <c r="N4" s="27" t="s">
        <v>55</v>
      </c>
      <c r="O4" s="25" t="s">
        <v>120</v>
      </c>
      <c r="P4" s="25" t="s">
        <v>12</v>
      </c>
      <c r="Q4" s="26" t="s">
        <v>22</v>
      </c>
      <c r="R4" s="14"/>
      <c r="S4" s="231"/>
      <c r="T4" s="231"/>
      <c r="U4" s="231"/>
      <c r="V4" s="231"/>
      <c r="W4" s="231"/>
      <c r="X4" s="231"/>
      <c r="Y4" s="231"/>
      <c r="Z4" s="14"/>
    </row>
    <row r="5" spans="1:26" x14ac:dyDescent="0.2">
      <c r="A5" t="s">
        <v>424</v>
      </c>
      <c r="B5" s="23" t="s">
        <v>409</v>
      </c>
      <c r="C5" s="23" t="s">
        <v>408</v>
      </c>
      <c r="D5" s="23">
        <v>1998</v>
      </c>
      <c r="E5" s="23"/>
      <c r="F5" s="30">
        <v>35926</v>
      </c>
      <c r="G5" s="30">
        <v>36031</v>
      </c>
      <c r="H5" s="174">
        <f>G5-F5</f>
        <v>105</v>
      </c>
      <c r="I5" s="21">
        <f>118/1.12</f>
        <v>105.35714285714285</v>
      </c>
      <c r="J5" s="170">
        <v>0</v>
      </c>
      <c r="K5" s="173" t="s">
        <v>423</v>
      </c>
      <c r="L5" s="173">
        <v>0</v>
      </c>
      <c r="M5" s="173">
        <f>L5/L$12*100</f>
        <v>0</v>
      </c>
      <c r="N5" s="173" t="s">
        <v>206</v>
      </c>
      <c r="O5" s="173">
        <v>0</v>
      </c>
      <c r="P5" s="173">
        <f>O5/O$10*100</f>
        <v>0</v>
      </c>
      <c r="S5" s="231"/>
      <c r="T5" s="231"/>
      <c r="U5" s="231"/>
      <c r="V5" s="231"/>
      <c r="W5" s="231"/>
      <c r="X5" s="231"/>
      <c r="Y5" s="231"/>
    </row>
    <row r="6" spans="1:26" x14ac:dyDescent="0.2">
      <c r="A6" s="23"/>
      <c r="B6" s="23"/>
      <c r="C6" s="23"/>
      <c r="D6" s="23"/>
      <c r="E6" s="23"/>
      <c r="F6" s="174"/>
      <c r="G6" s="174"/>
      <c r="H6" s="174"/>
      <c r="I6" s="21"/>
      <c r="J6" s="174">
        <v>1</v>
      </c>
      <c r="K6" s="21"/>
      <c r="L6" s="21">
        <v>21</v>
      </c>
      <c r="M6" s="173">
        <f t="shared" ref="M6:M12" si="0">L6/L$12*100</f>
        <v>23.176163415757948</v>
      </c>
      <c r="N6" s="21"/>
      <c r="O6" s="21">
        <v>26.379310344827591</v>
      </c>
      <c r="P6" s="173">
        <f t="shared" ref="P6:P12" si="1">O6/O$10*100</f>
        <v>19.636963696369637</v>
      </c>
      <c r="Q6" s="23" t="s">
        <v>426</v>
      </c>
      <c r="S6" s="231"/>
      <c r="T6" s="231"/>
      <c r="U6" s="231"/>
      <c r="V6" s="231"/>
      <c r="W6" s="231"/>
      <c r="X6" s="231"/>
      <c r="Y6" s="231"/>
    </row>
    <row r="7" spans="1:26" x14ac:dyDescent="0.2">
      <c r="A7" s="23"/>
      <c r="B7" s="23"/>
      <c r="C7" s="23"/>
      <c r="D7" s="23"/>
      <c r="E7" s="23"/>
      <c r="F7" s="174"/>
      <c r="G7" s="174"/>
      <c r="H7" s="174"/>
      <c r="I7" s="21"/>
      <c r="J7" s="170">
        <v>2</v>
      </c>
      <c r="K7" s="21"/>
      <c r="L7" s="21">
        <v>35.431411530815112</v>
      </c>
      <c r="M7" s="173">
        <f t="shared" si="0"/>
        <v>39.103056366149588</v>
      </c>
      <c r="N7" s="21"/>
      <c r="O7" s="21">
        <v>62.73399014778326</v>
      </c>
      <c r="P7" s="173">
        <f t="shared" si="1"/>
        <v>46.699669966996701</v>
      </c>
      <c r="Q7" s="23" t="s">
        <v>383</v>
      </c>
      <c r="S7" s="231"/>
      <c r="T7" s="231"/>
      <c r="U7" s="231"/>
      <c r="V7" s="231"/>
      <c r="W7" s="231"/>
      <c r="X7" s="231"/>
      <c r="Y7" s="231"/>
    </row>
    <row r="8" spans="1:26" x14ac:dyDescent="0.2">
      <c r="A8" s="23"/>
      <c r="B8" s="23"/>
      <c r="C8" s="23"/>
      <c r="D8" s="23"/>
      <c r="E8" s="23"/>
      <c r="F8" s="174"/>
      <c r="G8" s="174"/>
      <c r="H8" s="174"/>
      <c r="I8" s="21"/>
      <c r="J8" s="174">
        <v>3</v>
      </c>
      <c r="K8" s="21"/>
      <c r="L8" s="21">
        <v>42.343936381709739</v>
      </c>
      <c r="M8" s="173">
        <f t="shared" si="0"/>
        <v>46.731904249950631</v>
      </c>
      <c r="N8" s="21"/>
      <c r="O8" s="21">
        <v>98.866995073891644</v>
      </c>
      <c r="P8" s="173">
        <f t="shared" si="1"/>
        <v>73.597359735973612</v>
      </c>
      <c r="Q8" s="17" t="s">
        <v>427</v>
      </c>
      <c r="S8" s="231"/>
      <c r="T8" s="231"/>
      <c r="U8" s="231"/>
      <c r="V8" s="231"/>
      <c r="W8" s="231"/>
      <c r="X8" s="231"/>
      <c r="Y8" s="231"/>
    </row>
    <row r="9" spans="1:26" x14ac:dyDescent="0.2">
      <c r="A9" s="23"/>
      <c r="B9" s="23"/>
      <c r="C9" s="23"/>
      <c r="D9" s="23"/>
      <c r="E9" s="23"/>
      <c r="F9" s="30"/>
      <c r="G9" s="30"/>
      <c r="H9" s="174"/>
      <c r="I9" s="21"/>
      <c r="J9" s="170">
        <v>4</v>
      </c>
      <c r="K9" s="21"/>
      <c r="L9" s="21">
        <v>49.377733598409542</v>
      </c>
      <c r="M9" s="173">
        <f t="shared" si="0"/>
        <v>54.494591570309581</v>
      </c>
      <c r="N9" s="21"/>
      <c r="O9" s="21">
        <v>110.83743842364534</v>
      </c>
      <c r="P9" s="173">
        <f t="shared" si="1"/>
        <v>82.508250825082513</v>
      </c>
      <c r="Q9" s="23"/>
      <c r="S9" s="231"/>
      <c r="T9" s="231"/>
      <c r="U9" s="231"/>
      <c r="V9" s="231"/>
      <c r="W9" s="231"/>
      <c r="X9" s="231"/>
      <c r="Y9" s="231"/>
    </row>
    <row r="10" spans="1:26" x14ac:dyDescent="0.2">
      <c r="A10" s="23"/>
      <c r="B10" s="23"/>
      <c r="C10" s="23"/>
      <c r="D10" s="23"/>
      <c r="E10" s="23"/>
      <c r="F10" s="174"/>
      <c r="G10" s="174"/>
      <c r="H10" s="174"/>
      <c r="I10" s="21"/>
      <c r="J10" s="174">
        <v>5</v>
      </c>
      <c r="K10" s="21"/>
      <c r="L10" s="21">
        <v>56.77534791252485</v>
      </c>
      <c r="M10" s="173">
        <f t="shared" si="0"/>
        <v>62.658797200342278</v>
      </c>
      <c r="N10" s="21"/>
      <c r="O10" s="21">
        <v>134.33497536945814</v>
      </c>
      <c r="P10" s="173">
        <f t="shared" si="1"/>
        <v>100</v>
      </c>
      <c r="Q10" s="17" t="s">
        <v>425</v>
      </c>
      <c r="S10" s="231"/>
      <c r="T10" s="231"/>
      <c r="U10" s="231"/>
      <c r="V10" s="231"/>
      <c r="W10" s="231"/>
      <c r="X10" s="231"/>
      <c r="Y10" s="231"/>
    </row>
    <row r="11" spans="1:26" x14ac:dyDescent="0.2">
      <c r="A11" s="23"/>
      <c r="B11" s="23"/>
      <c r="C11" s="23"/>
      <c r="D11" s="23"/>
      <c r="E11" s="23"/>
      <c r="F11" s="174"/>
      <c r="G11" s="174"/>
      <c r="H11" s="174"/>
      <c r="I11" s="21"/>
      <c r="J11" s="170">
        <v>6</v>
      </c>
      <c r="K11" s="21"/>
      <c r="L11" s="21">
        <v>63.566600397614309</v>
      </c>
      <c r="M11" s="173">
        <f t="shared" si="0"/>
        <v>70.153805647585401</v>
      </c>
      <c r="N11" s="21"/>
      <c r="O11" s="21">
        <v>106.40394088669952</v>
      </c>
      <c r="P11" s="173">
        <f t="shared" si="1"/>
        <v>79.207920792079207</v>
      </c>
      <c r="Q11" s="23"/>
    </row>
    <row r="12" spans="1:26" x14ac:dyDescent="0.2">
      <c r="A12" s="23"/>
      <c r="B12" s="23"/>
      <c r="C12" s="23"/>
      <c r="D12" s="23"/>
      <c r="E12" s="23"/>
      <c r="F12" s="174"/>
      <c r="G12" s="174"/>
      <c r="H12" s="174"/>
      <c r="I12" s="21"/>
      <c r="J12" s="174">
        <v>7</v>
      </c>
      <c r="K12" s="21"/>
      <c r="L12" s="21">
        <v>90.610337972167002</v>
      </c>
      <c r="M12" s="173">
        <f t="shared" si="0"/>
        <v>100</v>
      </c>
      <c r="N12" s="21"/>
      <c r="O12" s="21">
        <v>99.088669950738932</v>
      </c>
      <c r="P12" s="173">
        <f t="shared" si="1"/>
        <v>73.762376237623769</v>
      </c>
      <c r="Q12" s="17" t="s">
        <v>428</v>
      </c>
      <c r="U12" t="s">
        <v>412</v>
      </c>
      <c r="X12" t="s">
        <v>413</v>
      </c>
    </row>
    <row r="13" spans="1:26" x14ac:dyDescent="0.2">
      <c r="A13" s="23"/>
      <c r="B13" s="23" t="s">
        <v>409</v>
      </c>
      <c r="C13" s="23"/>
      <c r="D13" s="23">
        <v>1999</v>
      </c>
      <c r="E13" s="23"/>
      <c r="F13" s="30">
        <v>36305</v>
      </c>
      <c r="G13" s="30">
        <v>36411</v>
      </c>
      <c r="H13" s="174">
        <f>G13-F13</f>
        <v>106</v>
      </c>
      <c r="I13" s="21"/>
      <c r="J13" s="170">
        <v>0</v>
      </c>
      <c r="K13" s="21"/>
      <c r="L13" s="21">
        <v>0</v>
      </c>
      <c r="M13" s="173">
        <f>L13/L$21*100</f>
        <v>0</v>
      </c>
      <c r="N13" s="21"/>
      <c r="O13" s="21">
        <v>0</v>
      </c>
      <c r="P13" s="173">
        <f>O13/O$18*100</f>
        <v>0</v>
      </c>
      <c r="Q13" s="23" t="s">
        <v>410</v>
      </c>
      <c r="U13" t="s">
        <v>414</v>
      </c>
      <c r="X13" t="s">
        <v>415</v>
      </c>
    </row>
    <row r="14" spans="1:26" x14ac:dyDescent="0.2">
      <c r="A14" s="23"/>
      <c r="B14" s="23"/>
      <c r="C14" s="23"/>
      <c r="D14" s="23"/>
      <c r="E14" s="23"/>
      <c r="F14" s="30"/>
      <c r="G14" s="30"/>
      <c r="H14" s="174"/>
      <c r="I14" s="21"/>
      <c r="J14" s="174">
        <v>1</v>
      </c>
      <c r="K14" s="21"/>
      <c r="L14" s="21">
        <v>21</v>
      </c>
      <c r="M14" s="173">
        <f t="shared" ref="M14:M21" si="2">L14/L$21*100</f>
        <v>23.284079546717031</v>
      </c>
      <c r="N14" s="21"/>
      <c r="O14" s="21">
        <v>20.689655172413797</v>
      </c>
      <c r="P14" s="173">
        <f t="shared" ref="P14:P21" si="3">O14/O$18*100</f>
        <v>11.546391752577319</v>
      </c>
      <c r="Q14" s="23"/>
      <c r="U14" t="s">
        <v>416</v>
      </c>
      <c r="X14" t="s">
        <v>417</v>
      </c>
    </row>
    <row r="15" spans="1:26" x14ac:dyDescent="0.2">
      <c r="A15" s="23"/>
      <c r="B15" s="23"/>
      <c r="C15" s="23"/>
      <c r="D15" s="23"/>
      <c r="E15" s="23"/>
      <c r="F15" s="174"/>
      <c r="G15" s="174"/>
      <c r="H15" s="174"/>
      <c r="I15" s="21"/>
      <c r="J15" s="170">
        <v>2</v>
      </c>
      <c r="K15" s="21"/>
      <c r="L15" s="21">
        <v>37.136272545090179</v>
      </c>
      <c r="M15" s="173">
        <f t="shared" si="2"/>
        <v>41.175424952783025</v>
      </c>
      <c r="N15" s="21"/>
      <c r="O15" s="21">
        <v>110.83743842364534</v>
      </c>
      <c r="P15" s="173">
        <f t="shared" si="3"/>
        <v>61.855670103092784</v>
      </c>
      <c r="Q15" s="23"/>
      <c r="U15" t="s">
        <v>418</v>
      </c>
      <c r="X15" t="s">
        <v>419</v>
      </c>
    </row>
    <row r="16" spans="1:26" x14ac:dyDescent="0.2">
      <c r="A16" s="23"/>
      <c r="B16" s="23"/>
      <c r="C16" s="23"/>
      <c r="D16" s="23"/>
      <c r="E16" s="23"/>
      <c r="F16" s="174"/>
      <c r="G16" s="174"/>
      <c r="H16" s="174"/>
      <c r="I16" s="21"/>
      <c r="J16" s="174">
        <v>3</v>
      </c>
      <c r="K16" s="21"/>
      <c r="L16" s="21">
        <v>44.348697394789582</v>
      </c>
      <c r="M16" s="173">
        <f t="shared" si="2"/>
        <v>49.17231418731253</v>
      </c>
      <c r="N16" s="21"/>
      <c r="O16" s="21">
        <v>157.38916256157637</v>
      </c>
      <c r="P16" s="173">
        <f t="shared" si="3"/>
        <v>87.835051546391753</v>
      </c>
      <c r="U16" t="s">
        <v>420</v>
      </c>
      <c r="X16" t="s">
        <v>421</v>
      </c>
    </row>
    <row r="17" spans="1:47" x14ac:dyDescent="0.2">
      <c r="A17" s="23"/>
      <c r="B17" s="23"/>
      <c r="C17" s="23"/>
      <c r="D17" s="23"/>
      <c r="E17" s="23"/>
      <c r="F17" s="174"/>
      <c r="G17" s="174"/>
      <c r="H17" s="174"/>
      <c r="I17" s="21"/>
      <c r="J17" s="170">
        <v>4</v>
      </c>
      <c r="K17" s="21"/>
      <c r="L17" s="21">
        <v>51.194388777555112</v>
      </c>
      <c r="M17" s="173">
        <f t="shared" si="2"/>
        <v>56.762581935340521</v>
      </c>
      <c r="N17" s="21"/>
      <c r="O17" s="21">
        <v>164.0394088669951</v>
      </c>
      <c r="P17" s="173">
        <f t="shared" si="3"/>
        <v>91.546391752577321</v>
      </c>
      <c r="Q17" s="23"/>
    </row>
    <row r="18" spans="1:47" x14ac:dyDescent="0.2">
      <c r="A18" s="23"/>
      <c r="B18" s="23"/>
      <c r="C18" s="23"/>
      <c r="D18" s="23"/>
      <c r="E18" s="23"/>
      <c r="F18" s="174"/>
      <c r="G18" s="174"/>
      <c r="H18" s="174"/>
      <c r="I18" s="21"/>
      <c r="J18" s="174">
        <v>5</v>
      </c>
      <c r="K18" s="21"/>
      <c r="L18" s="21">
        <v>57.428857715430865</v>
      </c>
      <c r="M18" s="173">
        <f t="shared" si="2"/>
        <v>63.675147205866026</v>
      </c>
      <c r="N18" s="21"/>
      <c r="O18" s="21">
        <v>179.18719211822662</v>
      </c>
      <c r="P18" s="173">
        <f t="shared" si="3"/>
        <v>100</v>
      </c>
      <c r="Q18" s="23"/>
      <c r="U18" t="s">
        <v>422</v>
      </c>
    </row>
    <row r="19" spans="1:47" x14ac:dyDescent="0.2">
      <c r="A19" s="23"/>
      <c r="B19" s="23"/>
      <c r="C19" s="23"/>
      <c r="D19" s="23"/>
      <c r="E19" s="23"/>
      <c r="F19" s="30"/>
      <c r="G19" s="30"/>
      <c r="H19" s="174"/>
      <c r="I19" s="21"/>
      <c r="J19" s="170">
        <v>6</v>
      </c>
      <c r="K19" s="21"/>
      <c r="L19" s="21">
        <v>64.519038076152299</v>
      </c>
      <c r="M19" s="173">
        <f t="shared" si="2"/>
        <v>71.536495944895009</v>
      </c>
      <c r="N19" s="21"/>
      <c r="O19" s="21">
        <v>139.28571428571431</v>
      </c>
      <c r="P19" s="173">
        <f t="shared" si="3"/>
        <v>77.731958762886606</v>
      </c>
      <c r="Q19" s="23"/>
    </row>
    <row r="20" spans="1:47" x14ac:dyDescent="0.2">
      <c r="A20" s="23"/>
      <c r="B20" s="23"/>
      <c r="C20" s="23"/>
      <c r="D20" s="23"/>
      <c r="E20" s="23"/>
      <c r="F20" s="174"/>
      <c r="G20" s="174"/>
      <c r="H20" s="174"/>
      <c r="I20" s="21"/>
      <c r="J20" s="174">
        <v>7</v>
      </c>
      <c r="K20" s="21"/>
      <c r="L20" s="21">
        <v>71.853707414829671</v>
      </c>
      <c r="M20" s="173">
        <f t="shared" si="2"/>
        <v>79.668925674925021</v>
      </c>
      <c r="N20" s="21"/>
      <c r="O20" s="21">
        <v>126.72413793103451</v>
      </c>
      <c r="P20" s="173">
        <f t="shared" si="3"/>
        <v>70.721649484536087</v>
      </c>
      <c r="Q20" s="23"/>
      <c r="AB20">
        <v>2.17</v>
      </c>
      <c r="AC20">
        <v>100</v>
      </c>
    </row>
    <row r="21" spans="1:47" x14ac:dyDescent="0.2">
      <c r="A21" s="23"/>
      <c r="B21" s="23"/>
      <c r="C21" s="23"/>
      <c r="D21" s="23"/>
      <c r="E21" s="23"/>
      <c r="F21" s="174"/>
      <c r="G21" s="174"/>
      <c r="H21" s="174"/>
      <c r="I21" s="21"/>
      <c r="J21" s="170">
        <v>8</v>
      </c>
      <c r="K21" s="21"/>
      <c r="L21" s="21">
        <v>90.190380761523045</v>
      </c>
      <c r="M21" s="173">
        <f t="shared" si="2"/>
        <v>100</v>
      </c>
      <c r="N21" s="21"/>
      <c r="O21" s="21">
        <v>110.46798029556653</v>
      </c>
      <c r="P21" s="173">
        <f t="shared" si="3"/>
        <v>61.64948453608249</v>
      </c>
      <c r="Q21" s="23"/>
      <c r="AB21">
        <v>0</v>
      </c>
      <c r="AC21">
        <v>0</v>
      </c>
    </row>
    <row r="22" spans="1:47" x14ac:dyDescent="0.2">
      <c r="A22" s="23" t="s">
        <v>429</v>
      </c>
      <c r="B22" s="55" t="s">
        <v>430</v>
      </c>
      <c r="C22" s="23" t="s">
        <v>431</v>
      </c>
      <c r="D22" s="23"/>
      <c r="E22" s="23"/>
      <c r="F22" s="30">
        <v>38821</v>
      </c>
      <c r="G22" s="30">
        <f>F22</f>
        <v>38821</v>
      </c>
      <c r="H22" s="174"/>
      <c r="I22" s="21" t="s">
        <v>432</v>
      </c>
      <c r="J22" s="170">
        <v>0</v>
      </c>
      <c r="K22" s="173" t="s">
        <v>423</v>
      </c>
      <c r="L22" s="21">
        <v>0</v>
      </c>
      <c r="M22" s="173">
        <v>0</v>
      </c>
      <c r="N22" s="21"/>
      <c r="O22" s="21">
        <v>0</v>
      </c>
      <c r="P22" s="173">
        <f t="shared" ref="P22:P27" si="4">O22/O$27*100</f>
        <v>0</v>
      </c>
      <c r="Q22" s="23"/>
      <c r="AB22">
        <v>10</v>
      </c>
      <c r="AC22" s="11"/>
      <c r="AD22" s="11"/>
    </row>
    <row r="23" spans="1:47" x14ac:dyDescent="0.2">
      <c r="A23" s="23"/>
      <c r="G23" s="30">
        <v>38842</v>
      </c>
      <c r="H23" s="174"/>
      <c r="J23" s="170">
        <v>1</v>
      </c>
      <c r="L23" s="21">
        <f>G23-$G$22-5</f>
        <v>16</v>
      </c>
      <c r="M23" s="173">
        <f>L23/L$27*100</f>
        <v>16.666666666666664</v>
      </c>
      <c r="N23" s="21"/>
      <c r="O23" s="21">
        <v>13.448275862068966</v>
      </c>
      <c r="P23" s="173">
        <f t="shared" si="4"/>
        <v>6.9892473118279561</v>
      </c>
      <c r="Q23" s="23"/>
      <c r="AB23">
        <v>20</v>
      </c>
      <c r="AC23" s="11">
        <v>9.216589861751153</v>
      </c>
      <c r="AD23" s="11"/>
    </row>
    <row r="24" spans="1:47" x14ac:dyDescent="0.2">
      <c r="A24" s="23"/>
      <c r="B24" s="23"/>
      <c r="C24" s="23"/>
      <c r="D24" s="23"/>
      <c r="E24" s="23"/>
      <c r="F24" s="174"/>
      <c r="G24" s="173">
        <v>38859</v>
      </c>
      <c r="H24" s="174"/>
      <c r="J24" s="174">
        <v>2</v>
      </c>
      <c r="L24" s="21">
        <f>G24-$G$22-5</f>
        <v>33</v>
      </c>
      <c r="M24" s="173">
        <f>L24/L$27*100</f>
        <v>34.375</v>
      </c>
      <c r="N24" s="21"/>
      <c r="O24" s="21">
        <v>78.620689655172413</v>
      </c>
      <c r="P24" s="173">
        <f t="shared" si="4"/>
        <v>40.86021505376344</v>
      </c>
      <c r="Q24" s="23"/>
      <c r="AB24">
        <v>30</v>
      </c>
      <c r="AC24" s="11">
        <v>30.875576036866363</v>
      </c>
      <c r="AD24" s="11"/>
    </row>
    <row r="25" spans="1:47" x14ac:dyDescent="0.2">
      <c r="A25" s="23"/>
      <c r="B25" s="23"/>
      <c r="C25" s="23"/>
      <c r="D25" s="23"/>
      <c r="E25" s="23"/>
      <c r="F25" s="30"/>
      <c r="G25" s="30">
        <v>38877</v>
      </c>
      <c r="H25" s="174"/>
      <c r="J25" s="170">
        <v>3</v>
      </c>
      <c r="L25" s="21">
        <f>G25-$G$22-5</f>
        <v>51</v>
      </c>
      <c r="M25" s="173">
        <f>L25/L$27*100</f>
        <v>53.125</v>
      </c>
      <c r="N25" s="21"/>
      <c r="O25" s="21">
        <v>129.31034482758622</v>
      </c>
      <c r="P25" s="173">
        <f t="shared" si="4"/>
        <v>67.20430107526883</v>
      </c>
      <c r="Q25" s="23"/>
      <c r="AB25">
        <v>40</v>
      </c>
      <c r="AC25" s="11">
        <v>52.995391705069125</v>
      </c>
      <c r="AD25" s="11"/>
    </row>
    <row r="26" spans="1:47" x14ac:dyDescent="0.2">
      <c r="A26" s="23"/>
      <c r="B26" s="23"/>
      <c r="C26" s="23"/>
      <c r="D26" s="23"/>
      <c r="E26" s="23"/>
      <c r="F26" s="174"/>
      <c r="G26" s="30">
        <v>38895</v>
      </c>
      <c r="H26" s="174"/>
      <c r="I26" s="21"/>
      <c r="J26" s="174">
        <v>4</v>
      </c>
      <c r="L26" s="21">
        <f>G26-$G$22-5</f>
        <v>69</v>
      </c>
      <c r="M26" s="173">
        <f>L26/L$27*100</f>
        <v>71.875</v>
      </c>
      <c r="N26" s="21"/>
      <c r="O26" s="21">
        <v>146.89655172413794</v>
      </c>
      <c r="P26" s="173">
        <f t="shared" si="4"/>
        <v>76.344086021505376</v>
      </c>
      <c r="Q26" s="23"/>
      <c r="AB26">
        <v>50</v>
      </c>
      <c r="AC26" s="11">
        <v>70.967741935483886</v>
      </c>
      <c r="AD26" s="11"/>
    </row>
    <row r="27" spans="1:47" x14ac:dyDescent="0.2">
      <c r="A27" s="23"/>
      <c r="B27" s="23"/>
      <c r="C27" s="23"/>
      <c r="D27" s="23"/>
      <c r="E27" s="23"/>
      <c r="F27" s="174"/>
      <c r="G27" s="30">
        <v>38922</v>
      </c>
      <c r="H27" s="174"/>
      <c r="I27" s="21"/>
      <c r="J27" s="170">
        <v>5</v>
      </c>
      <c r="L27" s="21">
        <f>G27-$G$22-5</f>
        <v>96</v>
      </c>
      <c r="M27" s="173">
        <f>L27/L$27*100</f>
        <v>100</v>
      </c>
      <c r="N27" s="21"/>
      <c r="O27" s="21">
        <v>192.41379310344828</v>
      </c>
      <c r="P27" s="173">
        <f t="shared" si="4"/>
        <v>100</v>
      </c>
      <c r="Q27" s="23"/>
      <c r="AB27">
        <v>60</v>
      </c>
      <c r="AC27" s="11">
        <v>87.557603686635943</v>
      </c>
      <c r="AD27" s="11"/>
    </row>
    <row r="28" spans="1:47" x14ac:dyDescent="0.2">
      <c r="A28" s="23"/>
      <c r="B28" s="23"/>
      <c r="C28" s="23"/>
      <c r="D28" s="23"/>
      <c r="E28" s="23"/>
      <c r="F28" s="30">
        <v>39183</v>
      </c>
      <c r="G28" s="30">
        <f>F28</f>
        <v>39183</v>
      </c>
      <c r="H28" s="174"/>
      <c r="I28" s="21" t="s">
        <v>432</v>
      </c>
      <c r="J28" s="170">
        <v>0</v>
      </c>
      <c r="L28" s="21">
        <v>0</v>
      </c>
      <c r="M28" s="173">
        <f t="shared" ref="M28:M33" si="5">L28/L$33*100</f>
        <v>0</v>
      </c>
      <c r="N28" s="21"/>
      <c r="O28" s="21">
        <v>0</v>
      </c>
      <c r="P28" s="173">
        <f t="shared" ref="P28:P33" si="6">O28/O$31*100</f>
        <v>0</v>
      </c>
      <c r="Q28" s="23"/>
      <c r="AB28">
        <v>70</v>
      </c>
      <c r="AC28" s="11">
        <v>97.235023041474662</v>
      </c>
      <c r="AD28" s="11"/>
    </row>
    <row r="29" spans="1:47" x14ac:dyDescent="0.2">
      <c r="A29" s="23"/>
      <c r="B29" s="23"/>
      <c r="C29" s="23"/>
      <c r="D29" s="23"/>
      <c r="E29" s="23"/>
      <c r="F29" s="174"/>
      <c r="G29" s="30">
        <v>39216</v>
      </c>
      <c r="H29" s="174"/>
      <c r="J29" s="174">
        <v>1</v>
      </c>
      <c r="L29" s="21">
        <f>G29-$G$28-5</f>
        <v>28</v>
      </c>
      <c r="M29" s="173">
        <f t="shared" si="5"/>
        <v>28.571428571428569</v>
      </c>
      <c r="N29" s="21"/>
      <c r="O29" s="21">
        <v>38.275862068965516</v>
      </c>
      <c r="P29" s="173">
        <f t="shared" si="6"/>
        <v>30.578512396694212</v>
      </c>
      <c r="Q29" s="23"/>
      <c r="AB29">
        <v>80</v>
      </c>
      <c r="AC29" s="11">
        <v>97.695852534562221</v>
      </c>
      <c r="AD29" s="11"/>
      <c r="AQ29" s="11"/>
      <c r="AU29" s="11"/>
    </row>
    <row r="30" spans="1:47" x14ac:dyDescent="0.2">
      <c r="A30" s="23"/>
      <c r="B30" s="23"/>
      <c r="C30" s="23"/>
      <c r="D30" s="23"/>
      <c r="E30" s="23"/>
      <c r="F30" s="174"/>
      <c r="G30" s="30">
        <v>39233</v>
      </c>
      <c r="H30" s="174"/>
      <c r="J30" s="170">
        <v>2</v>
      </c>
      <c r="L30" s="21">
        <f>G30-$G$28-5</f>
        <v>45</v>
      </c>
      <c r="M30" s="173">
        <f t="shared" si="5"/>
        <v>45.91836734693878</v>
      </c>
      <c r="N30" s="21"/>
      <c r="O30" s="21">
        <v>68.275862068965523</v>
      </c>
      <c r="P30" s="173">
        <f t="shared" si="6"/>
        <v>54.54545454545454</v>
      </c>
      <c r="Q30" s="23"/>
      <c r="AB30">
        <v>90</v>
      </c>
      <c r="AC30" s="11">
        <v>90.322580645161295</v>
      </c>
      <c r="AD30" s="11"/>
      <c r="AQ30" s="11"/>
      <c r="AU30" s="11"/>
    </row>
    <row r="31" spans="1:47" x14ac:dyDescent="0.2">
      <c r="A31" s="23"/>
      <c r="B31" s="23"/>
      <c r="C31" s="23"/>
      <c r="D31" s="23"/>
      <c r="E31" s="23"/>
      <c r="F31" s="174"/>
      <c r="G31" s="30">
        <v>39247</v>
      </c>
      <c r="H31" s="174"/>
      <c r="J31" s="174">
        <v>3</v>
      </c>
      <c r="L31" s="21">
        <f>G31-$G$28-5</f>
        <v>59</v>
      </c>
      <c r="M31" s="173">
        <f t="shared" si="5"/>
        <v>60.204081632653065</v>
      </c>
      <c r="N31" s="21"/>
      <c r="O31" s="21">
        <v>125.17241379310346</v>
      </c>
      <c r="P31" s="173">
        <f t="shared" si="6"/>
        <v>100</v>
      </c>
      <c r="Q31" s="23"/>
      <c r="AB31">
        <v>100</v>
      </c>
      <c r="AC31" s="11">
        <v>79.262672811059915</v>
      </c>
      <c r="AD31" s="11"/>
      <c r="AQ31" s="11"/>
      <c r="AU31" s="11"/>
    </row>
    <row r="32" spans="1:47" x14ac:dyDescent="0.2">
      <c r="A32" s="23"/>
      <c r="B32" s="23"/>
      <c r="C32" s="23"/>
      <c r="D32" s="23"/>
      <c r="E32" s="23"/>
      <c r="F32" s="30"/>
      <c r="G32" s="30">
        <v>39259</v>
      </c>
      <c r="H32" s="174"/>
      <c r="I32" s="21"/>
      <c r="J32" s="170">
        <v>4</v>
      </c>
      <c r="L32" s="21">
        <f>G32-$G$28-5</f>
        <v>71</v>
      </c>
      <c r="M32" s="173">
        <f t="shared" si="5"/>
        <v>72.448979591836732</v>
      </c>
      <c r="N32" s="21"/>
      <c r="O32" s="21">
        <v>123.10344827586206</v>
      </c>
      <c r="P32" s="173">
        <f t="shared" si="6"/>
        <v>98.347107438016508</v>
      </c>
      <c r="Q32" s="23"/>
      <c r="AQ32" s="11"/>
      <c r="AU32" s="11"/>
    </row>
    <row r="33" spans="1:47" x14ac:dyDescent="0.2">
      <c r="A33" s="23"/>
      <c r="B33" s="23"/>
      <c r="C33" s="23"/>
      <c r="D33" s="23"/>
      <c r="E33" s="23"/>
      <c r="F33" s="174"/>
      <c r="G33" s="30">
        <v>39286</v>
      </c>
      <c r="H33" s="174"/>
      <c r="I33" s="21"/>
      <c r="J33" s="170">
        <v>5</v>
      </c>
      <c r="L33" s="21">
        <f>G33-$G$28-5</f>
        <v>98</v>
      </c>
      <c r="M33" s="173">
        <f t="shared" si="5"/>
        <v>100</v>
      </c>
      <c r="N33" s="21"/>
      <c r="O33" s="21">
        <v>100.3448275862069</v>
      </c>
      <c r="P33" s="173">
        <f t="shared" si="6"/>
        <v>80.165289256198349</v>
      </c>
      <c r="Q33" s="23"/>
      <c r="AQ33" s="11"/>
      <c r="AU33" s="11"/>
    </row>
    <row r="34" spans="1:47" x14ac:dyDescent="0.2">
      <c r="A34" s="23" t="s">
        <v>434</v>
      </c>
      <c r="B34" s="55" t="s">
        <v>435</v>
      </c>
      <c r="C34" s="23" t="s">
        <v>436</v>
      </c>
      <c r="D34" s="23">
        <v>2006</v>
      </c>
      <c r="E34" s="23"/>
      <c r="F34" s="170" t="s">
        <v>438</v>
      </c>
      <c r="I34" s="21">
        <f>75/1.12</f>
        <v>66.964285714285708</v>
      </c>
      <c r="K34" s="30" t="s">
        <v>311</v>
      </c>
      <c r="L34" s="21">
        <v>0</v>
      </c>
      <c r="M34" s="179">
        <f>L34/L$43*100</f>
        <v>0</v>
      </c>
      <c r="N34" s="21"/>
      <c r="O34" s="21">
        <v>0</v>
      </c>
      <c r="P34" s="21">
        <f>O34/O$40*100</f>
        <v>0</v>
      </c>
      <c r="Q34" s="23"/>
      <c r="AQ34" s="11"/>
      <c r="AU34" s="11"/>
    </row>
    <row r="35" spans="1:47" x14ac:dyDescent="0.2">
      <c r="A35" s="23"/>
      <c r="B35" s="23"/>
      <c r="C35" s="23"/>
      <c r="D35" s="23"/>
      <c r="E35" s="23"/>
      <c r="J35" s="170" t="s">
        <v>426</v>
      </c>
      <c r="K35" s="30"/>
      <c r="L35" s="21">
        <v>25</v>
      </c>
      <c r="M35" s="179">
        <f t="shared" ref="M35:M43" si="7">L35/L$43*100</f>
        <v>26.041666666666668</v>
      </c>
      <c r="N35" s="21"/>
      <c r="O35" s="21">
        <v>32.9</v>
      </c>
      <c r="P35" s="21">
        <f t="shared" ref="P35:P43" si="8">O35/O$40*100</f>
        <v>17.726293103448278</v>
      </c>
      <c r="Q35" s="23"/>
      <c r="AU35" s="11"/>
    </row>
    <row r="36" spans="1:47" x14ac:dyDescent="0.2">
      <c r="A36" s="23"/>
      <c r="B36" s="23"/>
      <c r="C36" s="23"/>
      <c r="D36" s="23"/>
      <c r="E36" s="23"/>
      <c r="J36" s="174"/>
      <c r="L36" s="21">
        <v>33</v>
      </c>
      <c r="M36" s="179">
        <f t="shared" si="7"/>
        <v>34.375</v>
      </c>
      <c r="N36" s="21"/>
      <c r="O36" s="21">
        <v>79.400000000000006</v>
      </c>
      <c r="P36" s="21">
        <f t="shared" si="8"/>
        <v>42.78017241379311</v>
      </c>
      <c r="Q36" s="23"/>
    </row>
    <row r="37" spans="1:47" x14ac:dyDescent="0.2">
      <c r="A37" s="23"/>
      <c r="B37" s="23"/>
      <c r="C37" s="23"/>
      <c r="D37" s="23"/>
      <c r="E37" s="23"/>
      <c r="F37" s="174"/>
      <c r="G37" s="174"/>
      <c r="H37" s="174"/>
      <c r="I37" s="21"/>
      <c r="K37" s="30"/>
      <c r="L37" s="21">
        <v>40</v>
      </c>
      <c r="M37" s="179">
        <f t="shared" si="7"/>
        <v>41.666666666666671</v>
      </c>
      <c r="N37" s="21"/>
      <c r="O37" s="21">
        <v>113.3</v>
      </c>
      <c r="P37" s="21">
        <f t="shared" si="8"/>
        <v>61.045258620689658</v>
      </c>
      <c r="Q37" s="23"/>
    </row>
    <row r="38" spans="1:47" x14ac:dyDescent="0.2">
      <c r="A38" s="23"/>
      <c r="B38" s="23"/>
      <c r="C38" s="23"/>
      <c r="D38" s="23"/>
      <c r="E38" s="23"/>
      <c r="F38" s="174"/>
      <c r="G38" s="174"/>
      <c r="H38" s="174"/>
      <c r="I38" s="21"/>
      <c r="J38" s="174"/>
      <c r="K38" s="30"/>
      <c r="L38" s="21">
        <v>56</v>
      </c>
      <c r="M38" s="179">
        <f t="shared" si="7"/>
        <v>58.333333333333336</v>
      </c>
      <c r="N38" s="21"/>
      <c r="O38" s="21">
        <v>181.6</v>
      </c>
      <c r="P38" s="21">
        <f t="shared" si="8"/>
        <v>97.84482758620689</v>
      </c>
      <c r="Q38" s="23"/>
    </row>
    <row r="39" spans="1:47" x14ac:dyDescent="0.2">
      <c r="A39" s="23"/>
      <c r="B39" s="23"/>
      <c r="C39" s="23"/>
      <c r="D39" s="23"/>
      <c r="E39" s="23"/>
      <c r="F39" s="174"/>
      <c r="G39" s="174"/>
      <c r="H39" s="174"/>
      <c r="I39" s="21"/>
      <c r="J39" s="170" t="s">
        <v>437</v>
      </c>
      <c r="K39" s="30"/>
      <c r="L39" s="21">
        <v>63</v>
      </c>
      <c r="M39" s="179">
        <f t="shared" si="7"/>
        <v>65.625</v>
      </c>
      <c r="N39" s="21"/>
      <c r="O39" s="21">
        <v>185.9</v>
      </c>
      <c r="P39" s="21">
        <f t="shared" si="8"/>
        <v>100.16163793103449</v>
      </c>
      <c r="Q39" s="23"/>
      <c r="T39" t="s">
        <v>458</v>
      </c>
    </row>
    <row r="40" spans="1:47" x14ac:dyDescent="0.2">
      <c r="A40" s="23"/>
      <c r="B40" s="23"/>
      <c r="C40" s="23"/>
      <c r="D40" s="23"/>
      <c r="E40" s="23"/>
      <c r="I40" s="21"/>
      <c r="J40" s="170" t="s">
        <v>425</v>
      </c>
      <c r="K40" s="30"/>
      <c r="L40" s="21">
        <v>69</v>
      </c>
      <c r="M40" s="179">
        <f t="shared" si="7"/>
        <v>71.875</v>
      </c>
      <c r="N40" s="21"/>
      <c r="O40" s="21">
        <v>185.6</v>
      </c>
      <c r="P40" s="21">
        <f t="shared" si="8"/>
        <v>100</v>
      </c>
      <c r="Q40" s="23"/>
    </row>
    <row r="41" spans="1:47" x14ac:dyDescent="0.2">
      <c r="A41" s="23"/>
      <c r="K41" s="30"/>
      <c r="L41" s="21">
        <v>77</v>
      </c>
      <c r="M41" s="179">
        <f t="shared" si="7"/>
        <v>80.208333333333343</v>
      </c>
      <c r="N41" s="21"/>
      <c r="O41" s="21">
        <v>133.19999999999999</v>
      </c>
      <c r="P41" s="21">
        <f t="shared" si="8"/>
        <v>71.767241379310349</v>
      </c>
      <c r="Q41" s="23"/>
    </row>
    <row r="42" spans="1:47" x14ac:dyDescent="0.2">
      <c r="A42" s="23"/>
      <c r="J42" s="174"/>
      <c r="L42" s="21">
        <v>84</v>
      </c>
      <c r="M42" s="179">
        <f t="shared" si="7"/>
        <v>87.5</v>
      </c>
      <c r="N42" s="21"/>
      <c r="O42" s="21">
        <v>136.30000000000001</v>
      </c>
      <c r="P42" s="21">
        <f t="shared" si="8"/>
        <v>73.437500000000014</v>
      </c>
      <c r="Q42" s="23"/>
    </row>
    <row r="43" spans="1:47" x14ac:dyDescent="0.2">
      <c r="A43" s="23"/>
      <c r="J43" s="170" t="s">
        <v>387</v>
      </c>
      <c r="K43" s="30"/>
      <c r="L43" s="21">
        <v>96</v>
      </c>
      <c r="M43" s="179">
        <f t="shared" si="7"/>
        <v>100</v>
      </c>
      <c r="N43" s="21"/>
      <c r="O43" s="21">
        <v>164.1</v>
      </c>
      <c r="P43" s="21">
        <f t="shared" si="8"/>
        <v>88.415948275862064</v>
      </c>
      <c r="Q43" s="23"/>
    </row>
    <row r="44" spans="1:47" x14ac:dyDescent="0.2">
      <c r="A44" s="23"/>
      <c r="D44">
        <v>2007</v>
      </c>
      <c r="J44" s="174"/>
      <c r="K44" s="30"/>
      <c r="L44" s="21">
        <v>0</v>
      </c>
      <c r="M44" s="179">
        <f>L44/L$52*100</f>
        <v>0</v>
      </c>
      <c r="N44" s="21"/>
      <c r="O44" s="21">
        <v>0</v>
      </c>
      <c r="P44" s="21">
        <f>O44/O$52*100</f>
        <v>0</v>
      </c>
      <c r="Q44" s="23"/>
    </row>
    <row r="45" spans="1:47" x14ac:dyDescent="0.2">
      <c r="A45" s="23"/>
      <c r="J45" s="170" t="s">
        <v>426</v>
      </c>
      <c r="K45" s="30"/>
      <c r="L45" s="21">
        <v>27</v>
      </c>
      <c r="M45" s="179">
        <f t="shared" ref="M45:M52" si="9">L45/L$52*100</f>
        <v>27.551020408163261</v>
      </c>
      <c r="N45" s="21"/>
      <c r="O45" s="21">
        <v>19.3</v>
      </c>
      <c r="P45" s="21">
        <f t="shared" ref="P45:P52" si="10">O45/O$52*100</f>
        <v>10.078328981723237</v>
      </c>
      <c r="Q45" s="23"/>
    </row>
    <row r="46" spans="1:47" x14ac:dyDescent="0.2">
      <c r="A46" s="23"/>
      <c r="L46" s="21">
        <v>36</v>
      </c>
      <c r="M46" s="179">
        <f t="shared" si="9"/>
        <v>36.734693877551024</v>
      </c>
      <c r="N46" s="21"/>
      <c r="O46" s="21">
        <v>52.9</v>
      </c>
      <c r="P46" s="21">
        <f t="shared" si="10"/>
        <v>27.624020887728456</v>
      </c>
      <c r="Q46" s="23"/>
    </row>
    <row r="47" spans="1:47" x14ac:dyDescent="0.2">
      <c r="A47" s="23"/>
      <c r="L47" s="21">
        <v>43</v>
      </c>
      <c r="M47" s="179">
        <f t="shared" si="9"/>
        <v>43.877551020408163</v>
      </c>
      <c r="N47" s="21"/>
      <c r="O47" s="21">
        <v>66.3</v>
      </c>
      <c r="P47" s="21">
        <f t="shared" si="10"/>
        <v>34.621409921671017</v>
      </c>
      <c r="Q47" s="23"/>
    </row>
    <row r="48" spans="1:47" x14ac:dyDescent="0.2">
      <c r="A48" s="23"/>
      <c r="L48" s="21">
        <v>51</v>
      </c>
      <c r="M48" s="179">
        <f t="shared" si="9"/>
        <v>52.040816326530617</v>
      </c>
      <c r="N48" s="21"/>
      <c r="O48" s="21">
        <v>81.7</v>
      </c>
      <c r="P48" s="21">
        <f t="shared" si="10"/>
        <v>42.663185378590079</v>
      </c>
      <c r="Q48" s="23"/>
    </row>
    <row r="49" spans="1:17" x14ac:dyDescent="0.2">
      <c r="A49" s="23"/>
      <c r="J49" s="170" t="s">
        <v>437</v>
      </c>
      <c r="L49" s="21">
        <v>64</v>
      </c>
      <c r="M49" s="179">
        <f t="shared" si="9"/>
        <v>65.306122448979593</v>
      </c>
      <c r="N49" s="21"/>
      <c r="O49" s="21">
        <v>115.4</v>
      </c>
      <c r="P49" s="21">
        <f t="shared" si="10"/>
        <v>60.261096605744122</v>
      </c>
      <c r="Q49" s="23"/>
    </row>
    <row r="50" spans="1:17" x14ac:dyDescent="0.2">
      <c r="A50" s="23"/>
      <c r="L50" s="21">
        <v>75</v>
      </c>
      <c r="M50" s="179">
        <f t="shared" si="9"/>
        <v>76.530612244897952</v>
      </c>
      <c r="N50" s="21"/>
      <c r="O50" s="21">
        <v>155.30000000000001</v>
      </c>
      <c r="P50" s="21">
        <f t="shared" si="10"/>
        <v>81.096605744125327</v>
      </c>
      <c r="Q50" s="23"/>
    </row>
    <row r="51" spans="1:17" x14ac:dyDescent="0.2">
      <c r="A51" s="23"/>
      <c r="B51" s="23"/>
      <c r="C51" s="23"/>
      <c r="D51" s="23"/>
      <c r="E51" s="23"/>
      <c r="L51" s="21">
        <v>82</v>
      </c>
      <c r="M51" s="179">
        <f t="shared" si="9"/>
        <v>83.673469387755105</v>
      </c>
      <c r="N51" s="21"/>
      <c r="O51" s="21">
        <v>178.8</v>
      </c>
      <c r="P51" s="21">
        <f t="shared" si="10"/>
        <v>93.368146214099227</v>
      </c>
      <c r="Q51" s="23"/>
    </row>
    <row r="52" spans="1:17" x14ac:dyDescent="0.2">
      <c r="A52" s="23"/>
      <c r="B52" s="23"/>
      <c r="C52" s="23"/>
      <c r="D52" s="23"/>
      <c r="E52" s="23"/>
      <c r="J52" s="170" t="s">
        <v>387</v>
      </c>
      <c r="K52" s="30"/>
      <c r="L52" s="21">
        <v>98</v>
      </c>
      <c r="M52" s="179">
        <f t="shared" si="9"/>
        <v>100</v>
      </c>
      <c r="N52" s="21"/>
      <c r="O52" s="21">
        <v>191.5</v>
      </c>
      <c r="P52" s="21">
        <f t="shared" si="10"/>
        <v>100</v>
      </c>
      <c r="Q52" s="23"/>
    </row>
    <row r="53" spans="1:17" x14ac:dyDescent="0.2">
      <c r="A53" s="23"/>
      <c r="B53" s="23"/>
      <c r="C53" s="23"/>
      <c r="D53" s="23">
        <v>2008</v>
      </c>
      <c r="E53" s="23"/>
      <c r="J53" s="174"/>
      <c r="K53" s="30"/>
      <c r="L53" s="21">
        <v>0</v>
      </c>
      <c r="M53" s="179">
        <f>L53/L$62*100</f>
        <v>0</v>
      </c>
      <c r="N53" s="21"/>
      <c r="O53" s="21">
        <v>0</v>
      </c>
      <c r="P53" s="21">
        <f>O53/O$57*100</f>
        <v>0</v>
      </c>
      <c r="Q53" s="23"/>
    </row>
    <row r="54" spans="1:17" x14ac:dyDescent="0.2">
      <c r="A54" s="23"/>
      <c r="B54" s="23"/>
      <c r="C54" s="23"/>
      <c r="D54" s="23"/>
      <c r="E54" s="23"/>
      <c r="J54" s="170" t="s">
        <v>426</v>
      </c>
      <c r="K54" s="30"/>
      <c r="L54" s="21">
        <v>33</v>
      </c>
      <c r="M54" s="179">
        <f t="shared" ref="M54:M62" si="11">L54/L$62*100</f>
        <v>32.352941176470587</v>
      </c>
      <c r="N54" s="21"/>
      <c r="O54" s="21">
        <v>27.3</v>
      </c>
      <c r="P54" s="21">
        <f t="shared" ref="P54:P62" si="12">O54/O$57*100</f>
        <v>22.105263157894736</v>
      </c>
      <c r="Q54" s="23"/>
    </row>
    <row r="55" spans="1:17" x14ac:dyDescent="0.2">
      <c r="A55" s="23"/>
      <c r="B55" s="23"/>
      <c r="C55" s="23"/>
      <c r="D55" s="23"/>
      <c r="E55" s="23"/>
      <c r="J55" s="174"/>
      <c r="K55" s="30"/>
      <c r="L55" s="21">
        <v>42</v>
      </c>
      <c r="M55" s="179">
        <f t="shared" si="11"/>
        <v>41.17647058823529</v>
      </c>
      <c r="N55" s="21"/>
      <c r="O55" s="21">
        <v>80</v>
      </c>
      <c r="P55" s="21">
        <f t="shared" si="12"/>
        <v>64.777327935222672</v>
      </c>
      <c r="Q55" s="23"/>
    </row>
    <row r="56" spans="1:17" x14ac:dyDescent="0.2">
      <c r="A56" s="23"/>
      <c r="B56" s="23"/>
      <c r="C56" s="23"/>
      <c r="D56" s="23"/>
      <c r="E56" s="23"/>
      <c r="F56" s="174"/>
      <c r="G56" s="174"/>
      <c r="H56" s="174"/>
      <c r="K56" s="30"/>
      <c r="L56" s="21">
        <v>54</v>
      </c>
      <c r="M56" s="179">
        <f t="shared" si="11"/>
        <v>52.941176470588239</v>
      </c>
      <c r="N56" s="21"/>
      <c r="O56" s="21">
        <v>104.8</v>
      </c>
      <c r="P56" s="21">
        <f t="shared" si="12"/>
        <v>84.858299595141702</v>
      </c>
      <c r="Q56" s="23"/>
    </row>
    <row r="57" spans="1:17" x14ac:dyDescent="0.2">
      <c r="A57" s="23"/>
      <c r="B57" s="23"/>
      <c r="C57" s="23"/>
      <c r="D57" s="23"/>
      <c r="E57" s="23"/>
      <c r="F57" s="174"/>
      <c r="G57" s="174"/>
      <c r="H57" s="174"/>
      <c r="J57" s="170" t="s">
        <v>437</v>
      </c>
      <c r="K57" s="21"/>
      <c r="L57" s="21">
        <v>61</v>
      </c>
      <c r="M57" s="179">
        <f t="shared" si="11"/>
        <v>59.803921568627452</v>
      </c>
      <c r="N57" s="21"/>
      <c r="O57" s="21">
        <v>123.5</v>
      </c>
      <c r="P57" s="21">
        <f t="shared" si="12"/>
        <v>100</v>
      </c>
      <c r="Q57" s="23"/>
    </row>
    <row r="58" spans="1:17" x14ac:dyDescent="0.2">
      <c r="A58" s="23"/>
      <c r="B58" s="23"/>
      <c r="C58" s="23"/>
      <c r="D58" s="23"/>
      <c r="E58" s="23"/>
      <c r="F58" s="174"/>
      <c r="G58" s="174"/>
      <c r="H58" s="174"/>
      <c r="I58" s="21"/>
      <c r="J58" s="170" t="s">
        <v>425</v>
      </c>
      <c r="K58" s="30"/>
      <c r="L58" s="21">
        <v>69</v>
      </c>
      <c r="M58" s="179">
        <f t="shared" si="11"/>
        <v>67.64705882352942</v>
      </c>
      <c r="N58" s="21"/>
      <c r="O58" s="21">
        <v>111.4</v>
      </c>
      <c r="P58" s="21">
        <f t="shared" si="12"/>
        <v>90.202429149797581</v>
      </c>
      <c r="Q58" s="23"/>
    </row>
    <row r="59" spans="1:17" x14ac:dyDescent="0.2">
      <c r="A59" s="23"/>
      <c r="B59" s="23"/>
      <c r="C59" s="23"/>
      <c r="D59" s="23"/>
      <c r="E59" s="23"/>
      <c r="F59" s="174"/>
      <c r="G59" s="174"/>
      <c r="H59" s="174"/>
      <c r="J59" s="174"/>
      <c r="K59" s="30"/>
      <c r="L59" s="21">
        <v>75</v>
      </c>
      <c r="M59" s="179">
        <f t="shared" si="11"/>
        <v>73.529411764705884</v>
      </c>
      <c r="N59" s="21"/>
      <c r="O59" s="21">
        <v>76.8</v>
      </c>
      <c r="P59" s="21">
        <f t="shared" si="12"/>
        <v>62.186234817813769</v>
      </c>
      <c r="Q59" s="23"/>
    </row>
    <row r="60" spans="1:17" x14ac:dyDescent="0.2">
      <c r="A60" s="23"/>
      <c r="B60" s="23"/>
      <c r="C60" s="23"/>
      <c r="D60" s="23"/>
      <c r="E60" s="23"/>
      <c r="F60" s="30"/>
      <c r="G60" s="30"/>
      <c r="H60" s="174"/>
      <c r="K60" s="30"/>
      <c r="L60" s="21">
        <v>81</v>
      </c>
      <c r="M60" s="179">
        <f t="shared" si="11"/>
        <v>79.411764705882348</v>
      </c>
      <c r="N60" s="21"/>
      <c r="O60" s="21">
        <v>70.900000000000006</v>
      </c>
      <c r="P60" s="21">
        <f t="shared" si="12"/>
        <v>57.40890688259109</v>
      </c>
      <c r="Q60" s="23"/>
    </row>
    <row r="61" spans="1:17" x14ac:dyDescent="0.2">
      <c r="A61" s="23"/>
      <c r="B61" s="23"/>
      <c r="C61" s="23"/>
      <c r="D61" s="23"/>
      <c r="E61" s="23"/>
      <c r="F61" s="174"/>
      <c r="G61" s="174"/>
      <c r="H61" s="174"/>
      <c r="I61" s="21"/>
      <c r="J61" s="174"/>
      <c r="K61" s="30"/>
      <c r="L61" s="21">
        <v>88</v>
      </c>
      <c r="M61" s="179">
        <f t="shared" si="11"/>
        <v>86.274509803921575</v>
      </c>
      <c r="N61" s="21"/>
      <c r="O61" s="21">
        <v>80</v>
      </c>
      <c r="P61" s="21">
        <f t="shared" si="12"/>
        <v>64.777327935222672</v>
      </c>
      <c r="Q61" s="23"/>
    </row>
    <row r="62" spans="1:17" x14ac:dyDescent="0.2">
      <c r="A62" s="23"/>
      <c r="B62" s="23"/>
      <c r="C62" s="23"/>
      <c r="D62" s="23"/>
      <c r="E62" s="23"/>
      <c r="F62" s="174"/>
      <c r="G62" s="174"/>
      <c r="H62" s="174"/>
      <c r="I62" s="21"/>
      <c r="J62" s="170" t="s">
        <v>387</v>
      </c>
      <c r="K62" s="30"/>
      <c r="L62" s="21">
        <v>102</v>
      </c>
      <c r="M62" s="179">
        <f t="shared" si="11"/>
        <v>100</v>
      </c>
      <c r="N62" s="21"/>
      <c r="O62" s="21">
        <v>63.8</v>
      </c>
      <c r="P62" s="21">
        <f t="shared" si="12"/>
        <v>51.65991902834007</v>
      </c>
      <c r="Q62" s="23"/>
    </row>
    <row r="63" spans="1:17" x14ac:dyDescent="0.2">
      <c r="A63" s="23"/>
      <c r="B63" s="23"/>
      <c r="C63" s="23"/>
      <c r="D63" s="23">
        <v>2006</v>
      </c>
      <c r="E63" s="23"/>
      <c r="F63" s="178"/>
      <c r="G63" s="178"/>
      <c r="H63" s="178"/>
      <c r="I63" s="21">
        <f>150/1.12</f>
        <v>133.92857142857142</v>
      </c>
      <c r="J63" s="178"/>
      <c r="K63" s="30" t="s">
        <v>311</v>
      </c>
      <c r="L63" s="21">
        <v>0</v>
      </c>
      <c r="M63" s="179">
        <f>L63/L$72*100</f>
        <v>0</v>
      </c>
      <c r="N63" s="21"/>
      <c r="O63" s="21">
        <v>0</v>
      </c>
      <c r="P63" s="21">
        <f>O63/O$68*100</f>
        <v>0</v>
      </c>
      <c r="Q63" s="23"/>
    </row>
    <row r="64" spans="1:17" x14ac:dyDescent="0.2">
      <c r="A64" s="23"/>
      <c r="B64" s="23"/>
      <c r="C64" s="23"/>
      <c r="D64" s="23"/>
      <c r="E64" s="23"/>
      <c r="F64" s="178"/>
      <c r="G64" s="178"/>
      <c r="H64" s="178"/>
      <c r="I64" s="179"/>
      <c r="J64" s="178" t="s">
        <v>426</v>
      </c>
      <c r="K64" s="30"/>
      <c r="L64" s="21">
        <v>25</v>
      </c>
      <c r="M64" s="179">
        <f t="shared" ref="M64:M72" si="13">L64/L$72*100</f>
        <v>26.041666666666668</v>
      </c>
      <c r="N64" s="21"/>
      <c r="O64" s="21">
        <v>25.3</v>
      </c>
      <c r="P64" s="21">
        <f t="shared" ref="P64:P72" si="14">O64/O$68*100</f>
        <v>11.169977924944813</v>
      </c>
      <c r="Q64" s="23"/>
    </row>
    <row r="65" spans="1:17" x14ac:dyDescent="0.2">
      <c r="A65" s="23"/>
      <c r="B65" s="23"/>
      <c r="C65" s="23"/>
      <c r="D65" s="23"/>
      <c r="E65" s="23"/>
      <c r="F65" s="178"/>
      <c r="G65" s="178"/>
      <c r="H65" s="178"/>
      <c r="I65" s="179"/>
      <c r="J65" s="180"/>
      <c r="K65" s="179"/>
      <c r="L65" s="21">
        <v>33</v>
      </c>
      <c r="M65" s="179">
        <f t="shared" si="13"/>
        <v>34.375</v>
      </c>
      <c r="N65" s="21"/>
      <c r="O65" s="21">
        <v>89.3</v>
      </c>
      <c r="P65" s="21">
        <f t="shared" si="14"/>
        <v>39.426048565121413</v>
      </c>
      <c r="Q65" s="23"/>
    </row>
    <row r="66" spans="1:17" x14ac:dyDescent="0.2">
      <c r="A66" s="23"/>
      <c r="B66" s="23"/>
      <c r="C66" s="23"/>
      <c r="D66" s="23"/>
      <c r="E66" s="23"/>
      <c r="F66" s="180"/>
      <c r="G66" s="180"/>
      <c r="H66" s="180"/>
      <c r="I66" s="21"/>
      <c r="J66" s="178"/>
      <c r="K66" s="30"/>
      <c r="L66" s="21">
        <v>40</v>
      </c>
      <c r="M66" s="179">
        <f t="shared" si="13"/>
        <v>41.666666666666671</v>
      </c>
      <c r="N66" s="21"/>
      <c r="O66" s="21">
        <v>133.80000000000001</v>
      </c>
      <c r="P66" s="21">
        <f t="shared" si="14"/>
        <v>59.07284768211921</v>
      </c>
      <c r="Q66" s="23"/>
    </row>
    <row r="67" spans="1:17" x14ac:dyDescent="0.2">
      <c r="A67" s="23"/>
      <c r="B67" s="23"/>
      <c r="C67" s="23"/>
      <c r="D67" s="23"/>
      <c r="E67" s="23"/>
      <c r="F67" s="180"/>
      <c r="G67" s="180"/>
      <c r="H67" s="180"/>
      <c r="I67" s="21"/>
      <c r="J67" s="180"/>
      <c r="K67" s="30"/>
      <c r="L67" s="21">
        <v>56</v>
      </c>
      <c r="M67" s="179">
        <f t="shared" si="13"/>
        <v>58.333333333333336</v>
      </c>
      <c r="N67" s="21"/>
      <c r="O67" s="21">
        <v>185.1</v>
      </c>
      <c r="P67" s="21">
        <f t="shared" si="14"/>
        <v>81.721854304635755</v>
      </c>
      <c r="Q67" s="23"/>
    </row>
    <row r="68" spans="1:17" x14ac:dyDescent="0.2">
      <c r="A68" s="23"/>
      <c r="B68" s="23"/>
      <c r="C68" s="23"/>
      <c r="D68" s="23"/>
      <c r="E68" s="23"/>
      <c r="F68" s="180"/>
      <c r="G68" s="180"/>
      <c r="H68" s="180"/>
      <c r="I68" s="21"/>
      <c r="J68" s="178" t="s">
        <v>437</v>
      </c>
      <c r="K68" s="30"/>
      <c r="L68" s="21">
        <v>63</v>
      </c>
      <c r="M68" s="179">
        <f t="shared" si="13"/>
        <v>65.625</v>
      </c>
      <c r="N68" s="21"/>
      <c r="O68" s="21">
        <v>226.5</v>
      </c>
      <c r="P68" s="21">
        <f t="shared" si="14"/>
        <v>100</v>
      </c>
      <c r="Q68" s="23"/>
    </row>
    <row r="69" spans="1:17" x14ac:dyDescent="0.2">
      <c r="A69" s="23"/>
      <c r="B69" s="23"/>
      <c r="C69" s="23"/>
      <c r="D69" s="23"/>
      <c r="E69" s="23"/>
      <c r="F69" s="178"/>
      <c r="G69" s="178"/>
      <c r="H69" s="178"/>
      <c r="I69" s="21"/>
      <c r="J69" s="178" t="s">
        <v>425</v>
      </c>
      <c r="K69" s="30"/>
      <c r="L69" s="21">
        <v>69</v>
      </c>
      <c r="M69" s="179">
        <f t="shared" si="13"/>
        <v>71.875</v>
      </c>
      <c r="N69" s="21"/>
      <c r="O69" s="21">
        <v>185.1</v>
      </c>
      <c r="P69" s="21">
        <f t="shared" si="14"/>
        <v>81.721854304635755</v>
      </c>
      <c r="Q69" s="23"/>
    </row>
    <row r="70" spans="1:17" x14ac:dyDescent="0.2">
      <c r="A70" s="23"/>
      <c r="B70" s="23"/>
      <c r="C70" s="23"/>
      <c r="F70" s="178"/>
      <c r="G70" s="178"/>
      <c r="H70" s="178"/>
      <c r="I70" s="179"/>
      <c r="J70" s="178"/>
      <c r="K70" s="30"/>
      <c r="L70" s="21">
        <v>77</v>
      </c>
      <c r="M70" s="179">
        <f t="shared" si="13"/>
        <v>80.208333333333343</v>
      </c>
      <c r="N70" s="21"/>
      <c r="O70" s="21">
        <v>147.6</v>
      </c>
      <c r="P70" s="21">
        <f t="shared" si="14"/>
        <v>65.16556291390728</v>
      </c>
      <c r="Q70" s="23"/>
    </row>
    <row r="71" spans="1:17" x14ac:dyDescent="0.2">
      <c r="A71" s="23"/>
      <c r="B71" s="23"/>
      <c r="C71" s="23"/>
      <c r="F71" s="178"/>
      <c r="G71" s="178"/>
      <c r="H71" s="178"/>
      <c r="I71" s="179"/>
      <c r="J71" s="180"/>
      <c r="K71" s="179"/>
      <c r="L71" s="21">
        <v>84</v>
      </c>
      <c r="M71" s="179">
        <f t="shared" si="13"/>
        <v>87.5</v>
      </c>
      <c r="N71" s="21"/>
      <c r="O71" s="21">
        <v>135.30000000000001</v>
      </c>
      <c r="P71" s="21">
        <f t="shared" si="14"/>
        <v>59.735099337748352</v>
      </c>
      <c r="Q71" s="23"/>
    </row>
    <row r="72" spans="1:17" x14ac:dyDescent="0.2">
      <c r="A72" s="23"/>
      <c r="B72" s="23"/>
      <c r="C72" s="23"/>
      <c r="F72" s="178"/>
      <c r="G72" s="178"/>
      <c r="H72" s="178"/>
      <c r="I72" s="179"/>
      <c r="J72" s="178" t="s">
        <v>387</v>
      </c>
      <c r="K72" s="30"/>
      <c r="L72" s="21">
        <v>96</v>
      </c>
      <c r="M72" s="179">
        <f t="shared" si="13"/>
        <v>100</v>
      </c>
      <c r="N72" s="21"/>
      <c r="O72" s="21">
        <v>175.7</v>
      </c>
      <c r="P72" s="21">
        <f t="shared" si="14"/>
        <v>77.571743929359812</v>
      </c>
      <c r="Q72" s="23"/>
    </row>
    <row r="73" spans="1:17" x14ac:dyDescent="0.2">
      <c r="A73" s="23"/>
      <c r="B73" s="23"/>
      <c r="C73" s="23"/>
      <c r="D73">
        <v>2007</v>
      </c>
      <c r="F73" s="178"/>
      <c r="G73" s="178"/>
      <c r="H73" s="178"/>
      <c r="I73" s="179"/>
      <c r="J73" s="180"/>
      <c r="K73" s="30"/>
      <c r="L73" s="21">
        <v>0</v>
      </c>
      <c r="M73" s="179">
        <f>L73/L$81*100</f>
        <v>0</v>
      </c>
      <c r="N73" s="21"/>
      <c r="O73" s="21">
        <v>0</v>
      </c>
      <c r="P73" s="21">
        <f>O73/O$79*100</f>
        <v>0</v>
      </c>
      <c r="Q73" s="23"/>
    </row>
    <row r="74" spans="1:17" x14ac:dyDescent="0.2">
      <c r="A74" s="23"/>
      <c r="B74" s="23"/>
      <c r="C74" s="23"/>
      <c r="F74" s="178"/>
      <c r="G74" s="178"/>
      <c r="H74" s="178"/>
      <c r="I74" s="179"/>
      <c r="J74" s="178" t="s">
        <v>426</v>
      </c>
      <c r="K74" s="30"/>
      <c r="L74" s="21">
        <v>27</v>
      </c>
      <c r="M74" s="179">
        <f t="shared" ref="M74:M81" si="15">L74/L$81*100</f>
        <v>27.551020408163261</v>
      </c>
      <c r="N74" s="21"/>
      <c r="O74" s="21">
        <v>16.8</v>
      </c>
      <c r="P74" s="21">
        <f t="shared" ref="P74:P81" si="16">O74/O$79*100</f>
        <v>7.741935483870968</v>
      </c>
      <c r="Q74" s="23"/>
    </row>
    <row r="75" spans="1:17" x14ac:dyDescent="0.2">
      <c r="A75" s="23"/>
      <c r="B75" s="23"/>
      <c r="C75" s="23"/>
      <c r="F75" s="178"/>
      <c r="G75" s="178"/>
      <c r="H75" s="178"/>
      <c r="I75" s="179"/>
      <c r="J75" s="178"/>
      <c r="K75" s="179"/>
      <c r="L75" s="21">
        <v>36</v>
      </c>
      <c r="M75" s="179">
        <f t="shared" si="15"/>
        <v>36.734693877551024</v>
      </c>
      <c r="N75" s="21"/>
      <c r="O75" s="21">
        <v>60.5</v>
      </c>
      <c r="P75" s="21">
        <f t="shared" si="16"/>
        <v>27.880184331797235</v>
      </c>
      <c r="Q75" s="23"/>
    </row>
    <row r="76" spans="1:17" x14ac:dyDescent="0.2">
      <c r="A76" s="23"/>
      <c r="B76" s="23"/>
      <c r="C76" s="23"/>
      <c r="F76" s="178"/>
      <c r="G76" s="178"/>
      <c r="H76" s="178"/>
      <c r="I76" s="179"/>
      <c r="J76" s="178"/>
      <c r="K76" s="179"/>
      <c r="L76" s="21">
        <v>43</v>
      </c>
      <c r="M76" s="179">
        <f t="shared" si="15"/>
        <v>43.877551020408163</v>
      </c>
      <c r="N76" s="21"/>
      <c r="O76" s="21">
        <v>86.5</v>
      </c>
      <c r="P76" s="21">
        <f t="shared" si="16"/>
        <v>39.86175115207373</v>
      </c>
      <c r="Q76" s="23"/>
    </row>
    <row r="77" spans="1:17" x14ac:dyDescent="0.2">
      <c r="A77" s="23"/>
      <c r="B77" s="23"/>
      <c r="C77" s="23"/>
      <c r="F77" s="178"/>
      <c r="G77" s="178"/>
      <c r="H77" s="178"/>
      <c r="I77" s="179"/>
      <c r="J77" s="178"/>
      <c r="K77" s="179"/>
      <c r="L77" s="21">
        <v>51</v>
      </c>
      <c r="M77" s="179">
        <f t="shared" si="15"/>
        <v>52.040816326530617</v>
      </c>
      <c r="N77" s="21"/>
      <c r="O77" s="21">
        <v>114.4</v>
      </c>
      <c r="P77" s="21">
        <f t="shared" si="16"/>
        <v>52.718894009216591</v>
      </c>
      <c r="Q77" s="23"/>
    </row>
    <row r="78" spans="1:17" x14ac:dyDescent="0.2">
      <c r="A78" s="23"/>
      <c r="B78" s="23"/>
      <c r="C78" s="23"/>
      <c r="F78" s="178"/>
      <c r="G78" s="178"/>
      <c r="H78" s="178"/>
      <c r="I78" s="179"/>
      <c r="J78" s="178" t="s">
        <v>437</v>
      </c>
      <c r="K78" s="179"/>
      <c r="L78" s="21">
        <v>64</v>
      </c>
      <c r="M78" s="179">
        <f t="shared" si="15"/>
        <v>65.306122448979593</v>
      </c>
      <c r="N78" s="21"/>
      <c r="O78" s="21">
        <v>122.8</v>
      </c>
      <c r="P78" s="21">
        <f t="shared" si="16"/>
        <v>56.589861751152071</v>
      </c>
      <c r="Q78" s="23"/>
    </row>
    <row r="79" spans="1:17" x14ac:dyDescent="0.2">
      <c r="A79" s="23"/>
      <c r="B79" s="23"/>
      <c r="C79" s="23"/>
      <c r="F79" s="178"/>
      <c r="G79" s="178"/>
      <c r="H79" s="178"/>
      <c r="I79" s="179"/>
      <c r="J79" s="178"/>
      <c r="K79" s="179"/>
      <c r="L79" s="21">
        <v>75</v>
      </c>
      <c r="M79" s="179">
        <f t="shared" si="15"/>
        <v>76.530612244897952</v>
      </c>
      <c r="N79" s="21"/>
      <c r="O79" s="21">
        <v>217</v>
      </c>
      <c r="P79" s="21">
        <f t="shared" si="16"/>
        <v>100</v>
      </c>
      <c r="Q79" s="23"/>
    </row>
    <row r="80" spans="1:17" x14ac:dyDescent="0.2">
      <c r="A80" s="23"/>
      <c r="B80" s="23"/>
      <c r="C80" s="23"/>
      <c r="D80" s="23"/>
      <c r="E80" s="23"/>
      <c r="F80" s="178"/>
      <c r="G80" s="178"/>
      <c r="H80" s="178"/>
      <c r="I80" s="179"/>
      <c r="J80" s="178"/>
      <c r="K80" s="179"/>
      <c r="L80" s="21">
        <v>82</v>
      </c>
      <c r="M80" s="179">
        <f t="shared" si="15"/>
        <v>83.673469387755105</v>
      </c>
      <c r="N80" s="21"/>
      <c r="O80" s="21">
        <v>199.5</v>
      </c>
      <c r="P80" s="21">
        <f t="shared" si="16"/>
        <v>91.935483870967744</v>
      </c>
      <c r="Q80" s="23"/>
    </row>
    <row r="81" spans="1:17" x14ac:dyDescent="0.2">
      <c r="A81" s="23"/>
      <c r="B81" s="23"/>
      <c r="C81" s="23"/>
      <c r="D81" s="23"/>
      <c r="E81" s="23"/>
      <c r="F81" s="178"/>
      <c r="G81" s="178"/>
      <c r="H81" s="178"/>
      <c r="I81" s="179"/>
      <c r="J81" s="178" t="s">
        <v>387</v>
      </c>
      <c r="K81" s="30"/>
      <c r="L81" s="21">
        <v>98</v>
      </c>
      <c r="M81" s="179">
        <f t="shared" si="15"/>
        <v>100</v>
      </c>
      <c r="N81" s="21"/>
      <c r="O81" s="21">
        <v>208.5</v>
      </c>
      <c r="P81" s="21">
        <f t="shared" si="16"/>
        <v>96.082949308755758</v>
      </c>
      <c r="Q81" s="23"/>
    </row>
    <row r="82" spans="1:17" x14ac:dyDescent="0.2">
      <c r="A82" s="23"/>
      <c r="B82" s="23"/>
      <c r="C82" s="23"/>
      <c r="D82" s="23">
        <v>2008</v>
      </c>
      <c r="E82" s="23"/>
      <c r="F82" s="178"/>
      <c r="G82" s="178"/>
      <c r="H82" s="178"/>
      <c r="I82" s="179"/>
      <c r="J82" s="180"/>
      <c r="K82" s="30"/>
      <c r="L82" s="21">
        <v>0</v>
      </c>
      <c r="M82" s="179">
        <f>L82/L$91*100</f>
        <v>0</v>
      </c>
      <c r="N82" s="21"/>
      <c r="O82" s="21">
        <v>0</v>
      </c>
      <c r="P82" s="21">
        <f>O82/O$86*100</f>
        <v>0</v>
      </c>
      <c r="Q82" s="23"/>
    </row>
    <row r="83" spans="1:17" x14ac:dyDescent="0.2">
      <c r="A83" s="23"/>
      <c r="B83" s="23"/>
      <c r="C83" s="23"/>
      <c r="D83" s="23"/>
      <c r="E83" s="23"/>
      <c r="F83" s="178"/>
      <c r="G83" s="178"/>
      <c r="H83" s="178"/>
      <c r="I83" s="179"/>
      <c r="J83" s="178" t="s">
        <v>426</v>
      </c>
      <c r="K83" s="30"/>
      <c r="L83" s="21">
        <v>33</v>
      </c>
      <c r="M83" s="179">
        <f t="shared" ref="M83:M91" si="17">L83/L$91*100</f>
        <v>32.352941176470587</v>
      </c>
      <c r="N83" s="21"/>
      <c r="O83" s="21">
        <v>25</v>
      </c>
      <c r="P83" s="21">
        <f t="shared" ref="P83:P91" si="18">O83/O$86*100</f>
        <v>14.934289127837513</v>
      </c>
      <c r="Q83" s="23"/>
    </row>
    <row r="84" spans="1:17" x14ac:dyDescent="0.2">
      <c r="A84" s="23"/>
      <c r="B84" s="23"/>
      <c r="C84" s="23"/>
      <c r="D84" s="23"/>
      <c r="E84" s="23"/>
      <c r="F84" s="178"/>
      <c r="G84" s="178"/>
      <c r="H84" s="178"/>
      <c r="I84" s="179"/>
      <c r="J84" s="180"/>
      <c r="K84" s="30"/>
      <c r="L84" s="21">
        <v>42</v>
      </c>
      <c r="M84" s="179">
        <f t="shared" si="17"/>
        <v>41.17647058823529</v>
      </c>
      <c r="N84" s="21"/>
      <c r="O84" s="21">
        <v>78</v>
      </c>
      <c r="P84" s="21">
        <f t="shared" si="18"/>
        <v>46.59498207885305</v>
      </c>
      <c r="Q84" s="23"/>
    </row>
    <row r="85" spans="1:17" x14ac:dyDescent="0.2">
      <c r="A85" s="23"/>
      <c r="B85" s="23"/>
      <c r="C85" s="23"/>
      <c r="D85" s="23"/>
      <c r="E85" s="23"/>
      <c r="F85" s="180"/>
      <c r="G85" s="180"/>
      <c r="H85" s="180"/>
      <c r="I85" s="179"/>
      <c r="J85" s="178"/>
      <c r="K85" s="30"/>
      <c r="L85" s="21">
        <v>54</v>
      </c>
      <c r="M85" s="179">
        <f t="shared" si="17"/>
        <v>52.941176470588239</v>
      </c>
      <c r="N85" s="21"/>
      <c r="O85" s="21">
        <v>132</v>
      </c>
      <c r="P85" s="21">
        <f t="shared" si="18"/>
        <v>78.853046594982075</v>
      </c>
      <c r="Q85" s="23"/>
    </row>
    <row r="86" spans="1:17" x14ac:dyDescent="0.2">
      <c r="A86" s="23"/>
      <c r="B86" s="23"/>
      <c r="C86" s="23"/>
      <c r="D86" s="23"/>
      <c r="E86" s="23"/>
      <c r="F86" s="180"/>
      <c r="G86" s="180"/>
      <c r="H86" s="180"/>
      <c r="I86" s="179"/>
      <c r="J86" s="178" t="s">
        <v>437</v>
      </c>
      <c r="K86" s="21"/>
      <c r="L86" s="21">
        <v>61</v>
      </c>
      <c r="M86" s="179">
        <f t="shared" si="17"/>
        <v>59.803921568627452</v>
      </c>
      <c r="N86" s="21"/>
      <c r="O86" s="21">
        <v>167.4</v>
      </c>
      <c r="P86" s="21">
        <f t="shared" si="18"/>
        <v>100</v>
      </c>
      <c r="Q86" s="23"/>
    </row>
    <row r="87" spans="1:17" x14ac:dyDescent="0.2">
      <c r="A87" s="23"/>
      <c r="B87" s="23"/>
      <c r="C87" s="23"/>
      <c r="D87" s="23"/>
      <c r="E87" s="23"/>
      <c r="F87" s="180"/>
      <c r="G87" s="180"/>
      <c r="H87" s="180"/>
      <c r="I87" s="21"/>
      <c r="J87" s="178" t="s">
        <v>425</v>
      </c>
      <c r="K87" s="30"/>
      <c r="L87" s="21">
        <v>69</v>
      </c>
      <c r="M87" s="179">
        <f t="shared" si="17"/>
        <v>67.64705882352942</v>
      </c>
      <c r="N87" s="21"/>
      <c r="O87" s="21">
        <v>154.69999999999999</v>
      </c>
      <c r="P87" s="21">
        <f t="shared" si="18"/>
        <v>92.413381123058542</v>
      </c>
      <c r="Q87" s="23"/>
    </row>
    <row r="88" spans="1:17" x14ac:dyDescent="0.2">
      <c r="A88" s="23"/>
      <c r="B88" s="23"/>
      <c r="C88" s="23"/>
      <c r="D88" s="23"/>
      <c r="E88" s="23"/>
      <c r="F88" s="180"/>
      <c r="G88" s="180"/>
      <c r="H88" s="180"/>
      <c r="I88" s="179"/>
      <c r="J88" s="180"/>
      <c r="K88" s="30"/>
      <c r="L88" s="21">
        <v>75</v>
      </c>
      <c r="M88" s="179">
        <f t="shared" si="17"/>
        <v>73.529411764705884</v>
      </c>
      <c r="N88" s="21"/>
      <c r="O88" s="21">
        <v>96.8</v>
      </c>
      <c r="P88" s="21">
        <f t="shared" si="18"/>
        <v>57.82556750298685</v>
      </c>
      <c r="Q88" s="23"/>
    </row>
    <row r="89" spans="1:17" x14ac:dyDescent="0.2">
      <c r="A89" s="23"/>
      <c r="B89" s="23"/>
      <c r="C89" s="23"/>
      <c r="D89" s="23"/>
      <c r="E89" s="23"/>
      <c r="F89" s="30"/>
      <c r="G89" s="30"/>
      <c r="H89" s="180"/>
      <c r="I89" s="179"/>
      <c r="J89" s="178"/>
      <c r="K89" s="30"/>
      <c r="L89" s="21">
        <v>81</v>
      </c>
      <c r="M89" s="179">
        <f t="shared" si="17"/>
        <v>79.411764705882348</v>
      </c>
      <c r="N89" s="21"/>
      <c r="O89" s="21">
        <v>64.3</v>
      </c>
      <c r="P89" s="21">
        <f t="shared" si="18"/>
        <v>38.410991636798087</v>
      </c>
      <c r="Q89" s="23"/>
    </row>
    <row r="90" spans="1:17" x14ac:dyDescent="0.2">
      <c r="A90" s="23"/>
      <c r="B90" s="23"/>
      <c r="C90" s="23"/>
      <c r="D90" s="23"/>
      <c r="E90" s="23"/>
      <c r="F90" s="180"/>
      <c r="G90" s="180"/>
      <c r="H90" s="180"/>
      <c r="I90" s="21"/>
      <c r="J90" s="180"/>
      <c r="K90" s="30"/>
      <c r="L90" s="21">
        <v>88</v>
      </c>
      <c r="M90" s="179">
        <f t="shared" si="17"/>
        <v>86.274509803921575</v>
      </c>
      <c r="N90" s="21"/>
      <c r="O90" s="21">
        <v>106.9</v>
      </c>
      <c r="P90" s="21">
        <f t="shared" si="18"/>
        <v>63.85902031063322</v>
      </c>
      <c r="Q90" s="23"/>
    </row>
    <row r="91" spans="1:17" x14ac:dyDescent="0.2">
      <c r="A91" s="23"/>
      <c r="B91" s="23"/>
      <c r="C91" s="23"/>
      <c r="D91" s="23"/>
      <c r="E91" s="23"/>
      <c r="F91" s="180"/>
      <c r="G91" s="180"/>
      <c r="H91" s="180"/>
      <c r="I91" s="21"/>
      <c r="J91" s="178" t="s">
        <v>387</v>
      </c>
      <c r="K91" s="30"/>
      <c r="L91" s="21">
        <v>102</v>
      </c>
      <c r="M91" s="179">
        <f t="shared" si="17"/>
        <v>100</v>
      </c>
      <c r="N91" s="21"/>
      <c r="O91" s="21">
        <v>46.7</v>
      </c>
      <c r="P91" s="21">
        <f t="shared" si="18"/>
        <v>27.897252090800478</v>
      </c>
      <c r="Q91" s="23"/>
    </row>
    <row r="92" spans="1:17" x14ac:dyDescent="0.2">
      <c r="A92" s="23"/>
      <c r="B92" s="23"/>
      <c r="C92" s="23"/>
      <c r="D92" s="23"/>
      <c r="E92" s="23"/>
      <c r="F92" s="180"/>
      <c r="G92" s="180"/>
      <c r="H92" s="180"/>
      <c r="I92" s="21"/>
      <c r="J92" s="178"/>
      <c r="K92" s="21"/>
      <c r="L92" s="21"/>
      <c r="M92" s="21"/>
      <c r="N92" s="21"/>
      <c r="O92" s="21"/>
      <c r="P92" s="21"/>
      <c r="Q92" s="23"/>
    </row>
    <row r="93" spans="1:17" x14ac:dyDescent="0.2">
      <c r="A93" s="23"/>
      <c r="B93" s="23"/>
      <c r="C93" s="23"/>
      <c r="D93" s="23"/>
      <c r="E93" s="23"/>
      <c r="F93" s="180"/>
      <c r="G93" s="180"/>
      <c r="H93" s="180"/>
      <c r="I93" s="21"/>
      <c r="J93" s="178"/>
      <c r="K93" s="21"/>
      <c r="L93" s="21"/>
      <c r="M93" s="21"/>
      <c r="N93" s="21"/>
      <c r="O93" s="21"/>
      <c r="P93" s="21"/>
      <c r="Q93" s="23"/>
    </row>
    <row r="94" spans="1:17" x14ac:dyDescent="0.2">
      <c r="A94" s="23"/>
      <c r="B94" s="23"/>
      <c r="C94" s="23"/>
      <c r="D94" s="23"/>
      <c r="E94" s="23"/>
      <c r="F94" s="180"/>
      <c r="G94" s="180"/>
      <c r="H94" s="180"/>
      <c r="I94" s="21"/>
      <c r="J94" s="178"/>
      <c r="K94" s="21"/>
      <c r="L94" s="21"/>
      <c r="M94" s="21"/>
      <c r="N94" s="21"/>
      <c r="O94" s="21"/>
      <c r="P94" s="21"/>
      <c r="Q94" s="23"/>
    </row>
    <row r="95" spans="1:17" x14ac:dyDescent="0.2">
      <c r="A95" s="23"/>
      <c r="B95" s="23"/>
      <c r="C95" s="23"/>
      <c r="D95" s="23"/>
      <c r="E95" s="23"/>
      <c r="F95" s="180"/>
      <c r="G95" s="180"/>
      <c r="H95" s="180"/>
      <c r="I95" s="21"/>
      <c r="J95" s="178"/>
      <c r="K95" s="21"/>
      <c r="L95" s="21"/>
      <c r="M95" s="21"/>
      <c r="N95" s="21"/>
      <c r="O95" s="21"/>
      <c r="P95" s="21"/>
      <c r="Q95" s="23"/>
    </row>
    <row r="96" spans="1:17" x14ac:dyDescent="0.2">
      <c r="A96" s="23"/>
      <c r="B96" s="23"/>
      <c r="C96" s="23"/>
      <c r="D96" s="23"/>
      <c r="E96" s="23"/>
      <c r="F96" s="180"/>
      <c r="G96" s="180"/>
      <c r="H96" s="180"/>
      <c r="I96" s="21"/>
      <c r="J96" s="178"/>
      <c r="K96" s="21"/>
      <c r="L96" s="21"/>
      <c r="M96" s="21"/>
      <c r="N96" s="21"/>
      <c r="O96" s="21"/>
      <c r="P96" s="21"/>
      <c r="Q96" s="23"/>
    </row>
    <row r="97" spans="1:17" x14ac:dyDescent="0.2">
      <c r="A97" s="23"/>
      <c r="B97" s="23"/>
      <c r="C97" s="23"/>
      <c r="D97" s="23"/>
      <c r="E97" s="23"/>
      <c r="F97" s="180"/>
      <c r="G97" s="180"/>
      <c r="H97" s="180"/>
      <c r="I97" s="21"/>
      <c r="J97" s="178"/>
      <c r="K97" s="21"/>
      <c r="L97" s="21"/>
      <c r="M97" s="21"/>
      <c r="N97" s="21"/>
      <c r="O97" s="21"/>
      <c r="P97" s="21"/>
      <c r="Q97" s="23"/>
    </row>
    <row r="98" spans="1:17" x14ac:dyDescent="0.2">
      <c r="A98" s="23"/>
      <c r="B98" s="23"/>
      <c r="C98" s="23"/>
      <c r="D98" s="23"/>
      <c r="E98" s="23"/>
      <c r="F98" s="180"/>
      <c r="G98" s="180"/>
      <c r="H98" s="180"/>
      <c r="I98" s="21"/>
      <c r="J98" s="178"/>
      <c r="K98" s="21"/>
      <c r="L98" s="21"/>
      <c r="M98" s="21"/>
      <c r="N98" s="21"/>
      <c r="O98" s="21"/>
      <c r="P98" s="21"/>
      <c r="Q98" s="23"/>
    </row>
    <row r="99" spans="1:17" x14ac:dyDescent="0.2">
      <c r="A99" s="23"/>
      <c r="B99" s="23"/>
      <c r="C99" s="23"/>
      <c r="D99" s="23"/>
      <c r="E99" s="23"/>
      <c r="F99" s="180"/>
      <c r="G99" s="180"/>
      <c r="H99" s="180"/>
      <c r="I99" s="21"/>
      <c r="J99" s="178"/>
      <c r="K99" s="21"/>
      <c r="L99" s="21"/>
      <c r="M99" s="21"/>
      <c r="N99" s="21"/>
      <c r="O99" s="21"/>
      <c r="P99" s="21"/>
      <c r="Q99" s="23"/>
    </row>
    <row r="100" spans="1:17" x14ac:dyDescent="0.2">
      <c r="A100" s="23"/>
      <c r="B100" s="23"/>
      <c r="C100" s="23"/>
      <c r="D100" s="23"/>
      <c r="E100" s="23"/>
      <c r="F100" s="180"/>
      <c r="G100" s="180"/>
      <c r="H100" s="180"/>
      <c r="I100" s="21"/>
      <c r="J100" s="178"/>
      <c r="K100" s="21"/>
      <c r="L100" s="21"/>
      <c r="M100" s="21"/>
      <c r="N100" s="21"/>
      <c r="O100" s="21"/>
      <c r="P100" s="21"/>
      <c r="Q100" s="23"/>
    </row>
    <row r="101" spans="1:17" x14ac:dyDescent="0.2">
      <c r="A101" s="23"/>
      <c r="B101" s="23"/>
      <c r="C101" s="23"/>
      <c r="D101" s="23"/>
      <c r="E101" s="23"/>
      <c r="F101" s="180"/>
      <c r="G101" s="180"/>
      <c r="H101" s="180"/>
      <c r="I101" s="21"/>
      <c r="J101" s="178"/>
      <c r="K101" s="21"/>
      <c r="L101" s="21"/>
      <c r="M101" s="21"/>
      <c r="N101" s="21"/>
      <c r="O101" s="21"/>
      <c r="P101" s="21"/>
      <c r="Q101" s="23"/>
    </row>
    <row r="102" spans="1:17" x14ac:dyDescent="0.2">
      <c r="A102" s="23"/>
      <c r="B102" s="23"/>
      <c r="C102" s="23"/>
      <c r="D102" s="23"/>
      <c r="E102" s="23"/>
      <c r="F102" s="180"/>
      <c r="G102" s="180"/>
      <c r="H102" s="180"/>
      <c r="I102" s="21"/>
      <c r="J102" s="178"/>
      <c r="K102" s="21"/>
      <c r="L102" s="21"/>
      <c r="M102" s="21"/>
      <c r="N102" s="21"/>
      <c r="O102" s="21"/>
      <c r="P102" s="21"/>
      <c r="Q102" s="23"/>
    </row>
    <row r="103" spans="1:17" x14ac:dyDescent="0.2">
      <c r="A103" s="23"/>
      <c r="B103" s="23"/>
      <c r="C103" s="23"/>
      <c r="D103" s="23"/>
      <c r="E103" s="23"/>
      <c r="F103" s="180"/>
      <c r="G103" s="180"/>
      <c r="H103" s="180"/>
      <c r="I103" s="21"/>
      <c r="J103" s="178"/>
      <c r="K103" s="21"/>
      <c r="L103" s="21"/>
      <c r="M103" s="21"/>
      <c r="N103" s="21"/>
      <c r="O103" s="21"/>
      <c r="P103" s="21"/>
      <c r="Q103" s="23"/>
    </row>
    <row r="104" spans="1:17" x14ac:dyDescent="0.2">
      <c r="A104" s="23"/>
      <c r="B104" s="23"/>
      <c r="C104" s="23"/>
      <c r="D104" s="23"/>
      <c r="E104" s="23"/>
      <c r="F104" s="180"/>
      <c r="G104" s="180"/>
      <c r="H104" s="180"/>
      <c r="I104" s="21"/>
      <c r="J104" s="178"/>
      <c r="K104" s="21"/>
      <c r="L104" s="21"/>
      <c r="M104" s="21"/>
      <c r="N104" s="21"/>
      <c r="O104" s="21"/>
      <c r="P104" s="21"/>
      <c r="Q104" s="23"/>
    </row>
    <row r="105" spans="1:17" x14ac:dyDescent="0.2">
      <c r="A105" s="23"/>
      <c r="B105" s="23"/>
      <c r="C105" s="23"/>
      <c r="D105" s="23"/>
      <c r="E105" s="23"/>
      <c r="F105" s="180"/>
      <c r="G105" s="180"/>
      <c r="H105" s="180"/>
      <c r="I105" s="21"/>
      <c r="J105" s="178"/>
      <c r="K105" s="21"/>
      <c r="L105" s="21"/>
      <c r="M105" s="21"/>
      <c r="N105" s="21"/>
      <c r="O105" s="21"/>
      <c r="P105" s="21"/>
      <c r="Q105" s="23"/>
    </row>
    <row r="106" spans="1:17" x14ac:dyDescent="0.2">
      <c r="A106" s="23"/>
      <c r="B106" s="23"/>
      <c r="C106" s="23"/>
      <c r="D106" s="23"/>
      <c r="E106" s="23"/>
      <c r="F106" s="180"/>
      <c r="G106" s="180"/>
      <c r="H106" s="180"/>
      <c r="I106" s="21"/>
      <c r="J106" s="178"/>
      <c r="K106" s="21"/>
      <c r="L106" s="21"/>
      <c r="M106" s="21"/>
      <c r="N106" s="21"/>
      <c r="O106" s="21"/>
      <c r="P106" s="21"/>
      <c r="Q106" s="23"/>
    </row>
    <row r="107" spans="1:17" x14ac:dyDescent="0.2">
      <c r="A107" s="23"/>
      <c r="B107" s="23"/>
      <c r="C107" s="23"/>
      <c r="D107" s="23"/>
      <c r="E107" s="23"/>
      <c r="F107" s="180"/>
      <c r="G107" s="180"/>
      <c r="H107" s="180"/>
      <c r="I107" s="21"/>
      <c r="J107" s="178"/>
      <c r="K107" s="21"/>
      <c r="L107" s="21"/>
      <c r="M107" s="21"/>
      <c r="N107" s="21"/>
      <c r="O107" s="21"/>
      <c r="P107" s="21"/>
      <c r="Q107" s="23"/>
    </row>
    <row r="108" spans="1:17" x14ac:dyDescent="0.2">
      <c r="A108" s="23"/>
      <c r="B108" s="23"/>
      <c r="C108" s="23"/>
      <c r="D108" s="23"/>
      <c r="E108" s="23"/>
      <c r="F108" s="180"/>
      <c r="G108" s="180"/>
      <c r="H108" s="180"/>
      <c r="I108" s="21"/>
      <c r="J108" s="178"/>
      <c r="K108" s="21"/>
      <c r="L108" s="21"/>
      <c r="M108" s="21"/>
      <c r="N108" s="21"/>
      <c r="O108" s="21"/>
      <c r="P108" s="21"/>
      <c r="Q108" s="23"/>
    </row>
    <row r="109" spans="1:17" x14ac:dyDescent="0.2">
      <c r="A109" s="23"/>
      <c r="B109" s="23"/>
      <c r="C109" s="23"/>
      <c r="D109" s="23"/>
      <c r="E109" s="23"/>
      <c r="F109" s="180"/>
      <c r="G109" s="180"/>
      <c r="H109" s="180"/>
      <c r="I109" s="21"/>
      <c r="J109" s="178"/>
      <c r="K109" s="21"/>
      <c r="L109" s="21"/>
      <c r="M109" s="21"/>
      <c r="N109" s="21"/>
      <c r="O109" s="21"/>
      <c r="P109" s="21"/>
      <c r="Q109" s="23"/>
    </row>
    <row r="110" spans="1:17" x14ac:dyDescent="0.2">
      <c r="A110" s="23"/>
      <c r="B110" s="23"/>
      <c r="C110" s="23"/>
      <c r="D110" s="23"/>
      <c r="E110" s="23"/>
      <c r="F110" s="180"/>
      <c r="G110" s="180"/>
      <c r="H110" s="180"/>
      <c r="I110" s="21"/>
      <c r="J110" s="178"/>
      <c r="K110" s="21"/>
      <c r="L110" s="21"/>
      <c r="M110" s="21"/>
      <c r="N110" s="21"/>
      <c r="O110" s="21"/>
      <c r="P110" s="21"/>
      <c r="Q110" s="23"/>
    </row>
    <row r="111" spans="1:17" x14ac:dyDescent="0.2">
      <c r="A111" s="23"/>
      <c r="B111" s="23"/>
      <c r="C111" s="23"/>
      <c r="D111" s="23"/>
      <c r="E111" s="23"/>
      <c r="F111" s="180"/>
      <c r="G111" s="180"/>
      <c r="H111" s="180"/>
      <c r="I111" s="21"/>
      <c r="J111" s="178"/>
      <c r="K111" s="21"/>
      <c r="L111" s="21"/>
      <c r="M111" s="21"/>
      <c r="N111" s="21"/>
      <c r="O111" s="21"/>
      <c r="P111" s="21"/>
      <c r="Q111" s="23"/>
    </row>
    <row r="112" spans="1:17" x14ac:dyDescent="0.2">
      <c r="A112" s="23"/>
      <c r="B112" s="23"/>
      <c r="C112" s="23"/>
      <c r="D112" s="23"/>
      <c r="E112" s="23"/>
      <c r="F112" s="174"/>
      <c r="G112" s="174"/>
      <c r="H112" s="174"/>
      <c r="I112" s="21"/>
      <c r="K112" s="30"/>
      <c r="L112" s="21"/>
      <c r="M112" s="21"/>
      <c r="N112" s="21"/>
      <c r="O112" s="21"/>
      <c r="P112" s="21"/>
      <c r="Q112" s="23"/>
    </row>
    <row r="113" spans="1:17" x14ac:dyDescent="0.2">
      <c r="A113" s="23"/>
      <c r="B113" s="23"/>
      <c r="C113" s="23"/>
      <c r="D113" s="17"/>
      <c r="E113" s="17"/>
      <c r="F113" s="30"/>
      <c r="G113" s="30"/>
      <c r="H113" s="174"/>
      <c r="I113" s="21"/>
      <c r="J113" s="174"/>
      <c r="K113" s="30"/>
      <c r="L113" s="21"/>
      <c r="M113" s="21"/>
      <c r="N113" s="21"/>
      <c r="O113" s="174"/>
      <c r="P113" s="21"/>
      <c r="Q113" s="23"/>
    </row>
    <row r="114" spans="1:17" x14ac:dyDescent="0.2">
      <c r="A114" s="23"/>
      <c r="B114" s="23"/>
      <c r="C114" s="23"/>
      <c r="D114" s="17"/>
      <c r="E114" s="17"/>
      <c r="F114" s="174"/>
      <c r="G114" s="174"/>
      <c r="H114" s="174"/>
      <c r="I114" s="21"/>
      <c r="K114" s="30"/>
      <c r="L114" s="21"/>
      <c r="M114" s="21"/>
      <c r="N114" s="21"/>
      <c r="O114" s="21"/>
      <c r="P114" s="21"/>
      <c r="Q114" s="23"/>
    </row>
    <row r="115" spans="1:17" x14ac:dyDescent="0.2">
      <c r="A115" s="23"/>
      <c r="B115" s="23"/>
      <c r="C115" s="23"/>
      <c r="D115" s="17"/>
      <c r="E115" s="17"/>
      <c r="F115" s="174"/>
      <c r="G115" s="174"/>
      <c r="H115" s="174"/>
      <c r="I115" s="21"/>
      <c r="J115" s="174"/>
      <c r="K115" s="30"/>
      <c r="L115" s="21"/>
      <c r="M115" s="21"/>
      <c r="N115" s="21"/>
      <c r="O115" s="21"/>
      <c r="P115" s="21"/>
      <c r="Q115" s="23"/>
    </row>
    <row r="116" spans="1:17" x14ac:dyDescent="0.2">
      <c r="A116" s="23"/>
      <c r="B116" s="23"/>
      <c r="C116" s="23"/>
      <c r="D116" s="17"/>
      <c r="E116" s="17"/>
      <c r="F116" s="174"/>
      <c r="G116" s="174"/>
      <c r="H116" s="174"/>
      <c r="I116" s="21"/>
      <c r="K116" s="30"/>
      <c r="L116" s="21"/>
      <c r="M116" s="21"/>
      <c r="N116" s="21"/>
      <c r="O116" s="21"/>
      <c r="P116" s="21"/>
      <c r="Q116" s="23"/>
    </row>
    <row r="117" spans="1:17" x14ac:dyDescent="0.2">
      <c r="A117" s="23"/>
      <c r="B117" s="23"/>
      <c r="C117" s="23"/>
      <c r="D117" s="17"/>
      <c r="E117" s="17"/>
      <c r="F117" s="174"/>
      <c r="G117" s="174"/>
      <c r="H117" s="174"/>
      <c r="I117" s="21"/>
      <c r="K117" s="21"/>
      <c r="L117" s="21"/>
      <c r="M117" s="21"/>
      <c r="N117" s="21"/>
      <c r="O117" s="21"/>
      <c r="P117" s="21"/>
      <c r="Q117" s="23"/>
    </row>
    <row r="118" spans="1:17" x14ac:dyDescent="0.2">
      <c r="A118" s="23"/>
      <c r="B118" s="23"/>
      <c r="C118" s="23"/>
      <c r="D118" s="17"/>
      <c r="E118" s="17"/>
      <c r="F118" s="174"/>
      <c r="G118" s="174"/>
      <c r="H118" s="174"/>
      <c r="I118" s="21"/>
      <c r="J118" s="174"/>
      <c r="K118" s="21"/>
      <c r="L118" s="21"/>
      <c r="M118" s="21"/>
      <c r="N118" s="21"/>
      <c r="O118" s="21"/>
      <c r="P118" s="21"/>
      <c r="Q118" s="23"/>
    </row>
    <row r="119" spans="1:17" x14ac:dyDescent="0.2">
      <c r="A119" s="23"/>
      <c r="B119" s="23"/>
      <c r="C119" s="23"/>
      <c r="D119" s="17"/>
      <c r="E119" s="17"/>
      <c r="F119" s="174"/>
      <c r="G119" s="174"/>
      <c r="H119" s="174"/>
      <c r="I119" s="21"/>
      <c r="J119" s="174"/>
      <c r="K119" s="21"/>
      <c r="L119" s="21"/>
      <c r="M119" s="21"/>
      <c r="N119" s="21"/>
      <c r="O119" s="21"/>
      <c r="P119" s="21"/>
      <c r="Q119" s="23"/>
    </row>
    <row r="120" spans="1:17" x14ac:dyDescent="0.2">
      <c r="A120" s="23"/>
      <c r="B120" s="23"/>
      <c r="C120" s="23"/>
      <c r="D120" s="23"/>
      <c r="E120" s="23"/>
      <c r="F120" s="30"/>
      <c r="G120" s="30"/>
      <c r="H120" s="174"/>
      <c r="I120" s="21"/>
      <c r="J120" s="174"/>
      <c r="K120" s="21"/>
      <c r="L120" s="21"/>
      <c r="M120" s="21"/>
      <c r="N120" s="21"/>
      <c r="O120" s="174"/>
      <c r="P120" s="21"/>
      <c r="Q120" s="23"/>
    </row>
    <row r="121" spans="1:17" x14ac:dyDescent="0.2">
      <c r="A121" s="23"/>
      <c r="B121" s="23"/>
      <c r="C121" s="23"/>
      <c r="D121" s="23"/>
      <c r="E121" s="23"/>
      <c r="F121" s="174"/>
      <c r="G121" s="174"/>
      <c r="H121" s="174"/>
      <c r="I121" s="21"/>
      <c r="J121" s="174"/>
      <c r="K121" s="21"/>
      <c r="L121" s="21"/>
      <c r="M121" s="21"/>
      <c r="N121" s="21"/>
      <c r="O121" s="21"/>
      <c r="P121" s="21"/>
      <c r="Q121" s="23"/>
    </row>
    <row r="122" spans="1:17" x14ac:dyDescent="0.2">
      <c r="A122" s="23"/>
      <c r="B122" s="23"/>
      <c r="C122" s="23"/>
      <c r="D122" s="23"/>
      <c r="E122" s="23"/>
      <c r="F122" s="174"/>
      <c r="G122" s="174"/>
      <c r="H122" s="174"/>
      <c r="I122" s="21"/>
      <c r="J122" s="174"/>
      <c r="K122" s="21"/>
      <c r="L122" s="21"/>
      <c r="M122" s="21"/>
      <c r="N122" s="21"/>
      <c r="O122" s="21"/>
      <c r="P122" s="21"/>
      <c r="Q122" s="23"/>
    </row>
    <row r="123" spans="1:17" x14ac:dyDescent="0.2">
      <c r="A123" s="23"/>
      <c r="B123" s="23"/>
      <c r="C123" s="23"/>
      <c r="D123" s="23"/>
      <c r="E123" s="23"/>
      <c r="F123" s="174"/>
      <c r="G123" s="174"/>
      <c r="H123" s="174"/>
      <c r="I123" s="21"/>
      <c r="J123" s="174"/>
      <c r="K123" s="21"/>
      <c r="L123" s="21"/>
      <c r="M123" s="21"/>
      <c r="N123" s="21"/>
      <c r="O123" s="21"/>
      <c r="P123" s="21"/>
      <c r="Q123" s="23"/>
    </row>
    <row r="124" spans="1:17" x14ac:dyDescent="0.2">
      <c r="A124" s="23"/>
      <c r="B124" s="23"/>
      <c r="C124" s="23"/>
      <c r="D124" s="23"/>
      <c r="E124" s="23"/>
      <c r="F124" s="174"/>
      <c r="G124" s="174"/>
      <c r="H124" s="174"/>
      <c r="I124" s="21"/>
      <c r="J124" s="174"/>
      <c r="K124" s="21"/>
      <c r="L124" s="21"/>
      <c r="M124" s="21"/>
      <c r="N124" s="21"/>
      <c r="O124" s="21"/>
      <c r="P124" s="21"/>
      <c r="Q124" s="23"/>
    </row>
    <row r="125" spans="1:17" x14ac:dyDescent="0.2">
      <c r="A125" s="23"/>
      <c r="B125" s="23"/>
      <c r="C125" s="23"/>
      <c r="D125" s="23"/>
      <c r="E125" s="23"/>
      <c r="F125" s="174"/>
      <c r="G125" s="174"/>
      <c r="H125" s="174"/>
      <c r="I125" s="21"/>
      <c r="J125" s="174"/>
      <c r="K125" s="21"/>
      <c r="L125" s="21"/>
      <c r="M125" s="21"/>
      <c r="N125" s="21"/>
      <c r="O125" s="21"/>
      <c r="P125" s="21"/>
      <c r="Q125" s="23"/>
    </row>
    <row r="126" spans="1:17" x14ac:dyDescent="0.2">
      <c r="A126" s="23"/>
      <c r="B126" s="23"/>
      <c r="C126" s="23"/>
      <c r="D126" s="23"/>
      <c r="E126" s="23"/>
      <c r="F126" s="174"/>
      <c r="G126" s="174"/>
      <c r="H126" s="174"/>
      <c r="I126" s="21"/>
      <c r="J126" s="174"/>
      <c r="K126" s="21"/>
      <c r="L126" s="21"/>
      <c r="M126" s="21"/>
      <c r="N126" s="21"/>
      <c r="O126" s="21"/>
      <c r="P126" s="21"/>
      <c r="Q126" s="23"/>
    </row>
    <row r="129" spans="1:25" x14ac:dyDescent="0.2">
      <c r="A129" t="s">
        <v>37</v>
      </c>
      <c r="C129" s="232" t="s">
        <v>540</v>
      </c>
      <c r="D129" s="233"/>
      <c r="E129" s="233"/>
      <c r="F129" s="233"/>
      <c r="G129" s="233"/>
      <c r="H129" s="233"/>
      <c r="I129" s="233"/>
      <c r="J129" s="233"/>
      <c r="K129" s="233"/>
      <c r="L129" s="233"/>
      <c r="M129" s="234"/>
      <c r="N129" s="169"/>
    </row>
    <row r="130" spans="1:25" x14ac:dyDescent="0.2">
      <c r="C130" s="235"/>
      <c r="D130" s="236"/>
      <c r="E130" s="236"/>
      <c r="F130" s="236"/>
      <c r="G130" s="236"/>
      <c r="H130" s="236"/>
      <c r="I130" s="236"/>
      <c r="J130" s="236"/>
      <c r="K130" s="236"/>
      <c r="L130" s="236"/>
      <c r="M130" s="237"/>
      <c r="N130" s="169"/>
    </row>
    <row r="131" spans="1:25" x14ac:dyDescent="0.2">
      <c r="C131" s="238"/>
      <c r="D131" s="239"/>
      <c r="E131" s="239"/>
      <c r="F131" s="239"/>
      <c r="G131" s="239"/>
      <c r="H131" s="239"/>
      <c r="I131" s="239"/>
      <c r="J131" s="239"/>
      <c r="K131" s="239"/>
      <c r="L131" s="239"/>
      <c r="M131" s="240"/>
      <c r="N131" s="169"/>
    </row>
    <row r="132" spans="1:25" x14ac:dyDescent="0.2">
      <c r="C132" s="14"/>
      <c r="D132" s="14"/>
      <c r="E132" s="14"/>
      <c r="F132" s="14"/>
      <c r="G132" s="14"/>
      <c r="H132" s="14"/>
      <c r="I132" s="14"/>
      <c r="J132" s="14"/>
      <c r="K132" s="14"/>
      <c r="L132" s="14"/>
    </row>
    <row r="133" spans="1:25" x14ac:dyDescent="0.2">
      <c r="C133" s="232" t="s">
        <v>541</v>
      </c>
      <c r="D133" s="233"/>
      <c r="E133" s="233"/>
      <c r="F133" s="233"/>
      <c r="G133" s="233"/>
      <c r="H133" s="233"/>
      <c r="I133" s="233"/>
      <c r="J133" s="233"/>
      <c r="K133" s="233"/>
      <c r="L133" s="233"/>
      <c r="M133" s="233"/>
      <c r="N133" s="233"/>
      <c r="O133" s="233"/>
      <c r="P133" s="234"/>
    </row>
    <row r="134" spans="1:25" x14ac:dyDescent="0.2">
      <c r="C134" s="235"/>
      <c r="D134" s="236"/>
      <c r="E134" s="236"/>
      <c r="F134" s="236"/>
      <c r="G134" s="236"/>
      <c r="H134" s="236"/>
      <c r="I134" s="236"/>
      <c r="J134" s="236"/>
      <c r="K134" s="236"/>
      <c r="L134" s="236"/>
      <c r="M134" s="236"/>
      <c r="N134" s="236"/>
      <c r="O134" s="236"/>
      <c r="P134" s="237"/>
      <c r="Q134" s="241"/>
      <c r="R134" s="241"/>
      <c r="S134" s="241"/>
      <c r="T134" s="241"/>
      <c r="U134" s="241"/>
      <c r="V134" s="241"/>
      <c r="X134" s="241"/>
      <c r="Y134" s="241"/>
    </row>
    <row r="135" spans="1:25" x14ac:dyDescent="0.2">
      <c r="C135" s="238"/>
      <c r="D135" s="239"/>
      <c r="E135" s="239"/>
      <c r="F135" s="239"/>
      <c r="G135" s="239"/>
      <c r="H135" s="239"/>
      <c r="I135" s="239"/>
      <c r="J135" s="239"/>
      <c r="K135" s="239"/>
      <c r="L135" s="239"/>
      <c r="M135" s="239"/>
      <c r="N135" s="239"/>
      <c r="O135" s="239"/>
      <c r="P135" s="240"/>
      <c r="Q135" s="170"/>
      <c r="R135" s="170"/>
      <c r="U135" s="170"/>
      <c r="V135" s="170"/>
    </row>
    <row r="136" spans="1:25" x14ac:dyDescent="0.2">
      <c r="C136" s="171"/>
      <c r="D136" s="171"/>
      <c r="E136" s="171"/>
      <c r="F136" s="171"/>
      <c r="G136" s="171"/>
      <c r="H136" s="171"/>
      <c r="I136" s="171"/>
      <c r="J136" s="171"/>
      <c r="K136" s="171"/>
      <c r="L136" s="171"/>
      <c r="M136" s="171"/>
      <c r="N136" s="171"/>
      <c r="O136" s="171"/>
      <c r="P136" s="171"/>
      <c r="Q136" s="170"/>
      <c r="R136" s="170"/>
      <c r="U136" s="170"/>
      <c r="V136" s="170"/>
    </row>
    <row r="137" spans="1:25" x14ac:dyDescent="0.2">
      <c r="C137" s="232" t="s">
        <v>542</v>
      </c>
      <c r="D137" s="233"/>
      <c r="E137" s="233"/>
      <c r="F137" s="233"/>
      <c r="G137" s="233"/>
      <c r="H137" s="233"/>
      <c r="I137" s="233"/>
      <c r="J137" s="233"/>
      <c r="K137" s="233"/>
      <c r="L137" s="233"/>
      <c r="M137" s="233"/>
      <c r="N137" s="233"/>
      <c r="O137" s="233"/>
      <c r="P137" s="234"/>
    </row>
    <row r="138" spans="1:25" x14ac:dyDescent="0.2">
      <c r="C138" s="235"/>
      <c r="D138" s="236"/>
      <c r="E138" s="236"/>
      <c r="F138" s="236"/>
      <c r="G138" s="236"/>
      <c r="H138" s="236"/>
      <c r="I138" s="236"/>
      <c r="J138" s="236"/>
      <c r="K138" s="236"/>
      <c r="L138" s="236"/>
      <c r="M138" s="236"/>
      <c r="N138" s="236"/>
      <c r="O138" s="236"/>
      <c r="P138" s="237"/>
      <c r="Q138" s="241"/>
      <c r="R138" s="241"/>
      <c r="S138" s="241"/>
      <c r="T138" s="241"/>
      <c r="U138" s="241"/>
      <c r="V138" s="241"/>
      <c r="X138" s="241"/>
      <c r="Y138" s="241"/>
    </row>
    <row r="139" spans="1:25" x14ac:dyDescent="0.2">
      <c r="C139" s="238"/>
      <c r="D139" s="239"/>
      <c r="E139" s="239"/>
      <c r="F139" s="239"/>
      <c r="G139" s="239"/>
      <c r="H139" s="239"/>
      <c r="I139" s="239"/>
      <c r="J139" s="239"/>
      <c r="K139" s="239"/>
      <c r="L139" s="239"/>
      <c r="M139" s="239"/>
      <c r="N139" s="239"/>
      <c r="O139" s="239"/>
      <c r="P139" s="240"/>
      <c r="Q139" s="214"/>
      <c r="R139" s="214"/>
      <c r="U139" s="214"/>
      <c r="V139" s="214"/>
    </row>
    <row r="140" spans="1:25" x14ac:dyDescent="0.2">
      <c r="C140" s="215"/>
      <c r="D140" s="215"/>
      <c r="E140" s="215"/>
      <c r="F140" s="215"/>
      <c r="G140" s="215"/>
      <c r="H140" s="215"/>
      <c r="I140" s="215"/>
      <c r="J140" s="215"/>
      <c r="K140" s="215"/>
      <c r="L140" s="215"/>
      <c r="M140" s="215"/>
      <c r="N140" s="215"/>
      <c r="O140" s="215"/>
      <c r="P140" s="215"/>
      <c r="Q140" s="214"/>
      <c r="R140" s="214"/>
      <c r="U140" s="214"/>
      <c r="V140" s="214"/>
    </row>
    <row r="141" spans="1:25" x14ac:dyDescent="0.2">
      <c r="O141"/>
      <c r="P141" s="11"/>
      <c r="Q141" s="170"/>
      <c r="R141" s="11"/>
      <c r="T141" s="11"/>
      <c r="V141" s="11"/>
    </row>
    <row r="142" spans="1:25" x14ac:dyDescent="0.2">
      <c r="A142" s="1" t="s">
        <v>424</v>
      </c>
      <c r="B142" s="1"/>
      <c r="I142" s="173" t="s">
        <v>433</v>
      </c>
      <c r="O142"/>
      <c r="P142" s="11"/>
      <c r="Q142" s="170"/>
      <c r="R142" s="11"/>
      <c r="T142" s="11"/>
      <c r="V142" s="11"/>
    </row>
    <row r="143" spans="1:25" x14ac:dyDescent="0.2">
      <c r="A143" s="1"/>
      <c r="B143" s="1"/>
      <c r="P143" s="11"/>
      <c r="Q143" s="170"/>
      <c r="R143" s="11"/>
      <c r="T143" s="11"/>
      <c r="V143" s="11"/>
    </row>
    <row r="144" spans="1:25" x14ac:dyDescent="0.2">
      <c r="P144" s="11"/>
      <c r="Q144" s="170"/>
      <c r="R144" s="11"/>
      <c r="T144" s="11"/>
      <c r="V144" s="11"/>
    </row>
    <row r="145" spans="16:22" x14ac:dyDescent="0.2">
      <c r="P145" s="11"/>
      <c r="Q145" s="170"/>
      <c r="R145" s="11"/>
      <c r="T145" s="11"/>
      <c r="V145" s="11"/>
    </row>
    <row r="146" spans="16:22" x14ac:dyDescent="0.2">
      <c r="P146" s="11"/>
      <c r="Q146" s="170"/>
      <c r="R146" s="11"/>
      <c r="T146" s="11"/>
      <c r="V146" s="11"/>
    </row>
  </sheetData>
  <mergeCells count="13">
    <mergeCell ref="C137:P139"/>
    <mergeCell ref="Q138:R138"/>
    <mergeCell ref="S138:T138"/>
    <mergeCell ref="U138:V138"/>
    <mergeCell ref="X138:Y138"/>
    <mergeCell ref="K3:M3"/>
    <mergeCell ref="S3:Y10"/>
    <mergeCell ref="C129:M131"/>
    <mergeCell ref="C133:P135"/>
    <mergeCell ref="Q134:R134"/>
    <mergeCell ref="S134:T134"/>
    <mergeCell ref="U134:V134"/>
    <mergeCell ref="X134:Y134"/>
  </mergeCells>
  <pageMargins left="0.7" right="0.7" top="0.75" bottom="0.75" header="0.3" footer="0.3"/>
  <drawing r:id="rId1"/>
  <legacy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I103"/>
  <sheetViews>
    <sheetView topLeftCell="AH1" zoomScale="85" zoomScaleNormal="85" zoomScalePageLayoutView="85" workbookViewId="0">
      <selection activeCell="AM38" sqref="AM38"/>
    </sheetView>
  </sheetViews>
  <sheetFormatPr baseColWidth="10" defaultColWidth="8.83203125" defaultRowHeight="15" x14ac:dyDescent="0.2"/>
  <cols>
    <col min="1" max="2" width="20.6640625" customWidth="1"/>
    <col min="3" max="3" width="16.33203125" customWidth="1"/>
    <col min="4" max="4" width="10.1640625" customWidth="1"/>
    <col min="5" max="5" width="13.5" customWidth="1"/>
    <col min="6" max="6" width="13.5" style="183" customWidth="1"/>
    <col min="7" max="7" width="11.6640625" style="183" customWidth="1"/>
    <col min="8" max="8" width="10.1640625" style="183" customWidth="1"/>
    <col min="9" max="9" width="12.33203125" style="184" customWidth="1"/>
    <col min="10" max="10" width="10.1640625" style="183" customWidth="1"/>
    <col min="11" max="12" width="13.5" style="184" customWidth="1"/>
    <col min="13" max="13" width="10.1640625" style="184" customWidth="1"/>
    <col min="14" max="15" width="13.5" style="190" customWidth="1"/>
    <col min="16" max="16" width="10.1640625" style="190" customWidth="1"/>
    <col min="17" max="17" width="10.1640625" style="184" customWidth="1"/>
    <col min="18" max="18" width="10.1640625" style="183" customWidth="1"/>
    <col min="19" max="19" width="16.33203125" style="183" customWidth="1"/>
    <col min="20" max="20" width="41.33203125" customWidth="1"/>
    <col min="24" max="24" width="10.33203125" bestFit="1" customWidth="1"/>
    <col min="29" max="29" width="11.5" bestFit="1" customWidth="1"/>
  </cols>
  <sheetData>
    <row r="3" spans="1:33" ht="30" x14ac:dyDescent="0.2">
      <c r="A3" s="14" t="s">
        <v>0</v>
      </c>
      <c r="B3" s="14"/>
      <c r="C3" s="14"/>
      <c r="D3" s="14" t="s">
        <v>13</v>
      </c>
      <c r="E3" s="14" t="s">
        <v>28</v>
      </c>
      <c r="F3" s="186" t="s">
        <v>1</v>
      </c>
      <c r="G3" s="186" t="s">
        <v>2</v>
      </c>
      <c r="H3" s="186" t="s">
        <v>4</v>
      </c>
      <c r="I3" s="181" t="s">
        <v>8</v>
      </c>
      <c r="J3" s="186" t="s">
        <v>3</v>
      </c>
      <c r="K3" s="230" t="s">
        <v>20</v>
      </c>
      <c r="L3" s="230"/>
      <c r="M3" s="230"/>
      <c r="N3" s="230" t="s">
        <v>470</v>
      </c>
      <c r="O3" s="230"/>
      <c r="P3" s="230"/>
      <c r="Q3" s="181"/>
      <c r="R3" s="14" t="s">
        <v>21</v>
      </c>
      <c r="S3" s="14"/>
      <c r="T3" s="14"/>
      <c r="U3" s="14"/>
      <c r="V3" s="231" t="s">
        <v>475</v>
      </c>
      <c r="W3" s="231"/>
      <c r="X3" s="231"/>
      <c r="Y3" s="231"/>
      <c r="Z3" s="231"/>
      <c r="AA3" s="231"/>
      <c r="AB3" s="231"/>
      <c r="AC3" s="14"/>
    </row>
    <row r="4" spans="1:33" x14ac:dyDescent="0.2">
      <c r="A4" s="26"/>
      <c r="B4" s="26" t="s">
        <v>42</v>
      </c>
      <c r="C4" s="26" t="s">
        <v>10</v>
      </c>
      <c r="D4" s="26"/>
      <c r="E4" s="26" t="s">
        <v>27</v>
      </c>
      <c r="F4" s="25"/>
      <c r="G4" s="25"/>
      <c r="H4" s="25" t="s">
        <v>7</v>
      </c>
      <c r="I4" s="27" t="s">
        <v>9</v>
      </c>
      <c r="J4" s="25"/>
      <c r="K4" s="8" t="s">
        <v>55</v>
      </c>
      <c r="L4" s="27" t="s">
        <v>56</v>
      </c>
      <c r="M4" s="27" t="s">
        <v>5</v>
      </c>
      <c r="N4" s="8" t="s">
        <v>55</v>
      </c>
      <c r="O4" s="27" t="s">
        <v>56</v>
      </c>
      <c r="P4" s="27" t="s">
        <v>5</v>
      </c>
      <c r="Q4" s="27" t="s">
        <v>55</v>
      </c>
      <c r="R4" s="25" t="s">
        <v>120</v>
      </c>
      <c r="S4" s="25" t="s">
        <v>12</v>
      </c>
      <c r="T4" s="26" t="s">
        <v>22</v>
      </c>
      <c r="U4" s="14"/>
      <c r="V4" s="231"/>
      <c r="W4" s="231"/>
      <c r="X4" s="231"/>
      <c r="Y4" s="231"/>
      <c r="Z4" s="231"/>
      <c r="AA4" s="231"/>
      <c r="AB4" s="231"/>
      <c r="AC4" s="14"/>
    </row>
    <row r="5" spans="1:33" x14ac:dyDescent="0.2">
      <c r="A5" t="s">
        <v>439</v>
      </c>
      <c r="C5" t="s">
        <v>440</v>
      </c>
      <c r="F5" s="5"/>
      <c r="G5" s="5"/>
      <c r="L5" s="184">
        <v>0</v>
      </c>
      <c r="M5" s="21">
        <f>L5/L$14*100</f>
        <v>0</v>
      </c>
      <c r="P5" s="21"/>
      <c r="Q5" s="184" t="s">
        <v>176</v>
      </c>
      <c r="R5" s="184">
        <v>0</v>
      </c>
      <c r="S5" s="21">
        <f>R5/R$14*100</f>
        <v>0</v>
      </c>
      <c r="V5" s="231"/>
      <c r="W5" s="231"/>
      <c r="X5" s="231"/>
      <c r="Y5" s="231"/>
      <c r="Z5" s="231"/>
      <c r="AA5" s="231"/>
      <c r="AB5" s="231"/>
    </row>
    <row r="6" spans="1:33" x14ac:dyDescent="0.2">
      <c r="A6" s="23"/>
      <c r="B6" s="23"/>
      <c r="C6" s="23"/>
      <c r="D6" s="23"/>
      <c r="E6" s="23"/>
      <c r="F6" s="187"/>
      <c r="G6" s="187"/>
      <c r="H6" s="187"/>
      <c r="I6" s="184" t="s">
        <v>442</v>
      </c>
      <c r="J6" s="183">
        <v>0</v>
      </c>
      <c r="K6" s="184">
        <f>J6/J$14*100</f>
        <v>0</v>
      </c>
      <c r="L6" s="21">
        <f>J6+$L$16</f>
        <v>160</v>
      </c>
      <c r="M6" s="21">
        <f t="shared" ref="M6:M14" si="0">L6/L$14*100</f>
        <v>73.691332964261548</v>
      </c>
      <c r="O6" s="21"/>
      <c r="P6" s="21"/>
      <c r="Q6" s="21"/>
      <c r="R6" s="21">
        <v>63.269230769230766</v>
      </c>
      <c r="S6" s="21">
        <f t="shared" ref="S6:S14" si="1">R6/R$14*100</f>
        <v>18.837675350701399</v>
      </c>
      <c r="T6" t="s">
        <v>441</v>
      </c>
      <c r="V6" s="231"/>
      <c r="W6" s="231"/>
      <c r="X6" s="231"/>
      <c r="Y6" s="231"/>
      <c r="Z6" s="231"/>
      <c r="AA6" s="231"/>
      <c r="AB6" s="231"/>
    </row>
    <row r="7" spans="1:33" x14ac:dyDescent="0.2">
      <c r="A7" s="23"/>
      <c r="B7" s="23"/>
      <c r="C7" s="23"/>
      <c r="D7" s="23"/>
      <c r="E7" s="23"/>
      <c r="F7" s="187"/>
      <c r="G7" s="187"/>
      <c r="H7" s="187"/>
      <c r="I7" s="21"/>
      <c r="J7" s="21">
        <v>7.1051752921535893</v>
      </c>
      <c r="K7" s="190">
        <f t="shared" ref="K7:K14" si="2">J7/J$14*100</f>
        <v>12.438625204582651</v>
      </c>
      <c r="L7" s="21">
        <f t="shared" ref="L7:L14" si="3">J7+$L$16</f>
        <v>167.1051752921536</v>
      </c>
      <c r="M7" s="21">
        <f t="shared" si="0"/>
        <v>76.963769453158633</v>
      </c>
      <c r="O7" s="21"/>
      <c r="P7" s="21"/>
      <c r="Q7" s="21"/>
      <c r="R7" s="21">
        <v>108.36538461538461</v>
      </c>
      <c r="S7" s="21">
        <f t="shared" si="1"/>
        <v>32.264529058116231</v>
      </c>
      <c r="T7" s="23"/>
      <c r="V7" s="231"/>
      <c r="W7" s="231"/>
      <c r="X7" s="231"/>
      <c r="Y7" s="231"/>
      <c r="Z7" s="231"/>
      <c r="AA7" s="231"/>
      <c r="AB7" s="231"/>
    </row>
    <row r="8" spans="1:33" x14ac:dyDescent="0.2">
      <c r="A8" s="23"/>
      <c r="B8" s="23"/>
      <c r="C8" s="23"/>
      <c r="D8" s="23"/>
      <c r="E8" s="23"/>
      <c r="F8" s="187"/>
      <c r="G8" s="187"/>
      <c r="H8" s="187"/>
      <c r="I8" s="21"/>
      <c r="J8" s="21">
        <v>14.116861435726211</v>
      </c>
      <c r="K8" s="190">
        <f t="shared" si="2"/>
        <v>24.713584288052374</v>
      </c>
      <c r="L8" s="21">
        <f t="shared" si="3"/>
        <v>174.11686143572621</v>
      </c>
      <c r="M8" s="21">
        <f t="shared" si="0"/>
        <v>80.193147567201819</v>
      </c>
      <c r="O8" s="21"/>
      <c r="P8" s="21"/>
      <c r="Q8" s="21"/>
      <c r="R8" s="21">
        <v>152.78846153846155</v>
      </c>
      <c r="S8" s="21">
        <f t="shared" si="1"/>
        <v>45.490981963927858</v>
      </c>
      <c r="T8" s="23"/>
      <c r="V8" s="231"/>
      <c r="W8" s="231"/>
      <c r="X8" s="231"/>
      <c r="Y8" s="231"/>
      <c r="Z8" s="231"/>
      <c r="AA8" s="231"/>
      <c r="AB8" s="231"/>
    </row>
    <row r="9" spans="1:33" x14ac:dyDescent="0.2">
      <c r="A9" s="23"/>
      <c r="B9" s="23"/>
      <c r="C9" s="29"/>
      <c r="D9" s="23"/>
      <c r="E9" s="23"/>
      <c r="F9" s="187"/>
      <c r="G9" s="187"/>
      <c r="H9" s="187"/>
      <c r="I9" s="21"/>
      <c r="J9" s="21">
        <v>21.2220367278798</v>
      </c>
      <c r="K9" s="190">
        <f t="shared" si="2"/>
        <v>37.152209492635023</v>
      </c>
      <c r="L9" s="21">
        <f t="shared" si="3"/>
        <v>181.22203672787981</v>
      </c>
      <c r="M9" s="21">
        <f t="shared" si="0"/>
        <v>83.465584056098905</v>
      </c>
      <c r="O9" s="21"/>
      <c r="P9" s="21"/>
      <c r="Q9" s="21"/>
      <c r="R9" s="21">
        <v>183.75</v>
      </c>
      <c r="S9" s="21">
        <f t="shared" si="1"/>
        <v>54.709418837675351</v>
      </c>
      <c r="T9" s="23"/>
      <c r="V9" s="231"/>
      <c r="W9" s="231"/>
      <c r="X9" s="231"/>
      <c r="Y9" s="231"/>
      <c r="Z9" s="231"/>
      <c r="AA9" s="231"/>
      <c r="AB9" s="231"/>
    </row>
    <row r="10" spans="1:33" x14ac:dyDescent="0.2">
      <c r="A10" s="23"/>
      <c r="B10" s="23"/>
      <c r="C10" s="29"/>
      <c r="D10" s="23"/>
      <c r="E10" s="23"/>
      <c r="F10" s="30"/>
      <c r="G10" s="30"/>
      <c r="H10" s="187"/>
      <c r="I10" s="21"/>
      <c r="J10" s="21">
        <v>28.233722871452422</v>
      </c>
      <c r="K10" s="190">
        <f t="shared" si="2"/>
        <v>49.427168576104748</v>
      </c>
      <c r="L10" s="21">
        <f t="shared" si="3"/>
        <v>188.23372287145241</v>
      </c>
      <c r="M10" s="21">
        <f t="shared" si="0"/>
        <v>86.694962170142091</v>
      </c>
      <c r="O10" s="21"/>
      <c r="P10" s="21"/>
      <c r="Q10" s="21"/>
      <c r="R10" s="21">
        <v>221.44230769230768</v>
      </c>
      <c r="S10" s="21">
        <f t="shared" si="1"/>
        <v>65.931863727454896</v>
      </c>
      <c r="T10" s="23" t="s">
        <v>443</v>
      </c>
      <c r="V10" s="231"/>
      <c r="W10" s="231"/>
      <c r="X10" s="231"/>
      <c r="Y10" s="231"/>
      <c r="Z10" s="231"/>
      <c r="AA10" s="231"/>
      <c r="AB10" s="231"/>
    </row>
    <row r="11" spans="1:33" x14ac:dyDescent="0.2">
      <c r="A11" s="23"/>
      <c r="B11" s="23"/>
      <c r="C11" s="29"/>
      <c r="D11" s="23"/>
      <c r="E11" s="23"/>
      <c r="F11" s="187"/>
      <c r="G11" s="187"/>
      <c r="H11" s="187"/>
      <c r="I11" s="21"/>
      <c r="J11" s="21">
        <v>35.151919866444068</v>
      </c>
      <c r="K11" s="190">
        <f t="shared" si="2"/>
        <v>61.538461538461533</v>
      </c>
      <c r="L11" s="21">
        <f t="shared" si="3"/>
        <v>195.15191986644408</v>
      </c>
      <c r="M11" s="21">
        <f t="shared" si="0"/>
        <v>89.881281909331364</v>
      </c>
      <c r="O11" s="21"/>
      <c r="P11" s="21"/>
      <c r="Q11" s="21"/>
      <c r="R11" s="21">
        <v>258.46153846153845</v>
      </c>
      <c r="S11" s="21">
        <f t="shared" si="1"/>
        <v>76.953907815631254</v>
      </c>
      <c r="T11" s="23"/>
      <c r="AE11">
        <v>0</v>
      </c>
      <c r="AF11">
        <v>0</v>
      </c>
    </row>
    <row r="12" spans="1:33" x14ac:dyDescent="0.2">
      <c r="A12" s="23"/>
      <c r="B12" s="23"/>
      <c r="C12" s="23"/>
      <c r="D12" s="23"/>
      <c r="E12" s="23"/>
      <c r="F12" s="187"/>
      <c r="G12" s="187"/>
      <c r="H12" s="187"/>
      <c r="I12" s="21"/>
      <c r="J12" s="21">
        <v>42.163606010016693</v>
      </c>
      <c r="K12" s="190">
        <f t="shared" si="2"/>
        <v>73.813420621931257</v>
      </c>
      <c r="L12" s="21">
        <f t="shared" si="3"/>
        <v>202.16360601001668</v>
      </c>
      <c r="M12" s="21">
        <f t="shared" si="0"/>
        <v>93.110660023374535</v>
      </c>
      <c r="O12" s="21"/>
      <c r="P12" s="21"/>
      <c r="Q12" s="21"/>
      <c r="R12" s="21">
        <v>295.48076923076923</v>
      </c>
      <c r="S12" s="21">
        <f t="shared" si="1"/>
        <v>87.975951903807598</v>
      </c>
      <c r="T12" s="23"/>
      <c r="AE12">
        <v>10</v>
      </c>
      <c r="AF12">
        <v>0</v>
      </c>
    </row>
    <row r="13" spans="1:33" x14ac:dyDescent="0.2">
      <c r="A13" s="23"/>
      <c r="B13" s="23"/>
      <c r="C13" s="23"/>
      <c r="D13" s="23"/>
      <c r="E13" s="23"/>
      <c r="F13" s="187"/>
      <c r="G13" s="187"/>
      <c r="H13" s="187"/>
      <c r="I13" s="21"/>
      <c r="J13" s="21">
        <v>49.175292153589311</v>
      </c>
      <c r="K13" s="190">
        <f t="shared" si="2"/>
        <v>86.088379705400968</v>
      </c>
      <c r="L13" s="21">
        <f t="shared" si="3"/>
        <v>209.17529215358931</v>
      </c>
      <c r="M13" s="21">
        <f t="shared" si="0"/>
        <v>96.340038137417721</v>
      </c>
      <c r="O13" s="21"/>
      <c r="P13" s="21"/>
      <c r="Q13" s="21"/>
      <c r="R13" s="21">
        <v>290.09615384615381</v>
      </c>
      <c r="S13" s="21">
        <f t="shared" si="1"/>
        <v>86.372745490981956</v>
      </c>
      <c r="T13" s="23"/>
      <c r="AE13">
        <v>20</v>
      </c>
      <c r="AF13">
        <v>0</v>
      </c>
    </row>
    <row r="14" spans="1:33" x14ac:dyDescent="0.2">
      <c r="A14" s="23"/>
      <c r="B14" s="23"/>
      <c r="C14" s="23"/>
      <c r="D14" s="23"/>
      <c r="E14" s="23" t="s">
        <v>473</v>
      </c>
      <c r="F14" s="187" t="s">
        <v>471</v>
      </c>
      <c r="G14" s="187" t="s">
        <v>472</v>
      </c>
      <c r="H14" s="187"/>
      <c r="I14" s="21"/>
      <c r="J14" s="21">
        <v>57.121869782971622</v>
      </c>
      <c r="K14" s="190">
        <f t="shared" si="2"/>
        <v>100</v>
      </c>
      <c r="L14" s="21">
        <f t="shared" si="3"/>
        <v>217.12186978297163</v>
      </c>
      <c r="M14" s="21">
        <f t="shared" si="0"/>
        <v>100</v>
      </c>
      <c r="O14" s="21"/>
      <c r="P14" s="21"/>
      <c r="Q14" s="21"/>
      <c r="R14" s="21">
        <v>335.86538461538464</v>
      </c>
      <c r="S14" s="21">
        <f t="shared" si="1"/>
        <v>100</v>
      </c>
      <c r="T14" s="23"/>
      <c r="W14" s="191"/>
      <c r="X14" s="191"/>
      <c r="AE14">
        <v>30</v>
      </c>
      <c r="AF14" s="11">
        <v>2.3041474654377883</v>
      </c>
      <c r="AG14" s="11"/>
    </row>
    <row r="15" spans="1:33" x14ac:dyDescent="0.2">
      <c r="A15" s="23" t="s">
        <v>444</v>
      </c>
      <c r="B15" s="55" t="s">
        <v>445</v>
      </c>
      <c r="C15" s="23" t="s">
        <v>446</v>
      </c>
      <c r="D15" s="23"/>
      <c r="E15" s="23">
        <v>0</v>
      </c>
      <c r="F15" s="30">
        <v>28037</v>
      </c>
      <c r="G15" s="197">
        <v>28079</v>
      </c>
      <c r="H15" s="187"/>
      <c r="I15" s="21">
        <f>190/1.12</f>
        <v>169.64285714285714</v>
      </c>
      <c r="J15" s="187">
        <v>0</v>
      </c>
      <c r="L15" s="21">
        <f t="shared" ref="L15:L23" si="4">F15-$F$15</f>
        <v>0</v>
      </c>
      <c r="M15" s="21">
        <f>L15/L$23*100</f>
        <v>0</v>
      </c>
      <c r="N15" s="190" t="s">
        <v>272</v>
      </c>
      <c r="O15" s="21">
        <f>G15-G$15</f>
        <v>0</v>
      </c>
      <c r="P15" s="21">
        <f>O15/O$23*100</f>
        <v>0</v>
      </c>
      <c r="Q15" s="21" t="s">
        <v>176</v>
      </c>
      <c r="R15" s="21">
        <v>0</v>
      </c>
      <c r="S15" s="21">
        <f>R15/R$21*100</f>
        <v>0</v>
      </c>
      <c r="T15" s="23"/>
      <c r="AE15">
        <v>40</v>
      </c>
      <c r="AF15" s="11">
        <v>5.0691244239631343</v>
      </c>
      <c r="AG15" s="11"/>
    </row>
    <row r="16" spans="1:33" x14ac:dyDescent="0.2">
      <c r="A16" s="23"/>
      <c r="B16" s="23"/>
      <c r="C16" s="23"/>
      <c r="D16" s="23"/>
      <c r="E16" s="23">
        <v>7</v>
      </c>
      <c r="F16" s="30">
        <v>28197</v>
      </c>
      <c r="G16" s="197">
        <v>28158</v>
      </c>
      <c r="H16" s="187"/>
      <c r="I16" s="21"/>
      <c r="J16" s="187">
        <v>1</v>
      </c>
      <c r="L16" s="21">
        <f t="shared" si="4"/>
        <v>160</v>
      </c>
      <c r="M16" s="21">
        <f t="shared" ref="M16:M23" si="5">L16/L$23*100</f>
        <v>62.015503875968989</v>
      </c>
      <c r="O16" s="21">
        <f t="shared" ref="O16:O23" si="6">G16-G$15</f>
        <v>79</v>
      </c>
      <c r="P16" s="21">
        <f t="shared" ref="P16:P23" si="7">O16/O$23*100</f>
        <v>37.264150943396224</v>
      </c>
      <c r="Q16" s="21"/>
      <c r="R16" s="21">
        <v>392.48434237995826</v>
      </c>
      <c r="S16" s="21">
        <f t="shared" ref="S16:S23" si="8">R16/R$21*100</f>
        <v>11.407766990291261</v>
      </c>
      <c r="T16" s="23" t="s">
        <v>447</v>
      </c>
      <c r="AE16">
        <v>50</v>
      </c>
      <c r="AF16" s="11">
        <v>9.67741935483871</v>
      </c>
      <c r="AG16" s="11"/>
    </row>
    <row r="17" spans="1:33" x14ac:dyDescent="0.2">
      <c r="A17" s="23"/>
      <c r="B17" s="23"/>
      <c r="C17" s="23"/>
      <c r="D17" s="23"/>
      <c r="E17" s="23">
        <v>9</v>
      </c>
      <c r="F17" s="30">
        <v>28211</v>
      </c>
      <c r="G17" s="197">
        <v>28216</v>
      </c>
      <c r="H17" s="187"/>
      <c r="I17" s="21"/>
      <c r="J17" s="187">
        <v>2</v>
      </c>
      <c r="L17" s="21">
        <f t="shared" si="4"/>
        <v>174</v>
      </c>
      <c r="M17" s="21">
        <f t="shared" si="5"/>
        <v>67.441860465116278</v>
      </c>
      <c r="O17" s="21">
        <f t="shared" si="6"/>
        <v>137</v>
      </c>
      <c r="P17" s="21">
        <f t="shared" si="7"/>
        <v>64.622641509433961</v>
      </c>
      <c r="Q17" s="21"/>
      <c r="R17" s="21">
        <v>1002.0876826722338</v>
      </c>
      <c r="S17" s="21">
        <f t="shared" si="8"/>
        <v>29.126213592233007</v>
      </c>
      <c r="T17" s="23" t="s">
        <v>448</v>
      </c>
      <c r="X17" s="11"/>
      <c r="AE17">
        <v>60</v>
      </c>
      <c r="AF17" s="11">
        <v>17.050691244239633</v>
      </c>
      <c r="AG17" s="11"/>
    </row>
    <row r="18" spans="1:33" x14ac:dyDescent="0.2">
      <c r="A18" s="23"/>
      <c r="B18" s="23"/>
      <c r="C18" s="23"/>
      <c r="D18" s="23"/>
      <c r="E18" s="17">
        <v>10.1</v>
      </c>
      <c r="F18" s="30">
        <v>28225</v>
      </c>
      <c r="G18" s="197">
        <v>28226</v>
      </c>
      <c r="H18" s="187"/>
      <c r="I18" s="21"/>
      <c r="J18" s="187">
        <v>3</v>
      </c>
      <c r="L18" s="21">
        <f t="shared" si="4"/>
        <v>188</v>
      </c>
      <c r="M18" s="21">
        <f t="shared" si="5"/>
        <v>72.868217054263567</v>
      </c>
      <c r="O18" s="21">
        <f t="shared" si="6"/>
        <v>147</v>
      </c>
      <c r="P18" s="21">
        <f t="shared" si="7"/>
        <v>69.339622641509436</v>
      </c>
      <c r="Q18" s="21"/>
      <c r="R18" s="21">
        <v>1277.6617954070982</v>
      </c>
      <c r="S18" s="21">
        <f t="shared" si="8"/>
        <v>37.135922330097088</v>
      </c>
      <c r="T18" s="23" t="s">
        <v>437</v>
      </c>
      <c r="X18" s="11"/>
      <c r="AE18">
        <v>70</v>
      </c>
      <c r="AF18" s="11">
        <v>34.562211981566826</v>
      </c>
      <c r="AG18" s="11"/>
    </row>
    <row r="19" spans="1:33" x14ac:dyDescent="0.2">
      <c r="A19" s="23"/>
      <c r="B19" s="23"/>
      <c r="C19" s="23"/>
      <c r="D19" s="23"/>
      <c r="E19" s="17">
        <v>10.5</v>
      </c>
      <c r="F19" s="30">
        <v>28239</v>
      </c>
      <c r="G19" s="197">
        <v>28230</v>
      </c>
      <c r="H19" s="187"/>
      <c r="I19" s="21"/>
      <c r="J19" s="187">
        <v>4</v>
      </c>
      <c r="L19" s="21">
        <f t="shared" si="4"/>
        <v>202</v>
      </c>
      <c r="M19" s="21">
        <f t="shared" si="5"/>
        <v>78.294573643410843</v>
      </c>
      <c r="O19" s="21">
        <f t="shared" si="6"/>
        <v>151</v>
      </c>
      <c r="P19" s="21">
        <f t="shared" si="7"/>
        <v>71.226415094339629</v>
      </c>
      <c r="Q19" s="21"/>
      <c r="R19" s="21">
        <v>1319.4154488517747</v>
      </c>
      <c r="S19" s="21">
        <f t="shared" si="8"/>
        <v>38.349514563106794</v>
      </c>
      <c r="T19" s="17" t="s">
        <v>425</v>
      </c>
      <c r="X19" s="11"/>
      <c r="AE19">
        <v>80</v>
      </c>
      <c r="AF19" s="11">
        <v>81.566820276497708</v>
      </c>
      <c r="AG19" s="11"/>
    </row>
    <row r="20" spans="1:33" x14ac:dyDescent="0.2">
      <c r="A20" s="23"/>
      <c r="B20" s="23"/>
      <c r="C20" s="23"/>
      <c r="D20" s="23"/>
      <c r="E20" s="17">
        <v>10.54</v>
      </c>
      <c r="F20" s="30">
        <v>28253</v>
      </c>
      <c r="G20" s="197">
        <v>28240</v>
      </c>
      <c r="H20" s="187"/>
      <c r="I20" s="21"/>
      <c r="J20" s="187">
        <v>5</v>
      </c>
      <c r="L20" s="21">
        <f t="shared" si="4"/>
        <v>216</v>
      </c>
      <c r="M20" s="21">
        <f t="shared" si="5"/>
        <v>83.720930232558146</v>
      </c>
      <c r="O20" s="21">
        <f t="shared" si="6"/>
        <v>161</v>
      </c>
      <c r="P20" s="21">
        <f t="shared" si="7"/>
        <v>75.943396226415089</v>
      </c>
      <c r="Q20" s="21"/>
      <c r="R20" s="21">
        <v>2705.6367432150314</v>
      </c>
      <c r="S20" s="21">
        <f t="shared" si="8"/>
        <v>78.640776699029118</v>
      </c>
      <c r="T20" s="23" t="s">
        <v>449</v>
      </c>
      <c r="X20" s="11"/>
      <c r="AE20">
        <v>90</v>
      </c>
      <c r="AF20" s="11">
        <v>100</v>
      </c>
      <c r="AG20" s="11"/>
    </row>
    <row r="21" spans="1:33" x14ac:dyDescent="0.2">
      <c r="A21" s="23"/>
      <c r="B21" s="23"/>
      <c r="C21" s="23"/>
      <c r="D21" s="23"/>
      <c r="E21" s="17">
        <v>11.1</v>
      </c>
      <c r="F21" s="30">
        <v>28267</v>
      </c>
      <c r="G21" s="197">
        <v>28246</v>
      </c>
      <c r="H21" s="187"/>
      <c r="I21" s="21"/>
      <c r="J21" s="187">
        <v>6</v>
      </c>
      <c r="L21" s="21">
        <f t="shared" si="4"/>
        <v>230</v>
      </c>
      <c r="M21" s="21">
        <f t="shared" si="5"/>
        <v>89.147286821705436</v>
      </c>
      <c r="O21" s="21">
        <f t="shared" si="6"/>
        <v>167</v>
      </c>
      <c r="P21" s="21">
        <f t="shared" si="7"/>
        <v>78.773584905660371</v>
      </c>
      <c r="Q21" s="21"/>
      <c r="R21" s="21">
        <v>3440.5010438413365</v>
      </c>
      <c r="S21" s="21">
        <f t="shared" si="8"/>
        <v>100</v>
      </c>
      <c r="T21" s="23" t="s">
        <v>428</v>
      </c>
      <c r="X21" s="11"/>
      <c r="AE21">
        <v>100</v>
      </c>
      <c r="AF21" s="11">
        <v>82.949308755760384</v>
      </c>
      <c r="AG21" s="11"/>
    </row>
    <row r="22" spans="1:33" x14ac:dyDescent="0.2">
      <c r="A22" s="23"/>
      <c r="B22" s="23"/>
      <c r="C22" s="23"/>
      <c r="D22" s="23"/>
      <c r="E22" s="17">
        <v>11.3</v>
      </c>
      <c r="F22" s="30">
        <v>28281</v>
      </c>
      <c r="G22" s="197">
        <v>28277</v>
      </c>
      <c r="H22" s="187"/>
      <c r="I22" s="21"/>
      <c r="J22" s="187">
        <v>7</v>
      </c>
      <c r="L22" s="21">
        <f t="shared" si="4"/>
        <v>244</v>
      </c>
      <c r="M22" s="21">
        <f t="shared" si="5"/>
        <v>94.573643410852711</v>
      </c>
      <c r="O22" s="21">
        <f t="shared" si="6"/>
        <v>198</v>
      </c>
      <c r="P22" s="21">
        <f t="shared" si="7"/>
        <v>93.396226415094347</v>
      </c>
      <c r="Q22" s="21"/>
      <c r="R22" s="21">
        <v>2705.6367432150314</v>
      </c>
      <c r="S22" s="21">
        <f t="shared" si="8"/>
        <v>78.640776699029118</v>
      </c>
      <c r="T22" s="17" t="s">
        <v>387</v>
      </c>
      <c r="X22" s="11"/>
    </row>
    <row r="23" spans="1:33" x14ac:dyDescent="0.2">
      <c r="A23" s="23"/>
      <c r="B23" s="23"/>
      <c r="C23" s="23"/>
      <c r="D23" s="23"/>
      <c r="E23" s="17">
        <v>11.4</v>
      </c>
      <c r="F23" s="30">
        <v>28295</v>
      </c>
      <c r="G23" s="197">
        <v>28291</v>
      </c>
      <c r="H23" s="187"/>
      <c r="I23" s="21"/>
      <c r="J23" s="187">
        <v>8</v>
      </c>
      <c r="L23" s="21">
        <f t="shared" si="4"/>
        <v>258</v>
      </c>
      <c r="M23" s="21">
        <f t="shared" si="5"/>
        <v>100</v>
      </c>
      <c r="O23" s="21">
        <f t="shared" si="6"/>
        <v>212</v>
      </c>
      <c r="P23" s="21">
        <f t="shared" si="7"/>
        <v>100</v>
      </c>
      <c r="Q23" s="21"/>
      <c r="R23" s="21">
        <v>2237.9958246346559</v>
      </c>
      <c r="S23" s="21">
        <f t="shared" si="8"/>
        <v>65.048543689320397</v>
      </c>
      <c r="T23" s="17" t="s">
        <v>450</v>
      </c>
      <c r="X23" s="11"/>
    </row>
    <row r="24" spans="1:33" x14ac:dyDescent="0.2">
      <c r="A24" s="23"/>
      <c r="B24" s="23"/>
      <c r="C24" s="23"/>
      <c r="D24" s="23"/>
      <c r="E24" s="23"/>
      <c r="F24" s="187"/>
      <c r="G24" s="187"/>
      <c r="H24" s="187"/>
      <c r="I24" s="21">
        <f>112/1.12</f>
        <v>99.999999999999986</v>
      </c>
      <c r="J24" s="187">
        <v>0</v>
      </c>
      <c r="L24" s="21">
        <f>L15</f>
        <v>0</v>
      </c>
      <c r="M24" s="21">
        <f>L24/L$32*100</f>
        <v>0</v>
      </c>
      <c r="O24" s="21">
        <f>O15</f>
        <v>0</v>
      </c>
      <c r="P24" s="21">
        <f>O24/O$32*100</f>
        <v>0</v>
      </c>
      <c r="Q24" s="21"/>
      <c r="R24" s="21">
        <v>0</v>
      </c>
      <c r="S24" s="21">
        <f>R24/R$30*100</f>
        <v>0</v>
      </c>
      <c r="T24" s="23"/>
      <c r="X24" s="11"/>
    </row>
    <row r="25" spans="1:33" x14ac:dyDescent="0.2">
      <c r="A25" s="23"/>
      <c r="B25" s="23"/>
      <c r="C25" s="23"/>
      <c r="D25" s="23"/>
      <c r="E25" s="23"/>
      <c r="F25" s="30"/>
      <c r="G25" s="30"/>
      <c r="H25" s="187"/>
      <c r="I25" s="21"/>
      <c r="J25" s="187">
        <v>1</v>
      </c>
      <c r="L25" s="21">
        <f t="shared" ref="L25:L32" si="9">L16</f>
        <v>160</v>
      </c>
      <c r="M25" s="21">
        <f t="shared" ref="M25:M32" si="10">L25/L$32*100</f>
        <v>62.015503875968989</v>
      </c>
      <c r="O25" s="21">
        <f t="shared" ref="O25:O32" si="11">O16</f>
        <v>79</v>
      </c>
      <c r="P25" s="21">
        <f t="shared" ref="P25:P32" si="12">O25/O$32*100</f>
        <v>37.264150943396224</v>
      </c>
      <c r="Q25" s="21"/>
      <c r="R25" s="21">
        <v>384.13361169102302</v>
      </c>
      <c r="S25" s="21">
        <f t="shared" ref="S25:S32" si="13">R25/R$30*100</f>
        <v>13.813813813813816</v>
      </c>
      <c r="T25" s="23"/>
    </row>
    <row r="26" spans="1:33" x14ac:dyDescent="0.2">
      <c r="A26" s="23"/>
      <c r="B26" s="23"/>
      <c r="C26" s="23"/>
      <c r="D26" s="23"/>
      <c r="E26" s="23"/>
      <c r="F26" s="187"/>
      <c r="G26" s="187"/>
      <c r="H26" s="187"/>
      <c r="I26" s="21"/>
      <c r="J26" s="187">
        <v>2</v>
      </c>
      <c r="L26" s="21">
        <f t="shared" si="9"/>
        <v>174</v>
      </c>
      <c r="M26" s="21">
        <f t="shared" si="10"/>
        <v>67.441860465116278</v>
      </c>
      <c r="O26" s="21">
        <f t="shared" si="11"/>
        <v>137</v>
      </c>
      <c r="P26" s="21">
        <f t="shared" si="12"/>
        <v>64.622641509433961</v>
      </c>
      <c r="Q26" s="21"/>
      <c r="R26" s="21">
        <v>776.61795407098123</v>
      </c>
      <c r="S26" s="21">
        <f t="shared" si="13"/>
        <v>27.927927927927925</v>
      </c>
      <c r="T26" s="23"/>
    </row>
    <row r="27" spans="1:33" x14ac:dyDescent="0.2">
      <c r="A27" s="23"/>
      <c r="B27" s="23"/>
      <c r="C27" s="23"/>
      <c r="D27" s="23"/>
      <c r="E27" s="23"/>
      <c r="F27" s="187"/>
      <c r="G27" s="187"/>
      <c r="H27" s="187"/>
      <c r="I27" s="21"/>
      <c r="J27" s="187">
        <v>3</v>
      </c>
      <c r="L27" s="21">
        <f t="shared" si="9"/>
        <v>188</v>
      </c>
      <c r="M27" s="21">
        <f t="shared" si="10"/>
        <v>72.868217054263567</v>
      </c>
      <c r="O27" s="21">
        <f t="shared" si="11"/>
        <v>147</v>
      </c>
      <c r="P27" s="21">
        <f t="shared" si="12"/>
        <v>69.339622641509436</v>
      </c>
      <c r="Q27" s="21"/>
      <c r="R27" s="21">
        <v>784.96868475991653</v>
      </c>
      <c r="S27" s="21">
        <f t="shared" si="13"/>
        <v>28.228228228228229</v>
      </c>
      <c r="T27" s="23"/>
    </row>
    <row r="28" spans="1:33" x14ac:dyDescent="0.2">
      <c r="A28" s="23"/>
      <c r="B28" s="23"/>
      <c r="C28" s="23"/>
      <c r="D28" s="23"/>
      <c r="E28" s="23"/>
      <c r="F28" s="187"/>
      <c r="G28" s="187"/>
      <c r="H28" s="187"/>
      <c r="I28" s="21"/>
      <c r="J28" s="187">
        <v>4</v>
      </c>
      <c r="L28" s="21">
        <f t="shared" si="9"/>
        <v>202</v>
      </c>
      <c r="M28" s="21">
        <f t="shared" si="10"/>
        <v>78.294573643410843</v>
      </c>
      <c r="O28" s="21">
        <f t="shared" si="11"/>
        <v>151</v>
      </c>
      <c r="P28" s="21">
        <f t="shared" si="12"/>
        <v>71.226415094339629</v>
      </c>
      <c r="Q28" s="21"/>
      <c r="R28" s="21">
        <v>1711.8997912317327</v>
      </c>
      <c r="S28" s="21">
        <f t="shared" si="13"/>
        <v>61.561561561561561</v>
      </c>
      <c r="V28" t="s">
        <v>468</v>
      </c>
    </row>
    <row r="29" spans="1:33" x14ac:dyDescent="0.2">
      <c r="A29" s="23"/>
      <c r="B29" s="23"/>
      <c r="C29" s="23"/>
      <c r="D29" s="23"/>
      <c r="E29" s="23"/>
      <c r="F29" s="187"/>
      <c r="G29" s="30">
        <v>28126</v>
      </c>
      <c r="H29" s="187">
        <f>G29-G15</f>
        <v>47</v>
      </c>
      <c r="I29" s="21"/>
      <c r="J29" s="187">
        <v>5</v>
      </c>
      <c r="L29" s="21">
        <f t="shared" si="9"/>
        <v>216</v>
      </c>
      <c r="M29" s="21">
        <f t="shared" si="10"/>
        <v>83.720930232558146</v>
      </c>
      <c r="O29" s="21">
        <f t="shared" si="11"/>
        <v>161</v>
      </c>
      <c r="P29" s="21">
        <f t="shared" si="12"/>
        <v>75.943396226415089</v>
      </c>
      <c r="Q29" s="21"/>
      <c r="R29" s="21">
        <v>2329.8538622129436</v>
      </c>
      <c r="S29" s="21">
        <f t="shared" si="13"/>
        <v>83.78378378378379</v>
      </c>
    </row>
    <row r="30" spans="1:33" x14ac:dyDescent="0.2">
      <c r="A30" s="23"/>
      <c r="B30" s="23"/>
      <c r="C30" s="23"/>
      <c r="D30" s="23"/>
      <c r="E30" s="23"/>
      <c r="F30" s="30"/>
      <c r="G30" s="30"/>
      <c r="H30" s="187"/>
      <c r="I30" s="21"/>
      <c r="J30" s="187">
        <v>6</v>
      </c>
      <c r="L30" s="21">
        <f t="shared" si="9"/>
        <v>230</v>
      </c>
      <c r="M30" s="21">
        <f t="shared" si="10"/>
        <v>89.147286821705436</v>
      </c>
      <c r="O30" s="21">
        <f t="shared" si="11"/>
        <v>167</v>
      </c>
      <c r="P30" s="21">
        <f t="shared" si="12"/>
        <v>78.773584905660371</v>
      </c>
      <c r="Q30" s="21"/>
      <c r="R30" s="21">
        <v>2780.7933194154489</v>
      </c>
      <c r="S30" s="21">
        <f t="shared" si="13"/>
        <v>100</v>
      </c>
    </row>
    <row r="31" spans="1:33" x14ac:dyDescent="0.2">
      <c r="A31" s="23"/>
      <c r="B31" s="23"/>
      <c r="C31" s="23"/>
      <c r="D31" s="23"/>
      <c r="E31" s="23"/>
      <c r="F31" s="187"/>
      <c r="G31" s="187"/>
      <c r="H31" s="187"/>
      <c r="I31" s="21"/>
      <c r="J31" s="187">
        <v>7</v>
      </c>
      <c r="L31" s="21">
        <f t="shared" si="9"/>
        <v>244</v>
      </c>
      <c r="M31" s="21">
        <f t="shared" si="10"/>
        <v>94.573643410852711</v>
      </c>
      <c r="O31" s="21">
        <f t="shared" si="11"/>
        <v>198</v>
      </c>
      <c r="P31" s="21">
        <f t="shared" si="12"/>
        <v>93.396226415094347</v>
      </c>
      <c r="Q31" s="21"/>
      <c r="R31" s="21">
        <v>2630.4801670146139</v>
      </c>
      <c r="S31" s="21">
        <f t="shared" si="13"/>
        <v>94.594594594594597</v>
      </c>
      <c r="T31" s="23"/>
    </row>
    <row r="32" spans="1:33" x14ac:dyDescent="0.2">
      <c r="A32" s="23"/>
      <c r="B32" s="23"/>
      <c r="C32" s="23"/>
      <c r="D32" s="23"/>
      <c r="E32" s="23"/>
      <c r="F32" s="187"/>
      <c r="G32" s="187"/>
      <c r="H32" s="187"/>
      <c r="I32" s="21"/>
      <c r="J32" s="187">
        <v>8</v>
      </c>
      <c r="L32" s="21">
        <f t="shared" si="9"/>
        <v>258</v>
      </c>
      <c r="M32" s="21">
        <f t="shared" si="10"/>
        <v>100</v>
      </c>
      <c r="O32" s="21">
        <f t="shared" si="11"/>
        <v>212</v>
      </c>
      <c r="P32" s="21">
        <f t="shared" si="12"/>
        <v>100</v>
      </c>
      <c r="Q32" s="21"/>
      <c r="R32" s="21">
        <v>2546.9728601252609</v>
      </c>
      <c r="S32" s="21">
        <f t="shared" si="13"/>
        <v>91.591591591591595</v>
      </c>
      <c r="T32" s="23"/>
    </row>
    <row r="33" spans="1:20" x14ac:dyDescent="0.2">
      <c r="A33" s="23"/>
      <c r="B33" s="23"/>
      <c r="C33" s="23"/>
      <c r="D33" s="23"/>
      <c r="E33" s="23"/>
      <c r="F33" s="187"/>
      <c r="G33" s="187"/>
      <c r="H33" s="187"/>
      <c r="I33" s="21">
        <f>74/1.12</f>
        <v>66.071428571428569</v>
      </c>
      <c r="J33" s="187">
        <v>0</v>
      </c>
      <c r="L33" s="21">
        <f>L15</f>
        <v>0</v>
      </c>
      <c r="M33" s="21">
        <f>L33/L$41*100</f>
        <v>0</v>
      </c>
      <c r="O33" s="21">
        <f>O15</f>
        <v>0</v>
      </c>
      <c r="P33" s="21">
        <f>O33/O$41*100</f>
        <v>0</v>
      </c>
      <c r="Q33" s="21"/>
      <c r="R33" s="21">
        <v>0</v>
      </c>
      <c r="S33" s="21">
        <f>R33/R$40*100</f>
        <v>0</v>
      </c>
      <c r="T33" s="23"/>
    </row>
    <row r="34" spans="1:20" x14ac:dyDescent="0.2">
      <c r="A34" s="23"/>
      <c r="B34" s="23"/>
      <c r="C34" s="23"/>
      <c r="D34" s="23"/>
      <c r="E34" s="23"/>
      <c r="F34" s="187"/>
      <c r="G34" s="187"/>
      <c r="H34" s="187"/>
      <c r="I34" s="21"/>
      <c r="J34" s="187">
        <v>1</v>
      </c>
      <c r="L34" s="21">
        <f t="shared" ref="L34:L41" si="14">L16</f>
        <v>160</v>
      </c>
      <c r="M34" s="21">
        <f t="shared" ref="M34:M41" si="15">L34/L$41*100</f>
        <v>62.015503875968989</v>
      </c>
      <c r="O34" s="21">
        <f t="shared" ref="O34:O41" si="16">O16</f>
        <v>79</v>
      </c>
      <c r="P34" s="21">
        <f t="shared" ref="P34:P41" si="17">O34/O$41*100</f>
        <v>37.264150943396224</v>
      </c>
      <c r="Q34" s="21"/>
      <c r="R34" s="21">
        <v>384.13361169102302</v>
      </c>
      <c r="S34" s="21">
        <f t="shared" ref="S34:S41" si="18">R34/R$40*100</f>
        <v>10.697674418604654</v>
      </c>
      <c r="T34" s="23"/>
    </row>
    <row r="35" spans="1:20" x14ac:dyDescent="0.2">
      <c r="A35" s="23"/>
      <c r="B35" s="23"/>
      <c r="C35" s="23"/>
      <c r="D35" s="23"/>
      <c r="E35" s="23"/>
      <c r="F35" s="30"/>
      <c r="G35" s="30"/>
      <c r="H35" s="187"/>
      <c r="I35" s="21"/>
      <c r="J35" s="187">
        <v>2</v>
      </c>
      <c r="L35" s="21">
        <f t="shared" si="14"/>
        <v>174</v>
      </c>
      <c r="M35" s="21">
        <f t="shared" si="15"/>
        <v>67.441860465116278</v>
      </c>
      <c r="O35" s="21">
        <f t="shared" si="16"/>
        <v>137</v>
      </c>
      <c r="P35" s="21">
        <f t="shared" si="17"/>
        <v>64.622641509433961</v>
      </c>
      <c r="Q35" s="21"/>
      <c r="R35" s="21">
        <v>501.04384133611688</v>
      </c>
      <c r="S35" s="21">
        <f t="shared" si="18"/>
        <v>13.953488372093023</v>
      </c>
      <c r="T35" s="23"/>
    </row>
    <row r="36" spans="1:20" x14ac:dyDescent="0.2">
      <c r="A36" s="23"/>
      <c r="B36" s="23"/>
      <c r="C36" s="23"/>
      <c r="D36" s="23"/>
      <c r="E36" s="23"/>
      <c r="F36" s="187"/>
      <c r="G36" s="187"/>
      <c r="H36" s="187"/>
      <c r="I36" s="21"/>
      <c r="J36" s="187">
        <v>3</v>
      </c>
      <c r="L36" s="21">
        <f t="shared" si="14"/>
        <v>188</v>
      </c>
      <c r="M36" s="21">
        <f t="shared" si="15"/>
        <v>72.868217054263567</v>
      </c>
      <c r="O36" s="21">
        <f t="shared" si="16"/>
        <v>147</v>
      </c>
      <c r="P36" s="21">
        <f t="shared" si="17"/>
        <v>69.339622641509436</v>
      </c>
      <c r="Q36" s="21"/>
      <c r="R36" s="21">
        <v>684.75991649269315</v>
      </c>
      <c r="S36" s="21">
        <f t="shared" si="18"/>
        <v>19.069767441860467</v>
      </c>
      <c r="T36" s="23"/>
    </row>
    <row r="37" spans="1:20" x14ac:dyDescent="0.2">
      <c r="A37" s="23"/>
      <c r="B37" s="23"/>
      <c r="C37" s="23"/>
      <c r="D37" s="23"/>
      <c r="E37" s="23"/>
      <c r="F37" s="187"/>
      <c r="G37" s="187"/>
      <c r="H37" s="187"/>
      <c r="I37" s="21"/>
      <c r="J37" s="187">
        <v>4</v>
      </c>
      <c r="L37" s="21">
        <f t="shared" si="14"/>
        <v>202</v>
      </c>
      <c r="M37" s="21">
        <f t="shared" si="15"/>
        <v>78.294573643410843</v>
      </c>
      <c r="O37" s="21">
        <f t="shared" si="16"/>
        <v>151</v>
      </c>
      <c r="P37" s="21">
        <f t="shared" si="17"/>
        <v>71.226415094339629</v>
      </c>
      <c r="Q37" s="21"/>
      <c r="R37" s="21">
        <v>810.02087682672231</v>
      </c>
      <c r="S37" s="21">
        <f t="shared" si="18"/>
        <v>22.558139534883722</v>
      </c>
      <c r="T37" s="23"/>
    </row>
    <row r="38" spans="1:20" x14ac:dyDescent="0.2">
      <c r="A38" s="23"/>
      <c r="B38" s="23"/>
      <c r="C38" s="23"/>
      <c r="D38" s="23"/>
      <c r="E38" s="23"/>
      <c r="F38" s="187"/>
      <c r="G38" s="187"/>
      <c r="H38" s="187"/>
      <c r="I38" s="21"/>
      <c r="J38" s="187">
        <v>5</v>
      </c>
      <c r="L38" s="21">
        <f t="shared" si="14"/>
        <v>216</v>
      </c>
      <c r="M38" s="21">
        <f t="shared" si="15"/>
        <v>83.720930232558146</v>
      </c>
      <c r="O38" s="21">
        <f t="shared" si="16"/>
        <v>161</v>
      </c>
      <c r="P38" s="21">
        <f t="shared" si="17"/>
        <v>75.943396226415089</v>
      </c>
      <c r="Q38" s="21"/>
      <c r="R38" s="21">
        <v>1920.6680584551148</v>
      </c>
      <c r="S38" s="21">
        <f t="shared" si="18"/>
        <v>53.488372093023258</v>
      </c>
      <c r="T38" s="23"/>
    </row>
    <row r="39" spans="1:20" x14ac:dyDescent="0.2">
      <c r="A39" s="23"/>
      <c r="B39" s="23"/>
      <c r="C39" s="23"/>
      <c r="D39" s="23"/>
      <c r="E39" s="23"/>
      <c r="F39" s="187"/>
      <c r="G39" s="187"/>
      <c r="H39" s="187"/>
      <c r="I39" s="21"/>
      <c r="J39" s="187">
        <v>6</v>
      </c>
      <c r="L39" s="21">
        <f t="shared" si="14"/>
        <v>230</v>
      </c>
      <c r="M39" s="21">
        <f t="shared" si="15"/>
        <v>89.147286821705436</v>
      </c>
      <c r="O39" s="21">
        <f t="shared" si="16"/>
        <v>167</v>
      </c>
      <c r="P39" s="21">
        <f t="shared" si="17"/>
        <v>78.773584905660371</v>
      </c>
      <c r="Q39" s="21"/>
      <c r="R39" s="21">
        <v>2171.1899791231735</v>
      </c>
      <c r="S39" s="21">
        <f t="shared" si="18"/>
        <v>60.465116279069775</v>
      </c>
      <c r="T39" s="23"/>
    </row>
    <row r="40" spans="1:20" x14ac:dyDescent="0.2">
      <c r="A40" s="23"/>
      <c r="B40" s="23"/>
      <c r="C40" s="23"/>
      <c r="D40" s="23"/>
      <c r="E40" s="23"/>
      <c r="F40" s="30"/>
      <c r="G40" s="30"/>
      <c r="H40" s="187"/>
      <c r="I40" s="21"/>
      <c r="J40" s="187">
        <v>7</v>
      </c>
      <c r="L40" s="21">
        <f t="shared" si="14"/>
        <v>244</v>
      </c>
      <c r="M40" s="21">
        <f t="shared" si="15"/>
        <v>94.573643410852711</v>
      </c>
      <c r="O40" s="21">
        <f t="shared" si="16"/>
        <v>198</v>
      </c>
      <c r="P40" s="21">
        <f t="shared" si="17"/>
        <v>93.396226415094347</v>
      </c>
      <c r="Q40" s="21"/>
      <c r="R40" s="21">
        <v>3590.814196242171</v>
      </c>
      <c r="S40" s="21">
        <f t="shared" si="18"/>
        <v>100</v>
      </c>
      <c r="T40" s="23"/>
    </row>
    <row r="41" spans="1:20" x14ac:dyDescent="0.2">
      <c r="A41" s="23"/>
      <c r="B41" s="23"/>
      <c r="C41" s="23"/>
      <c r="D41" s="23"/>
      <c r="E41" s="23"/>
      <c r="F41" s="187"/>
      <c r="G41" s="187"/>
      <c r="H41" s="187"/>
      <c r="I41" s="21"/>
      <c r="J41" s="187">
        <v>8</v>
      </c>
      <c r="L41" s="21">
        <f t="shared" si="14"/>
        <v>258</v>
      </c>
      <c r="M41" s="21">
        <f t="shared" si="15"/>
        <v>100</v>
      </c>
      <c r="O41" s="21">
        <f t="shared" si="16"/>
        <v>212</v>
      </c>
      <c r="P41" s="21">
        <f t="shared" si="17"/>
        <v>100</v>
      </c>
      <c r="R41" s="21">
        <v>2379.9582463465554</v>
      </c>
      <c r="S41" s="21">
        <f t="shared" si="18"/>
        <v>66.279069767441868</v>
      </c>
      <c r="T41" s="23"/>
    </row>
    <row r="42" spans="1:20" x14ac:dyDescent="0.2">
      <c r="A42" s="23" t="s">
        <v>454</v>
      </c>
      <c r="B42" s="55" t="s">
        <v>455</v>
      </c>
      <c r="C42" t="s">
        <v>469</v>
      </c>
      <c r="D42" s="23"/>
      <c r="E42" s="23" t="s">
        <v>456</v>
      </c>
      <c r="F42" s="187"/>
      <c r="G42" s="187" t="s">
        <v>457</v>
      </c>
      <c r="H42" s="187"/>
      <c r="I42" s="21" t="s">
        <v>442</v>
      </c>
      <c r="J42" s="187">
        <v>0</v>
      </c>
      <c r="K42" s="21">
        <f>J42/J$45*100</f>
        <v>0</v>
      </c>
      <c r="L42" s="192">
        <v>0</v>
      </c>
      <c r="M42" s="21"/>
      <c r="N42" s="21"/>
      <c r="O42" s="192">
        <v>0</v>
      </c>
      <c r="P42" s="21"/>
      <c r="Q42" s="21"/>
      <c r="R42" s="21">
        <v>92.909090909090907</v>
      </c>
      <c r="S42" s="21">
        <f>R42/R$45*100</f>
        <v>45.341614906832298</v>
      </c>
      <c r="T42" s="23"/>
    </row>
    <row r="43" spans="1:20" x14ac:dyDescent="0.2">
      <c r="A43" s="23"/>
      <c r="B43" s="23"/>
      <c r="C43" s="23"/>
      <c r="D43" s="23"/>
      <c r="E43" s="23"/>
      <c r="F43" s="187"/>
      <c r="G43" s="187"/>
      <c r="H43" s="187"/>
      <c r="I43" s="21"/>
      <c r="J43" s="187">
        <v>27</v>
      </c>
      <c r="K43" s="21">
        <f>J43/J$45*100</f>
        <v>42.857142857142854</v>
      </c>
      <c r="L43" s="192">
        <v>21</v>
      </c>
      <c r="M43" s="21"/>
      <c r="N43" s="21"/>
      <c r="O43" s="192">
        <v>21</v>
      </c>
      <c r="P43" s="21"/>
      <c r="Q43" s="21"/>
      <c r="R43" s="21">
        <v>174.36363636363637</v>
      </c>
      <c r="S43" s="21">
        <f>R43/R$45*100</f>
        <v>85.093167701863365</v>
      </c>
      <c r="T43" s="23"/>
    </row>
    <row r="44" spans="1:20" x14ac:dyDescent="0.2">
      <c r="A44" s="23"/>
      <c r="B44" s="23"/>
      <c r="C44" s="23"/>
      <c r="D44" s="23"/>
      <c r="E44" s="23"/>
      <c r="F44" s="187"/>
      <c r="G44" s="187"/>
      <c r="H44" s="187"/>
      <c r="I44" s="21"/>
      <c r="J44" s="187">
        <f>6*7</f>
        <v>42</v>
      </c>
      <c r="K44" s="21">
        <f>J44/J$45*100</f>
        <v>66.666666666666657</v>
      </c>
      <c r="L44" s="192">
        <v>42</v>
      </c>
      <c r="M44" s="21"/>
      <c r="N44" s="21"/>
      <c r="O44" s="192">
        <v>42</v>
      </c>
      <c r="P44" s="21"/>
      <c r="Q44" s="21"/>
      <c r="R44" s="21">
        <v>179.45454545454544</v>
      </c>
      <c r="S44" s="21">
        <f>R44/R$45*100</f>
        <v>87.577639751552795</v>
      </c>
      <c r="T44" s="23"/>
    </row>
    <row r="45" spans="1:20" x14ac:dyDescent="0.2">
      <c r="A45" s="23"/>
      <c r="B45" s="23"/>
      <c r="C45" s="23"/>
      <c r="D45" s="23"/>
      <c r="E45" s="23"/>
      <c r="F45" s="30"/>
      <c r="G45" s="30"/>
      <c r="H45" s="187"/>
      <c r="I45" s="21"/>
      <c r="J45" s="187">
        <f>9*7</f>
        <v>63</v>
      </c>
      <c r="K45" s="21">
        <f>J45/J$45*100</f>
        <v>100</v>
      </c>
      <c r="L45" s="192">
        <v>63</v>
      </c>
      <c r="M45" s="21"/>
      <c r="N45" s="21"/>
      <c r="O45" s="192">
        <v>63</v>
      </c>
      <c r="P45" s="21"/>
      <c r="Q45" s="21"/>
      <c r="R45" s="21">
        <v>204.90909090909091</v>
      </c>
      <c r="S45" s="21">
        <f>R45/R$45*100</f>
        <v>100</v>
      </c>
      <c r="T45" s="23"/>
    </row>
    <row r="46" spans="1:20" x14ac:dyDescent="0.2">
      <c r="A46" s="23"/>
      <c r="B46" s="23"/>
      <c r="C46" s="23"/>
      <c r="D46" s="23"/>
      <c r="E46" s="23"/>
      <c r="F46" s="187"/>
      <c r="G46" s="187"/>
      <c r="H46" s="187"/>
      <c r="I46" s="21"/>
      <c r="J46" s="187"/>
      <c r="K46" s="21"/>
      <c r="L46" s="192"/>
      <c r="M46" s="21"/>
      <c r="N46" s="21"/>
      <c r="O46" s="192"/>
      <c r="P46" s="21"/>
      <c r="R46" s="21"/>
      <c r="S46" s="21"/>
      <c r="T46" s="23"/>
    </row>
    <row r="47" spans="1:20" x14ac:dyDescent="0.2">
      <c r="A47" s="23"/>
      <c r="B47" s="23"/>
      <c r="C47" s="23"/>
      <c r="D47" s="23"/>
      <c r="E47" s="23"/>
      <c r="F47" s="187"/>
      <c r="G47" s="187"/>
      <c r="H47" s="187"/>
      <c r="I47" s="21"/>
      <c r="J47" s="187"/>
      <c r="K47" s="21"/>
      <c r="L47" s="192"/>
      <c r="M47" s="21"/>
      <c r="N47" s="21"/>
      <c r="O47" s="192"/>
      <c r="P47" s="21"/>
      <c r="Q47" s="21"/>
      <c r="R47" s="21"/>
      <c r="S47" s="21"/>
      <c r="T47" s="23"/>
    </row>
    <row r="48" spans="1:20" x14ac:dyDescent="0.2">
      <c r="A48" s="23"/>
      <c r="B48" s="23"/>
      <c r="C48" s="23"/>
      <c r="D48" s="23"/>
      <c r="E48" s="23"/>
      <c r="F48" s="187"/>
      <c r="G48" s="187"/>
      <c r="H48" s="187"/>
      <c r="I48" s="21"/>
      <c r="J48" s="187"/>
      <c r="K48" s="21"/>
      <c r="L48" s="192"/>
      <c r="M48" s="21"/>
      <c r="N48" s="21"/>
      <c r="O48" s="192"/>
      <c r="P48" s="21"/>
      <c r="Q48" s="21"/>
      <c r="R48" s="21"/>
      <c r="S48" s="21"/>
      <c r="T48" s="23"/>
    </row>
    <row r="49" spans="1:31" x14ac:dyDescent="0.2">
      <c r="A49" s="23"/>
      <c r="B49" s="23"/>
      <c r="C49" s="23"/>
      <c r="D49" s="23"/>
      <c r="E49" s="23"/>
      <c r="F49" s="187"/>
      <c r="G49" s="187"/>
      <c r="H49" s="187"/>
      <c r="I49" s="21"/>
      <c r="J49" s="187"/>
      <c r="K49" s="21"/>
      <c r="L49" s="192"/>
      <c r="M49" s="21"/>
      <c r="N49" s="21"/>
      <c r="O49" s="192"/>
      <c r="P49" s="21"/>
      <c r="Q49" s="21"/>
      <c r="R49" s="21"/>
      <c r="S49" s="21"/>
      <c r="T49" s="23"/>
    </row>
    <row r="50" spans="1:31" x14ac:dyDescent="0.2">
      <c r="A50" s="23"/>
      <c r="B50" s="23"/>
      <c r="C50" s="23"/>
      <c r="D50" s="23"/>
      <c r="E50" s="23"/>
      <c r="F50" s="30"/>
      <c r="G50" s="30"/>
      <c r="H50" s="187"/>
      <c r="I50" s="21"/>
      <c r="J50" s="187"/>
      <c r="K50" s="21"/>
      <c r="L50" s="21"/>
      <c r="M50" s="21"/>
      <c r="N50" s="21"/>
      <c r="O50" s="21"/>
      <c r="P50" s="21"/>
      <c r="Q50" s="21"/>
      <c r="R50" s="21"/>
      <c r="S50" s="21"/>
      <c r="T50" s="23"/>
    </row>
    <row r="51" spans="1:31" x14ac:dyDescent="0.2">
      <c r="A51" s="23"/>
      <c r="B51" s="23"/>
      <c r="C51" s="23"/>
      <c r="D51" s="23"/>
      <c r="E51" s="23"/>
      <c r="F51" s="187"/>
      <c r="G51" s="187"/>
      <c r="H51" s="187"/>
      <c r="I51" s="21"/>
      <c r="J51" s="187"/>
      <c r="K51" s="21"/>
      <c r="L51" s="21"/>
      <c r="N51" s="21"/>
      <c r="O51" s="21"/>
      <c r="S51" s="21"/>
      <c r="T51" s="23"/>
    </row>
    <row r="52" spans="1:31" x14ac:dyDescent="0.2">
      <c r="A52" s="23"/>
      <c r="B52" s="23"/>
      <c r="C52" s="23"/>
      <c r="D52" s="23"/>
      <c r="E52" s="23"/>
      <c r="F52" s="187"/>
      <c r="G52" s="187"/>
      <c r="H52" s="187"/>
      <c r="I52" s="21"/>
      <c r="J52" s="187"/>
      <c r="K52" s="21"/>
      <c r="L52" s="21"/>
      <c r="N52" s="21"/>
      <c r="O52" s="21"/>
      <c r="S52" s="21"/>
      <c r="T52" s="23"/>
    </row>
    <row r="53" spans="1:31" x14ac:dyDescent="0.2">
      <c r="A53" s="23"/>
      <c r="B53" s="23"/>
      <c r="C53" s="23"/>
      <c r="D53" s="23"/>
      <c r="E53" s="23"/>
      <c r="F53" s="187"/>
      <c r="G53" s="187"/>
      <c r="H53" s="187"/>
      <c r="I53" s="21"/>
      <c r="J53" s="187"/>
      <c r="K53" s="21"/>
      <c r="L53" s="21"/>
      <c r="N53" s="21"/>
      <c r="O53" s="21"/>
      <c r="S53" s="21"/>
      <c r="T53" s="23"/>
    </row>
    <row r="54" spans="1:31" x14ac:dyDescent="0.2">
      <c r="A54" s="23"/>
      <c r="B54" s="23"/>
      <c r="C54" s="23"/>
      <c r="D54" s="23"/>
      <c r="E54" s="23"/>
      <c r="F54" s="187"/>
      <c r="G54" s="187"/>
      <c r="H54" s="187"/>
      <c r="I54" s="21"/>
      <c r="J54" s="187"/>
      <c r="K54" s="21"/>
      <c r="L54" s="21"/>
      <c r="N54" s="21"/>
      <c r="O54" s="21"/>
      <c r="S54" s="21"/>
      <c r="T54" s="23"/>
      <c r="V54" t="s">
        <v>465</v>
      </c>
      <c r="X54" s="191">
        <v>43049</v>
      </c>
      <c r="AB54" t="s">
        <v>466</v>
      </c>
      <c r="AC54" s="1">
        <v>43099</v>
      </c>
    </row>
    <row r="55" spans="1:31" x14ac:dyDescent="0.2">
      <c r="A55" s="23"/>
      <c r="B55" s="23"/>
      <c r="C55" s="23"/>
      <c r="D55" s="23"/>
      <c r="E55" s="23"/>
      <c r="F55" s="30"/>
      <c r="G55" s="30"/>
      <c r="H55" s="187"/>
      <c r="I55" s="21"/>
      <c r="J55" s="187"/>
      <c r="K55" s="21"/>
      <c r="L55" s="21"/>
      <c r="N55" s="21"/>
      <c r="O55" s="21"/>
      <c r="S55" s="21"/>
      <c r="T55" s="23"/>
      <c r="X55" s="191">
        <v>43115</v>
      </c>
      <c r="Y55">
        <f>X55-X54</f>
        <v>66</v>
      </c>
      <c r="Z55" t="s">
        <v>459</v>
      </c>
      <c r="AC55" s="1">
        <v>43136</v>
      </c>
      <c r="AD55">
        <f>AC55-AC54</f>
        <v>37</v>
      </c>
      <c r="AE55" t="s">
        <v>459</v>
      </c>
    </row>
    <row r="56" spans="1:31" x14ac:dyDescent="0.2">
      <c r="A56" s="23"/>
      <c r="B56" s="23"/>
      <c r="C56" s="23"/>
      <c r="D56" s="23"/>
      <c r="E56" s="23"/>
      <c r="F56" s="187"/>
      <c r="G56" s="187"/>
      <c r="H56" s="187"/>
      <c r="I56" s="21"/>
      <c r="J56" s="187"/>
      <c r="K56" s="21"/>
      <c r="L56" s="21"/>
      <c r="N56" s="21"/>
      <c r="O56" s="21"/>
      <c r="S56" s="21"/>
      <c r="T56" s="23"/>
      <c r="X56" s="1">
        <v>43252</v>
      </c>
      <c r="Y56">
        <f>X56-X54</f>
        <v>203</v>
      </c>
      <c r="Z56" t="s">
        <v>462</v>
      </c>
      <c r="AC56" s="1">
        <v>43200</v>
      </c>
      <c r="AD56">
        <f>AC56-AC54</f>
        <v>101</v>
      </c>
      <c r="AE56" t="s">
        <v>462</v>
      </c>
    </row>
    <row r="57" spans="1:31" x14ac:dyDescent="0.2">
      <c r="A57" s="23"/>
      <c r="B57" s="23"/>
      <c r="C57" s="23"/>
      <c r="D57" s="23"/>
      <c r="E57" s="23"/>
      <c r="F57" s="187"/>
      <c r="G57" s="187"/>
      <c r="H57" s="187"/>
      <c r="I57" s="21"/>
      <c r="J57" s="187"/>
      <c r="K57" s="21"/>
      <c r="L57" s="21"/>
      <c r="N57" s="21"/>
      <c r="O57" s="21"/>
      <c r="S57" s="21"/>
      <c r="T57" s="23"/>
      <c r="X57" s="1">
        <v>43291</v>
      </c>
      <c r="Y57">
        <f>X57-X54</f>
        <v>242</v>
      </c>
      <c r="Z57" t="s">
        <v>460</v>
      </c>
      <c r="AC57" s="1">
        <v>43245</v>
      </c>
      <c r="AD57">
        <f>AC57-AC54</f>
        <v>146</v>
      </c>
      <c r="AE57" t="s">
        <v>460</v>
      </c>
    </row>
    <row r="58" spans="1:31" x14ac:dyDescent="0.2">
      <c r="A58" s="23"/>
      <c r="B58" s="23"/>
      <c r="C58" s="23"/>
      <c r="D58" s="23"/>
      <c r="E58" s="23"/>
      <c r="F58" s="187"/>
      <c r="G58" s="187"/>
      <c r="H58" s="187"/>
      <c r="I58" s="21"/>
      <c r="J58" s="187"/>
      <c r="K58" s="21"/>
      <c r="L58" s="21"/>
      <c r="N58" s="21"/>
      <c r="O58" s="21"/>
      <c r="S58" s="21"/>
      <c r="T58" s="23"/>
      <c r="X58" t="s">
        <v>461</v>
      </c>
      <c r="Y58">
        <f>Y55/Y57</f>
        <v>0.27272727272727271</v>
      </c>
      <c r="Z58" t="s">
        <v>5</v>
      </c>
      <c r="AC58" t="s">
        <v>461</v>
      </c>
      <c r="AD58">
        <f>AD55/AD57</f>
        <v>0.25342465753424659</v>
      </c>
      <c r="AE58" t="s">
        <v>5</v>
      </c>
    </row>
    <row r="59" spans="1:31" x14ac:dyDescent="0.2">
      <c r="A59" s="23"/>
      <c r="B59" s="23"/>
      <c r="C59" s="23"/>
      <c r="D59" s="23"/>
      <c r="E59" s="23"/>
      <c r="F59" s="187"/>
      <c r="G59" s="187"/>
      <c r="H59" s="187"/>
      <c r="I59" s="21"/>
      <c r="J59" s="187"/>
      <c r="K59" s="21"/>
      <c r="L59" s="21"/>
      <c r="N59" s="21"/>
      <c r="O59" s="21"/>
      <c r="S59" s="21"/>
      <c r="T59" s="23"/>
      <c r="X59" t="s">
        <v>463</v>
      </c>
      <c r="Y59">
        <f>Y56/Y57</f>
        <v>0.83884297520661155</v>
      </c>
      <c r="Z59" t="s">
        <v>5</v>
      </c>
      <c r="AC59" t="s">
        <v>463</v>
      </c>
      <c r="AD59">
        <f>AD56/AD57</f>
        <v>0.69178082191780821</v>
      </c>
      <c r="AE59" t="s">
        <v>5</v>
      </c>
    </row>
    <row r="60" spans="1:31" x14ac:dyDescent="0.2">
      <c r="A60" s="23"/>
      <c r="B60" s="23"/>
      <c r="C60" s="23"/>
      <c r="D60" s="23"/>
      <c r="E60" s="23"/>
      <c r="F60" s="30"/>
      <c r="G60" s="30"/>
      <c r="H60" s="187"/>
      <c r="I60" s="21"/>
      <c r="J60" s="187"/>
      <c r="K60" s="21"/>
      <c r="L60" s="21"/>
      <c r="M60" s="21"/>
      <c r="N60" s="21"/>
      <c r="O60" s="21"/>
      <c r="P60" s="21"/>
      <c r="Q60" s="21"/>
      <c r="R60" s="21"/>
      <c r="S60" s="21"/>
      <c r="T60" s="23"/>
    </row>
    <row r="61" spans="1:31" x14ac:dyDescent="0.2">
      <c r="A61" s="23"/>
      <c r="B61" s="23"/>
      <c r="C61" s="23"/>
      <c r="D61" s="23"/>
      <c r="E61" s="23"/>
      <c r="F61" s="187"/>
      <c r="G61" s="187"/>
      <c r="H61" s="187"/>
      <c r="I61" s="21"/>
      <c r="J61" s="187"/>
      <c r="K61" s="21"/>
      <c r="L61" s="21"/>
      <c r="M61" s="21"/>
      <c r="N61" s="21"/>
      <c r="O61" s="21"/>
      <c r="P61" s="21"/>
      <c r="Q61" s="21"/>
      <c r="R61" s="21"/>
      <c r="S61" s="21"/>
      <c r="T61" s="23"/>
      <c r="X61" t="s">
        <v>464</v>
      </c>
    </row>
    <row r="62" spans="1:31" x14ac:dyDescent="0.2">
      <c r="A62" s="23"/>
      <c r="B62" s="23"/>
      <c r="C62" s="23"/>
      <c r="D62" s="23"/>
      <c r="E62" s="23"/>
      <c r="F62" s="187"/>
      <c r="G62" s="187"/>
      <c r="H62" s="187"/>
      <c r="I62" s="21"/>
      <c r="J62" s="187"/>
      <c r="K62" s="21"/>
      <c r="L62" s="21"/>
      <c r="M62" s="21"/>
      <c r="N62" s="21"/>
      <c r="O62" s="21"/>
      <c r="P62" s="21"/>
      <c r="Q62" s="21"/>
      <c r="R62" s="21"/>
      <c r="S62" s="21"/>
      <c r="T62" s="23"/>
    </row>
    <row r="63" spans="1:31" x14ac:dyDescent="0.2">
      <c r="A63" s="23"/>
      <c r="B63" s="23"/>
      <c r="C63" s="23"/>
      <c r="D63" s="23"/>
      <c r="E63" s="23"/>
      <c r="F63" s="187"/>
      <c r="G63" s="187"/>
      <c r="H63" s="187"/>
      <c r="I63" s="21"/>
      <c r="J63" s="187"/>
      <c r="K63" s="21"/>
      <c r="L63" s="21"/>
      <c r="M63" s="21"/>
      <c r="N63" s="21"/>
      <c r="O63" s="21"/>
      <c r="P63" s="21"/>
      <c r="Q63" s="21"/>
      <c r="R63" s="21"/>
      <c r="S63" s="21"/>
      <c r="T63" s="23"/>
    </row>
    <row r="64" spans="1:31" x14ac:dyDescent="0.2">
      <c r="A64" s="23"/>
      <c r="B64" s="23"/>
      <c r="C64" s="23"/>
      <c r="D64" s="23"/>
      <c r="E64" s="23"/>
      <c r="F64" s="187"/>
      <c r="G64" s="187"/>
      <c r="H64" s="187"/>
      <c r="I64" s="21"/>
      <c r="J64" s="187"/>
      <c r="K64" s="21"/>
      <c r="L64" s="21"/>
      <c r="M64" s="21"/>
      <c r="N64" s="21"/>
      <c r="O64" s="21"/>
      <c r="P64" s="21"/>
      <c r="Q64" s="21"/>
      <c r="R64" s="21"/>
      <c r="S64" s="21"/>
      <c r="T64" s="23"/>
    </row>
    <row r="65" spans="1:20" x14ac:dyDescent="0.2">
      <c r="A65" s="23"/>
      <c r="B65" s="23"/>
      <c r="C65" s="23"/>
      <c r="D65" s="17"/>
      <c r="E65" s="17"/>
      <c r="F65" s="30"/>
      <c r="G65" s="30"/>
      <c r="H65" s="187"/>
      <c r="I65" s="21"/>
      <c r="J65" s="187"/>
      <c r="K65" s="21"/>
      <c r="L65" s="21"/>
      <c r="M65" s="21"/>
      <c r="N65" s="21"/>
      <c r="O65" s="21"/>
      <c r="P65" s="21"/>
      <c r="Q65" s="21"/>
      <c r="R65" s="187"/>
      <c r="S65" s="21"/>
      <c r="T65" s="23"/>
    </row>
    <row r="66" spans="1:20" x14ac:dyDescent="0.2">
      <c r="A66" s="23"/>
      <c r="B66" s="23"/>
      <c r="C66" s="23"/>
      <c r="D66" s="17"/>
      <c r="E66" s="17"/>
      <c r="F66" s="187"/>
      <c r="G66" s="187"/>
      <c r="H66" s="187"/>
      <c r="I66" s="21"/>
      <c r="J66" s="187"/>
      <c r="K66" s="21"/>
      <c r="L66" s="21"/>
      <c r="M66" s="21"/>
      <c r="N66" s="21"/>
      <c r="O66" s="21"/>
      <c r="P66" s="21"/>
      <c r="Q66" s="21"/>
      <c r="R66" s="21"/>
      <c r="S66" s="21"/>
      <c r="T66" s="23"/>
    </row>
    <row r="67" spans="1:20" x14ac:dyDescent="0.2">
      <c r="A67" s="23"/>
      <c r="B67" s="23"/>
      <c r="C67" s="23"/>
      <c r="D67" s="17"/>
      <c r="E67" s="17"/>
      <c r="F67" s="187"/>
      <c r="G67" s="187"/>
      <c r="H67" s="187"/>
      <c r="I67" s="21"/>
      <c r="J67" s="187"/>
      <c r="K67" s="21"/>
      <c r="L67" s="21"/>
      <c r="M67" s="21"/>
      <c r="N67" s="21"/>
      <c r="O67" s="21"/>
      <c r="P67" s="21"/>
      <c r="Q67" s="21"/>
      <c r="R67" s="21"/>
      <c r="S67" s="21"/>
      <c r="T67" s="23"/>
    </row>
    <row r="68" spans="1:20" x14ac:dyDescent="0.2">
      <c r="A68" s="23"/>
      <c r="B68" s="23"/>
      <c r="C68" s="23"/>
      <c r="D68" s="17"/>
      <c r="E68" s="17"/>
      <c r="F68" s="187"/>
      <c r="G68" s="187"/>
      <c r="H68" s="187"/>
      <c r="I68" s="21"/>
      <c r="J68" s="187"/>
      <c r="K68" s="21"/>
      <c r="L68" s="21"/>
      <c r="M68" s="21"/>
      <c r="N68" s="21"/>
      <c r="O68" s="21"/>
      <c r="P68" s="21"/>
      <c r="Q68" s="21"/>
      <c r="R68" s="21"/>
      <c r="S68" s="21"/>
      <c r="T68" s="23"/>
    </row>
    <row r="69" spans="1:20" x14ac:dyDescent="0.2">
      <c r="A69" s="23"/>
      <c r="B69" s="23"/>
      <c r="C69" s="23"/>
      <c r="D69" s="17"/>
      <c r="E69" s="17"/>
      <c r="F69" s="187"/>
      <c r="G69" s="187"/>
      <c r="H69" s="187"/>
      <c r="I69" s="21"/>
      <c r="J69" s="187"/>
      <c r="K69" s="21"/>
      <c r="L69" s="21"/>
      <c r="M69" s="21"/>
      <c r="N69" s="21"/>
      <c r="O69" s="21"/>
      <c r="P69" s="21"/>
      <c r="Q69" s="21"/>
      <c r="R69" s="21"/>
      <c r="S69" s="21"/>
      <c r="T69" s="23"/>
    </row>
    <row r="70" spans="1:20" x14ac:dyDescent="0.2">
      <c r="A70" s="23"/>
      <c r="B70" s="23"/>
      <c r="C70" s="23"/>
      <c r="D70" s="17"/>
      <c r="E70" s="17"/>
      <c r="F70" s="187"/>
      <c r="G70" s="187"/>
      <c r="H70" s="187"/>
      <c r="I70" s="21"/>
      <c r="J70" s="187"/>
      <c r="K70" s="21"/>
      <c r="L70" s="21"/>
      <c r="M70" s="21"/>
      <c r="N70" s="21"/>
      <c r="O70" s="21"/>
      <c r="P70" s="21"/>
      <c r="Q70" s="21"/>
      <c r="R70" s="21"/>
      <c r="S70" s="21"/>
      <c r="T70" s="23"/>
    </row>
    <row r="71" spans="1:20" x14ac:dyDescent="0.2">
      <c r="A71" s="23"/>
      <c r="B71" s="23"/>
      <c r="C71" s="23"/>
      <c r="D71" s="17"/>
      <c r="E71" s="17"/>
      <c r="F71" s="187"/>
      <c r="G71" s="187"/>
      <c r="H71" s="187"/>
      <c r="I71" s="21"/>
      <c r="J71" s="187"/>
      <c r="K71" s="21"/>
      <c r="L71" s="21"/>
      <c r="M71" s="21"/>
      <c r="N71" s="21"/>
      <c r="O71" s="21"/>
      <c r="P71" s="21"/>
      <c r="Q71" s="21"/>
      <c r="R71" s="21"/>
      <c r="S71" s="21"/>
      <c r="T71" s="23"/>
    </row>
    <row r="72" spans="1:20" x14ac:dyDescent="0.2">
      <c r="A72" s="23"/>
      <c r="B72" s="23"/>
      <c r="C72" s="23"/>
      <c r="D72" s="23"/>
      <c r="E72" s="23"/>
      <c r="F72" s="30"/>
      <c r="G72" s="30"/>
      <c r="H72" s="187"/>
      <c r="I72" s="21"/>
      <c r="J72" s="187"/>
      <c r="K72" s="21"/>
      <c r="L72" s="21"/>
      <c r="M72" s="21"/>
      <c r="N72" s="21"/>
      <c r="O72" s="21"/>
      <c r="P72" s="21"/>
      <c r="Q72" s="21"/>
      <c r="R72" s="187"/>
      <c r="S72" s="21"/>
      <c r="T72" s="23"/>
    </row>
    <row r="73" spans="1:20" x14ac:dyDescent="0.2">
      <c r="A73" s="23"/>
      <c r="B73" s="23"/>
      <c r="C73" s="23"/>
      <c r="D73" s="23"/>
      <c r="E73" s="23"/>
      <c r="F73" s="187"/>
      <c r="G73" s="187"/>
      <c r="H73" s="187"/>
      <c r="I73" s="21"/>
      <c r="J73" s="187"/>
      <c r="K73" s="21"/>
      <c r="L73" s="21"/>
      <c r="M73" s="21"/>
      <c r="N73" s="21"/>
      <c r="O73" s="21"/>
      <c r="P73" s="21"/>
      <c r="Q73" s="21"/>
      <c r="R73" s="21"/>
      <c r="S73" s="21"/>
      <c r="T73" s="23"/>
    </row>
    <row r="74" spans="1:20" x14ac:dyDescent="0.2">
      <c r="A74" s="23"/>
      <c r="B74" s="23"/>
      <c r="C74" s="23"/>
      <c r="D74" s="23"/>
      <c r="E74" s="23"/>
      <c r="F74" s="187"/>
      <c r="G74" s="187"/>
      <c r="H74" s="187"/>
      <c r="I74" s="21"/>
      <c r="J74" s="187"/>
      <c r="K74" s="21"/>
      <c r="L74" s="21"/>
      <c r="M74" s="21"/>
      <c r="N74" s="21"/>
      <c r="O74" s="21"/>
      <c r="P74" s="21"/>
      <c r="Q74" s="21"/>
      <c r="R74" s="21"/>
      <c r="S74" s="21"/>
      <c r="T74" s="23"/>
    </row>
    <row r="75" spans="1:20" x14ac:dyDescent="0.2">
      <c r="A75" s="23"/>
      <c r="B75" s="23"/>
      <c r="C75" s="23"/>
      <c r="D75" s="23"/>
      <c r="E75" s="23"/>
      <c r="F75" s="187"/>
      <c r="G75" s="187"/>
      <c r="H75" s="187"/>
      <c r="I75" s="21"/>
      <c r="J75" s="187"/>
      <c r="K75" s="21"/>
      <c r="L75" s="21"/>
      <c r="M75" s="21"/>
      <c r="N75" s="21"/>
      <c r="O75" s="21"/>
      <c r="P75" s="21"/>
      <c r="Q75" s="21"/>
      <c r="R75" s="21"/>
      <c r="S75" s="21"/>
      <c r="T75" s="23"/>
    </row>
    <row r="76" spans="1:20" x14ac:dyDescent="0.2">
      <c r="A76" s="23"/>
      <c r="B76" s="23"/>
      <c r="C76" s="23"/>
      <c r="D76" s="23"/>
      <c r="E76" s="23"/>
      <c r="F76" s="187"/>
      <c r="G76" s="187"/>
      <c r="H76" s="187"/>
      <c r="I76" s="21"/>
      <c r="J76" s="187"/>
      <c r="K76" s="21"/>
      <c r="L76" s="21"/>
      <c r="M76" s="21"/>
      <c r="N76" s="21"/>
      <c r="O76" s="21"/>
      <c r="P76" s="21"/>
      <c r="Q76" s="21"/>
      <c r="R76" s="21"/>
      <c r="S76" s="21"/>
      <c r="T76" s="23"/>
    </row>
    <row r="77" spans="1:20" x14ac:dyDescent="0.2">
      <c r="A77" s="23"/>
      <c r="B77" s="23"/>
      <c r="C77" s="23"/>
      <c r="D77" s="23"/>
      <c r="E77" s="23"/>
      <c r="F77" s="187"/>
      <c r="G77" s="187"/>
      <c r="H77" s="187"/>
      <c r="I77" s="21"/>
      <c r="J77" s="187"/>
      <c r="K77" s="21"/>
      <c r="L77" s="21"/>
      <c r="M77" s="21"/>
      <c r="N77" s="21"/>
      <c r="O77" s="21"/>
      <c r="P77" s="21"/>
      <c r="Q77" s="21"/>
      <c r="R77" s="21"/>
      <c r="S77" s="21"/>
      <c r="T77" s="23"/>
    </row>
    <row r="78" spans="1:20" x14ac:dyDescent="0.2">
      <c r="A78" s="23"/>
      <c r="B78" s="23"/>
      <c r="C78" s="23"/>
      <c r="D78" s="23"/>
      <c r="E78" s="23"/>
      <c r="F78" s="187"/>
      <c r="G78" s="187"/>
      <c r="H78" s="187"/>
      <c r="I78" s="21"/>
      <c r="J78" s="187"/>
      <c r="K78" s="21"/>
      <c r="L78" s="21"/>
      <c r="M78" s="21"/>
      <c r="N78" s="21"/>
      <c r="O78" s="21"/>
      <c r="P78" s="21"/>
      <c r="Q78" s="21"/>
      <c r="R78" s="21"/>
      <c r="S78" s="21"/>
      <c r="T78" s="23"/>
    </row>
    <row r="81" spans="1:35" x14ac:dyDescent="0.2">
      <c r="A81" t="s">
        <v>37</v>
      </c>
      <c r="C81" s="232" t="s">
        <v>452</v>
      </c>
      <c r="D81" s="233"/>
      <c r="E81" s="233"/>
      <c r="F81" s="233"/>
      <c r="G81" s="233"/>
      <c r="H81" s="233"/>
      <c r="I81" s="233"/>
      <c r="J81" s="233"/>
      <c r="K81" s="233"/>
      <c r="L81" s="233"/>
      <c r="M81" s="234"/>
      <c r="N81" s="188"/>
      <c r="O81" s="188"/>
      <c r="P81" s="188"/>
      <c r="Q81" s="182"/>
    </row>
    <row r="82" spans="1:35" x14ac:dyDescent="0.2">
      <c r="C82" s="235"/>
      <c r="D82" s="236"/>
      <c r="E82" s="236"/>
      <c r="F82" s="236"/>
      <c r="G82" s="236"/>
      <c r="H82" s="236"/>
      <c r="I82" s="236"/>
      <c r="J82" s="236"/>
      <c r="K82" s="236"/>
      <c r="L82" s="236"/>
      <c r="M82" s="237"/>
      <c r="N82" s="188"/>
      <c r="O82" s="188"/>
      <c r="P82" s="188"/>
      <c r="Q82" s="182"/>
    </row>
    <row r="83" spans="1:35" x14ac:dyDescent="0.2">
      <c r="C83" s="238"/>
      <c r="D83" s="239"/>
      <c r="E83" s="239"/>
      <c r="F83" s="239"/>
      <c r="G83" s="239"/>
      <c r="H83" s="239"/>
      <c r="I83" s="239"/>
      <c r="J83" s="239"/>
      <c r="K83" s="239"/>
      <c r="L83" s="239"/>
      <c r="M83" s="240"/>
      <c r="N83" s="188"/>
      <c r="O83" s="188"/>
      <c r="P83" s="188"/>
      <c r="Q83" s="182"/>
    </row>
    <row r="84" spans="1:35" x14ac:dyDescent="0.2">
      <c r="C84" s="14"/>
      <c r="D84" s="14"/>
      <c r="E84" s="14"/>
      <c r="F84" s="14"/>
      <c r="G84" s="14"/>
      <c r="H84" s="14"/>
      <c r="I84" s="14"/>
      <c r="J84" s="14"/>
      <c r="K84" s="14"/>
      <c r="L84" s="14"/>
      <c r="N84" s="14"/>
      <c r="O84" s="14"/>
    </row>
    <row r="85" spans="1:35" x14ac:dyDescent="0.2">
      <c r="C85" s="232" t="s">
        <v>453</v>
      </c>
      <c r="D85" s="233"/>
      <c r="E85" s="233"/>
      <c r="F85" s="233"/>
      <c r="G85" s="233"/>
      <c r="H85" s="233"/>
      <c r="I85" s="233"/>
      <c r="J85" s="233"/>
      <c r="K85" s="233"/>
      <c r="L85" s="233"/>
      <c r="M85" s="233"/>
      <c r="N85" s="233"/>
      <c r="O85" s="233"/>
      <c r="P85" s="233"/>
      <c r="Q85" s="233"/>
      <c r="R85" s="233"/>
      <c r="S85" s="234"/>
    </row>
    <row r="86" spans="1:35" x14ac:dyDescent="0.2">
      <c r="C86" s="235"/>
      <c r="D86" s="236"/>
      <c r="E86" s="236"/>
      <c r="F86" s="236"/>
      <c r="G86" s="236"/>
      <c r="H86" s="236"/>
      <c r="I86" s="236"/>
      <c r="J86" s="236"/>
      <c r="K86" s="236"/>
      <c r="L86" s="236"/>
      <c r="M86" s="236"/>
      <c r="N86" s="236"/>
      <c r="O86" s="236"/>
      <c r="P86" s="236"/>
      <c r="Q86" s="236"/>
      <c r="R86" s="236"/>
      <c r="S86" s="237"/>
      <c r="T86" s="241"/>
      <c r="U86" s="241"/>
      <c r="V86" s="241"/>
      <c r="W86" s="241"/>
      <c r="X86" s="241"/>
      <c r="Y86" s="241"/>
      <c r="AA86" s="241"/>
      <c r="AB86" s="241"/>
    </row>
    <row r="87" spans="1:35" x14ac:dyDescent="0.2">
      <c r="C87" s="238"/>
      <c r="D87" s="239"/>
      <c r="E87" s="239"/>
      <c r="F87" s="239"/>
      <c r="G87" s="239"/>
      <c r="H87" s="239"/>
      <c r="I87" s="239"/>
      <c r="J87" s="239"/>
      <c r="K87" s="239"/>
      <c r="L87" s="239"/>
      <c r="M87" s="239"/>
      <c r="N87" s="239"/>
      <c r="O87" s="239"/>
      <c r="P87" s="239"/>
      <c r="Q87" s="239"/>
      <c r="R87" s="239"/>
      <c r="S87" s="240"/>
      <c r="T87" s="183"/>
      <c r="U87" s="183"/>
      <c r="X87" s="183"/>
      <c r="Y87" s="183"/>
    </row>
    <row r="88" spans="1:35" x14ac:dyDescent="0.2">
      <c r="C88" s="188"/>
      <c r="D88" s="188"/>
      <c r="E88" s="188"/>
      <c r="F88" s="188"/>
      <c r="G88" s="188"/>
      <c r="H88" s="188"/>
      <c r="I88" s="188"/>
      <c r="J88" s="188"/>
      <c r="K88" s="188"/>
      <c r="L88" s="188"/>
      <c r="M88" s="188"/>
      <c r="N88" s="188"/>
      <c r="O88" s="188"/>
      <c r="P88" s="188"/>
      <c r="Q88" s="188"/>
      <c r="R88" s="188"/>
      <c r="S88" s="188"/>
      <c r="T88" s="189"/>
      <c r="U88" s="189"/>
      <c r="X88" s="189"/>
      <c r="Y88" s="189"/>
    </row>
    <row r="89" spans="1:35" x14ac:dyDescent="0.2">
      <c r="C89" s="232" t="s">
        <v>543</v>
      </c>
      <c r="D89" s="233"/>
      <c r="E89" s="233"/>
      <c r="F89" s="233"/>
      <c r="G89" s="233"/>
      <c r="H89" s="233"/>
      <c r="I89" s="233"/>
      <c r="J89" s="233"/>
      <c r="K89" s="233"/>
      <c r="L89" s="233"/>
      <c r="M89" s="233"/>
      <c r="N89" s="233"/>
      <c r="O89" s="233"/>
      <c r="P89" s="233"/>
      <c r="Q89" s="233"/>
      <c r="R89" s="233"/>
      <c r="S89" s="234"/>
    </row>
    <row r="90" spans="1:35" x14ac:dyDescent="0.2">
      <c r="C90" s="235"/>
      <c r="D90" s="236"/>
      <c r="E90" s="236"/>
      <c r="F90" s="236"/>
      <c r="G90" s="236"/>
      <c r="H90" s="236"/>
      <c r="I90" s="236"/>
      <c r="J90" s="236"/>
      <c r="K90" s="236"/>
      <c r="L90" s="236"/>
      <c r="M90" s="236"/>
      <c r="N90" s="236"/>
      <c r="O90" s="236"/>
      <c r="P90" s="236"/>
      <c r="Q90" s="236"/>
      <c r="R90" s="236"/>
      <c r="S90" s="237"/>
      <c r="T90" s="241"/>
      <c r="U90" s="241"/>
      <c r="V90" s="241"/>
      <c r="W90" s="241"/>
      <c r="X90" s="241"/>
      <c r="Y90" s="241"/>
      <c r="AA90" s="241"/>
      <c r="AB90" s="241"/>
    </row>
    <row r="91" spans="1:35" x14ac:dyDescent="0.2">
      <c r="C91" s="238"/>
      <c r="D91" s="239"/>
      <c r="E91" s="239"/>
      <c r="F91" s="239"/>
      <c r="G91" s="239"/>
      <c r="H91" s="239"/>
      <c r="I91" s="239"/>
      <c r="J91" s="239"/>
      <c r="K91" s="239"/>
      <c r="L91" s="239"/>
      <c r="M91" s="239"/>
      <c r="N91" s="239"/>
      <c r="O91" s="239"/>
      <c r="P91" s="239"/>
      <c r="Q91" s="239"/>
      <c r="R91" s="239"/>
      <c r="S91" s="240"/>
      <c r="T91" s="214"/>
      <c r="U91" s="214"/>
      <c r="X91" s="214"/>
      <c r="Y91" s="214"/>
    </row>
    <row r="92" spans="1:35" x14ac:dyDescent="0.2">
      <c r="C92" s="213"/>
      <c r="D92" s="213"/>
      <c r="E92" s="213"/>
      <c r="F92" s="213"/>
      <c r="G92" s="213"/>
      <c r="H92" s="213"/>
      <c r="I92" s="213"/>
      <c r="J92" s="213"/>
      <c r="K92" s="213"/>
      <c r="L92" s="213"/>
      <c r="M92" s="213"/>
      <c r="N92" s="213"/>
      <c r="O92" s="213"/>
      <c r="P92" s="213"/>
      <c r="Q92" s="213"/>
      <c r="R92" s="213"/>
      <c r="S92" s="213"/>
      <c r="T92" s="214"/>
      <c r="U92" s="214"/>
      <c r="X92" s="214"/>
      <c r="Y92" s="214"/>
    </row>
    <row r="93" spans="1:35" x14ac:dyDescent="0.2">
      <c r="R93"/>
      <c r="S93" s="11"/>
      <c r="T93" s="183"/>
      <c r="U93" s="11"/>
      <c r="W93" s="11"/>
      <c r="Y93" s="11"/>
    </row>
    <row r="94" spans="1:35" x14ac:dyDescent="0.2">
      <c r="A94" s="1" t="s">
        <v>439</v>
      </c>
      <c r="B94" s="1"/>
      <c r="E94" t="s">
        <v>444</v>
      </c>
      <c r="L94" s="23" t="s">
        <v>454</v>
      </c>
      <c r="O94" s="23" t="s">
        <v>454</v>
      </c>
      <c r="R94"/>
      <c r="S94" s="11"/>
      <c r="T94" s="183"/>
      <c r="U94" s="11"/>
      <c r="W94" s="11"/>
      <c r="Y94" s="11"/>
    </row>
    <row r="95" spans="1:35" x14ac:dyDescent="0.2">
      <c r="A95" s="1"/>
      <c r="B95" s="1"/>
      <c r="S95" s="11"/>
      <c r="T95" s="183"/>
      <c r="U95" s="11"/>
      <c r="W95" s="11"/>
      <c r="Y95" s="11"/>
    </row>
    <row r="96" spans="1:35" x14ac:dyDescent="0.2">
      <c r="S96" s="11"/>
      <c r="T96" s="183"/>
      <c r="U96" s="11"/>
      <c r="V96" s="243" t="s">
        <v>474</v>
      </c>
      <c r="W96" s="243"/>
      <c r="X96" s="243"/>
      <c r="Y96" s="243"/>
      <c r="Z96" s="243"/>
      <c r="AA96" s="243"/>
      <c r="AB96" s="243"/>
      <c r="AC96" s="243"/>
      <c r="AD96" s="243"/>
      <c r="AE96" s="243"/>
      <c r="AF96" s="243"/>
      <c r="AG96" s="243"/>
      <c r="AH96" s="243"/>
      <c r="AI96" s="243"/>
    </row>
    <row r="97" spans="19:35" x14ac:dyDescent="0.2">
      <c r="S97" s="11"/>
      <c r="T97" s="183"/>
      <c r="U97" s="11"/>
      <c r="V97" s="243"/>
      <c r="W97" s="243"/>
      <c r="X97" s="243"/>
      <c r="Y97" s="243"/>
      <c r="Z97" s="243"/>
      <c r="AA97" s="243"/>
      <c r="AB97" s="243"/>
      <c r="AC97" s="243"/>
      <c r="AD97" s="243"/>
      <c r="AE97" s="243"/>
      <c r="AF97" s="243"/>
      <c r="AG97" s="243"/>
      <c r="AH97" s="243"/>
      <c r="AI97" s="243"/>
    </row>
    <row r="98" spans="19:35" x14ac:dyDescent="0.2">
      <c r="S98" s="11"/>
      <c r="T98" s="183"/>
      <c r="U98" s="11"/>
      <c r="V98" s="243"/>
      <c r="W98" s="243"/>
      <c r="X98" s="243"/>
      <c r="Y98" s="243"/>
      <c r="Z98" s="243"/>
      <c r="AA98" s="243"/>
      <c r="AB98" s="243"/>
      <c r="AC98" s="243"/>
      <c r="AD98" s="243"/>
      <c r="AE98" s="243"/>
      <c r="AF98" s="243"/>
      <c r="AG98" s="243"/>
      <c r="AH98" s="243"/>
      <c r="AI98" s="243"/>
    </row>
    <row r="99" spans="19:35" x14ac:dyDescent="0.2">
      <c r="V99" s="243"/>
      <c r="W99" s="243"/>
      <c r="X99" s="243"/>
      <c r="Y99" s="243"/>
      <c r="Z99" s="243"/>
      <c r="AA99" s="243"/>
      <c r="AB99" s="243"/>
      <c r="AC99" s="243"/>
      <c r="AD99" s="243"/>
      <c r="AE99" s="243"/>
      <c r="AF99" s="243"/>
      <c r="AG99" s="243"/>
      <c r="AH99" s="243"/>
      <c r="AI99" s="243"/>
    </row>
    <row r="100" spans="19:35" x14ac:dyDescent="0.2">
      <c r="V100" s="243"/>
      <c r="W100" s="243"/>
      <c r="X100" s="243"/>
      <c r="Y100" s="243"/>
      <c r="Z100" s="243"/>
      <c r="AA100" s="243"/>
      <c r="AB100" s="243"/>
      <c r="AC100" s="243"/>
      <c r="AD100" s="243"/>
      <c r="AE100" s="243"/>
      <c r="AF100" s="243"/>
      <c r="AG100" s="243"/>
      <c r="AH100" s="243"/>
      <c r="AI100" s="243"/>
    </row>
    <row r="101" spans="19:35" x14ac:dyDescent="0.2">
      <c r="V101" s="243"/>
      <c r="W101" s="243"/>
      <c r="X101" s="243"/>
      <c r="Y101" s="243"/>
      <c r="Z101" s="243"/>
      <c r="AA101" s="243"/>
      <c r="AB101" s="243"/>
      <c r="AC101" s="243"/>
      <c r="AD101" s="243"/>
      <c r="AE101" s="243"/>
      <c r="AF101" s="243"/>
      <c r="AG101" s="243"/>
      <c r="AH101" s="243"/>
      <c r="AI101" s="243"/>
    </row>
    <row r="102" spans="19:35" x14ac:dyDescent="0.2">
      <c r="V102" s="243"/>
      <c r="W102" s="243"/>
      <c r="X102" s="243"/>
      <c r="Y102" s="243"/>
      <c r="Z102" s="243"/>
      <c r="AA102" s="243"/>
      <c r="AB102" s="243"/>
      <c r="AC102" s="243"/>
      <c r="AD102" s="243"/>
      <c r="AE102" s="243"/>
      <c r="AF102" s="243"/>
      <c r="AG102" s="243"/>
      <c r="AH102" s="243"/>
      <c r="AI102" s="243"/>
    </row>
    <row r="103" spans="19:35" x14ac:dyDescent="0.2">
      <c r="V103" s="243"/>
      <c r="W103" s="243"/>
      <c r="X103" s="243"/>
      <c r="Y103" s="243"/>
      <c r="Z103" s="243"/>
      <c r="AA103" s="243"/>
      <c r="AB103" s="243"/>
      <c r="AC103" s="243"/>
      <c r="AD103" s="243"/>
      <c r="AE103" s="243"/>
      <c r="AF103" s="243"/>
      <c r="AG103" s="243"/>
      <c r="AH103" s="243"/>
      <c r="AI103" s="243"/>
    </row>
  </sheetData>
  <mergeCells count="15">
    <mergeCell ref="V96:AI103"/>
    <mergeCell ref="K3:M3"/>
    <mergeCell ref="V3:AB10"/>
    <mergeCell ref="C81:M83"/>
    <mergeCell ref="C85:S87"/>
    <mergeCell ref="T86:U86"/>
    <mergeCell ref="V86:W86"/>
    <mergeCell ref="X86:Y86"/>
    <mergeCell ref="AA86:AB86"/>
    <mergeCell ref="N3:P3"/>
    <mergeCell ref="C89:S91"/>
    <mergeCell ref="T90:U90"/>
    <mergeCell ref="V90:W90"/>
    <mergeCell ref="X90:Y90"/>
    <mergeCell ref="AA90:AB90"/>
  </mergeCells>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E94"/>
  <sheetViews>
    <sheetView topLeftCell="AA3" zoomScale="85" zoomScaleNormal="85" zoomScalePageLayoutView="85" workbookViewId="0">
      <selection activeCell="AI32" sqref="AI32"/>
    </sheetView>
  </sheetViews>
  <sheetFormatPr baseColWidth="10" defaultColWidth="8.83203125" defaultRowHeight="15" x14ac:dyDescent="0.2"/>
  <cols>
    <col min="1" max="2" width="20.6640625" customWidth="1"/>
    <col min="3" max="3" width="16.33203125" customWidth="1"/>
    <col min="4" max="4" width="10.1640625" customWidth="1"/>
    <col min="5" max="5" width="13.5" customWidth="1"/>
    <col min="6" max="6" width="13.5" style="183" customWidth="1"/>
    <col min="7" max="7" width="11.6640625" style="183" customWidth="1"/>
    <col min="8" max="8" width="10.1640625" style="183" customWidth="1"/>
    <col min="9" max="9" width="12.33203125" style="184" customWidth="1"/>
    <col min="10" max="10" width="10.1640625" style="183" customWidth="1"/>
    <col min="11" max="12" width="13.5" style="184" customWidth="1"/>
    <col min="13" max="13" width="10.1640625" style="184" customWidth="1"/>
    <col min="14" max="15" width="13.5" style="194" customWidth="1"/>
    <col min="16" max="16" width="10.1640625" style="194" customWidth="1"/>
    <col min="17" max="17" width="10.1640625" style="184" customWidth="1"/>
    <col min="18" max="18" width="10.1640625" style="183" customWidth="1"/>
    <col min="19" max="19" width="16.33203125" style="183" customWidth="1"/>
    <col min="20" max="20" width="41.33203125" customWidth="1"/>
    <col min="31" max="31" width="9.5" bestFit="1" customWidth="1"/>
  </cols>
  <sheetData>
    <row r="3" spans="1:31" ht="30" x14ac:dyDescent="0.2">
      <c r="A3" s="14" t="s">
        <v>0</v>
      </c>
      <c r="B3" s="14"/>
      <c r="C3" s="14"/>
      <c r="D3" s="14" t="s">
        <v>13</v>
      </c>
      <c r="E3" s="14" t="s">
        <v>28</v>
      </c>
      <c r="F3" s="186" t="s">
        <v>1</v>
      </c>
      <c r="G3" s="186" t="s">
        <v>2</v>
      </c>
      <c r="H3" s="186" t="s">
        <v>4</v>
      </c>
      <c r="I3" s="181" t="s">
        <v>8</v>
      </c>
      <c r="J3" s="186" t="s">
        <v>3</v>
      </c>
      <c r="K3" s="230" t="s">
        <v>479</v>
      </c>
      <c r="L3" s="230"/>
      <c r="M3" s="230"/>
      <c r="N3" s="230" t="s">
        <v>480</v>
      </c>
      <c r="O3" s="230"/>
      <c r="P3" s="230"/>
      <c r="Q3" s="181"/>
      <c r="R3" s="14" t="s">
        <v>21</v>
      </c>
      <c r="S3" s="14"/>
      <c r="T3" s="14"/>
      <c r="U3" s="14"/>
      <c r="V3" s="231" t="s">
        <v>481</v>
      </c>
      <c r="W3" s="231"/>
      <c r="X3" s="231"/>
      <c r="Y3" s="231"/>
      <c r="Z3" s="231"/>
      <c r="AA3" s="231"/>
      <c r="AB3" s="231"/>
      <c r="AC3" s="14"/>
    </row>
    <row r="4" spans="1:31" x14ac:dyDescent="0.2">
      <c r="A4" s="26"/>
      <c r="B4" s="26" t="s">
        <v>42</v>
      </c>
      <c r="C4" s="26" t="s">
        <v>10</v>
      </c>
      <c r="D4" s="26"/>
      <c r="E4" s="26" t="s">
        <v>27</v>
      </c>
      <c r="F4" s="25"/>
      <c r="G4" s="25"/>
      <c r="H4" s="25" t="s">
        <v>7</v>
      </c>
      <c r="I4" s="27" t="s">
        <v>9</v>
      </c>
      <c r="J4" s="25"/>
      <c r="K4" s="8" t="s">
        <v>55</v>
      </c>
      <c r="L4" s="27" t="s">
        <v>56</v>
      </c>
      <c r="M4" s="27" t="s">
        <v>5</v>
      </c>
      <c r="N4" s="8" t="s">
        <v>55</v>
      </c>
      <c r="O4" s="27" t="s">
        <v>56</v>
      </c>
      <c r="P4" s="27" t="s">
        <v>5</v>
      </c>
      <c r="Q4" s="27" t="s">
        <v>55</v>
      </c>
      <c r="R4" s="25" t="s">
        <v>120</v>
      </c>
      <c r="S4" s="25" t="s">
        <v>12</v>
      </c>
      <c r="T4" s="26" t="s">
        <v>22</v>
      </c>
      <c r="U4" s="14"/>
      <c r="V4" s="231"/>
      <c r="W4" s="231"/>
      <c r="X4" s="231"/>
      <c r="Y4" s="231"/>
      <c r="Z4" s="231"/>
      <c r="AA4" s="231"/>
      <c r="AB4" s="231"/>
      <c r="AC4" s="14"/>
    </row>
    <row r="5" spans="1:31" x14ac:dyDescent="0.2">
      <c r="A5" s="23" t="s">
        <v>444</v>
      </c>
      <c r="B5" s="55" t="s">
        <v>467</v>
      </c>
      <c r="C5" s="23" t="s">
        <v>446</v>
      </c>
      <c r="D5" s="23"/>
      <c r="G5" s="30"/>
      <c r="H5" s="187"/>
      <c r="I5" s="21">
        <f>190/1.12</f>
        <v>169.64285714285714</v>
      </c>
      <c r="J5" s="187">
        <v>0</v>
      </c>
      <c r="K5" s="184" t="s">
        <v>353</v>
      </c>
      <c r="L5" s="21">
        <f t="shared" ref="L5:L13" si="0">F14-$F$14</f>
        <v>0</v>
      </c>
      <c r="M5" s="21">
        <f>L5/L$13*100</f>
        <v>0</v>
      </c>
      <c r="N5" s="194" t="s">
        <v>353</v>
      </c>
      <c r="O5" s="21">
        <f>G14-G$14</f>
        <v>0</v>
      </c>
      <c r="P5" s="21">
        <f>O5/O$13*100</f>
        <v>0</v>
      </c>
      <c r="Q5" s="21" t="s">
        <v>176</v>
      </c>
      <c r="R5" s="21">
        <v>0</v>
      </c>
      <c r="S5" s="21">
        <f>R5/R$11*100</f>
        <v>0</v>
      </c>
      <c r="T5" s="23" t="s">
        <v>74</v>
      </c>
      <c r="V5" s="231"/>
      <c r="W5" s="231"/>
      <c r="X5" s="231"/>
      <c r="Y5" s="231"/>
      <c r="Z5" s="231"/>
      <c r="AA5" s="231"/>
      <c r="AB5" s="231"/>
    </row>
    <row r="6" spans="1:31" x14ac:dyDescent="0.2">
      <c r="A6" s="23"/>
      <c r="B6" s="23"/>
      <c r="C6" s="23"/>
      <c r="D6" s="23"/>
      <c r="G6" s="187"/>
      <c r="H6" s="187"/>
      <c r="I6" s="21"/>
      <c r="J6" s="187">
        <v>1</v>
      </c>
      <c r="L6" s="21">
        <f t="shared" si="0"/>
        <v>160</v>
      </c>
      <c r="M6" s="21">
        <f t="shared" ref="M6:M13" si="1">L6/L$13*100</f>
        <v>62.015503875968989</v>
      </c>
      <c r="O6" s="21">
        <f t="shared" ref="O6:O13" si="2">G15-G$14</f>
        <v>47</v>
      </c>
      <c r="P6" s="21">
        <f t="shared" ref="P6:P13" si="3">O6/O$13*100</f>
        <v>22.169811320754718</v>
      </c>
      <c r="Q6" s="21"/>
      <c r="R6" s="21">
        <v>516.66666666666674</v>
      </c>
      <c r="S6" s="21">
        <f t="shared" ref="S6:S13" si="4">R6/R$11*100</f>
        <v>11.992263056092845</v>
      </c>
      <c r="T6" s="23" t="s">
        <v>426</v>
      </c>
      <c r="V6" s="231"/>
      <c r="W6" s="231"/>
      <c r="X6" s="231"/>
      <c r="Y6" s="231"/>
      <c r="Z6" s="231"/>
      <c r="AA6" s="231"/>
      <c r="AB6" s="231"/>
    </row>
    <row r="7" spans="1:31" x14ac:dyDescent="0.2">
      <c r="A7" s="23"/>
      <c r="B7" s="23"/>
      <c r="C7" s="23"/>
      <c r="D7" s="23"/>
      <c r="G7" s="187"/>
      <c r="H7" s="187"/>
      <c r="I7" s="21"/>
      <c r="J7" s="187">
        <v>2</v>
      </c>
      <c r="L7" s="21">
        <f t="shared" si="0"/>
        <v>174</v>
      </c>
      <c r="M7" s="21">
        <f t="shared" si="1"/>
        <v>67.441860465116278</v>
      </c>
      <c r="O7" s="21">
        <f t="shared" si="2"/>
        <v>92</v>
      </c>
      <c r="P7" s="21">
        <f t="shared" si="3"/>
        <v>43.39622641509434</v>
      </c>
      <c r="Q7" s="21"/>
      <c r="R7" s="21">
        <v>1500</v>
      </c>
      <c r="S7" s="21">
        <f t="shared" si="4"/>
        <v>34.81624758220503</v>
      </c>
      <c r="T7" s="23" t="s">
        <v>448</v>
      </c>
      <c r="V7" s="231"/>
      <c r="W7" s="231"/>
      <c r="X7" s="231"/>
      <c r="Y7" s="231"/>
      <c r="Z7" s="231"/>
      <c r="AA7" s="231"/>
      <c r="AB7" s="231"/>
    </row>
    <row r="8" spans="1:31" x14ac:dyDescent="0.2">
      <c r="A8" s="23"/>
      <c r="B8" s="23"/>
      <c r="C8" s="23"/>
      <c r="D8" s="23"/>
      <c r="G8" s="187"/>
      <c r="H8" s="187"/>
      <c r="I8" s="21"/>
      <c r="J8" s="187">
        <v>3</v>
      </c>
      <c r="L8" s="21">
        <f t="shared" si="0"/>
        <v>188</v>
      </c>
      <c r="M8" s="21">
        <f t="shared" si="1"/>
        <v>72.868217054263567</v>
      </c>
      <c r="O8" s="21">
        <f t="shared" si="2"/>
        <v>108</v>
      </c>
      <c r="P8" s="21">
        <f t="shared" si="3"/>
        <v>50.943396226415096</v>
      </c>
      <c r="Q8" s="21"/>
      <c r="R8" s="21">
        <v>1483.3333333333335</v>
      </c>
      <c r="S8" s="21">
        <f t="shared" si="4"/>
        <v>34.429400386847206</v>
      </c>
      <c r="T8" s="23" t="s">
        <v>447</v>
      </c>
      <c r="V8" s="231"/>
      <c r="W8" s="231"/>
      <c r="X8" s="231"/>
      <c r="Y8" s="231"/>
      <c r="Z8" s="231"/>
      <c r="AA8" s="231"/>
      <c r="AB8" s="231"/>
    </row>
    <row r="9" spans="1:31" x14ac:dyDescent="0.2">
      <c r="A9" s="23"/>
      <c r="B9" s="23"/>
      <c r="C9" s="23"/>
      <c r="D9" s="23"/>
      <c r="G9" s="187"/>
      <c r="H9" s="187"/>
      <c r="I9" s="21"/>
      <c r="J9" s="187">
        <v>4</v>
      </c>
      <c r="L9" s="21">
        <f t="shared" si="0"/>
        <v>202</v>
      </c>
      <c r="M9" s="21">
        <f t="shared" si="1"/>
        <v>78.294573643410843</v>
      </c>
      <c r="O9" s="21">
        <f t="shared" si="2"/>
        <v>141</v>
      </c>
      <c r="P9" s="21">
        <f t="shared" si="3"/>
        <v>66.509433962264154</v>
      </c>
      <c r="Q9" s="21"/>
      <c r="R9" s="21">
        <v>1791.6666666666667</v>
      </c>
      <c r="S9" s="21">
        <f t="shared" si="4"/>
        <v>41.586073500967125</v>
      </c>
      <c r="T9" s="17" t="s">
        <v>447</v>
      </c>
      <c r="V9" s="231"/>
      <c r="W9" s="231"/>
      <c r="X9" s="231"/>
      <c r="Y9" s="231"/>
      <c r="Z9" s="231"/>
      <c r="AA9" s="231"/>
      <c r="AB9" s="231"/>
    </row>
    <row r="10" spans="1:31" x14ac:dyDescent="0.2">
      <c r="A10" s="23"/>
      <c r="B10" s="23"/>
      <c r="C10" s="23"/>
      <c r="D10" s="23"/>
      <c r="G10" s="30"/>
      <c r="H10" s="187"/>
      <c r="I10" s="21"/>
      <c r="J10" s="187">
        <v>5</v>
      </c>
      <c r="L10" s="21">
        <f t="shared" si="0"/>
        <v>216</v>
      </c>
      <c r="M10" s="21">
        <f t="shared" si="1"/>
        <v>83.720930232558146</v>
      </c>
      <c r="O10" s="21">
        <f t="shared" si="2"/>
        <v>151</v>
      </c>
      <c r="P10" s="21">
        <f t="shared" si="3"/>
        <v>71.226415094339629</v>
      </c>
      <c r="Q10" s="21"/>
      <c r="R10" s="21">
        <v>3741.666666666667</v>
      </c>
      <c r="S10" s="21">
        <f t="shared" si="4"/>
        <v>86.84719535783367</v>
      </c>
      <c r="T10" s="23" t="s">
        <v>437</v>
      </c>
      <c r="V10" s="231"/>
      <c r="W10" s="231"/>
      <c r="X10" s="231"/>
      <c r="Y10" s="231"/>
      <c r="Z10" s="231"/>
      <c r="AA10" s="231"/>
      <c r="AB10" s="231"/>
    </row>
    <row r="11" spans="1:31" x14ac:dyDescent="0.2">
      <c r="A11" s="23"/>
      <c r="B11" s="23"/>
      <c r="C11" s="23"/>
      <c r="D11" s="23"/>
      <c r="G11" s="187"/>
      <c r="H11" s="187"/>
      <c r="I11" s="21"/>
      <c r="J11" s="187">
        <v>6</v>
      </c>
      <c r="L11" s="21">
        <f t="shared" si="0"/>
        <v>230</v>
      </c>
      <c r="M11" s="21">
        <f t="shared" si="1"/>
        <v>89.147286821705436</v>
      </c>
      <c r="O11" s="21">
        <f t="shared" si="2"/>
        <v>167</v>
      </c>
      <c r="P11" s="21">
        <f t="shared" si="3"/>
        <v>78.773584905660371</v>
      </c>
      <c r="Q11" s="21"/>
      <c r="R11" s="21">
        <v>4308.333333333333</v>
      </c>
      <c r="S11" s="21">
        <f t="shared" si="4"/>
        <v>100</v>
      </c>
      <c r="T11" s="23" t="s">
        <v>451</v>
      </c>
    </row>
    <row r="12" spans="1:31" x14ac:dyDescent="0.2">
      <c r="A12" s="23"/>
      <c r="B12" s="23"/>
      <c r="C12" s="23"/>
      <c r="D12" s="23"/>
      <c r="G12" s="187"/>
      <c r="H12" s="187"/>
      <c r="I12" s="21"/>
      <c r="J12" s="187">
        <v>7</v>
      </c>
      <c r="L12" s="21">
        <f t="shared" si="0"/>
        <v>244</v>
      </c>
      <c r="M12" s="21">
        <f t="shared" si="1"/>
        <v>94.573643410852711</v>
      </c>
      <c r="O12" s="21">
        <f t="shared" si="2"/>
        <v>198</v>
      </c>
      <c r="P12" s="21">
        <f t="shared" si="3"/>
        <v>93.396226415094347</v>
      </c>
      <c r="Q12" s="21"/>
      <c r="R12" s="21">
        <v>2941.6666666666665</v>
      </c>
      <c r="S12" s="21">
        <f t="shared" si="4"/>
        <v>68.278529980657638</v>
      </c>
      <c r="T12" s="17" t="s">
        <v>449</v>
      </c>
      <c r="AD12">
        <v>0</v>
      </c>
      <c r="AE12">
        <v>0</v>
      </c>
    </row>
    <row r="13" spans="1:31" x14ac:dyDescent="0.2">
      <c r="A13" s="23"/>
      <c r="B13" s="23"/>
      <c r="C13" s="23"/>
      <c r="D13" s="23"/>
      <c r="E13" t="s">
        <v>478</v>
      </c>
      <c r="F13" s="183" t="s">
        <v>477</v>
      </c>
      <c r="G13" s="196" t="s">
        <v>482</v>
      </c>
      <c r="H13" s="187"/>
      <c r="I13" s="21"/>
      <c r="J13" s="187">
        <v>8</v>
      </c>
      <c r="L13" s="21">
        <f t="shared" si="0"/>
        <v>258</v>
      </c>
      <c r="M13" s="21">
        <f t="shared" si="1"/>
        <v>100</v>
      </c>
      <c r="O13" s="21">
        <f t="shared" si="2"/>
        <v>212</v>
      </c>
      <c r="P13" s="21">
        <f t="shared" si="3"/>
        <v>100</v>
      </c>
      <c r="Q13" s="21"/>
      <c r="R13" s="21">
        <v>2983.3333333333335</v>
      </c>
      <c r="S13" s="21">
        <f t="shared" si="4"/>
        <v>69.245647969052243</v>
      </c>
      <c r="T13" s="17" t="s">
        <v>387</v>
      </c>
      <c r="AD13">
        <v>10</v>
      </c>
      <c r="AE13" s="11">
        <v>2.3041474654377883</v>
      </c>
    </row>
    <row r="14" spans="1:31" x14ac:dyDescent="0.2">
      <c r="A14" s="23"/>
      <c r="B14" s="23"/>
      <c r="C14" s="23"/>
      <c r="D14" s="23"/>
      <c r="E14" s="23">
        <v>0</v>
      </c>
      <c r="F14" s="30">
        <v>28037</v>
      </c>
      <c r="G14" s="197">
        <v>28079</v>
      </c>
      <c r="H14" s="187"/>
      <c r="I14" s="21">
        <f>112/1.12</f>
        <v>99.999999999999986</v>
      </c>
      <c r="J14" s="187">
        <v>0</v>
      </c>
      <c r="L14" s="21">
        <f>L5</f>
        <v>0</v>
      </c>
      <c r="M14" s="21">
        <f>L14/L$22*100</f>
        <v>0</v>
      </c>
      <c r="O14" s="21">
        <f>O5</f>
        <v>0</v>
      </c>
      <c r="P14" s="21">
        <f>O14/O$22*100</f>
        <v>0</v>
      </c>
      <c r="Q14" s="21"/>
      <c r="R14" s="21">
        <v>0</v>
      </c>
      <c r="S14" s="21">
        <f>R14/R$20*100</f>
        <v>0</v>
      </c>
      <c r="T14" s="23" t="s">
        <v>74</v>
      </c>
      <c r="AD14">
        <v>20</v>
      </c>
      <c r="AE14" s="11">
        <v>9.67741935483871</v>
      </c>
    </row>
    <row r="15" spans="1:31" x14ac:dyDescent="0.2">
      <c r="A15" s="23"/>
      <c r="B15" s="23"/>
      <c r="C15" s="23"/>
      <c r="D15" s="23"/>
      <c r="E15" s="23">
        <v>4</v>
      </c>
      <c r="F15" s="30">
        <v>28197</v>
      </c>
      <c r="G15" s="197">
        <v>28126</v>
      </c>
      <c r="H15" s="187"/>
      <c r="I15" s="21"/>
      <c r="J15" s="187">
        <v>1</v>
      </c>
      <c r="L15" s="21">
        <f t="shared" ref="L15:L22" si="5">L6</f>
        <v>160</v>
      </c>
      <c r="M15" s="21">
        <f t="shared" ref="M15:M22" si="6">L15/L$22*100</f>
        <v>62.015503875968989</v>
      </c>
      <c r="O15" s="21">
        <f t="shared" ref="O15:O22" si="7">O6</f>
        <v>47</v>
      </c>
      <c r="P15" s="21">
        <f t="shared" ref="P15:P22" si="8">O15/O$22*100</f>
        <v>22.169811320754718</v>
      </c>
      <c r="Q15" s="21"/>
      <c r="R15" s="21">
        <v>500</v>
      </c>
      <c r="S15" s="21">
        <f t="shared" ref="S15:S22" si="9">R15/R$20*100</f>
        <v>15</v>
      </c>
      <c r="T15" s="23" t="s">
        <v>426</v>
      </c>
      <c r="AD15">
        <v>30</v>
      </c>
      <c r="AE15" s="11">
        <v>16.589861751152075</v>
      </c>
    </row>
    <row r="16" spans="1:31" x14ac:dyDescent="0.2">
      <c r="A16" s="23"/>
      <c r="B16" s="23"/>
      <c r="C16" s="23"/>
      <c r="D16" s="23"/>
      <c r="E16" s="23">
        <v>6</v>
      </c>
      <c r="F16" s="30">
        <v>28211</v>
      </c>
      <c r="G16" s="197">
        <v>28171</v>
      </c>
      <c r="H16" s="187"/>
      <c r="I16" s="21"/>
      <c r="J16" s="187">
        <v>2</v>
      </c>
      <c r="L16" s="21">
        <f t="shared" si="5"/>
        <v>174</v>
      </c>
      <c r="M16" s="21">
        <f t="shared" si="6"/>
        <v>67.441860465116278</v>
      </c>
      <c r="O16" s="21">
        <f t="shared" si="7"/>
        <v>92</v>
      </c>
      <c r="P16" s="21">
        <f t="shared" si="8"/>
        <v>43.39622641509434</v>
      </c>
      <c r="Q16" s="21"/>
      <c r="R16" s="21">
        <v>866.66666666666674</v>
      </c>
      <c r="S16" s="21">
        <f t="shared" si="9"/>
        <v>26</v>
      </c>
      <c r="T16" s="23" t="s">
        <v>448</v>
      </c>
      <c r="AD16">
        <v>40</v>
      </c>
      <c r="AE16" s="11">
        <v>22.119815668202765</v>
      </c>
    </row>
    <row r="17" spans="1:31" x14ac:dyDescent="0.2">
      <c r="A17" s="23"/>
      <c r="B17" s="23"/>
      <c r="C17" s="23"/>
      <c r="D17" s="23"/>
      <c r="E17" s="23" t="s">
        <v>476</v>
      </c>
      <c r="F17" s="30">
        <v>28225</v>
      </c>
      <c r="G17" s="197">
        <v>28187</v>
      </c>
      <c r="H17" s="187"/>
      <c r="I17" s="21"/>
      <c r="J17" s="187">
        <v>3</v>
      </c>
      <c r="L17" s="21">
        <f t="shared" si="5"/>
        <v>188</v>
      </c>
      <c r="M17" s="21">
        <f t="shared" si="6"/>
        <v>72.868217054263567</v>
      </c>
      <c r="O17" s="21">
        <f t="shared" si="7"/>
        <v>108</v>
      </c>
      <c r="P17" s="21">
        <f t="shared" si="8"/>
        <v>50.943396226415096</v>
      </c>
      <c r="Q17" s="21"/>
      <c r="R17" s="21">
        <v>966.66666666666663</v>
      </c>
      <c r="S17" s="21">
        <f t="shared" si="9"/>
        <v>28.999999999999996</v>
      </c>
      <c r="T17" s="23" t="s">
        <v>447</v>
      </c>
      <c r="AD17">
        <v>50</v>
      </c>
      <c r="AE17" s="11">
        <v>32.718894009216591</v>
      </c>
    </row>
    <row r="18" spans="1:31" x14ac:dyDescent="0.2">
      <c r="A18" s="23"/>
      <c r="B18" s="23"/>
      <c r="C18" s="23"/>
      <c r="D18" s="23"/>
      <c r="E18" s="23">
        <v>8</v>
      </c>
      <c r="F18" s="30">
        <v>28239</v>
      </c>
      <c r="G18" s="197">
        <v>28220</v>
      </c>
      <c r="H18" s="187"/>
      <c r="I18" s="21"/>
      <c r="J18" s="187">
        <v>4</v>
      </c>
      <c r="L18" s="21">
        <f t="shared" si="5"/>
        <v>202</v>
      </c>
      <c r="M18" s="21">
        <f t="shared" si="6"/>
        <v>78.294573643410843</v>
      </c>
      <c r="O18" s="21">
        <f t="shared" si="7"/>
        <v>141</v>
      </c>
      <c r="P18" s="21">
        <f t="shared" si="8"/>
        <v>66.509433962264154</v>
      </c>
      <c r="Q18" s="21"/>
      <c r="R18" s="21">
        <v>1650</v>
      </c>
      <c r="S18" s="21">
        <f t="shared" si="9"/>
        <v>49.5</v>
      </c>
      <c r="T18" s="17" t="s">
        <v>447</v>
      </c>
      <c r="AD18">
        <v>60</v>
      </c>
      <c r="AE18" s="11">
        <v>55.760368663594477</v>
      </c>
    </row>
    <row r="19" spans="1:31" x14ac:dyDescent="0.2">
      <c r="A19" s="23"/>
      <c r="B19" s="23"/>
      <c r="C19" s="23"/>
      <c r="D19" s="23"/>
      <c r="E19" s="17">
        <v>10.1</v>
      </c>
      <c r="F19" s="30">
        <v>28253</v>
      </c>
      <c r="G19" s="197">
        <v>28230</v>
      </c>
      <c r="H19" s="187"/>
      <c r="I19" s="21"/>
      <c r="J19" s="187">
        <v>5</v>
      </c>
      <c r="L19" s="21">
        <f t="shared" si="5"/>
        <v>216</v>
      </c>
      <c r="M19" s="21">
        <f t="shared" si="6"/>
        <v>83.720930232558146</v>
      </c>
      <c r="O19" s="21">
        <f t="shared" si="7"/>
        <v>151</v>
      </c>
      <c r="P19" s="21">
        <f t="shared" si="8"/>
        <v>71.226415094339629</v>
      </c>
      <c r="Q19" s="21"/>
      <c r="R19" s="21"/>
      <c r="S19" s="21"/>
      <c r="T19" s="23" t="s">
        <v>437</v>
      </c>
      <c r="AD19">
        <v>70</v>
      </c>
      <c r="AE19" s="11">
        <v>80.184331797235032</v>
      </c>
    </row>
    <row r="20" spans="1:31" x14ac:dyDescent="0.2">
      <c r="A20" s="23"/>
      <c r="B20" s="23"/>
      <c r="C20" s="23"/>
      <c r="D20" s="23"/>
      <c r="E20" s="17">
        <v>10.3</v>
      </c>
      <c r="F20" s="30">
        <v>28267</v>
      </c>
      <c r="G20" s="197">
        <v>28246</v>
      </c>
      <c r="H20" s="187"/>
      <c r="I20" s="21"/>
      <c r="J20" s="187">
        <v>6</v>
      </c>
      <c r="L20" s="21">
        <f t="shared" si="5"/>
        <v>230</v>
      </c>
      <c r="M20" s="21">
        <f t="shared" si="6"/>
        <v>89.147286821705436</v>
      </c>
      <c r="O20" s="21">
        <f t="shared" si="7"/>
        <v>167</v>
      </c>
      <c r="P20" s="21">
        <f t="shared" si="8"/>
        <v>78.773584905660371</v>
      </c>
      <c r="Q20" s="21"/>
      <c r="R20" s="21">
        <v>3333.3333333333335</v>
      </c>
      <c r="S20" s="21">
        <f t="shared" si="9"/>
        <v>100</v>
      </c>
      <c r="T20" s="23" t="s">
        <v>451</v>
      </c>
      <c r="AD20">
        <v>80</v>
      </c>
      <c r="AE20" s="11">
        <v>97.235023041474662</v>
      </c>
    </row>
    <row r="21" spans="1:31" x14ac:dyDescent="0.2">
      <c r="A21" s="23"/>
      <c r="B21" s="23"/>
      <c r="C21" s="23"/>
      <c r="D21" s="23"/>
      <c r="E21" s="17">
        <v>10.54</v>
      </c>
      <c r="F21" s="30">
        <v>28281</v>
      </c>
      <c r="G21" s="197">
        <v>28277</v>
      </c>
      <c r="H21" s="187"/>
      <c r="I21" s="21"/>
      <c r="J21" s="187">
        <v>7</v>
      </c>
      <c r="L21" s="21">
        <f t="shared" si="5"/>
        <v>244</v>
      </c>
      <c r="M21" s="21">
        <f t="shared" si="6"/>
        <v>94.573643410852711</v>
      </c>
      <c r="O21" s="21">
        <f t="shared" si="7"/>
        <v>198</v>
      </c>
      <c r="P21" s="21">
        <f t="shared" si="8"/>
        <v>93.396226415094347</v>
      </c>
      <c r="Q21" s="21"/>
      <c r="R21" s="21"/>
      <c r="S21" s="21"/>
      <c r="T21" s="17" t="s">
        <v>449</v>
      </c>
      <c r="AD21">
        <v>90</v>
      </c>
      <c r="AE21" s="11">
        <v>100</v>
      </c>
    </row>
    <row r="22" spans="1:31" x14ac:dyDescent="0.2">
      <c r="A22" s="23"/>
      <c r="B22" s="23"/>
      <c r="C22" s="23"/>
      <c r="D22" s="23"/>
      <c r="E22" s="17">
        <v>11.3</v>
      </c>
      <c r="F22" s="30">
        <v>28295</v>
      </c>
      <c r="G22" s="197">
        <v>28291</v>
      </c>
      <c r="H22" s="187"/>
      <c r="I22" s="21"/>
      <c r="J22" s="187">
        <v>8</v>
      </c>
      <c r="L22" s="21">
        <f t="shared" si="5"/>
        <v>258</v>
      </c>
      <c r="M22" s="21">
        <f t="shared" si="6"/>
        <v>100</v>
      </c>
      <c r="O22" s="21">
        <f t="shared" si="7"/>
        <v>212</v>
      </c>
      <c r="P22" s="21">
        <f t="shared" si="8"/>
        <v>100</v>
      </c>
      <c r="Q22" s="21"/>
      <c r="R22" s="21">
        <v>2841.666666666667</v>
      </c>
      <c r="S22" s="21">
        <f t="shared" si="9"/>
        <v>85.25</v>
      </c>
      <c r="T22" s="17" t="s">
        <v>387</v>
      </c>
      <c r="AD22">
        <v>100</v>
      </c>
      <c r="AE22" s="11">
        <v>85.253456221198164</v>
      </c>
    </row>
    <row r="23" spans="1:31" x14ac:dyDescent="0.2">
      <c r="A23" s="23"/>
      <c r="B23" s="23"/>
      <c r="C23" s="23"/>
      <c r="D23" s="23"/>
      <c r="E23" s="23"/>
      <c r="F23" s="187"/>
      <c r="G23" s="187"/>
      <c r="H23" s="187"/>
      <c r="I23" s="21">
        <f>74/1.12</f>
        <v>66.071428571428569</v>
      </c>
      <c r="J23" s="187">
        <v>0</v>
      </c>
      <c r="L23" s="21">
        <f>L5</f>
        <v>0</v>
      </c>
      <c r="M23" s="21">
        <f>L23/L$31*100</f>
        <v>0</v>
      </c>
      <c r="O23" s="21">
        <f>O5</f>
        <v>0</v>
      </c>
      <c r="P23" s="21">
        <f>O23/O$31*100</f>
        <v>0</v>
      </c>
      <c r="Q23" s="21"/>
      <c r="R23" s="21">
        <v>0</v>
      </c>
      <c r="S23" s="21">
        <f>R23/R$30*100</f>
        <v>0</v>
      </c>
      <c r="T23" s="23" t="s">
        <v>74</v>
      </c>
    </row>
    <row r="24" spans="1:31" x14ac:dyDescent="0.2">
      <c r="A24" s="23"/>
      <c r="B24" s="23"/>
      <c r="C24" s="23"/>
      <c r="D24" s="23"/>
      <c r="E24" s="23"/>
      <c r="F24" s="187"/>
      <c r="G24" s="187"/>
      <c r="H24" s="187"/>
      <c r="I24" s="21"/>
      <c r="J24" s="187">
        <v>1</v>
      </c>
      <c r="L24" s="21">
        <f t="shared" ref="L24:L31" si="10">L6</f>
        <v>160</v>
      </c>
      <c r="M24" s="21">
        <f t="shared" ref="M24:M31" si="11">L24/L$31*100</f>
        <v>62.015503875968989</v>
      </c>
      <c r="O24" s="21">
        <f t="shared" ref="O24:O31" si="12">O6</f>
        <v>47</v>
      </c>
      <c r="P24" s="21">
        <f t="shared" ref="P24:P31" si="13">O24/O$31*100</f>
        <v>22.169811320754718</v>
      </c>
      <c r="Q24" s="21"/>
      <c r="R24" s="21">
        <v>475</v>
      </c>
      <c r="S24" s="21">
        <f t="shared" ref="S24:S31" si="14">R24/R$30*100</f>
        <v>18.095238095238095</v>
      </c>
      <c r="T24" s="23" t="s">
        <v>426</v>
      </c>
    </row>
    <row r="25" spans="1:31" x14ac:dyDescent="0.2">
      <c r="A25" s="23"/>
      <c r="B25" s="23"/>
      <c r="C25" s="23"/>
      <c r="D25" s="23"/>
      <c r="E25" s="23"/>
      <c r="F25" s="30"/>
      <c r="G25" s="30"/>
      <c r="H25" s="187"/>
      <c r="I25" s="21"/>
      <c r="J25" s="187">
        <v>2</v>
      </c>
      <c r="L25" s="21">
        <f t="shared" si="10"/>
        <v>174</v>
      </c>
      <c r="M25" s="21">
        <f t="shared" si="11"/>
        <v>67.441860465116278</v>
      </c>
      <c r="O25" s="21">
        <f t="shared" si="12"/>
        <v>92</v>
      </c>
      <c r="P25" s="21">
        <f t="shared" si="13"/>
        <v>43.39622641509434</v>
      </c>
      <c r="Q25" s="21"/>
      <c r="R25" s="21">
        <v>700</v>
      </c>
      <c r="S25" s="21">
        <f t="shared" si="14"/>
        <v>26.666666666666668</v>
      </c>
      <c r="T25" s="23" t="s">
        <v>448</v>
      </c>
    </row>
    <row r="26" spans="1:31" x14ac:dyDescent="0.2">
      <c r="A26" s="23"/>
      <c r="B26" s="23"/>
      <c r="C26" s="23"/>
      <c r="D26" s="23"/>
      <c r="E26" s="23"/>
      <c r="F26" s="187"/>
      <c r="G26" s="187"/>
      <c r="H26" s="187"/>
      <c r="I26" s="21"/>
      <c r="J26" s="187">
        <v>3</v>
      </c>
      <c r="L26" s="21">
        <f t="shared" si="10"/>
        <v>188</v>
      </c>
      <c r="M26" s="21">
        <f t="shared" si="11"/>
        <v>72.868217054263567</v>
      </c>
      <c r="O26" s="21">
        <f t="shared" si="12"/>
        <v>108</v>
      </c>
      <c r="P26" s="21">
        <f t="shared" si="13"/>
        <v>50.943396226415096</v>
      </c>
      <c r="Q26" s="21"/>
      <c r="R26" s="21">
        <v>841.66666666666674</v>
      </c>
      <c r="S26" s="21">
        <f t="shared" si="14"/>
        <v>32.063492063492063</v>
      </c>
      <c r="T26" s="23" t="s">
        <v>447</v>
      </c>
    </row>
    <row r="27" spans="1:31" x14ac:dyDescent="0.2">
      <c r="A27" s="23"/>
      <c r="B27" s="23"/>
      <c r="C27" s="23"/>
      <c r="D27" s="23"/>
      <c r="E27" s="23"/>
      <c r="F27" s="187"/>
      <c r="G27" s="187"/>
      <c r="H27" s="187"/>
      <c r="I27" s="21"/>
      <c r="J27" s="187">
        <v>4</v>
      </c>
      <c r="L27" s="21">
        <f t="shared" si="10"/>
        <v>202</v>
      </c>
      <c r="M27" s="21">
        <f t="shared" si="11"/>
        <v>78.294573643410843</v>
      </c>
      <c r="O27" s="21">
        <f t="shared" si="12"/>
        <v>141</v>
      </c>
      <c r="P27" s="21">
        <f t="shared" si="13"/>
        <v>66.509433962264154</v>
      </c>
      <c r="Q27" s="21"/>
      <c r="R27" s="21">
        <v>1108.3333333333335</v>
      </c>
      <c r="S27" s="21">
        <f t="shared" si="14"/>
        <v>42.222222222222229</v>
      </c>
      <c r="T27" s="17" t="s">
        <v>447</v>
      </c>
    </row>
    <row r="28" spans="1:31" x14ac:dyDescent="0.2">
      <c r="A28" s="23"/>
      <c r="B28" s="23"/>
      <c r="C28" s="23"/>
      <c r="D28" s="23"/>
      <c r="E28" s="23"/>
      <c r="F28" s="187"/>
      <c r="G28" s="187"/>
      <c r="H28" s="187"/>
      <c r="I28" s="21"/>
      <c r="J28" s="187">
        <v>5</v>
      </c>
      <c r="L28" s="21">
        <f t="shared" si="10"/>
        <v>216</v>
      </c>
      <c r="M28" s="21">
        <f t="shared" si="11"/>
        <v>83.720930232558146</v>
      </c>
      <c r="O28" s="21">
        <f t="shared" si="12"/>
        <v>151</v>
      </c>
      <c r="P28" s="21">
        <f t="shared" si="13"/>
        <v>71.226415094339629</v>
      </c>
      <c r="Q28" s="21"/>
      <c r="R28" s="21">
        <v>1425</v>
      </c>
      <c r="S28" s="21">
        <f t="shared" si="14"/>
        <v>54.285714285714285</v>
      </c>
      <c r="T28" s="23" t="s">
        <v>437</v>
      </c>
    </row>
    <row r="29" spans="1:31" x14ac:dyDescent="0.2">
      <c r="A29" s="23"/>
      <c r="B29" s="23"/>
      <c r="C29" s="23"/>
      <c r="D29" s="23"/>
      <c r="E29" s="23"/>
      <c r="F29" s="187"/>
      <c r="G29" s="187"/>
      <c r="H29" s="187"/>
      <c r="I29" s="21"/>
      <c r="J29" s="187">
        <v>6</v>
      </c>
      <c r="L29" s="21">
        <f t="shared" si="10"/>
        <v>230</v>
      </c>
      <c r="M29" s="21">
        <f t="shared" si="11"/>
        <v>89.147286821705436</v>
      </c>
      <c r="O29" s="21">
        <f t="shared" si="12"/>
        <v>167</v>
      </c>
      <c r="P29" s="21">
        <f t="shared" si="13"/>
        <v>78.773584905660371</v>
      </c>
      <c r="Q29" s="21"/>
      <c r="R29" s="21">
        <v>2016.6666666666667</v>
      </c>
      <c r="S29" s="21">
        <f t="shared" si="14"/>
        <v>76.825396825396837</v>
      </c>
      <c r="T29" s="23" t="s">
        <v>451</v>
      </c>
    </row>
    <row r="30" spans="1:31" x14ac:dyDescent="0.2">
      <c r="A30" s="23"/>
      <c r="B30" s="23"/>
      <c r="C30" s="23"/>
      <c r="D30" s="23"/>
      <c r="E30" s="23"/>
      <c r="F30" s="30"/>
      <c r="G30" s="30"/>
      <c r="H30" s="187"/>
      <c r="I30" s="21"/>
      <c r="J30" s="187">
        <v>7</v>
      </c>
      <c r="L30" s="21">
        <f t="shared" si="10"/>
        <v>244</v>
      </c>
      <c r="M30" s="21">
        <f t="shared" si="11"/>
        <v>94.573643410852711</v>
      </c>
      <c r="O30" s="21">
        <f t="shared" si="12"/>
        <v>198</v>
      </c>
      <c r="P30" s="21">
        <f t="shared" si="13"/>
        <v>93.396226415094347</v>
      </c>
      <c r="Q30" s="21"/>
      <c r="R30" s="21">
        <v>2625</v>
      </c>
      <c r="S30" s="21">
        <f t="shared" si="14"/>
        <v>100</v>
      </c>
      <c r="T30" s="17" t="s">
        <v>449</v>
      </c>
    </row>
    <row r="31" spans="1:31" x14ac:dyDescent="0.2">
      <c r="A31" s="23"/>
      <c r="B31" s="23"/>
      <c r="C31" s="23"/>
      <c r="D31" s="23"/>
      <c r="E31" s="23"/>
      <c r="F31" s="187"/>
      <c r="G31" s="187"/>
      <c r="H31" s="187"/>
      <c r="I31" s="21"/>
      <c r="J31" s="187">
        <v>8</v>
      </c>
      <c r="L31" s="21">
        <f t="shared" si="10"/>
        <v>258</v>
      </c>
      <c r="M31" s="21">
        <f t="shared" si="11"/>
        <v>100</v>
      </c>
      <c r="O31" s="21">
        <f t="shared" si="12"/>
        <v>212</v>
      </c>
      <c r="P31" s="21">
        <f t="shared" si="13"/>
        <v>100</v>
      </c>
      <c r="R31" s="21">
        <v>2416.6666666666665</v>
      </c>
      <c r="S31" s="21">
        <f t="shared" si="14"/>
        <v>92.063492063492063</v>
      </c>
      <c r="T31" s="17" t="s">
        <v>387</v>
      </c>
    </row>
    <row r="32" spans="1:31" x14ac:dyDescent="0.2">
      <c r="B32" s="23"/>
      <c r="C32" s="23"/>
      <c r="D32" s="23"/>
      <c r="E32" s="23"/>
      <c r="F32" s="187"/>
      <c r="G32" s="187"/>
      <c r="H32" s="187"/>
      <c r="I32" s="21"/>
      <c r="J32" s="187"/>
      <c r="K32" s="21"/>
      <c r="L32" s="21"/>
      <c r="M32" s="21"/>
      <c r="N32" s="21"/>
      <c r="O32" s="21"/>
      <c r="P32" s="21"/>
      <c r="Q32" s="21"/>
      <c r="R32" s="21"/>
      <c r="S32" s="21"/>
      <c r="T32" s="23"/>
    </row>
    <row r="33" spans="1:20" x14ac:dyDescent="0.2">
      <c r="A33" s="23"/>
      <c r="B33" s="23"/>
      <c r="C33" s="23"/>
      <c r="D33" s="23"/>
      <c r="E33" s="23"/>
      <c r="F33" s="187"/>
      <c r="G33" s="187"/>
      <c r="H33" s="187"/>
      <c r="I33" s="21"/>
      <c r="J33" s="187"/>
      <c r="K33" s="21"/>
      <c r="L33" s="21"/>
      <c r="M33" s="21"/>
      <c r="N33" s="21"/>
      <c r="O33" s="21"/>
      <c r="P33" s="21"/>
      <c r="Q33" s="21"/>
      <c r="R33" s="21"/>
      <c r="S33" s="21"/>
      <c r="T33" s="23"/>
    </row>
    <row r="34" spans="1:20" x14ac:dyDescent="0.2">
      <c r="A34" s="23"/>
      <c r="B34" s="23"/>
      <c r="C34" s="23"/>
      <c r="D34" s="23"/>
      <c r="E34" s="23"/>
      <c r="F34" s="187"/>
      <c r="G34" s="187"/>
      <c r="H34" s="187"/>
      <c r="I34" s="21"/>
      <c r="J34" s="187"/>
      <c r="K34" s="21"/>
      <c r="L34" s="21"/>
      <c r="M34" s="21"/>
      <c r="N34" s="21"/>
      <c r="O34" s="21"/>
      <c r="P34" s="21"/>
      <c r="Q34" s="21"/>
      <c r="R34" s="21"/>
      <c r="S34" s="21"/>
      <c r="T34" s="23"/>
    </row>
    <row r="35" spans="1:20" x14ac:dyDescent="0.2">
      <c r="A35" s="23"/>
      <c r="B35" s="23"/>
      <c r="C35" s="23"/>
      <c r="D35" s="23"/>
      <c r="E35" s="23"/>
      <c r="F35" s="30"/>
      <c r="G35" s="30"/>
      <c r="H35" s="187"/>
      <c r="I35" s="21"/>
      <c r="J35" s="187"/>
      <c r="K35" s="21"/>
      <c r="L35" s="21"/>
      <c r="M35" s="21"/>
      <c r="N35" s="21"/>
      <c r="O35" s="21"/>
      <c r="P35" s="21"/>
      <c r="Q35" s="21"/>
      <c r="R35" s="21"/>
      <c r="S35" s="21"/>
      <c r="T35" s="23"/>
    </row>
    <row r="36" spans="1:20" x14ac:dyDescent="0.2">
      <c r="A36" s="23"/>
      <c r="B36" s="23"/>
      <c r="C36" s="23"/>
      <c r="D36" s="23"/>
      <c r="E36" s="23"/>
      <c r="F36" s="187"/>
      <c r="G36" s="187"/>
      <c r="H36" s="187"/>
      <c r="I36" s="21"/>
      <c r="J36" s="187"/>
      <c r="K36" s="21"/>
      <c r="L36" s="21"/>
      <c r="N36" s="21"/>
      <c r="O36" s="21"/>
      <c r="Q36" s="21"/>
      <c r="R36" s="21"/>
      <c r="S36" s="21"/>
      <c r="T36" s="23"/>
    </row>
    <row r="37" spans="1:20" x14ac:dyDescent="0.2">
      <c r="A37" s="23"/>
      <c r="B37" s="23"/>
      <c r="C37" s="23"/>
      <c r="D37" s="23"/>
      <c r="E37" s="23"/>
      <c r="F37" s="187"/>
      <c r="G37" s="187"/>
      <c r="H37" s="187"/>
      <c r="I37" s="21"/>
      <c r="J37" s="187"/>
      <c r="K37" s="21"/>
      <c r="L37" s="21"/>
      <c r="M37" s="21"/>
      <c r="N37" s="21"/>
      <c r="O37" s="21"/>
      <c r="P37" s="21"/>
      <c r="Q37" s="21"/>
      <c r="R37" s="21"/>
      <c r="S37" s="21"/>
      <c r="T37" s="23"/>
    </row>
    <row r="38" spans="1:20" x14ac:dyDescent="0.2">
      <c r="A38" s="23"/>
      <c r="B38" s="23"/>
      <c r="C38" s="23"/>
      <c r="D38" s="23"/>
      <c r="E38" s="23"/>
      <c r="F38" s="187"/>
      <c r="G38" s="187"/>
      <c r="H38" s="187"/>
      <c r="I38" s="21"/>
      <c r="J38" s="187"/>
      <c r="K38" s="21"/>
      <c r="L38" s="21"/>
      <c r="M38" s="21"/>
      <c r="N38" s="21"/>
      <c r="O38" s="21"/>
      <c r="P38" s="21"/>
      <c r="Q38" s="21"/>
      <c r="R38" s="21"/>
      <c r="S38" s="21"/>
      <c r="T38" s="23"/>
    </row>
    <row r="39" spans="1:20" x14ac:dyDescent="0.2">
      <c r="A39" s="23"/>
      <c r="B39" s="23"/>
      <c r="C39" s="23"/>
      <c r="D39" s="23"/>
      <c r="E39" s="23"/>
      <c r="F39" s="187"/>
      <c r="G39" s="187"/>
      <c r="H39" s="187"/>
      <c r="I39" s="21"/>
      <c r="J39" s="187"/>
      <c r="K39" s="21"/>
      <c r="L39" s="21"/>
      <c r="M39" s="21"/>
      <c r="N39" s="21"/>
      <c r="O39" s="21"/>
      <c r="P39" s="21"/>
      <c r="Q39" s="21"/>
      <c r="R39" s="21"/>
      <c r="S39" s="21"/>
      <c r="T39" s="23"/>
    </row>
    <row r="40" spans="1:20" x14ac:dyDescent="0.2">
      <c r="A40" s="23"/>
      <c r="B40" s="23"/>
      <c r="C40" s="23"/>
      <c r="D40" s="23"/>
      <c r="E40" s="23"/>
      <c r="F40" s="30"/>
      <c r="G40" s="30"/>
      <c r="H40" s="187"/>
      <c r="I40" s="21"/>
      <c r="J40" s="187"/>
      <c r="K40" s="21"/>
      <c r="L40" s="21"/>
      <c r="M40" s="21"/>
      <c r="N40" s="21"/>
      <c r="O40" s="21"/>
      <c r="P40" s="21"/>
      <c r="Q40" s="21"/>
      <c r="R40" s="21"/>
      <c r="S40" s="21"/>
      <c r="T40" s="23"/>
    </row>
    <row r="41" spans="1:20" x14ac:dyDescent="0.2">
      <c r="A41" s="23"/>
      <c r="B41" s="23"/>
      <c r="C41" s="23"/>
      <c r="D41" s="23"/>
      <c r="E41" s="23"/>
      <c r="F41" s="187"/>
      <c r="G41" s="187"/>
      <c r="H41" s="187"/>
      <c r="I41" s="21"/>
      <c r="J41" s="187"/>
      <c r="K41" s="21"/>
      <c r="L41" s="21"/>
      <c r="M41" s="21"/>
      <c r="N41" s="21"/>
      <c r="O41" s="21"/>
      <c r="P41" s="21"/>
      <c r="Q41" s="21"/>
      <c r="R41" s="21"/>
      <c r="S41" s="21"/>
      <c r="T41" s="23"/>
    </row>
    <row r="42" spans="1:20" x14ac:dyDescent="0.2">
      <c r="A42" s="23"/>
      <c r="B42" s="23"/>
      <c r="C42" s="23"/>
      <c r="D42" s="23"/>
      <c r="E42" s="23"/>
      <c r="F42" s="187"/>
      <c r="G42" s="187"/>
      <c r="H42" s="187"/>
      <c r="I42" s="21"/>
      <c r="J42" s="187"/>
      <c r="K42" s="21"/>
      <c r="L42" s="21"/>
      <c r="M42" s="21"/>
      <c r="N42" s="21"/>
      <c r="O42" s="21"/>
      <c r="P42" s="21"/>
      <c r="Q42" s="21"/>
      <c r="R42" s="21"/>
      <c r="S42" s="21"/>
      <c r="T42" s="23"/>
    </row>
    <row r="43" spans="1:20" x14ac:dyDescent="0.2">
      <c r="A43" s="23"/>
      <c r="B43" s="23"/>
      <c r="C43" s="23"/>
      <c r="D43" s="23"/>
      <c r="E43" s="23"/>
      <c r="F43" s="187"/>
      <c r="G43" s="187"/>
      <c r="H43" s="187"/>
      <c r="I43" s="21"/>
      <c r="J43" s="187"/>
      <c r="K43" s="21"/>
      <c r="L43" s="21"/>
      <c r="M43" s="21"/>
      <c r="N43" s="21"/>
      <c r="O43" s="21"/>
      <c r="P43" s="21"/>
      <c r="Q43" s="21"/>
      <c r="R43" s="21"/>
      <c r="S43" s="21"/>
      <c r="T43" s="23"/>
    </row>
    <row r="44" spans="1:20" x14ac:dyDescent="0.2">
      <c r="A44" s="23"/>
      <c r="B44" s="23"/>
      <c r="C44" s="23"/>
      <c r="D44" s="23"/>
      <c r="E44" s="23"/>
      <c r="F44" s="187"/>
      <c r="G44" s="187"/>
      <c r="H44" s="187"/>
      <c r="I44" s="21"/>
      <c r="J44" s="187"/>
      <c r="K44" s="21"/>
      <c r="L44" s="21"/>
      <c r="M44" s="21"/>
      <c r="N44" s="21"/>
      <c r="O44" s="21"/>
      <c r="P44" s="21"/>
      <c r="Q44" s="21"/>
      <c r="R44" s="21"/>
      <c r="S44" s="21"/>
      <c r="T44" s="23"/>
    </row>
    <row r="45" spans="1:20" x14ac:dyDescent="0.2">
      <c r="A45" s="23"/>
      <c r="B45" s="23"/>
      <c r="C45" s="23"/>
      <c r="D45" s="23"/>
      <c r="E45" s="23"/>
      <c r="F45" s="30"/>
      <c r="G45" s="30"/>
      <c r="H45" s="187"/>
      <c r="I45" s="21"/>
      <c r="J45" s="187"/>
      <c r="K45" s="21"/>
      <c r="L45" s="21"/>
      <c r="M45" s="21"/>
      <c r="N45" s="21"/>
      <c r="O45" s="21"/>
      <c r="P45" s="21"/>
      <c r="Q45" s="21"/>
      <c r="R45" s="21"/>
      <c r="S45" s="21"/>
      <c r="T45" s="23"/>
    </row>
    <row r="46" spans="1:20" x14ac:dyDescent="0.2">
      <c r="A46" s="23"/>
      <c r="B46" s="23"/>
      <c r="C46" s="23"/>
      <c r="D46" s="23"/>
      <c r="E46" s="23"/>
      <c r="F46" s="187"/>
      <c r="G46" s="187"/>
      <c r="H46" s="187"/>
      <c r="I46" s="21"/>
      <c r="J46" s="187"/>
      <c r="K46" s="21"/>
      <c r="L46" s="21"/>
      <c r="M46" s="21"/>
      <c r="N46" s="21"/>
      <c r="O46" s="21"/>
      <c r="P46" s="21"/>
      <c r="Q46" s="21"/>
      <c r="R46" s="21"/>
      <c r="S46" s="21"/>
      <c r="T46" s="23"/>
    </row>
    <row r="47" spans="1:20" x14ac:dyDescent="0.2">
      <c r="A47" s="23"/>
      <c r="B47" s="23"/>
      <c r="C47" s="23"/>
      <c r="D47" s="23"/>
      <c r="E47" s="23"/>
      <c r="F47" s="187"/>
      <c r="G47" s="187"/>
      <c r="H47" s="187"/>
      <c r="I47" s="21"/>
      <c r="J47" s="187"/>
      <c r="K47" s="21"/>
      <c r="L47" s="21"/>
      <c r="M47" s="21"/>
      <c r="N47" s="21"/>
      <c r="O47" s="21"/>
      <c r="P47" s="21"/>
      <c r="Q47" s="21"/>
      <c r="R47" s="21"/>
      <c r="S47" s="21"/>
      <c r="T47" s="23"/>
    </row>
    <row r="48" spans="1:20" x14ac:dyDescent="0.2">
      <c r="A48" s="23"/>
      <c r="B48" s="23"/>
      <c r="C48" s="23"/>
      <c r="D48" s="23"/>
      <c r="E48" s="23"/>
      <c r="F48" s="187"/>
      <c r="G48" s="187"/>
      <c r="H48" s="187"/>
      <c r="I48" s="21"/>
      <c r="J48" s="187"/>
      <c r="K48" s="21"/>
      <c r="L48" s="21"/>
      <c r="M48" s="21"/>
      <c r="N48" s="21"/>
      <c r="O48" s="21"/>
      <c r="P48" s="21"/>
      <c r="Q48" s="21"/>
      <c r="R48" s="21"/>
      <c r="S48" s="21"/>
      <c r="T48" s="23"/>
    </row>
    <row r="49" spans="1:20" x14ac:dyDescent="0.2">
      <c r="A49" s="23"/>
      <c r="B49" s="23"/>
      <c r="C49" s="23"/>
      <c r="D49" s="23"/>
      <c r="E49" s="23"/>
      <c r="F49" s="187"/>
      <c r="G49" s="187"/>
      <c r="H49" s="187"/>
      <c r="I49" s="21"/>
      <c r="J49" s="187"/>
      <c r="K49" s="21"/>
      <c r="L49" s="21"/>
      <c r="M49" s="21"/>
      <c r="N49" s="21"/>
      <c r="O49" s="21"/>
      <c r="P49" s="21"/>
      <c r="Q49" s="21"/>
      <c r="R49" s="21"/>
      <c r="S49" s="21"/>
      <c r="T49" s="23"/>
    </row>
    <row r="50" spans="1:20" x14ac:dyDescent="0.2">
      <c r="A50" s="23"/>
      <c r="B50" s="23"/>
      <c r="C50" s="23"/>
      <c r="D50" s="23"/>
      <c r="E50" s="23"/>
      <c r="F50" s="30"/>
      <c r="G50" s="30"/>
      <c r="H50" s="187"/>
      <c r="I50" s="21"/>
      <c r="J50" s="187"/>
      <c r="K50" s="21"/>
      <c r="L50" s="21"/>
      <c r="M50" s="21"/>
      <c r="N50" s="21"/>
      <c r="O50" s="21"/>
      <c r="P50" s="21"/>
      <c r="Q50" s="21"/>
      <c r="R50" s="21"/>
      <c r="S50" s="21"/>
      <c r="T50" s="23"/>
    </row>
    <row r="51" spans="1:20" x14ac:dyDescent="0.2">
      <c r="A51" s="23"/>
      <c r="B51" s="23"/>
      <c r="C51" s="23"/>
      <c r="D51" s="23"/>
      <c r="E51" s="23"/>
      <c r="F51" s="187"/>
      <c r="G51" s="187"/>
      <c r="H51" s="187"/>
      <c r="I51" s="21"/>
      <c r="J51" s="187"/>
      <c r="K51" s="21"/>
      <c r="L51" s="21"/>
      <c r="M51" s="21"/>
      <c r="N51" s="21"/>
      <c r="O51" s="21"/>
      <c r="P51" s="21"/>
      <c r="Q51" s="21"/>
      <c r="R51" s="21"/>
      <c r="S51" s="21"/>
      <c r="T51" s="23"/>
    </row>
    <row r="52" spans="1:20" x14ac:dyDescent="0.2">
      <c r="A52" s="23"/>
      <c r="B52" s="23"/>
      <c r="C52" s="23"/>
      <c r="D52" s="23"/>
      <c r="E52" s="23"/>
      <c r="F52" s="187"/>
      <c r="G52" s="187"/>
      <c r="H52" s="187"/>
      <c r="I52" s="21"/>
      <c r="J52" s="187"/>
      <c r="K52" s="21"/>
      <c r="L52" s="21"/>
      <c r="M52" s="21"/>
      <c r="N52" s="21"/>
      <c r="O52" s="21"/>
      <c r="P52" s="21"/>
      <c r="Q52" s="21"/>
      <c r="R52" s="21"/>
      <c r="S52" s="21"/>
      <c r="T52" s="23"/>
    </row>
    <row r="53" spans="1:20" x14ac:dyDescent="0.2">
      <c r="A53" s="23"/>
      <c r="B53" s="23"/>
      <c r="C53" s="23"/>
      <c r="D53" s="23"/>
      <c r="E53" s="23"/>
      <c r="F53" s="187"/>
      <c r="G53" s="187"/>
      <c r="H53" s="187"/>
      <c r="I53" s="21"/>
      <c r="J53" s="187"/>
      <c r="K53" s="21"/>
      <c r="L53" s="21"/>
      <c r="M53" s="21"/>
      <c r="N53" s="21"/>
      <c r="O53" s="21"/>
      <c r="P53" s="21"/>
      <c r="Q53" s="21"/>
      <c r="R53" s="21"/>
      <c r="S53" s="21"/>
      <c r="T53" s="23"/>
    </row>
    <row r="54" spans="1:20" x14ac:dyDescent="0.2">
      <c r="A54" s="23"/>
      <c r="B54" s="23"/>
      <c r="C54" s="23"/>
      <c r="D54" s="23"/>
      <c r="E54" s="23"/>
      <c r="F54" s="187"/>
      <c r="G54" s="187"/>
      <c r="H54" s="187"/>
      <c r="I54" s="21"/>
      <c r="J54" s="187"/>
      <c r="K54" s="21"/>
      <c r="L54" s="21"/>
      <c r="M54" s="21"/>
      <c r="N54" s="21"/>
      <c r="O54" s="21"/>
      <c r="P54" s="21"/>
      <c r="Q54" s="21"/>
      <c r="R54" s="21"/>
      <c r="S54" s="21"/>
      <c r="T54" s="23"/>
    </row>
    <row r="55" spans="1:20" x14ac:dyDescent="0.2">
      <c r="A55" s="23"/>
      <c r="B55" s="23"/>
      <c r="C55" s="23"/>
      <c r="D55" s="23"/>
      <c r="E55" s="23"/>
      <c r="F55" s="30"/>
      <c r="G55" s="30"/>
      <c r="H55" s="187"/>
      <c r="I55" s="21"/>
      <c r="J55" s="187"/>
      <c r="K55" s="21"/>
      <c r="L55" s="21"/>
      <c r="M55" s="21"/>
      <c r="N55" s="21"/>
      <c r="O55" s="21"/>
      <c r="P55" s="21"/>
      <c r="Q55" s="21"/>
      <c r="R55" s="21"/>
      <c r="S55" s="21"/>
      <c r="T55" s="23"/>
    </row>
    <row r="56" spans="1:20" x14ac:dyDescent="0.2">
      <c r="A56" s="23"/>
      <c r="B56" s="23"/>
      <c r="C56" s="23"/>
      <c r="D56" s="23"/>
      <c r="E56" s="23"/>
      <c r="F56" s="187"/>
      <c r="G56" s="187"/>
      <c r="H56" s="187"/>
      <c r="I56" s="21"/>
      <c r="J56" s="187"/>
      <c r="K56" s="21"/>
      <c r="L56" s="21"/>
      <c r="M56" s="21"/>
      <c r="N56" s="21"/>
      <c r="O56" s="21"/>
      <c r="P56" s="21"/>
      <c r="Q56" s="21"/>
      <c r="R56" s="21"/>
      <c r="S56" s="21"/>
      <c r="T56" s="23"/>
    </row>
    <row r="57" spans="1:20" x14ac:dyDescent="0.2">
      <c r="A57" s="23"/>
      <c r="B57" s="23"/>
      <c r="C57" s="23"/>
      <c r="D57" s="23"/>
      <c r="E57" s="23"/>
      <c r="F57" s="187"/>
      <c r="G57" s="187"/>
      <c r="H57" s="187"/>
      <c r="I57" s="21"/>
      <c r="J57" s="187"/>
      <c r="K57" s="21"/>
      <c r="L57" s="21"/>
      <c r="M57" s="21"/>
      <c r="N57" s="21"/>
      <c r="O57" s="21"/>
      <c r="P57" s="21"/>
      <c r="Q57" s="21"/>
      <c r="R57" s="21"/>
      <c r="S57" s="21"/>
      <c r="T57" s="23"/>
    </row>
    <row r="58" spans="1:20" x14ac:dyDescent="0.2">
      <c r="A58" s="23"/>
      <c r="B58" s="23"/>
      <c r="C58" s="23"/>
      <c r="D58" s="23"/>
      <c r="E58" s="23"/>
      <c r="F58" s="187"/>
      <c r="G58" s="187"/>
      <c r="H58" s="187"/>
      <c r="I58" s="21"/>
      <c r="J58" s="187"/>
      <c r="K58" s="21"/>
      <c r="L58" s="21"/>
      <c r="M58" s="21"/>
      <c r="N58" s="21"/>
      <c r="O58" s="21"/>
      <c r="P58" s="21"/>
      <c r="Q58" s="21"/>
      <c r="R58" s="21"/>
      <c r="S58" s="21"/>
      <c r="T58" s="23"/>
    </row>
    <row r="59" spans="1:20" x14ac:dyDescent="0.2">
      <c r="A59" s="23"/>
      <c r="B59" s="23"/>
      <c r="C59" s="23"/>
      <c r="D59" s="23"/>
      <c r="E59" s="23"/>
      <c r="F59" s="187"/>
      <c r="G59" s="187"/>
      <c r="H59" s="187"/>
      <c r="I59" s="21"/>
      <c r="J59" s="187"/>
      <c r="K59" s="21"/>
      <c r="L59" s="21"/>
      <c r="M59" s="21"/>
      <c r="N59" s="21"/>
      <c r="O59" s="21"/>
      <c r="P59" s="21"/>
      <c r="Q59" s="21"/>
      <c r="R59" s="21"/>
      <c r="S59" s="21"/>
      <c r="T59" s="23"/>
    </row>
    <row r="60" spans="1:20" x14ac:dyDescent="0.2">
      <c r="A60" s="23"/>
      <c r="B60" s="23"/>
      <c r="C60" s="23"/>
      <c r="D60" s="23"/>
      <c r="E60" s="23"/>
      <c r="F60" s="30"/>
      <c r="G60" s="30"/>
      <c r="H60" s="187"/>
      <c r="I60" s="21"/>
      <c r="J60" s="187"/>
      <c r="K60" s="21"/>
      <c r="L60" s="21"/>
      <c r="M60" s="21"/>
      <c r="N60" s="21"/>
      <c r="O60" s="21"/>
      <c r="P60" s="21"/>
      <c r="Q60" s="21"/>
      <c r="R60" s="21"/>
      <c r="S60" s="21"/>
      <c r="T60" s="23"/>
    </row>
    <row r="61" spans="1:20" x14ac:dyDescent="0.2">
      <c r="A61" s="23"/>
      <c r="B61" s="23"/>
      <c r="C61" s="23"/>
      <c r="D61" s="23"/>
      <c r="E61" s="23"/>
      <c r="F61" s="187"/>
      <c r="G61" s="187"/>
      <c r="H61" s="187"/>
      <c r="I61" s="21"/>
      <c r="J61" s="187"/>
      <c r="K61" s="21"/>
      <c r="L61" s="21"/>
      <c r="M61" s="21"/>
      <c r="N61" s="21"/>
      <c r="O61" s="21"/>
      <c r="P61" s="21"/>
      <c r="Q61" s="21"/>
      <c r="R61" s="21"/>
      <c r="S61" s="21"/>
      <c r="T61" s="23"/>
    </row>
    <row r="62" spans="1:20" x14ac:dyDescent="0.2">
      <c r="A62" s="23"/>
      <c r="B62" s="23"/>
      <c r="C62" s="23"/>
      <c r="D62" s="23"/>
      <c r="E62" s="23"/>
      <c r="F62" s="187"/>
      <c r="G62" s="187"/>
      <c r="H62" s="187"/>
      <c r="I62" s="21"/>
      <c r="J62" s="187"/>
      <c r="K62" s="21"/>
      <c r="L62" s="21"/>
      <c r="M62" s="21"/>
      <c r="N62" s="21"/>
      <c r="O62" s="21"/>
      <c r="P62" s="21"/>
      <c r="Q62" s="21"/>
      <c r="R62" s="21"/>
      <c r="S62" s="21"/>
      <c r="T62" s="23"/>
    </row>
    <row r="63" spans="1:20" x14ac:dyDescent="0.2">
      <c r="A63" s="23"/>
      <c r="B63" s="23"/>
      <c r="C63" s="23"/>
      <c r="D63" s="23"/>
      <c r="E63" s="23"/>
      <c r="F63" s="187"/>
      <c r="G63" s="187"/>
      <c r="H63" s="187"/>
      <c r="I63" s="21"/>
      <c r="J63" s="187"/>
      <c r="K63" s="21"/>
      <c r="L63" s="21"/>
      <c r="M63" s="21"/>
      <c r="N63" s="21"/>
      <c r="O63" s="21"/>
      <c r="P63" s="21"/>
      <c r="Q63" s="21"/>
      <c r="R63" s="21"/>
      <c r="S63" s="21"/>
      <c r="T63" s="23"/>
    </row>
    <row r="64" spans="1:20" x14ac:dyDescent="0.2">
      <c r="A64" s="23"/>
      <c r="B64" s="23"/>
      <c r="C64" s="23"/>
      <c r="D64" s="23"/>
      <c r="E64" s="23"/>
      <c r="F64" s="187"/>
      <c r="G64" s="187"/>
      <c r="H64" s="187"/>
      <c r="I64" s="21"/>
      <c r="J64" s="187"/>
      <c r="K64" s="21"/>
      <c r="L64" s="21"/>
      <c r="M64" s="21"/>
      <c r="N64" s="21"/>
      <c r="O64" s="21"/>
      <c r="P64" s="21"/>
      <c r="Q64" s="21"/>
      <c r="R64" s="21"/>
      <c r="S64" s="21"/>
      <c r="T64" s="23"/>
    </row>
    <row r="65" spans="1:20" x14ac:dyDescent="0.2">
      <c r="A65" s="23"/>
      <c r="B65" s="23"/>
      <c r="C65" s="23"/>
      <c r="D65" s="17"/>
      <c r="E65" s="17"/>
      <c r="F65" s="30"/>
      <c r="G65" s="30"/>
      <c r="H65" s="187"/>
      <c r="I65" s="21"/>
      <c r="J65" s="187"/>
      <c r="K65" s="21"/>
      <c r="L65" s="21"/>
      <c r="M65" s="21"/>
      <c r="N65" s="21"/>
      <c r="O65" s="21"/>
      <c r="P65" s="21"/>
      <c r="Q65" s="21"/>
      <c r="R65" s="187"/>
      <c r="S65" s="21"/>
      <c r="T65" s="23"/>
    </row>
    <row r="66" spans="1:20" x14ac:dyDescent="0.2">
      <c r="A66" s="23"/>
      <c r="B66" s="23"/>
      <c r="C66" s="23"/>
      <c r="D66" s="17"/>
      <c r="E66" s="17"/>
      <c r="F66" s="187"/>
      <c r="G66" s="187"/>
      <c r="H66" s="187"/>
      <c r="I66" s="21"/>
      <c r="J66" s="187"/>
      <c r="K66" s="21"/>
      <c r="L66" s="21"/>
      <c r="M66" s="21"/>
      <c r="N66" s="21"/>
      <c r="O66" s="21"/>
      <c r="P66" s="21"/>
      <c r="Q66" s="21"/>
      <c r="R66" s="21"/>
      <c r="S66" s="21"/>
      <c r="T66" s="23"/>
    </row>
    <row r="67" spans="1:20" x14ac:dyDescent="0.2">
      <c r="A67" s="23"/>
      <c r="B67" s="23"/>
      <c r="C67" s="23"/>
      <c r="D67" s="17"/>
      <c r="E67" s="17"/>
      <c r="F67" s="187"/>
      <c r="G67" s="187"/>
      <c r="H67" s="187"/>
      <c r="I67" s="21"/>
      <c r="J67" s="187"/>
      <c r="K67" s="21"/>
      <c r="L67" s="21"/>
      <c r="M67" s="21"/>
      <c r="N67" s="21"/>
      <c r="O67" s="21"/>
      <c r="P67" s="21"/>
      <c r="Q67" s="21"/>
      <c r="R67" s="21"/>
      <c r="S67" s="21"/>
      <c r="T67" s="23"/>
    </row>
    <row r="68" spans="1:20" x14ac:dyDescent="0.2">
      <c r="A68" s="23"/>
      <c r="B68" s="23"/>
      <c r="C68" s="23"/>
      <c r="D68" s="17"/>
      <c r="E68" s="17"/>
      <c r="F68" s="187"/>
      <c r="G68" s="187"/>
      <c r="H68" s="187"/>
      <c r="I68" s="21"/>
      <c r="J68" s="187"/>
      <c r="K68" s="21"/>
      <c r="L68" s="21"/>
      <c r="M68" s="21"/>
      <c r="N68" s="21"/>
      <c r="O68" s="21"/>
      <c r="P68" s="21"/>
      <c r="Q68" s="21"/>
      <c r="R68" s="21"/>
      <c r="S68" s="21"/>
      <c r="T68" s="23"/>
    </row>
    <row r="69" spans="1:20" x14ac:dyDescent="0.2">
      <c r="A69" s="23"/>
      <c r="B69" s="23"/>
      <c r="C69" s="23"/>
      <c r="D69" s="17"/>
      <c r="E69" s="17"/>
      <c r="F69" s="187"/>
      <c r="G69" s="187"/>
      <c r="H69" s="187"/>
      <c r="I69" s="21"/>
      <c r="J69" s="187"/>
      <c r="K69" s="21"/>
      <c r="L69" s="21"/>
      <c r="M69" s="21"/>
      <c r="N69" s="21"/>
      <c r="O69" s="21"/>
      <c r="P69" s="21"/>
      <c r="Q69" s="21"/>
      <c r="R69" s="21"/>
      <c r="S69" s="21"/>
      <c r="T69" s="23"/>
    </row>
    <row r="70" spans="1:20" x14ac:dyDescent="0.2">
      <c r="A70" s="23"/>
      <c r="B70" s="23"/>
      <c r="C70" s="23"/>
      <c r="D70" s="17"/>
      <c r="E70" s="17"/>
      <c r="F70" s="187"/>
      <c r="G70" s="187"/>
      <c r="H70" s="187"/>
      <c r="I70" s="21"/>
      <c r="J70" s="187"/>
      <c r="K70" s="21"/>
      <c r="L70" s="21"/>
      <c r="M70" s="21"/>
      <c r="N70" s="21"/>
      <c r="O70" s="21"/>
      <c r="P70" s="21"/>
      <c r="Q70" s="21"/>
      <c r="R70" s="21"/>
      <c r="S70" s="21"/>
      <c r="T70" s="23"/>
    </row>
    <row r="71" spans="1:20" x14ac:dyDescent="0.2">
      <c r="A71" s="23"/>
      <c r="B71" s="23"/>
      <c r="C71" s="23"/>
      <c r="D71" s="17"/>
      <c r="E71" s="17"/>
      <c r="F71" s="187"/>
      <c r="G71" s="187"/>
      <c r="H71" s="187"/>
      <c r="I71" s="21"/>
      <c r="J71" s="187"/>
      <c r="K71" s="21"/>
      <c r="L71" s="21"/>
      <c r="M71" s="21"/>
      <c r="N71" s="21"/>
      <c r="O71" s="21"/>
      <c r="P71" s="21"/>
      <c r="Q71" s="21"/>
      <c r="R71" s="21"/>
      <c r="S71" s="21"/>
      <c r="T71" s="23"/>
    </row>
    <row r="72" spans="1:20" x14ac:dyDescent="0.2">
      <c r="A72" s="23"/>
      <c r="B72" s="23"/>
      <c r="C72" s="23"/>
      <c r="D72" s="23"/>
      <c r="E72" s="23"/>
      <c r="F72" s="30"/>
      <c r="G72" s="30"/>
      <c r="H72" s="187"/>
      <c r="I72" s="21"/>
      <c r="J72" s="187"/>
      <c r="K72" s="21"/>
      <c r="L72" s="21"/>
      <c r="M72" s="21"/>
      <c r="N72" s="21"/>
      <c r="O72" s="21"/>
      <c r="P72" s="21"/>
      <c r="Q72" s="21"/>
      <c r="R72" s="187"/>
      <c r="S72" s="21"/>
      <c r="T72" s="23"/>
    </row>
    <row r="73" spans="1:20" x14ac:dyDescent="0.2">
      <c r="A73" s="23"/>
      <c r="B73" s="23"/>
      <c r="C73" s="23"/>
      <c r="D73" s="23"/>
      <c r="E73" s="23"/>
      <c r="F73" s="187"/>
      <c r="G73" s="187"/>
      <c r="H73" s="187"/>
      <c r="I73" s="21"/>
      <c r="J73" s="187"/>
      <c r="K73" s="21"/>
      <c r="L73" s="21"/>
      <c r="M73" s="21"/>
      <c r="N73" s="21"/>
      <c r="O73" s="21"/>
      <c r="P73" s="21"/>
      <c r="Q73" s="21"/>
      <c r="R73" s="21"/>
      <c r="S73" s="21"/>
      <c r="T73" s="23"/>
    </row>
    <row r="74" spans="1:20" x14ac:dyDescent="0.2">
      <c r="A74" s="23"/>
      <c r="B74" s="23"/>
      <c r="C74" s="23"/>
      <c r="D74" s="23"/>
      <c r="E74" s="23"/>
      <c r="F74" s="187"/>
      <c r="G74" s="187"/>
      <c r="H74" s="187"/>
      <c r="I74" s="21"/>
      <c r="J74" s="187"/>
      <c r="K74" s="21"/>
      <c r="L74" s="21"/>
      <c r="M74" s="21"/>
      <c r="N74" s="21"/>
      <c r="O74" s="21"/>
      <c r="P74" s="21"/>
      <c r="Q74" s="21"/>
      <c r="R74" s="21"/>
      <c r="S74" s="21"/>
      <c r="T74" s="23"/>
    </row>
    <row r="75" spans="1:20" x14ac:dyDescent="0.2">
      <c r="A75" s="23"/>
      <c r="B75" s="23"/>
      <c r="C75" s="23"/>
      <c r="D75" s="23"/>
      <c r="E75" s="23"/>
      <c r="F75" s="187"/>
      <c r="G75" s="187"/>
      <c r="H75" s="187"/>
      <c r="I75" s="21"/>
      <c r="J75" s="187"/>
      <c r="K75" s="21"/>
      <c r="L75" s="21"/>
      <c r="M75" s="21"/>
      <c r="N75" s="21"/>
      <c r="O75" s="21"/>
      <c r="P75" s="21"/>
      <c r="Q75" s="21"/>
      <c r="R75" s="21"/>
      <c r="S75" s="21"/>
      <c r="T75" s="23"/>
    </row>
    <row r="76" spans="1:20" x14ac:dyDescent="0.2">
      <c r="A76" s="23"/>
      <c r="B76" s="23"/>
      <c r="C76" s="23"/>
      <c r="D76" s="23"/>
      <c r="E76" s="23"/>
      <c r="F76" s="187"/>
      <c r="G76" s="187"/>
      <c r="H76" s="187"/>
      <c r="I76" s="21"/>
      <c r="J76" s="187"/>
      <c r="K76" s="21"/>
      <c r="L76" s="21"/>
      <c r="M76" s="21"/>
      <c r="N76" s="21"/>
      <c r="O76" s="21"/>
      <c r="P76" s="21"/>
      <c r="Q76" s="21"/>
      <c r="R76" s="21"/>
      <c r="S76" s="21"/>
      <c r="T76" s="23"/>
    </row>
    <row r="77" spans="1:20" x14ac:dyDescent="0.2">
      <c r="A77" s="23"/>
      <c r="B77" s="23"/>
      <c r="C77" s="23"/>
      <c r="D77" s="23"/>
      <c r="E77" s="23"/>
      <c r="F77" s="187"/>
      <c r="G77" s="187"/>
      <c r="H77" s="187"/>
      <c r="I77" s="21"/>
      <c r="J77" s="187"/>
      <c r="K77" s="21"/>
      <c r="L77" s="21"/>
      <c r="M77" s="21"/>
      <c r="N77" s="21"/>
      <c r="O77" s="21"/>
      <c r="P77" s="21"/>
      <c r="Q77" s="21"/>
      <c r="R77" s="21"/>
      <c r="S77" s="21"/>
      <c r="T77" s="23"/>
    </row>
    <row r="78" spans="1:20" x14ac:dyDescent="0.2">
      <c r="A78" s="23"/>
      <c r="B78" s="23"/>
      <c r="C78" s="23"/>
      <c r="D78" s="23"/>
      <c r="E78" s="23"/>
      <c r="F78" s="187"/>
      <c r="G78" s="187"/>
      <c r="H78" s="187"/>
      <c r="I78" s="21"/>
      <c r="J78" s="187"/>
      <c r="K78" s="21"/>
      <c r="L78" s="21"/>
      <c r="M78" s="21"/>
      <c r="N78" s="21"/>
      <c r="O78" s="21"/>
      <c r="P78" s="21"/>
      <c r="Q78" s="21"/>
      <c r="R78" s="21"/>
      <c r="S78" s="21"/>
      <c r="T78" s="23"/>
    </row>
    <row r="81" spans="1:28" x14ac:dyDescent="0.2">
      <c r="A81" t="s">
        <v>37</v>
      </c>
      <c r="C81" s="232" t="s">
        <v>452</v>
      </c>
      <c r="D81" s="233"/>
      <c r="E81" s="233"/>
      <c r="F81" s="233"/>
      <c r="G81" s="233"/>
      <c r="H81" s="233"/>
      <c r="I81" s="233"/>
      <c r="J81" s="233"/>
      <c r="K81" s="233"/>
      <c r="L81" s="233"/>
      <c r="M81" s="234"/>
      <c r="N81" s="193"/>
      <c r="O81" s="193"/>
      <c r="P81" s="193"/>
      <c r="Q81" s="182"/>
    </row>
    <row r="82" spans="1:28" x14ac:dyDescent="0.2">
      <c r="C82" s="235"/>
      <c r="D82" s="236"/>
      <c r="E82" s="236"/>
      <c r="F82" s="236"/>
      <c r="G82" s="236"/>
      <c r="H82" s="236"/>
      <c r="I82" s="236"/>
      <c r="J82" s="236"/>
      <c r="K82" s="236"/>
      <c r="L82" s="236"/>
      <c r="M82" s="237"/>
      <c r="N82" s="193"/>
      <c r="O82" s="193"/>
      <c r="P82" s="193"/>
      <c r="Q82" s="182"/>
    </row>
    <row r="83" spans="1:28" x14ac:dyDescent="0.2">
      <c r="C83" s="238"/>
      <c r="D83" s="239"/>
      <c r="E83" s="239"/>
      <c r="F83" s="239"/>
      <c r="G83" s="239"/>
      <c r="H83" s="239"/>
      <c r="I83" s="239"/>
      <c r="J83" s="239"/>
      <c r="K83" s="239"/>
      <c r="L83" s="239"/>
      <c r="M83" s="240"/>
      <c r="N83" s="193"/>
      <c r="O83" s="193"/>
      <c r="P83" s="193"/>
      <c r="Q83" s="182"/>
    </row>
    <row r="84" spans="1:28" x14ac:dyDescent="0.2">
      <c r="C84" s="14"/>
      <c r="D84" s="14"/>
      <c r="E84" s="14"/>
      <c r="F84" s="14"/>
      <c r="G84" s="14"/>
      <c r="H84" s="14"/>
      <c r="I84" s="14"/>
      <c r="J84" s="14"/>
      <c r="K84" s="14"/>
      <c r="L84" s="14"/>
      <c r="N84" s="14"/>
      <c r="O84" s="14"/>
    </row>
    <row r="85" spans="1:28" x14ac:dyDescent="0.2">
      <c r="C85" s="232"/>
      <c r="D85" s="233"/>
      <c r="E85" s="233"/>
      <c r="F85" s="233"/>
      <c r="G85" s="233"/>
      <c r="H85" s="233"/>
      <c r="I85" s="233"/>
      <c r="J85" s="233"/>
      <c r="K85" s="233"/>
      <c r="L85" s="233"/>
      <c r="M85" s="233"/>
      <c r="N85" s="233"/>
      <c r="O85" s="233"/>
      <c r="P85" s="233"/>
      <c r="Q85" s="233"/>
      <c r="R85" s="233"/>
      <c r="S85" s="234"/>
    </row>
    <row r="86" spans="1:28" x14ac:dyDescent="0.2">
      <c r="C86" s="235"/>
      <c r="D86" s="236"/>
      <c r="E86" s="236"/>
      <c r="F86" s="236"/>
      <c r="G86" s="236"/>
      <c r="H86" s="236"/>
      <c r="I86" s="236"/>
      <c r="J86" s="236"/>
      <c r="K86" s="236"/>
      <c r="L86" s="236"/>
      <c r="M86" s="236"/>
      <c r="N86" s="236"/>
      <c r="O86" s="236"/>
      <c r="P86" s="236"/>
      <c r="Q86" s="236"/>
      <c r="R86" s="236"/>
      <c r="S86" s="237"/>
      <c r="T86" s="241"/>
      <c r="U86" s="241"/>
      <c r="V86" s="241"/>
      <c r="W86" s="241"/>
      <c r="X86" s="241"/>
      <c r="Y86" s="241"/>
      <c r="AA86" s="241"/>
      <c r="AB86" s="241"/>
    </row>
    <row r="87" spans="1:28" x14ac:dyDescent="0.2">
      <c r="C87" s="238"/>
      <c r="D87" s="239"/>
      <c r="E87" s="239"/>
      <c r="F87" s="239"/>
      <c r="G87" s="239"/>
      <c r="H87" s="239"/>
      <c r="I87" s="239"/>
      <c r="J87" s="239"/>
      <c r="K87" s="239"/>
      <c r="L87" s="239"/>
      <c r="M87" s="239"/>
      <c r="N87" s="239"/>
      <c r="O87" s="239"/>
      <c r="P87" s="239"/>
      <c r="Q87" s="239"/>
      <c r="R87" s="239"/>
      <c r="S87" s="240"/>
      <c r="T87" s="183"/>
      <c r="U87" s="183"/>
      <c r="X87" s="183"/>
      <c r="Y87" s="183"/>
    </row>
    <row r="88" spans="1:28" x14ac:dyDescent="0.2">
      <c r="C88" s="185"/>
      <c r="D88" s="185"/>
      <c r="E88" s="185"/>
      <c r="F88" s="185"/>
      <c r="G88" s="185"/>
      <c r="H88" s="185"/>
      <c r="I88" s="185"/>
      <c r="J88" s="185"/>
      <c r="K88" s="185"/>
      <c r="L88" s="185"/>
      <c r="M88" s="185"/>
      <c r="N88" s="195"/>
      <c r="O88" s="195"/>
      <c r="P88" s="195"/>
      <c r="Q88" s="185"/>
      <c r="R88" s="185"/>
      <c r="S88" s="185"/>
      <c r="T88" s="183"/>
      <c r="U88" s="183"/>
      <c r="X88" s="183"/>
      <c r="Y88" s="183"/>
    </row>
    <row r="89" spans="1:28" x14ac:dyDescent="0.2">
      <c r="R89"/>
      <c r="S89" s="11"/>
      <c r="T89" s="183"/>
      <c r="U89" s="11"/>
      <c r="W89" s="11"/>
      <c r="Y89" s="11"/>
    </row>
    <row r="90" spans="1:28" x14ac:dyDescent="0.2">
      <c r="A90" s="1" t="s">
        <v>444</v>
      </c>
      <c r="B90" s="1"/>
      <c r="R90"/>
      <c r="S90" s="11"/>
      <c r="T90" s="183"/>
      <c r="U90" s="11"/>
      <c r="W90" s="11"/>
      <c r="Y90" s="11"/>
    </row>
    <row r="91" spans="1:28" x14ac:dyDescent="0.2">
      <c r="A91" s="1"/>
      <c r="B91" s="1"/>
      <c r="S91" s="11"/>
      <c r="T91" s="183"/>
      <c r="U91" s="11"/>
      <c r="W91" s="11"/>
      <c r="Y91" s="11"/>
    </row>
    <row r="92" spans="1:28" x14ac:dyDescent="0.2">
      <c r="S92" s="11"/>
      <c r="T92" s="183"/>
      <c r="U92" s="11"/>
      <c r="W92" s="11"/>
      <c r="Y92" s="11"/>
    </row>
    <row r="93" spans="1:28" x14ac:dyDescent="0.2">
      <c r="S93" s="11"/>
      <c r="T93" s="183"/>
      <c r="U93" s="11"/>
      <c r="W93" s="11"/>
      <c r="Y93" s="11"/>
    </row>
    <row r="94" spans="1:28" x14ac:dyDescent="0.2">
      <c r="S94" s="11"/>
      <c r="T94" s="183"/>
      <c r="U94" s="11"/>
      <c r="W94" s="11"/>
      <c r="Y94" s="11"/>
    </row>
  </sheetData>
  <mergeCells count="9">
    <mergeCell ref="K3:M3"/>
    <mergeCell ref="V3:AB10"/>
    <mergeCell ref="C81:M83"/>
    <mergeCell ref="C85:S87"/>
    <mergeCell ref="T86:U86"/>
    <mergeCell ref="V86:W86"/>
    <mergeCell ref="X86:Y86"/>
    <mergeCell ref="AA86:AB86"/>
    <mergeCell ref="N3:P3"/>
  </mergeCells>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F99"/>
  <sheetViews>
    <sheetView tabSelected="1" topLeftCell="L1" zoomScale="85" zoomScaleNormal="85" zoomScalePageLayoutView="85" workbookViewId="0">
      <selection activeCell="R32" sqref="R32"/>
    </sheetView>
  </sheetViews>
  <sheetFormatPr baseColWidth="10" defaultColWidth="8.83203125" defaultRowHeight="15" x14ac:dyDescent="0.2"/>
  <cols>
    <col min="1" max="2" width="20.6640625" customWidth="1"/>
    <col min="3" max="3" width="16.33203125" customWidth="1"/>
    <col min="4" max="4" width="10.1640625" customWidth="1"/>
    <col min="5" max="5" width="13.5" customWidth="1"/>
    <col min="6" max="6" width="13.5" style="200" customWidth="1"/>
    <col min="7" max="7" width="11.6640625" style="200" customWidth="1"/>
    <col min="8" max="8" width="10.1640625" style="200" customWidth="1"/>
    <col min="9" max="9" width="12.33203125" style="203" customWidth="1"/>
    <col min="10" max="10" width="10.1640625" style="200" customWidth="1"/>
    <col min="11" max="12" width="13.5" style="203" customWidth="1"/>
    <col min="13" max="14" width="10.1640625" style="203" customWidth="1"/>
    <col min="15" max="15" width="10.1640625" style="200" customWidth="1"/>
    <col min="16" max="16" width="16.33203125" style="200" customWidth="1"/>
    <col min="17" max="17" width="41.33203125" customWidth="1"/>
    <col min="28" max="28" width="9.6640625" bestFit="1" customWidth="1"/>
  </cols>
  <sheetData>
    <row r="3" spans="1:28" ht="30" x14ac:dyDescent="0.2">
      <c r="A3" s="14" t="s">
        <v>0</v>
      </c>
      <c r="B3" s="14"/>
      <c r="C3" s="14"/>
      <c r="D3" s="14" t="s">
        <v>13</v>
      </c>
      <c r="E3" s="14" t="s">
        <v>28</v>
      </c>
      <c r="F3" s="202" t="s">
        <v>1</v>
      </c>
      <c r="G3" s="202" t="s">
        <v>2</v>
      </c>
      <c r="H3" s="202" t="s">
        <v>4</v>
      </c>
      <c r="I3" s="198" t="s">
        <v>8</v>
      </c>
      <c r="J3" s="202" t="s">
        <v>3</v>
      </c>
      <c r="K3" s="230" t="s">
        <v>20</v>
      </c>
      <c r="L3" s="230"/>
      <c r="M3" s="230"/>
      <c r="N3" s="198"/>
      <c r="O3" s="14" t="s">
        <v>21</v>
      </c>
      <c r="P3" s="14"/>
      <c r="Q3" s="14"/>
      <c r="R3" s="14"/>
      <c r="S3" s="231" t="s">
        <v>490</v>
      </c>
      <c r="T3" s="231"/>
      <c r="U3" s="231"/>
      <c r="V3" s="231"/>
      <c r="W3" s="231"/>
      <c r="X3" s="231"/>
      <c r="Y3" s="231"/>
      <c r="Z3" s="14"/>
    </row>
    <row r="4" spans="1:28" x14ac:dyDescent="0.2">
      <c r="A4" s="26"/>
      <c r="B4" s="26" t="s">
        <v>42</v>
      </c>
      <c r="C4" s="26" t="s">
        <v>10</v>
      </c>
      <c r="D4" s="26"/>
      <c r="E4" s="26" t="s">
        <v>27</v>
      </c>
      <c r="F4" s="25"/>
      <c r="G4" s="25"/>
      <c r="H4" s="25" t="s">
        <v>7</v>
      </c>
      <c r="I4" s="27" t="s">
        <v>9</v>
      </c>
      <c r="J4" s="25"/>
      <c r="K4" s="8" t="s">
        <v>55</v>
      </c>
      <c r="L4" s="27" t="s">
        <v>56</v>
      </c>
      <c r="M4" s="27" t="s">
        <v>5</v>
      </c>
      <c r="N4" s="27" t="s">
        <v>55</v>
      </c>
      <c r="O4" s="25" t="s">
        <v>120</v>
      </c>
      <c r="P4" s="25" t="s">
        <v>12</v>
      </c>
      <c r="Q4" s="26" t="s">
        <v>22</v>
      </c>
      <c r="R4" s="14"/>
      <c r="S4" s="231"/>
      <c r="T4" s="231"/>
      <c r="U4" s="231"/>
      <c r="V4" s="231"/>
      <c r="W4" s="231"/>
      <c r="X4" s="231"/>
      <c r="Y4" s="231"/>
      <c r="Z4" s="14"/>
    </row>
    <row r="5" spans="1:28" x14ac:dyDescent="0.2">
      <c r="A5" t="s">
        <v>484</v>
      </c>
      <c r="B5" t="s">
        <v>486</v>
      </c>
      <c r="C5" t="s">
        <v>485</v>
      </c>
      <c r="F5" s="5">
        <v>42180</v>
      </c>
      <c r="G5" s="5"/>
      <c r="I5" s="203">
        <f>44/1.12</f>
        <v>39.285714285714285</v>
      </c>
      <c r="J5" s="209">
        <v>0</v>
      </c>
      <c r="K5" s="203" t="s">
        <v>353</v>
      </c>
      <c r="L5" s="203">
        <v>0</v>
      </c>
      <c r="M5" s="203">
        <f>L5/L$14*100</f>
        <v>0</v>
      </c>
      <c r="N5" s="203" t="s">
        <v>184</v>
      </c>
      <c r="O5" s="203">
        <v>0</v>
      </c>
      <c r="P5" s="207">
        <f>O5/O$13*100</f>
        <v>0</v>
      </c>
      <c r="S5" s="231"/>
      <c r="T5" s="231"/>
      <c r="U5" s="231"/>
      <c r="V5" s="231"/>
      <c r="W5" s="231"/>
      <c r="X5" s="231"/>
      <c r="Y5" s="231"/>
    </row>
    <row r="6" spans="1:28" x14ac:dyDescent="0.2">
      <c r="A6" s="23"/>
      <c r="B6" s="23"/>
      <c r="C6" s="23"/>
      <c r="D6" s="23"/>
      <c r="E6" s="23"/>
      <c r="F6" s="204"/>
      <c r="G6" s="204"/>
      <c r="H6" s="204"/>
      <c r="I6" s="21"/>
      <c r="J6" s="209">
        <v>1</v>
      </c>
      <c r="K6" s="21"/>
      <c r="L6" s="21">
        <v>13.966480446927374</v>
      </c>
      <c r="M6" s="207">
        <f t="shared" ref="M6:M14" si="0">L6/L$14*100</f>
        <v>14.097744360902254</v>
      </c>
      <c r="N6" s="21"/>
      <c r="O6" s="21">
        <v>0</v>
      </c>
      <c r="P6" s="207">
        <f t="shared" ref="P6:P14" si="1">O6/O$13*100</f>
        <v>0</v>
      </c>
      <c r="Q6" s="23"/>
      <c r="S6" s="231"/>
      <c r="T6" s="231"/>
      <c r="U6" s="231"/>
      <c r="V6" s="231"/>
      <c r="W6" s="231"/>
      <c r="X6" s="231"/>
      <c r="Y6" s="231"/>
    </row>
    <row r="7" spans="1:28" x14ac:dyDescent="0.2">
      <c r="A7" s="23"/>
      <c r="B7" s="23"/>
      <c r="C7" s="23"/>
      <c r="D7" s="23"/>
      <c r="E7" s="23"/>
      <c r="F7" s="204"/>
      <c r="G7" s="204"/>
      <c r="H7" s="204"/>
      <c r="I7" s="21"/>
      <c r="J7" s="209">
        <v>2</v>
      </c>
      <c r="K7" s="21"/>
      <c r="L7" s="21">
        <v>16.945996275605214</v>
      </c>
      <c r="M7" s="207">
        <f t="shared" si="0"/>
        <v>17.105263157894733</v>
      </c>
      <c r="N7" s="21"/>
      <c r="O7" s="21">
        <v>0.67934782608695654</v>
      </c>
      <c r="P7" s="207">
        <f t="shared" si="1"/>
        <v>0.82781456953642385</v>
      </c>
      <c r="Q7" s="23"/>
      <c r="S7" s="231"/>
      <c r="T7" s="231"/>
      <c r="U7" s="231"/>
      <c r="V7" s="231"/>
      <c r="W7" s="231"/>
      <c r="X7" s="231"/>
      <c r="Y7" s="231"/>
    </row>
    <row r="8" spans="1:28" x14ac:dyDescent="0.2">
      <c r="A8" s="23"/>
      <c r="B8" s="23"/>
      <c r="C8" s="23"/>
      <c r="D8" s="23"/>
      <c r="E8" s="23"/>
      <c r="F8" s="204"/>
      <c r="G8" s="204"/>
      <c r="H8" s="204"/>
      <c r="I8" s="21"/>
      <c r="J8" s="209">
        <v>3</v>
      </c>
      <c r="K8" s="21"/>
      <c r="L8" s="21">
        <v>24.022346368715084</v>
      </c>
      <c r="M8" s="207">
        <f t="shared" si="0"/>
        <v>24.248120300751879</v>
      </c>
      <c r="N8" s="21"/>
      <c r="O8" s="21">
        <v>4.3478260869565215</v>
      </c>
      <c r="P8" s="207">
        <f t="shared" si="1"/>
        <v>5.298013245033113</v>
      </c>
      <c r="Q8" s="23"/>
      <c r="S8" s="231"/>
      <c r="T8" s="231"/>
      <c r="U8" s="231"/>
      <c r="V8" s="231"/>
      <c r="W8" s="231"/>
      <c r="X8" s="231"/>
      <c r="Y8" s="231"/>
    </row>
    <row r="9" spans="1:28" x14ac:dyDescent="0.2">
      <c r="A9" s="23"/>
      <c r="B9" s="23"/>
      <c r="C9" s="29"/>
      <c r="D9" s="23"/>
      <c r="E9" s="23"/>
      <c r="F9" s="204"/>
      <c r="G9" s="204"/>
      <c r="H9" s="204"/>
      <c r="I9" s="21"/>
      <c r="J9" s="209">
        <v>4</v>
      </c>
      <c r="K9" s="21"/>
      <c r="L9" s="21">
        <v>31.098696461824954</v>
      </c>
      <c r="M9" s="207">
        <f t="shared" si="0"/>
        <v>31.390977443609021</v>
      </c>
      <c r="N9" s="21"/>
      <c r="O9" s="21">
        <v>19.021739130434778</v>
      </c>
      <c r="P9" s="207">
        <f t="shared" si="1"/>
        <v>23.178807947019862</v>
      </c>
      <c r="Q9" s="23"/>
      <c r="S9" s="231"/>
      <c r="T9" s="231"/>
      <c r="U9" s="231"/>
      <c r="V9" s="231"/>
      <c r="W9" s="231"/>
      <c r="X9" s="231"/>
      <c r="Y9" s="231"/>
    </row>
    <row r="10" spans="1:28" x14ac:dyDescent="0.2">
      <c r="A10" s="23"/>
      <c r="B10" s="23"/>
      <c r="C10" s="29"/>
      <c r="D10" s="23"/>
      <c r="E10" s="23"/>
      <c r="F10" s="30"/>
      <c r="G10" s="30"/>
      <c r="H10" s="204"/>
      <c r="I10" s="21"/>
      <c r="J10" s="209">
        <v>5</v>
      </c>
      <c r="K10" s="21"/>
      <c r="L10" s="21">
        <v>45.065176908752328</v>
      </c>
      <c r="M10" s="207">
        <f t="shared" si="0"/>
        <v>45.488721804511272</v>
      </c>
      <c r="N10" s="21"/>
      <c r="O10" s="21">
        <v>44.836956521739125</v>
      </c>
      <c r="P10" s="207">
        <f t="shared" si="1"/>
        <v>54.635761589403977</v>
      </c>
      <c r="Q10" s="23"/>
      <c r="S10" s="231"/>
      <c r="T10" s="231"/>
      <c r="U10" s="231"/>
      <c r="V10" s="231"/>
      <c r="W10" s="231"/>
      <c r="X10" s="231"/>
      <c r="Y10" s="231"/>
    </row>
    <row r="11" spans="1:28" x14ac:dyDescent="0.2">
      <c r="A11" s="23"/>
      <c r="B11" s="23"/>
      <c r="C11" s="29"/>
      <c r="D11" s="23"/>
      <c r="E11" s="23"/>
      <c r="F11" s="204"/>
      <c r="G11" s="204"/>
      <c r="H11" s="204"/>
      <c r="I11" s="21"/>
      <c r="J11" s="209">
        <v>6</v>
      </c>
      <c r="K11" s="21"/>
      <c r="L11" s="21">
        <v>59.031657355679705</v>
      </c>
      <c r="M11" s="207">
        <f t="shared" si="0"/>
        <v>59.586466165413533</v>
      </c>
      <c r="N11" s="21"/>
      <c r="O11" s="21">
        <v>56.521739130434781</v>
      </c>
      <c r="P11" s="207">
        <f t="shared" si="1"/>
        <v>68.874172185430467</v>
      </c>
      <c r="Q11" s="23"/>
    </row>
    <row r="12" spans="1:28" x14ac:dyDescent="0.2">
      <c r="A12" s="23"/>
      <c r="B12" s="23"/>
      <c r="C12" s="23"/>
      <c r="D12" s="23"/>
      <c r="E12" s="23"/>
      <c r="F12" s="204"/>
      <c r="G12" s="204"/>
      <c r="H12" s="204"/>
      <c r="I12" s="21"/>
      <c r="J12" s="209">
        <v>7</v>
      </c>
      <c r="K12" s="21"/>
      <c r="L12" s="21">
        <v>72.998137802607076</v>
      </c>
      <c r="M12" s="207">
        <f t="shared" si="0"/>
        <v>73.68421052631578</v>
      </c>
      <c r="N12" s="21"/>
      <c r="O12" s="21">
        <v>72.554347826086953</v>
      </c>
      <c r="P12" s="207">
        <f t="shared" si="1"/>
        <v>88.410596026490069</v>
      </c>
      <c r="Q12" s="23"/>
    </row>
    <row r="13" spans="1:28" x14ac:dyDescent="0.2">
      <c r="A13" s="23"/>
      <c r="B13" s="23"/>
      <c r="C13" s="23"/>
      <c r="D13" s="23"/>
      <c r="E13" s="23"/>
      <c r="F13" s="204"/>
      <c r="G13" s="204"/>
      <c r="H13" s="204"/>
      <c r="I13" s="21"/>
      <c r="J13" s="209">
        <v>8</v>
      </c>
      <c r="K13" s="21"/>
      <c r="L13" s="21">
        <v>87.150837988826808</v>
      </c>
      <c r="M13" s="207">
        <f t="shared" si="0"/>
        <v>87.969924812030058</v>
      </c>
      <c r="N13" s="21"/>
      <c r="O13" s="21">
        <v>82.065217391304344</v>
      </c>
      <c r="P13" s="207">
        <f t="shared" si="1"/>
        <v>100</v>
      </c>
      <c r="Q13" s="23"/>
    </row>
    <row r="14" spans="1:28" x14ac:dyDescent="0.2">
      <c r="A14" s="23"/>
      <c r="B14" s="23"/>
      <c r="C14" s="23"/>
      <c r="D14" s="23"/>
      <c r="E14" s="23"/>
      <c r="F14" s="204"/>
      <c r="G14" s="204"/>
      <c r="H14" s="204"/>
      <c r="I14" s="21"/>
      <c r="J14" s="209">
        <v>9</v>
      </c>
      <c r="K14" s="21"/>
      <c r="L14" s="21">
        <v>99.068901303538183</v>
      </c>
      <c r="M14" s="207">
        <f t="shared" si="0"/>
        <v>100</v>
      </c>
      <c r="N14" s="21"/>
      <c r="O14" s="21">
        <v>75.815217391304344</v>
      </c>
      <c r="P14" s="207">
        <f t="shared" si="1"/>
        <v>92.38410596026489</v>
      </c>
      <c r="Q14" s="23"/>
    </row>
    <row r="15" spans="1:28" x14ac:dyDescent="0.2">
      <c r="A15" s="23"/>
      <c r="B15" s="23"/>
      <c r="C15" s="23"/>
      <c r="D15" s="23"/>
      <c r="E15" s="23"/>
      <c r="F15" s="30"/>
      <c r="G15" s="30"/>
      <c r="H15" s="204"/>
      <c r="I15" s="21" t="s">
        <v>487</v>
      </c>
      <c r="J15" s="209">
        <v>0</v>
      </c>
      <c r="K15" s="21"/>
      <c r="L15" s="21">
        <v>0</v>
      </c>
      <c r="M15" s="207">
        <f>L15/L$26*100</f>
        <v>0</v>
      </c>
      <c r="N15" s="21"/>
      <c r="O15" s="21">
        <v>0</v>
      </c>
      <c r="P15" s="207">
        <f>O15/O$26*100</f>
        <v>0</v>
      </c>
      <c r="Q15" s="23"/>
      <c r="AA15">
        <v>0</v>
      </c>
      <c r="AB15">
        <v>0</v>
      </c>
    </row>
    <row r="16" spans="1:28" x14ac:dyDescent="0.2">
      <c r="A16" s="23"/>
      <c r="B16" s="23"/>
      <c r="C16" s="23"/>
      <c r="D16" s="23"/>
      <c r="E16" s="23"/>
      <c r="F16" s="204"/>
      <c r="G16" s="204"/>
      <c r="H16" s="204"/>
      <c r="J16" s="209">
        <v>1</v>
      </c>
      <c r="L16" s="203">
        <v>8.8888888888888893</v>
      </c>
      <c r="M16" s="207">
        <f t="shared" ref="M16:M26" si="2">L16/L$26*100</f>
        <v>6.8592057761732841</v>
      </c>
      <c r="O16" s="21">
        <v>0</v>
      </c>
      <c r="P16" s="207">
        <f t="shared" ref="P16:P26" si="3">O16/O$26*100</f>
        <v>0</v>
      </c>
      <c r="Q16" s="23"/>
      <c r="AA16">
        <v>10</v>
      </c>
      <c r="AB16">
        <v>0</v>
      </c>
    </row>
    <row r="17" spans="1:29" x14ac:dyDescent="0.2">
      <c r="A17" s="23"/>
      <c r="B17" s="23"/>
      <c r="C17" s="23"/>
      <c r="D17" s="23"/>
      <c r="E17" s="23"/>
      <c r="F17" s="204"/>
      <c r="G17" s="204"/>
      <c r="H17" s="204"/>
      <c r="J17" s="209">
        <v>2</v>
      </c>
      <c r="L17" s="203">
        <v>16.842105263157894</v>
      </c>
      <c r="M17" s="207">
        <f t="shared" si="2"/>
        <v>12.996389891696749</v>
      </c>
      <c r="O17" s="21">
        <v>0.94637223974763407</v>
      </c>
      <c r="P17" s="207">
        <f t="shared" si="3"/>
        <v>0.93283582089552231</v>
      </c>
      <c r="Q17" s="23"/>
      <c r="AA17">
        <v>20</v>
      </c>
      <c r="AB17" s="11">
        <v>5.99078341013825</v>
      </c>
      <c r="AC17" s="11"/>
    </row>
    <row r="18" spans="1:29" x14ac:dyDescent="0.2">
      <c r="A18" s="23"/>
      <c r="B18" s="23"/>
      <c r="C18" s="23"/>
      <c r="D18" s="23"/>
      <c r="E18" s="23"/>
      <c r="F18" s="204"/>
      <c r="G18" s="204"/>
      <c r="H18" s="204"/>
      <c r="J18" s="209">
        <v>3</v>
      </c>
      <c r="L18" s="203">
        <v>23.625730994152047</v>
      </c>
      <c r="M18" s="207">
        <f t="shared" si="2"/>
        <v>18.231046931407942</v>
      </c>
      <c r="O18" s="21">
        <v>3.7854889589905363</v>
      </c>
      <c r="P18" s="207">
        <f t="shared" si="3"/>
        <v>3.7313432835820892</v>
      </c>
      <c r="Q18" s="23"/>
      <c r="AA18">
        <v>30</v>
      </c>
      <c r="AB18" s="11">
        <v>20.737327188940096</v>
      </c>
      <c r="AC18" s="11"/>
    </row>
    <row r="19" spans="1:29" x14ac:dyDescent="0.2">
      <c r="A19" s="23"/>
      <c r="B19" s="23"/>
      <c r="C19" s="23"/>
      <c r="D19" s="23"/>
      <c r="E19" s="23"/>
      <c r="F19" s="204"/>
      <c r="G19" s="204"/>
      <c r="H19" s="204"/>
      <c r="J19" s="209">
        <v>4</v>
      </c>
      <c r="L19" s="203">
        <v>30.64327485380117</v>
      </c>
      <c r="M19" s="207">
        <f t="shared" si="2"/>
        <v>23.646209386281587</v>
      </c>
      <c r="O19" s="21">
        <v>4.9211356466876977</v>
      </c>
      <c r="P19" s="207">
        <f t="shared" si="3"/>
        <v>4.8507462686567164</v>
      </c>
      <c r="Q19" s="23"/>
      <c r="AA19">
        <v>40</v>
      </c>
      <c r="AB19" s="11">
        <v>37.788018433179722</v>
      </c>
      <c r="AC19" s="11"/>
    </row>
    <row r="20" spans="1:29" x14ac:dyDescent="0.2">
      <c r="A20" s="23"/>
      <c r="B20" s="23"/>
      <c r="C20" s="23"/>
      <c r="D20" s="23"/>
      <c r="E20" s="23"/>
      <c r="F20" s="30"/>
      <c r="G20" s="30"/>
      <c r="H20" s="204"/>
      <c r="J20" s="209">
        <v>5</v>
      </c>
      <c r="L20" s="203">
        <v>44.678362573099413</v>
      </c>
      <c r="M20" s="207">
        <f t="shared" si="2"/>
        <v>34.476534296028873</v>
      </c>
      <c r="O20" s="21">
        <v>21.955835962145109</v>
      </c>
      <c r="P20" s="207">
        <f t="shared" si="3"/>
        <v>21.641791044776117</v>
      </c>
      <c r="Q20" s="23"/>
      <c r="AA20">
        <v>50</v>
      </c>
      <c r="AB20" s="11">
        <v>55.299539170506918</v>
      </c>
      <c r="AC20" s="11"/>
    </row>
    <row r="21" spans="1:29" x14ac:dyDescent="0.2">
      <c r="A21" s="23"/>
      <c r="B21" s="23"/>
      <c r="C21" s="23"/>
      <c r="D21" s="23"/>
      <c r="E21" s="23"/>
      <c r="F21" s="204"/>
      <c r="G21" s="204"/>
      <c r="H21" s="204"/>
      <c r="J21" s="209">
        <v>6</v>
      </c>
      <c r="L21" s="203">
        <v>58.71345029239766</v>
      </c>
      <c r="M21" s="207">
        <f t="shared" si="2"/>
        <v>45.306859205776171</v>
      </c>
      <c r="O21" s="21">
        <v>48.83280757097792</v>
      </c>
      <c r="P21" s="207">
        <f t="shared" si="3"/>
        <v>48.134328358208954</v>
      </c>
      <c r="Q21" s="23"/>
      <c r="AA21">
        <v>60</v>
      </c>
      <c r="AB21" s="11">
        <v>72.811059907834107</v>
      </c>
      <c r="AC21" s="11"/>
    </row>
    <row r="22" spans="1:29" x14ac:dyDescent="0.2">
      <c r="A22" s="23"/>
      <c r="B22" s="23"/>
      <c r="C22" s="23"/>
      <c r="D22" s="23"/>
      <c r="E22" s="23"/>
      <c r="F22" s="204"/>
      <c r="G22" s="204"/>
      <c r="H22" s="204"/>
      <c r="J22" s="209">
        <v>7</v>
      </c>
      <c r="L22" s="203">
        <v>72.748538011695899</v>
      </c>
      <c r="M22" s="207">
        <f t="shared" si="2"/>
        <v>56.137184115523453</v>
      </c>
      <c r="O22" s="21">
        <v>48.07570977917981</v>
      </c>
      <c r="P22" s="207">
        <f t="shared" si="3"/>
        <v>47.388059701492537</v>
      </c>
      <c r="Q22" s="23"/>
      <c r="AA22">
        <v>70</v>
      </c>
      <c r="AB22" s="11">
        <v>86.63594470046084</v>
      </c>
      <c r="AC22" s="11"/>
    </row>
    <row r="23" spans="1:29" x14ac:dyDescent="0.2">
      <c r="A23" s="23"/>
      <c r="B23" s="23"/>
      <c r="C23" s="23"/>
      <c r="D23" s="23"/>
      <c r="E23" s="23"/>
      <c r="F23" s="204"/>
      <c r="G23" s="204"/>
      <c r="H23" s="204"/>
      <c r="J23" s="209">
        <v>8</v>
      </c>
      <c r="L23" s="203">
        <v>87.251461988304101</v>
      </c>
      <c r="M23" s="207">
        <f t="shared" si="2"/>
        <v>67.328519855595673</v>
      </c>
      <c r="O23" s="21">
        <v>78.35962145110409</v>
      </c>
      <c r="P23" s="207">
        <f t="shared" si="3"/>
        <v>77.238805970149244</v>
      </c>
      <c r="Q23" s="23"/>
      <c r="AA23">
        <v>80</v>
      </c>
      <c r="AB23" s="11">
        <v>97.235023041474662</v>
      </c>
      <c r="AC23" s="11"/>
    </row>
    <row r="24" spans="1:29" x14ac:dyDescent="0.2">
      <c r="A24" s="23"/>
      <c r="B24" s="23"/>
      <c r="C24" s="23"/>
      <c r="D24" s="23"/>
      <c r="E24" s="23"/>
      <c r="F24" s="204"/>
      <c r="G24" s="204"/>
      <c r="H24" s="204"/>
      <c r="J24" s="209">
        <v>9</v>
      </c>
      <c r="L24" s="203">
        <v>102.45614035087719</v>
      </c>
      <c r="M24" s="207">
        <f t="shared" si="2"/>
        <v>79.061371841155221</v>
      </c>
      <c r="O24" s="21">
        <v>88.201892744479494</v>
      </c>
      <c r="P24" s="207">
        <f t="shared" si="3"/>
        <v>86.940298507462671</v>
      </c>
      <c r="Q24" s="23" t="s">
        <v>488</v>
      </c>
      <c r="AA24">
        <v>90</v>
      </c>
      <c r="AB24" s="11">
        <v>100</v>
      </c>
      <c r="AC24" s="11"/>
    </row>
    <row r="25" spans="1:29" x14ac:dyDescent="0.2">
      <c r="A25" s="23"/>
      <c r="B25" s="23"/>
      <c r="C25" s="23"/>
      <c r="D25" s="23"/>
      <c r="E25" s="23"/>
      <c r="F25" s="30"/>
      <c r="G25" s="30"/>
      <c r="H25" s="204"/>
      <c r="J25" s="209">
        <v>10</v>
      </c>
      <c r="L25" s="203">
        <v>115.32163742690058</v>
      </c>
      <c r="M25" s="207">
        <f t="shared" si="2"/>
        <v>88.989169675090238</v>
      </c>
      <c r="O25" s="21">
        <v>99.936908517350162</v>
      </c>
      <c r="P25" s="207">
        <f t="shared" si="3"/>
        <v>98.507462686567166</v>
      </c>
      <c r="Q25" s="23"/>
      <c r="AA25">
        <v>100</v>
      </c>
      <c r="AB25" s="11">
        <v>92.626728110599075</v>
      </c>
      <c r="AC25" s="11"/>
    </row>
    <row r="26" spans="1:29" x14ac:dyDescent="0.2">
      <c r="A26" s="23"/>
      <c r="B26" s="23"/>
      <c r="C26" s="23"/>
      <c r="D26" s="23"/>
      <c r="E26" s="23"/>
      <c r="F26" s="204"/>
      <c r="G26" s="204"/>
      <c r="H26" s="204"/>
      <c r="J26" s="209">
        <v>11</v>
      </c>
      <c r="L26" s="203">
        <v>129.59064327485382</v>
      </c>
      <c r="M26" s="207">
        <f t="shared" si="2"/>
        <v>100</v>
      </c>
      <c r="O26" s="21">
        <v>101.45110410094638</v>
      </c>
      <c r="P26" s="207">
        <f t="shared" si="3"/>
        <v>100</v>
      </c>
      <c r="Q26" s="23" t="s">
        <v>489</v>
      </c>
    </row>
    <row r="27" spans="1:29" x14ac:dyDescent="0.2">
      <c r="A27" s="23" t="s">
        <v>491</v>
      </c>
      <c r="B27" s="23"/>
      <c r="C27" s="23" t="s">
        <v>492</v>
      </c>
      <c r="D27" s="23"/>
      <c r="E27" s="23"/>
      <c r="F27" s="30">
        <v>32331</v>
      </c>
      <c r="G27" s="204"/>
      <c r="H27" s="204"/>
      <c r="I27" s="21">
        <v>0</v>
      </c>
      <c r="J27" s="204" t="s">
        <v>493</v>
      </c>
      <c r="K27" s="21" t="s">
        <v>353</v>
      </c>
      <c r="L27" s="21">
        <v>0</v>
      </c>
      <c r="M27" s="207">
        <f>L27/L$32*100</f>
        <v>0</v>
      </c>
      <c r="N27" s="21" t="s">
        <v>304</v>
      </c>
      <c r="O27" s="96">
        <v>0</v>
      </c>
      <c r="P27" s="207">
        <f>O27/O$32*100</f>
        <v>0</v>
      </c>
      <c r="Q27" s="23"/>
    </row>
    <row r="28" spans="1:29" x14ac:dyDescent="0.2">
      <c r="A28" s="23"/>
      <c r="B28" s="23"/>
      <c r="C28" s="23"/>
      <c r="D28" s="23"/>
      <c r="E28" s="23"/>
      <c r="F28" s="204"/>
      <c r="G28" s="204"/>
      <c r="H28" s="204"/>
      <c r="I28" s="21"/>
      <c r="J28" s="204" t="s">
        <v>494</v>
      </c>
      <c r="L28" s="21">
        <v>33</v>
      </c>
      <c r="M28" s="207">
        <f t="shared" ref="M28:M32" si="4">L28/L$32*100</f>
        <v>31.428571428571427</v>
      </c>
      <c r="N28" s="21"/>
      <c r="O28" s="96">
        <v>0.13</v>
      </c>
      <c r="P28" s="207">
        <f t="shared" ref="P28:P32" si="5">O28/O$32*100</f>
        <v>10.15625</v>
      </c>
      <c r="Q28" s="23"/>
    </row>
    <row r="29" spans="1:29" x14ac:dyDescent="0.2">
      <c r="A29" s="23"/>
      <c r="B29" s="23"/>
      <c r="C29" s="23"/>
      <c r="D29" s="23"/>
      <c r="E29" s="23"/>
      <c r="F29" s="204"/>
      <c r="G29" s="204"/>
      <c r="H29" s="204"/>
      <c r="I29" s="21"/>
      <c r="J29" s="204" t="s">
        <v>495</v>
      </c>
      <c r="L29" s="21">
        <v>45</v>
      </c>
      <c r="M29" s="207">
        <f t="shared" si="4"/>
        <v>42.857142857142854</v>
      </c>
      <c r="N29" s="21"/>
      <c r="O29" s="96">
        <v>0.57999999999999996</v>
      </c>
      <c r="P29" s="207">
        <f t="shared" si="5"/>
        <v>45.312499999999993</v>
      </c>
      <c r="Q29" s="23"/>
    </row>
    <row r="30" spans="1:29" x14ac:dyDescent="0.2">
      <c r="A30" s="23"/>
      <c r="B30" s="23"/>
      <c r="C30" s="23"/>
      <c r="D30" s="23"/>
      <c r="E30" s="23"/>
      <c r="F30" s="30"/>
      <c r="G30" s="30"/>
      <c r="H30" s="204"/>
      <c r="I30" s="21"/>
      <c r="J30" s="204" t="s">
        <v>496</v>
      </c>
      <c r="L30" s="21">
        <v>66</v>
      </c>
      <c r="M30" s="207">
        <f t="shared" si="4"/>
        <v>62.857142857142854</v>
      </c>
      <c r="N30" s="21"/>
      <c r="O30" s="96">
        <v>1.1399999999999999</v>
      </c>
      <c r="P30" s="207">
        <f t="shared" si="5"/>
        <v>89.062499999999986</v>
      </c>
      <c r="Q30" s="23"/>
    </row>
    <row r="31" spans="1:29" x14ac:dyDescent="0.2">
      <c r="A31" s="23"/>
      <c r="B31" s="23"/>
      <c r="C31" s="23"/>
      <c r="D31" s="23"/>
      <c r="E31" s="23"/>
      <c r="F31" s="204"/>
      <c r="G31" s="204"/>
      <c r="H31" s="204"/>
      <c r="I31" s="21"/>
      <c r="J31" s="204" t="s">
        <v>497</v>
      </c>
      <c r="L31" s="21">
        <v>85</v>
      </c>
      <c r="M31" s="207">
        <f t="shared" si="4"/>
        <v>80.952380952380949</v>
      </c>
      <c r="N31" s="21"/>
      <c r="O31" s="96">
        <v>1.18</v>
      </c>
      <c r="P31" s="207">
        <f t="shared" si="5"/>
        <v>92.187499999999986</v>
      </c>
      <c r="Q31" s="23"/>
    </row>
    <row r="32" spans="1:29" x14ac:dyDescent="0.2">
      <c r="A32" s="23"/>
      <c r="B32" s="23"/>
      <c r="C32" s="23"/>
      <c r="D32" s="23"/>
      <c r="E32" s="23"/>
      <c r="F32" s="204"/>
      <c r="G32" s="204"/>
      <c r="H32" s="204"/>
      <c r="I32" s="21"/>
      <c r="J32" s="204" t="s">
        <v>498</v>
      </c>
      <c r="L32" s="21">
        <v>105</v>
      </c>
      <c r="M32" s="207">
        <f t="shared" si="4"/>
        <v>100</v>
      </c>
      <c r="N32" s="21"/>
      <c r="O32" s="96">
        <v>1.28</v>
      </c>
      <c r="P32" s="207">
        <f t="shared" si="5"/>
        <v>100</v>
      </c>
      <c r="Q32" s="23"/>
    </row>
    <row r="33" spans="1:17" x14ac:dyDescent="0.2">
      <c r="A33" s="23"/>
      <c r="B33" s="23"/>
      <c r="C33" s="23"/>
      <c r="D33" s="23"/>
      <c r="E33" s="23"/>
      <c r="F33" s="204"/>
      <c r="G33" s="204"/>
      <c r="H33" s="204"/>
      <c r="I33" s="204">
        <f>150/2</f>
        <v>75</v>
      </c>
      <c r="J33" s="204"/>
      <c r="L33" s="21">
        <v>0</v>
      </c>
      <c r="M33" s="207">
        <f>L33/L$38*100</f>
        <v>0</v>
      </c>
      <c r="N33" s="21"/>
      <c r="O33" s="96">
        <v>0</v>
      </c>
      <c r="P33" s="207">
        <f>O33/O$38*100</f>
        <v>0</v>
      </c>
      <c r="Q33" s="23"/>
    </row>
    <row r="34" spans="1:17" x14ac:dyDescent="0.2">
      <c r="A34" s="23"/>
      <c r="B34" s="23"/>
      <c r="C34" s="23"/>
      <c r="D34" s="23"/>
      <c r="E34" s="23"/>
      <c r="F34" s="204"/>
      <c r="G34" s="204"/>
      <c r="H34" s="204"/>
      <c r="J34" s="204"/>
      <c r="K34" s="21"/>
      <c r="L34" s="21">
        <v>33</v>
      </c>
      <c r="M34" s="207">
        <f t="shared" ref="M34:M38" si="6">L34/L$38*100</f>
        <v>31.428571428571427</v>
      </c>
      <c r="N34" s="21"/>
      <c r="O34" s="96">
        <v>0.18</v>
      </c>
      <c r="P34" s="207">
        <f t="shared" ref="P34:P38" si="7">O34/O$38*100</f>
        <v>9.5238095238095237</v>
      </c>
      <c r="Q34" s="23"/>
    </row>
    <row r="35" spans="1:17" x14ac:dyDescent="0.2">
      <c r="A35" s="23"/>
      <c r="B35" s="23"/>
      <c r="C35" s="23"/>
      <c r="D35" s="23"/>
      <c r="E35" s="23"/>
      <c r="F35" s="30"/>
      <c r="G35" s="30"/>
      <c r="H35" s="204"/>
      <c r="I35" s="21"/>
      <c r="J35" s="204"/>
      <c r="K35" s="21"/>
      <c r="L35" s="21">
        <v>45</v>
      </c>
      <c r="M35" s="207">
        <f t="shared" si="6"/>
        <v>42.857142857142854</v>
      </c>
      <c r="N35" s="21"/>
      <c r="O35" s="96">
        <v>0.77</v>
      </c>
      <c r="P35" s="207">
        <f t="shared" si="7"/>
        <v>40.740740740740748</v>
      </c>
      <c r="Q35" s="23"/>
    </row>
    <row r="36" spans="1:17" x14ac:dyDescent="0.2">
      <c r="A36" s="23"/>
      <c r="B36" s="23"/>
      <c r="C36" s="23"/>
      <c r="D36" s="23"/>
      <c r="E36" s="23"/>
      <c r="F36" s="204"/>
      <c r="G36" s="204"/>
      <c r="H36" s="204"/>
      <c r="I36" s="21"/>
      <c r="J36" s="204"/>
      <c r="K36" s="21"/>
      <c r="L36" s="21">
        <v>66</v>
      </c>
      <c r="M36" s="207">
        <f t="shared" si="6"/>
        <v>62.857142857142854</v>
      </c>
      <c r="N36" s="21"/>
      <c r="O36" s="96">
        <v>1.48</v>
      </c>
      <c r="P36" s="207">
        <f t="shared" si="7"/>
        <v>78.306878306878318</v>
      </c>
      <c r="Q36" s="23"/>
    </row>
    <row r="37" spans="1:17" x14ac:dyDescent="0.2">
      <c r="A37" s="23"/>
      <c r="B37" s="23"/>
      <c r="C37" s="23"/>
      <c r="D37" s="23"/>
      <c r="E37" s="23"/>
      <c r="F37" s="204"/>
      <c r="G37" s="204"/>
      <c r="H37" s="204"/>
      <c r="I37" s="21"/>
      <c r="J37" s="204"/>
      <c r="K37" s="21"/>
      <c r="L37" s="21">
        <v>85</v>
      </c>
      <c r="M37" s="207">
        <f t="shared" si="6"/>
        <v>80.952380952380949</v>
      </c>
      <c r="N37" s="21"/>
      <c r="O37" s="96">
        <v>1.61</v>
      </c>
      <c r="P37" s="207">
        <f t="shared" si="7"/>
        <v>85.18518518518519</v>
      </c>
      <c r="Q37" s="23"/>
    </row>
    <row r="38" spans="1:17" x14ac:dyDescent="0.2">
      <c r="A38" s="23"/>
      <c r="B38" s="23"/>
      <c r="C38" s="23"/>
      <c r="D38" s="23"/>
      <c r="E38" s="23"/>
      <c r="F38" s="204"/>
      <c r="G38" s="204"/>
      <c r="H38" s="204"/>
      <c r="I38" s="21"/>
      <c r="J38" s="204"/>
      <c r="K38" s="21"/>
      <c r="L38" s="21">
        <v>105</v>
      </c>
      <c r="M38" s="207">
        <f t="shared" si="6"/>
        <v>100</v>
      </c>
      <c r="N38" s="21"/>
      <c r="O38" s="96">
        <v>1.89</v>
      </c>
      <c r="P38" s="207">
        <f t="shared" si="7"/>
        <v>100</v>
      </c>
      <c r="Q38" s="23"/>
    </row>
    <row r="39" spans="1:17" x14ac:dyDescent="0.2">
      <c r="A39" s="23" t="s">
        <v>499</v>
      </c>
      <c r="B39" s="23" t="s">
        <v>501</v>
      </c>
      <c r="C39" s="23" t="s">
        <v>500</v>
      </c>
      <c r="D39" s="23"/>
      <c r="E39" s="23"/>
      <c r="F39" s="30">
        <v>35241</v>
      </c>
      <c r="G39" s="204"/>
      <c r="H39" s="204"/>
      <c r="J39" s="21">
        <v>0</v>
      </c>
      <c r="K39" s="21"/>
      <c r="L39" s="21">
        <v>0</v>
      </c>
      <c r="M39" s="207">
        <f>L39/L$44*100</f>
        <v>0</v>
      </c>
      <c r="N39" s="21"/>
      <c r="O39" s="21">
        <v>0</v>
      </c>
      <c r="P39" s="207">
        <f>O39/O$43*100</f>
        <v>0</v>
      </c>
      <c r="Q39" s="23"/>
    </row>
    <row r="40" spans="1:17" x14ac:dyDescent="0.2">
      <c r="A40" s="23"/>
      <c r="B40" s="23"/>
      <c r="C40" s="23"/>
      <c r="D40" s="23"/>
      <c r="E40" s="23"/>
      <c r="F40" s="30"/>
      <c r="G40" s="30"/>
      <c r="H40" s="204"/>
      <c r="I40" s="204"/>
      <c r="J40" s="21">
        <v>1</v>
      </c>
      <c r="K40" s="21"/>
      <c r="L40" s="21">
        <v>26.12903225806452</v>
      </c>
      <c r="M40" s="207">
        <f t="shared" ref="M40:M44" si="8">L40/L$44*100</f>
        <v>22.500000000000004</v>
      </c>
      <c r="N40" s="21"/>
      <c r="O40" s="21">
        <v>15.319148936170212</v>
      </c>
      <c r="P40" s="207">
        <f t="shared" ref="P40:P44" si="9">O40/O$43*100</f>
        <v>8.8888888888888893</v>
      </c>
      <c r="Q40" s="23"/>
    </row>
    <row r="41" spans="1:17" x14ac:dyDescent="0.2">
      <c r="A41" s="23"/>
      <c r="B41" s="23"/>
      <c r="C41" s="23"/>
      <c r="D41" s="23"/>
      <c r="E41" s="23"/>
      <c r="F41" s="204"/>
      <c r="G41" s="204"/>
      <c r="H41" s="204"/>
      <c r="I41" s="204"/>
      <c r="J41" s="21">
        <v>2</v>
      </c>
      <c r="K41" s="21"/>
      <c r="L41" s="21">
        <v>39.677419354838712</v>
      </c>
      <c r="M41" s="207">
        <f t="shared" si="8"/>
        <v>34.166666666666664</v>
      </c>
      <c r="N41" s="21"/>
      <c r="O41" s="21">
        <v>80.425531914893611</v>
      </c>
      <c r="P41" s="207">
        <f t="shared" si="9"/>
        <v>46.666666666666664</v>
      </c>
      <c r="Q41" s="23"/>
    </row>
    <row r="42" spans="1:17" x14ac:dyDescent="0.2">
      <c r="A42" s="23"/>
      <c r="B42" s="23"/>
      <c r="C42" s="23"/>
      <c r="D42" s="23"/>
      <c r="E42" s="23"/>
      <c r="F42" s="204"/>
      <c r="G42" s="204"/>
      <c r="H42" s="204"/>
      <c r="I42" s="204"/>
      <c r="J42" s="21">
        <v>3</v>
      </c>
      <c r="K42" s="21"/>
      <c r="L42" s="21">
        <v>67.741935483870961</v>
      </c>
      <c r="M42" s="207">
        <f t="shared" si="8"/>
        <v>58.333333333333329</v>
      </c>
      <c r="N42" s="21"/>
      <c r="O42" s="21">
        <v>98.297872340425542</v>
      </c>
      <c r="P42" s="207">
        <f t="shared" si="9"/>
        <v>57.037037037037038</v>
      </c>
      <c r="Q42" s="23" t="s">
        <v>504</v>
      </c>
    </row>
    <row r="43" spans="1:17" x14ac:dyDescent="0.2">
      <c r="A43" s="23"/>
      <c r="B43" s="23"/>
      <c r="C43" s="23"/>
      <c r="D43" s="23"/>
      <c r="E43" s="23"/>
      <c r="F43" s="204"/>
      <c r="G43" s="204"/>
      <c r="H43" s="204"/>
      <c r="I43" s="209"/>
      <c r="J43" s="21">
        <v>4</v>
      </c>
      <c r="K43" s="21"/>
      <c r="L43" s="21">
        <v>90.000000000000014</v>
      </c>
      <c r="M43" s="207">
        <f t="shared" si="8"/>
        <v>77.500000000000014</v>
      </c>
      <c r="N43" s="21"/>
      <c r="O43" s="21">
        <v>172.34042553191489</v>
      </c>
      <c r="P43" s="207">
        <f t="shared" si="9"/>
        <v>100</v>
      </c>
      <c r="Q43" s="23"/>
    </row>
    <row r="44" spans="1:17" x14ac:dyDescent="0.2">
      <c r="A44" s="23"/>
      <c r="B44" s="23"/>
      <c r="C44" s="23"/>
      <c r="D44" s="23"/>
      <c r="E44" s="23"/>
      <c r="F44" s="204"/>
      <c r="G44" s="204"/>
      <c r="H44" s="204"/>
      <c r="I44" s="209"/>
      <c r="J44" s="21">
        <v>5</v>
      </c>
      <c r="K44" s="21"/>
      <c r="L44" s="21">
        <v>116.12903225806451</v>
      </c>
      <c r="M44" s="207">
        <f t="shared" si="8"/>
        <v>100</v>
      </c>
      <c r="N44" s="21"/>
      <c r="O44" s="21">
        <v>131.48936170212767</v>
      </c>
      <c r="P44" s="207">
        <f t="shared" si="9"/>
        <v>76.296296296296305</v>
      </c>
      <c r="Q44" s="23"/>
    </row>
    <row r="45" spans="1:17" x14ac:dyDescent="0.2">
      <c r="A45" s="23"/>
      <c r="B45" s="23"/>
      <c r="C45" s="23"/>
      <c r="D45" s="23"/>
      <c r="E45" s="23"/>
      <c r="F45" s="30"/>
      <c r="G45" s="30"/>
      <c r="H45" s="204"/>
      <c r="I45" s="209"/>
      <c r="J45" s="21">
        <v>0</v>
      </c>
      <c r="K45" s="21"/>
      <c r="L45" s="21">
        <v>0</v>
      </c>
      <c r="M45" s="207">
        <f>L45/L$50*100</f>
        <v>0</v>
      </c>
      <c r="N45" s="21"/>
      <c r="O45" s="21">
        <v>0</v>
      </c>
      <c r="P45" s="207">
        <f>O45/O$49*100</f>
        <v>0</v>
      </c>
      <c r="Q45" s="23"/>
    </row>
    <row r="46" spans="1:17" x14ac:dyDescent="0.2">
      <c r="A46" s="23"/>
      <c r="B46" s="23"/>
      <c r="C46" s="23"/>
      <c r="D46" s="23"/>
      <c r="E46" s="23"/>
      <c r="F46" s="204"/>
      <c r="G46" s="204"/>
      <c r="H46" s="204"/>
      <c r="I46" s="209"/>
      <c r="J46" s="21">
        <v>1</v>
      </c>
      <c r="K46" s="21"/>
      <c r="L46" s="21">
        <v>26.12903225806452</v>
      </c>
      <c r="M46" s="207">
        <f t="shared" ref="M46:M50" si="10">L46/L$50*100</f>
        <v>22.500000000000004</v>
      </c>
      <c r="N46" s="21"/>
      <c r="O46" s="21">
        <v>21.702127659574472</v>
      </c>
      <c r="P46" s="207">
        <f t="shared" ref="P46:P50" si="11">O46/O$49*100</f>
        <v>15.315315315315317</v>
      </c>
      <c r="Q46" s="23"/>
    </row>
    <row r="47" spans="1:17" x14ac:dyDescent="0.2">
      <c r="A47" s="23"/>
      <c r="B47" s="23" t="s">
        <v>502</v>
      </c>
      <c r="C47" s="23"/>
      <c r="D47" s="23"/>
      <c r="E47" s="23"/>
      <c r="F47" s="204"/>
      <c r="G47" s="204"/>
      <c r="H47" s="204"/>
      <c r="I47" s="209"/>
      <c r="J47" s="21">
        <v>2</v>
      </c>
      <c r="K47" s="21"/>
      <c r="L47" s="21">
        <v>39.677419354838712</v>
      </c>
      <c r="M47" s="207">
        <f t="shared" si="10"/>
        <v>34.166666666666664</v>
      </c>
      <c r="N47" s="21"/>
      <c r="O47" s="21">
        <v>57.446808510638299</v>
      </c>
      <c r="P47" s="207">
        <f t="shared" si="11"/>
        <v>40.54054054054054</v>
      </c>
      <c r="Q47" s="23"/>
    </row>
    <row r="48" spans="1:17" x14ac:dyDescent="0.2">
      <c r="A48" s="23"/>
      <c r="B48" s="23"/>
      <c r="C48" s="23"/>
      <c r="D48" s="23"/>
      <c r="E48" s="23"/>
      <c r="F48" s="204"/>
      <c r="G48" s="204"/>
      <c r="H48" s="204"/>
      <c r="I48" s="209"/>
      <c r="J48" s="21">
        <v>3</v>
      </c>
      <c r="K48" s="21"/>
      <c r="L48" s="21">
        <v>67.741935483870961</v>
      </c>
      <c r="M48" s="207">
        <f t="shared" si="10"/>
        <v>58.333333333333329</v>
      </c>
      <c r="N48" s="21"/>
      <c r="O48" s="21">
        <v>107.23404255319147</v>
      </c>
      <c r="P48" s="207">
        <f t="shared" si="11"/>
        <v>75.675675675675663</v>
      </c>
      <c r="Q48" s="23"/>
    </row>
    <row r="49" spans="1:32" x14ac:dyDescent="0.2">
      <c r="A49" s="23"/>
      <c r="B49" s="23"/>
      <c r="C49" s="23"/>
      <c r="D49" s="23"/>
      <c r="E49" s="23"/>
      <c r="F49" s="204"/>
      <c r="G49" s="204"/>
      <c r="H49" s="204"/>
      <c r="I49" s="209"/>
      <c r="J49" s="21">
        <v>4</v>
      </c>
      <c r="K49" s="21"/>
      <c r="L49" s="21">
        <v>90.000000000000014</v>
      </c>
      <c r="M49" s="207">
        <f t="shared" si="10"/>
        <v>77.500000000000014</v>
      </c>
      <c r="N49" s="21"/>
      <c r="O49" s="21">
        <v>141.70212765957447</v>
      </c>
      <c r="P49" s="207">
        <f t="shared" si="11"/>
        <v>100</v>
      </c>
      <c r="Q49" s="23"/>
    </row>
    <row r="50" spans="1:32" x14ac:dyDescent="0.2">
      <c r="A50" s="23"/>
      <c r="B50" s="23"/>
      <c r="C50" s="23"/>
      <c r="D50" s="23"/>
      <c r="E50" s="23"/>
      <c r="F50" s="30"/>
      <c r="G50" s="30"/>
      <c r="H50" s="204"/>
      <c r="I50" s="21"/>
      <c r="J50" s="21">
        <v>5</v>
      </c>
      <c r="K50" s="21"/>
      <c r="L50" s="21">
        <v>116.12903225806451</v>
      </c>
      <c r="M50" s="207">
        <f t="shared" si="10"/>
        <v>100</v>
      </c>
      <c r="N50" s="21"/>
      <c r="O50" s="21">
        <v>111.06382978723404</v>
      </c>
      <c r="P50" s="207">
        <f t="shared" si="11"/>
        <v>78.378378378378372</v>
      </c>
      <c r="Q50" s="23"/>
    </row>
    <row r="51" spans="1:32" x14ac:dyDescent="0.2">
      <c r="A51" s="23"/>
      <c r="B51" s="23"/>
      <c r="C51" s="23"/>
      <c r="D51" s="23"/>
      <c r="E51" s="23"/>
      <c r="F51" s="204"/>
      <c r="G51" s="204"/>
      <c r="H51" s="204"/>
      <c r="I51" s="21"/>
      <c r="J51" s="21"/>
      <c r="K51" s="21"/>
      <c r="L51" s="21"/>
      <c r="M51" s="21"/>
      <c r="N51" s="21"/>
      <c r="O51" s="21"/>
      <c r="P51" s="21"/>
      <c r="Q51" s="23"/>
    </row>
    <row r="52" spans="1:32" x14ac:dyDescent="0.2">
      <c r="A52" s="23"/>
      <c r="B52" s="23"/>
      <c r="C52" s="23"/>
      <c r="D52" s="23"/>
      <c r="E52" s="23"/>
      <c r="F52" s="204"/>
      <c r="G52" s="204"/>
      <c r="H52" s="204"/>
      <c r="I52" s="21"/>
      <c r="J52" s="21"/>
      <c r="K52" s="21"/>
      <c r="L52" s="21"/>
      <c r="M52" s="21"/>
      <c r="N52" s="21"/>
      <c r="O52" s="21"/>
      <c r="P52" s="21"/>
      <c r="Q52" s="23"/>
    </row>
    <row r="53" spans="1:32" x14ac:dyDescent="0.2">
      <c r="A53" s="23"/>
      <c r="B53" s="23"/>
      <c r="C53" s="23"/>
      <c r="D53" s="23"/>
      <c r="E53" s="23"/>
      <c r="F53" s="204"/>
      <c r="G53" s="204"/>
      <c r="H53" s="204"/>
      <c r="I53" s="21"/>
      <c r="K53" s="21"/>
      <c r="L53" s="21"/>
      <c r="M53" s="21"/>
      <c r="N53" s="21"/>
      <c r="O53" s="21"/>
      <c r="P53" s="21"/>
      <c r="Q53" s="23"/>
      <c r="AF53" s="11"/>
    </row>
    <row r="54" spans="1:32" x14ac:dyDescent="0.2">
      <c r="A54" s="23"/>
      <c r="B54" s="23"/>
      <c r="C54" s="23"/>
      <c r="D54" s="23"/>
      <c r="E54" s="23"/>
      <c r="F54" s="204"/>
      <c r="G54" s="204"/>
      <c r="H54" s="204"/>
      <c r="I54" s="21"/>
      <c r="K54" s="21"/>
      <c r="L54" s="21"/>
      <c r="M54" s="21"/>
      <c r="N54" s="21"/>
      <c r="O54" s="21"/>
      <c r="P54" s="21"/>
      <c r="Q54" s="23"/>
      <c r="AF54" s="11"/>
    </row>
    <row r="55" spans="1:32" x14ac:dyDescent="0.2">
      <c r="A55" s="23"/>
      <c r="B55" s="23"/>
      <c r="C55" s="23"/>
      <c r="D55" s="23"/>
      <c r="E55" s="23"/>
      <c r="F55" s="30"/>
      <c r="G55" s="30"/>
      <c r="H55" s="204"/>
      <c r="I55" s="21"/>
      <c r="J55" s="204"/>
      <c r="K55" s="21"/>
      <c r="L55" s="21"/>
      <c r="M55" s="21"/>
      <c r="N55" s="21"/>
      <c r="O55" s="21"/>
      <c r="P55" s="21"/>
      <c r="Q55" s="23"/>
      <c r="AF55" s="11"/>
    </row>
    <row r="56" spans="1:32" x14ac:dyDescent="0.2">
      <c r="A56" s="23"/>
      <c r="B56" s="23"/>
      <c r="C56" s="23"/>
      <c r="D56" s="23"/>
      <c r="E56" s="23"/>
      <c r="F56" s="204"/>
      <c r="G56" s="204"/>
      <c r="H56" s="204"/>
      <c r="I56" s="21"/>
      <c r="J56" s="204"/>
      <c r="K56" s="21"/>
      <c r="L56" s="21"/>
      <c r="M56" s="21"/>
      <c r="N56" s="21"/>
      <c r="O56" s="21"/>
      <c r="P56" s="21"/>
      <c r="Q56" s="23"/>
      <c r="AF56" s="11"/>
    </row>
    <row r="57" spans="1:32" x14ac:dyDescent="0.2">
      <c r="A57" s="23"/>
      <c r="B57" s="23"/>
      <c r="C57" s="23"/>
      <c r="D57" s="23"/>
      <c r="E57" s="23"/>
      <c r="F57" s="204"/>
      <c r="G57" s="204"/>
      <c r="H57" s="204"/>
      <c r="I57" s="21"/>
      <c r="J57" s="204"/>
      <c r="K57" s="21"/>
      <c r="L57" s="21"/>
      <c r="M57" s="21"/>
      <c r="N57" s="21"/>
      <c r="O57" s="21"/>
      <c r="P57" s="21"/>
      <c r="Q57" s="23"/>
      <c r="AF57" s="11"/>
    </row>
    <row r="58" spans="1:32" x14ac:dyDescent="0.2">
      <c r="A58" s="23"/>
      <c r="B58" s="23"/>
      <c r="C58" s="23"/>
      <c r="D58" s="23"/>
      <c r="E58" s="23"/>
      <c r="F58" s="204"/>
      <c r="G58" s="204"/>
      <c r="H58" s="204"/>
      <c r="I58" s="21"/>
      <c r="J58" s="204"/>
      <c r="K58" s="21"/>
      <c r="L58" s="21"/>
      <c r="M58" s="21"/>
      <c r="N58" s="21"/>
      <c r="O58" s="21"/>
      <c r="P58" s="21"/>
      <c r="Q58" s="23"/>
      <c r="AF58" s="11"/>
    </row>
    <row r="59" spans="1:32" x14ac:dyDescent="0.2">
      <c r="A59" s="23"/>
      <c r="B59" s="23"/>
      <c r="C59" s="23"/>
      <c r="D59" s="23"/>
      <c r="E59" s="23"/>
      <c r="F59" s="204"/>
      <c r="G59" s="204"/>
      <c r="H59" s="204"/>
      <c r="I59" s="21"/>
      <c r="J59" s="204"/>
      <c r="K59" s="21"/>
      <c r="L59" s="21"/>
      <c r="M59" s="21"/>
      <c r="N59" s="21"/>
      <c r="O59" s="21"/>
      <c r="P59" s="21"/>
      <c r="Q59" s="23"/>
    </row>
    <row r="60" spans="1:32" x14ac:dyDescent="0.2">
      <c r="A60" s="23"/>
      <c r="B60" s="23"/>
      <c r="C60" s="23"/>
      <c r="D60" s="23"/>
      <c r="E60" s="23"/>
      <c r="F60" s="30"/>
      <c r="G60" s="30"/>
      <c r="H60" s="204"/>
      <c r="I60" s="21"/>
      <c r="J60" s="204"/>
      <c r="K60" s="21"/>
      <c r="L60" s="21"/>
      <c r="M60" s="21"/>
      <c r="N60" s="21"/>
      <c r="O60" s="21"/>
      <c r="P60" s="21"/>
      <c r="Q60" s="23"/>
    </row>
    <row r="61" spans="1:32" x14ac:dyDescent="0.2">
      <c r="A61" s="23"/>
      <c r="B61" s="23"/>
      <c r="C61" s="23"/>
      <c r="D61" s="23"/>
      <c r="E61" s="23"/>
      <c r="F61" s="204"/>
      <c r="G61" s="204"/>
      <c r="H61" s="204"/>
      <c r="I61" s="21"/>
      <c r="J61" s="204"/>
      <c r="K61" s="21"/>
      <c r="L61" s="21"/>
      <c r="M61" s="21"/>
      <c r="N61" s="21"/>
      <c r="O61" s="21"/>
      <c r="P61" s="21"/>
      <c r="Q61" s="23"/>
    </row>
    <row r="62" spans="1:32" x14ac:dyDescent="0.2">
      <c r="A62" s="23"/>
      <c r="B62" s="23"/>
      <c r="C62" s="23"/>
      <c r="D62" s="23"/>
      <c r="E62" s="23"/>
      <c r="F62" s="204"/>
      <c r="G62" s="204"/>
      <c r="H62" s="204"/>
      <c r="I62" s="21"/>
      <c r="J62" s="204"/>
      <c r="K62" s="21"/>
      <c r="L62" s="21"/>
      <c r="M62" s="21"/>
      <c r="N62" s="21"/>
      <c r="O62" s="21"/>
      <c r="P62" s="21"/>
      <c r="Q62" s="23"/>
    </row>
    <row r="63" spans="1:32" x14ac:dyDescent="0.2">
      <c r="A63" s="23"/>
      <c r="B63" s="23"/>
      <c r="C63" s="23"/>
      <c r="D63" s="23"/>
      <c r="E63" s="23"/>
      <c r="F63" s="204"/>
      <c r="G63" s="204"/>
      <c r="H63" s="204"/>
      <c r="I63" s="21"/>
      <c r="J63" s="204"/>
      <c r="K63" s="21"/>
      <c r="L63" s="21"/>
      <c r="M63" s="21"/>
      <c r="N63" s="21"/>
      <c r="O63" s="21"/>
      <c r="P63" s="21"/>
      <c r="Q63" s="23"/>
    </row>
    <row r="64" spans="1:32" x14ac:dyDescent="0.2">
      <c r="A64" s="23"/>
      <c r="B64" s="23"/>
      <c r="C64" s="23"/>
      <c r="D64" s="23"/>
      <c r="E64" s="23"/>
      <c r="F64" s="204"/>
      <c r="G64" s="204"/>
      <c r="H64" s="204"/>
      <c r="I64" s="21"/>
      <c r="J64" s="204"/>
      <c r="K64" s="21"/>
      <c r="L64" s="21"/>
      <c r="M64" s="21"/>
      <c r="N64" s="21"/>
      <c r="O64" s="21"/>
      <c r="P64" s="21"/>
      <c r="Q64" s="23"/>
    </row>
    <row r="65" spans="1:17" x14ac:dyDescent="0.2">
      <c r="A65" s="23"/>
      <c r="B65" s="23"/>
      <c r="C65" s="23"/>
      <c r="D65" s="17"/>
      <c r="E65" s="17"/>
      <c r="F65" s="30"/>
      <c r="G65" s="30"/>
      <c r="H65" s="204"/>
      <c r="I65" s="21"/>
      <c r="J65" s="204"/>
      <c r="K65" s="21"/>
      <c r="L65" s="21"/>
      <c r="M65" s="21"/>
      <c r="N65" s="21"/>
      <c r="O65" s="204"/>
      <c r="P65" s="21"/>
      <c r="Q65" s="23"/>
    </row>
    <row r="66" spans="1:17" x14ac:dyDescent="0.2">
      <c r="A66" s="23"/>
      <c r="B66" s="23"/>
      <c r="C66" s="23"/>
      <c r="D66" s="17"/>
      <c r="E66" s="17"/>
      <c r="F66" s="204"/>
      <c r="G66" s="204"/>
      <c r="H66" s="204"/>
      <c r="I66" s="21"/>
      <c r="J66" s="204"/>
      <c r="K66" s="21"/>
      <c r="L66" s="21"/>
      <c r="M66" s="21"/>
      <c r="N66" s="21"/>
      <c r="O66" s="21"/>
      <c r="P66" s="21"/>
      <c r="Q66" s="23"/>
    </row>
    <row r="67" spans="1:17" x14ac:dyDescent="0.2">
      <c r="A67" s="23"/>
      <c r="B67" s="23"/>
      <c r="C67" s="23"/>
      <c r="D67" s="17"/>
      <c r="E67" s="17"/>
      <c r="F67" s="204"/>
      <c r="G67" s="204"/>
      <c r="H67" s="204"/>
      <c r="I67" s="21"/>
      <c r="J67" s="204"/>
      <c r="K67" s="21"/>
      <c r="L67" s="21"/>
      <c r="M67" s="21"/>
      <c r="N67" s="21"/>
      <c r="O67" s="21"/>
      <c r="P67" s="21"/>
      <c r="Q67" s="23"/>
    </row>
    <row r="68" spans="1:17" x14ac:dyDescent="0.2">
      <c r="A68" s="23"/>
      <c r="B68" s="23"/>
      <c r="C68" s="23"/>
      <c r="D68" s="17"/>
      <c r="E68" s="17"/>
      <c r="F68" s="204"/>
      <c r="G68" s="204"/>
      <c r="H68" s="204"/>
      <c r="I68" s="21"/>
      <c r="J68" s="204"/>
      <c r="K68" s="21"/>
      <c r="L68" s="21"/>
      <c r="M68" s="21"/>
      <c r="N68" s="21"/>
      <c r="O68" s="21"/>
      <c r="P68" s="21"/>
      <c r="Q68" s="23"/>
    </row>
    <row r="69" spans="1:17" x14ac:dyDescent="0.2">
      <c r="A69" s="23"/>
      <c r="B69" s="23"/>
      <c r="C69" s="23"/>
      <c r="D69" s="17"/>
      <c r="E69" s="17"/>
      <c r="F69" s="204"/>
      <c r="G69" s="204"/>
      <c r="H69" s="204"/>
      <c r="I69" s="21"/>
      <c r="J69" s="204"/>
      <c r="K69" s="21"/>
      <c r="L69" s="21"/>
      <c r="M69" s="21"/>
      <c r="N69" s="21"/>
      <c r="O69" s="21"/>
      <c r="P69" s="21"/>
      <c r="Q69" s="23"/>
    </row>
    <row r="70" spans="1:17" x14ac:dyDescent="0.2">
      <c r="A70" s="23"/>
      <c r="B70" s="23"/>
      <c r="C70" s="23"/>
      <c r="D70" s="17"/>
      <c r="E70" s="17"/>
      <c r="F70" s="204"/>
      <c r="G70" s="204"/>
      <c r="H70" s="204"/>
      <c r="I70" s="21"/>
      <c r="J70" s="204"/>
      <c r="K70" s="21"/>
      <c r="L70" s="21"/>
      <c r="M70" s="21"/>
      <c r="N70" s="21"/>
      <c r="O70" s="21"/>
      <c r="P70" s="21"/>
      <c r="Q70" s="23"/>
    </row>
    <row r="71" spans="1:17" x14ac:dyDescent="0.2">
      <c r="A71" s="23"/>
      <c r="B71" s="23"/>
      <c r="C71" s="23"/>
      <c r="D71" s="17"/>
      <c r="E71" s="17"/>
      <c r="F71" s="204"/>
      <c r="G71" s="204"/>
      <c r="H71" s="204"/>
      <c r="I71" s="21"/>
      <c r="J71" s="204"/>
      <c r="K71" s="21"/>
      <c r="L71" s="21"/>
      <c r="M71" s="21"/>
      <c r="N71" s="21"/>
      <c r="O71" s="21"/>
      <c r="P71" s="21"/>
      <c r="Q71" s="23"/>
    </row>
    <row r="72" spans="1:17" x14ac:dyDescent="0.2">
      <c r="A72" s="23"/>
      <c r="B72" s="23"/>
      <c r="C72" s="23"/>
      <c r="D72" s="23"/>
      <c r="E72" s="23"/>
      <c r="F72" s="30"/>
      <c r="G72" s="30"/>
      <c r="H72" s="204"/>
      <c r="I72" s="21"/>
      <c r="J72" s="204"/>
      <c r="K72" s="21"/>
      <c r="L72" s="21"/>
      <c r="M72" s="21"/>
      <c r="N72" s="21"/>
      <c r="O72" s="204"/>
      <c r="P72" s="21"/>
      <c r="Q72" s="23"/>
    </row>
    <row r="73" spans="1:17" x14ac:dyDescent="0.2">
      <c r="A73" s="23"/>
      <c r="B73" s="23"/>
      <c r="C73" s="23"/>
      <c r="D73" s="23"/>
      <c r="E73" s="23"/>
      <c r="F73" s="204"/>
      <c r="G73" s="204"/>
      <c r="H73" s="204"/>
      <c r="I73" s="21"/>
      <c r="J73" s="204"/>
      <c r="K73" s="21"/>
      <c r="L73" s="21"/>
      <c r="M73" s="21"/>
      <c r="N73" s="21"/>
      <c r="O73" s="21"/>
      <c r="P73" s="21"/>
      <c r="Q73" s="23"/>
    </row>
    <row r="74" spans="1:17" x14ac:dyDescent="0.2">
      <c r="A74" s="23"/>
      <c r="B74" s="23"/>
      <c r="C74" s="23"/>
      <c r="D74" s="23"/>
      <c r="E74" s="23"/>
      <c r="F74" s="204"/>
      <c r="G74" s="204"/>
      <c r="H74" s="204"/>
      <c r="I74" s="21"/>
      <c r="J74" s="204"/>
      <c r="K74" s="21"/>
      <c r="L74" s="21"/>
      <c r="M74" s="21"/>
      <c r="N74" s="21"/>
      <c r="O74" s="21"/>
      <c r="P74" s="21"/>
      <c r="Q74" s="23"/>
    </row>
    <row r="75" spans="1:17" x14ac:dyDescent="0.2">
      <c r="A75" s="23"/>
      <c r="B75" s="23"/>
      <c r="C75" s="23"/>
      <c r="D75" s="23"/>
      <c r="E75" s="23"/>
      <c r="F75" s="204"/>
      <c r="G75" s="204"/>
      <c r="H75" s="204"/>
      <c r="I75" s="21"/>
      <c r="J75" s="204"/>
      <c r="K75" s="21"/>
      <c r="L75" s="21"/>
      <c r="M75" s="21"/>
      <c r="N75" s="21"/>
      <c r="O75" s="21"/>
      <c r="P75" s="21"/>
      <c r="Q75" s="23"/>
    </row>
    <row r="76" spans="1:17" x14ac:dyDescent="0.2">
      <c r="A76" s="23"/>
      <c r="B76" s="23"/>
      <c r="C76" s="23"/>
      <c r="D76" s="23"/>
      <c r="E76" s="23"/>
      <c r="F76" s="204"/>
      <c r="G76" s="204"/>
      <c r="H76" s="204"/>
      <c r="I76" s="21"/>
      <c r="J76" s="204"/>
      <c r="K76" s="21"/>
      <c r="L76" s="21"/>
      <c r="M76" s="21"/>
      <c r="N76" s="21"/>
      <c r="O76" s="21"/>
      <c r="P76" s="21"/>
      <c r="Q76" s="23"/>
    </row>
    <row r="77" spans="1:17" x14ac:dyDescent="0.2">
      <c r="A77" s="23"/>
      <c r="B77" s="23"/>
      <c r="C77" s="23"/>
      <c r="D77" s="23"/>
      <c r="E77" s="23"/>
      <c r="F77" s="204"/>
      <c r="G77" s="204"/>
      <c r="H77" s="204"/>
      <c r="I77" s="21"/>
      <c r="J77" s="204"/>
      <c r="K77" s="21"/>
      <c r="L77" s="21"/>
      <c r="M77" s="21"/>
      <c r="N77" s="21"/>
      <c r="O77" s="21"/>
      <c r="P77" s="21"/>
      <c r="Q77" s="23"/>
    </row>
    <row r="78" spans="1:17" x14ac:dyDescent="0.2">
      <c r="A78" s="23"/>
      <c r="B78" s="23"/>
      <c r="C78" s="23"/>
      <c r="D78" s="23"/>
      <c r="E78" s="23"/>
      <c r="F78" s="204"/>
      <c r="G78" s="204"/>
      <c r="H78" s="204"/>
      <c r="I78" s="21"/>
      <c r="J78" s="204"/>
      <c r="K78" s="21"/>
      <c r="L78" s="21"/>
      <c r="M78" s="21"/>
      <c r="N78" s="21"/>
      <c r="O78" s="21"/>
      <c r="P78" s="21"/>
      <c r="Q78" s="23"/>
    </row>
    <row r="81" spans="1:25" x14ac:dyDescent="0.2">
      <c r="A81" t="s">
        <v>37</v>
      </c>
      <c r="C81" s="232" t="s">
        <v>505</v>
      </c>
      <c r="D81" s="233"/>
      <c r="E81" s="233"/>
      <c r="F81" s="233"/>
      <c r="G81" s="233"/>
      <c r="H81" s="233"/>
      <c r="I81" s="233"/>
      <c r="J81" s="233"/>
      <c r="K81" s="233"/>
      <c r="L81" s="233"/>
      <c r="M81" s="234"/>
      <c r="N81" s="199"/>
    </row>
    <row r="82" spans="1:25" x14ac:dyDescent="0.2">
      <c r="C82" s="235"/>
      <c r="D82" s="236"/>
      <c r="E82" s="236"/>
      <c r="F82" s="236"/>
      <c r="G82" s="236"/>
      <c r="H82" s="236"/>
      <c r="I82" s="236"/>
      <c r="J82" s="236"/>
      <c r="K82" s="236"/>
      <c r="L82" s="236"/>
      <c r="M82" s="237"/>
      <c r="N82" s="199"/>
    </row>
    <row r="83" spans="1:25" x14ac:dyDescent="0.2">
      <c r="C83" s="238"/>
      <c r="D83" s="239"/>
      <c r="E83" s="239"/>
      <c r="F83" s="239"/>
      <c r="G83" s="239"/>
      <c r="H83" s="239"/>
      <c r="I83" s="239"/>
      <c r="J83" s="239"/>
      <c r="K83" s="239"/>
      <c r="L83" s="239"/>
      <c r="M83" s="240"/>
      <c r="N83" s="199"/>
    </row>
    <row r="84" spans="1:25" x14ac:dyDescent="0.2">
      <c r="C84" s="14"/>
      <c r="D84" s="14"/>
      <c r="E84" s="14"/>
      <c r="F84" s="14"/>
      <c r="G84" s="14"/>
      <c r="H84" s="14"/>
      <c r="I84" s="14"/>
      <c r="J84" s="14"/>
      <c r="K84" s="14"/>
      <c r="L84" s="14"/>
    </row>
    <row r="85" spans="1:25" x14ac:dyDescent="0.2">
      <c r="C85" s="232" t="s">
        <v>506</v>
      </c>
      <c r="D85" s="233"/>
      <c r="E85" s="233"/>
      <c r="F85" s="233"/>
      <c r="G85" s="233"/>
      <c r="H85" s="233"/>
      <c r="I85" s="233"/>
      <c r="J85" s="233"/>
      <c r="K85" s="233"/>
      <c r="L85" s="233"/>
      <c r="M85" s="233"/>
      <c r="N85" s="233"/>
      <c r="O85" s="233"/>
      <c r="P85" s="234"/>
    </row>
    <row r="86" spans="1:25" x14ac:dyDescent="0.2">
      <c r="C86" s="235"/>
      <c r="D86" s="236"/>
      <c r="E86" s="236"/>
      <c r="F86" s="236"/>
      <c r="G86" s="236"/>
      <c r="H86" s="236"/>
      <c r="I86" s="236"/>
      <c r="J86" s="236"/>
      <c r="K86" s="236"/>
      <c r="L86" s="236"/>
      <c r="M86" s="236"/>
      <c r="N86" s="236"/>
      <c r="O86" s="236"/>
      <c r="P86" s="237"/>
      <c r="Q86" s="241"/>
      <c r="R86" s="241"/>
      <c r="S86" s="241"/>
      <c r="T86" s="241"/>
      <c r="U86" s="241"/>
      <c r="V86" s="241"/>
      <c r="X86" s="241"/>
      <c r="Y86" s="241"/>
    </row>
    <row r="87" spans="1:25" x14ac:dyDescent="0.2">
      <c r="C87" s="238"/>
      <c r="D87" s="239"/>
      <c r="E87" s="239"/>
      <c r="F87" s="239"/>
      <c r="G87" s="239"/>
      <c r="H87" s="239"/>
      <c r="I87" s="239"/>
      <c r="J87" s="239"/>
      <c r="K87" s="239"/>
      <c r="L87" s="239"/>
      <c r="M87" s="239"/>
      <c r="N87" s="239"/>
      <c r="O87" s="239"/>
      <c r="P87" s="240"/>
      <c r="Q87" s="200"/>
      <c r="R87" s="200"/>
      <c r="U87" s="200"/>
      <c r="V87" s="200"/>
    </row>
    <row r="88" spans="1:25" x14ac:dyDescent="0.2">
      <c r="C88" s="201"/>
      <c r="D88" s="201"/>
      <c r="E88" s="201"/>
      <c r="F88" s="201"/>
      <c r="G88" s="201"/>
      <c r="H88" s="201"/>
      <c r="I88" s="201"/>
      <c r="J88" s="201"/>
      <c r="K88" s="201"/>
      <c r="L88" s="201"/>
      <c r="M88" s="201"/>
      <c r="N88" s="201"/>
      <c r="O88" s="201"/>
      <c r="P88" s="201"/>
      <c r="Q88" s="200"/>
      <c r="R88" s="200"/>
      <c r="U88" s="200"/>
      <c r="V88" s="200"/>
    </row>
    <row r="89" spans="1:25" x14ac:dyDescent="0.2">
      <c r="C89" s="14"/>
      <c r="D89" s="14"/>
      <c r="E89" s="14"/>
      <c r="F89" s="14"/>
      <c r="G89" s="14"/>
      <c r="H89" s="14"/>
      <c r="I89" s="14"/>
      <c r="J89" s="14"/>
      <c r="K89" s="14"/>
      <c r="L89" s="14"/>
      <c r="M89" s="207"/>
      <c r="N89" s="207"/>
      <c r="O89" s="206"/>
      <c r="P89" s="206"/>
    </row>
    <row r="90" spans="1:25" x14ac:dyDescent="0.2">
      <c r="C90" s="232" t="s">
        <v>507</v>
      </c>
      <c r="D90" s="233"/>
      <c r="E90" s="233"/>
      <c r="F90" s="233"/>
      <c r="G90" s="233"/>
      <c r="H90" s="233"/>
      <c r="I90" s="233"/>
      <c r="J90" s="233"/>
      <c r="K90" s="233"/>
      <c r="L90" s="233"/>
      <c r="M90" s="233"/>
      <c r="N90" s="233"/>
      <c r="O90" s="233"/>
      <c r="P90" s="234"/>
    </row>
    <row r="91" spans="1:25" x14ac:dyDescent="0.2">
      <c r="C91" s="235"/>
      <c r="D91" s="236"/>
      <c r="E91" s="236"/>
      <c r="F91" s="236"/>
      <c r="G91" s="236"/>
      <c r="H91" s="236"/>
      <c r="I91" s="236"/>
      <c r="J91" s="236"/>
      <c r="K91" s="236"/>
      <c r="L91" s="236"/>
      <c r="M91" s="236"/>
      <c r="N91" s="236"/>
      <c r="O91" s="236"/>
      <c r="P91" s="237"/>
      <c r="Q91" s="241"/>
      <c r="R91" s="241"/>
      <c r="S91" s="241"/>
      <c r="T91" s="241"/>
      <c r="U91" s="241"/>
      <c r="V91" s="241"/>
      <c r="X91" s="241"/>
      <c r="Y91" s="241"/>
    </row>
    <row r="92" spans="1:25" x14ac:dyDescent="0.2">
      <c r="C92" s="238"/>
      <c r="D92" s="239"/>
      <c r="E92" s="239"/>
      <c r="F92" s="239"/>
      <c r="G92" s="239"/>
      <c r="H92" s="239"/>
      <c r="I92" s="239"/>
      <c r="J92" s="239"/>
      <c r="K92" s="239"/>
      <c r="L92" s="239"/>
      <c r="M92" s="239"/>
      <c r="N92" s="239"/>
      <c r="O92" s="239"/>
      <c r="P92" s="240"/>
      <c r="Q92" s="206"/>
      <c r="R92" s="206"/>
      <c r="U92" s="206"/>
      <c r="V92" s="206"/>
    </row>
    <row r="93" spans="1:25" x14ac:dyDescent="0.2">
      <c r="C93" s="208"/>
      <c r="D93" s="208"/>
      <c r="E93" s="208"/>
      <c r="F93" s="208"/>
      <c r="G93" s="208"/>
      <c r="H93" s="208"/>
      <c r="I93" s="208"/>
      <c r="J93" s="208"/>
      <c r="K93" s="208"/>
      <c r="L93" s="208"/>
      <c r="M93" s="208"/>
      <c r="N93" s="208"/>
      <c r="O93" s="208"/>
      <c r="P93" s="208"/>
      <c r="Q93" s="206"/>
      <c r="R93" s="206"/>
      <c r="U93" s="206"/>
      <c r="V93" s="206"/>
    </row>
    <row r="94" spans="1:25" x14ac:dyDescent="0.2">
      <c r="O94"/>
      <c r="P94" s="11"/>
      <c r="Q94" s="200"/>
      <c r="R94" s="11"/>
      <c r="T94" s="11"/>
      <c r="V94" s="11"/>
    </row>
    <row r="95" spans="1:25" x14ac:dyDescent="0.2">
      <c r="A95" s="1" t="s">
        <v>484</v>
      </c>
      <c r="B95" s="1"/>
      <c r="D95" t="s">
        <v>503</v>
      </c>
      <c r="O95"/>
      <c r="P95" s="11"/>
      <c r="Q95" s="200"/>
      <c r="R95" s="11"/>
      <c r="T95" s="11"/>
      <c r="V95" s="11"/>
    </row>
    <row r="96" spans="1:25" x14ac:dyDescent="0.2">
      <c r="A96" s="1"/>
      <c r="B96" s="1"/>
      <c r="P96" s="11"/>
      <c r="Q96" s="200"/>
      <c r="R96" s="11"/>
      <c r="T96" s="11"/>
      <c r="V96" s="11"/>
    </row>
    <row r="97" spans="16:22" x14ac:dyDescent="0.2">
      <c r="P97" s="11"/>
      <c r="Q97" s="200"/>
      <c r="R97" s="11"/>
      <c r="T97" s="11"/>
      <c r="V97" s="11"/>
    </row>
    <row r="98" spans="16:22" x14ac:dyDescent="0.2">
      <c r="P98" s="11"/>
      <c r="Q98" s="200"/>
      <c r="R98" s="11"/>
      <c r="T98" s="11"/>
      <c r="V98" s="11"/>
    </row>
    <row r="99" spans="16:22" x14ac:dyDescent="0.2">
      <c r="P99" s="11"/>
      <c r="Q99" s="200"/>
      <c r="R99" s="11"/>
      <c r="T99" s="11"/>
      <c r="V99" s="11"/>
    </row>
  </sheetData>
  <mergeCells count="13">
    <mergeCell ref="K3:M3"/>
    <mergeCell ref="S3:Y10"/>
    <mergeCell ref="C81:M83"/>
    <mergeCell ref="C85:P87"/>
    <mergeCell ref="Q86:R86"/>
    <mergeCell ref="S86:T86"/>
    <mergeCell ref="U86:V86"/>
    <mergeCell ref="X86:Y86"/>
    <mergeCell ref="C90:P92"/>
    <mergeCell ref="Q91:R91"/>
    <mergeCell ref="S91:T91"/>
    <mergeCell ref="U91:V91"/>
    <mergeCell ref="X91:Y91"/>
  </mergeCells>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61"/>
  <sheetViews>
    <sheetView topLeftCell="G11" zoomScale="70" zoomScaleNormal="70" zoomScalePageLayoutView="70" workbookViewId="0">
      <selection activeCell="AC60" sqref="AC60"/>
    </sheetView>
  </sheetViews>
  <sheetFormatPr baseColWidth="10" defaultColWidth="8.83203125" defaultRowHeight="15" x14ac:dyDescent="0.2"/>
  <cols>
    <col min="1" max="2" width="20.6640625" customWidth="1"/>
    <col min="3" max="3" width="16.33203125" customWidth="1"/>
    <col min="4" max="4" width="23.1640625" customWidth="1"/>
    <col min="5" max="5" width="13.5" customWidth="1"/>
    <col min="6" max="6" width="13.5" style="214" customWidth="1"/>
    <col min="7" max="7" width="11.6640625" style="214" customWidth="1"/>
    <col min="8" max="8" width="10.1640625" style="214" customWidth="1"/>
    <col min="9" max="10" width="13.5" style="217" customWidth="1"/>
    <col min="11" max="12" width="10.1640625" style="217" customWidth="1"/>
    <col min="13" max="13" width="10.1640625" style="214" customWidth="1"/>
    <col min="14" max="14" width="16.33203125" style="214" customWidth="1"/>
    <col min="15" max="15" width="41.33203125" customWidth="1"/>
  </cols>
  <sheetData>
    <row r="1" spans="1:24" x14ac:dyDescent="0.2">
      <c r="D1" t="s">
        <v>516</v>
      </c>
    </row>
    <row r="2" spans="1:24" x14ac:dyDescent="0.2">
      <c r="D2" s="23" t="s">
        <v>511</v>
      </c>
      <c r="E2" s="23">
        <v>0.185</v>
      </c>
    </row>
    <row r="3" spans="1:24" ht="17" x14ac:dyDescent="0.2">
      <c r="D3" s="23" t="s">
        <v>512</v>
      </c>
      <c r="E3" s="23">
        <v>4.5500000000000002E-3</v>
      </c>
    </row>
    <row r="4" spans="1:24" x14ac:dyDescent="0.2">
      <c r="D4" s="17" t="s">
        <v>513</v>
      </c>
      <c r="E4" s="23">
        <v>974</v>
      </c>
    </row>
    <row r="6" spans="1:24" x14ac:dyDescent="0.2">
      <c r="D6" s="23" t="s">
        <v>510</v>
      </c>
    </row>
    <row r="15" spans="1:24" ht="30" x14ac:dyDescent="0.2">
      <c r="A15" s="14" t="s">
        <v>0</v>
      </c>
      <c r="B15" s="57" t="s">
        <v>10</v>
      </c>
      <c r="C15" s="57" t="s">
        <v>13</v>
      </c>
      <c r="D15" s="57" t="s">
        <v>42</v>
      </c>
      <c r="E15" s="216" t="s">
        <v>1</v>
      </c>
      <c r="F15" s="14" t="s">
        <v>517</v>
      </c>
      <c r="G15" s="216" t="s">
        <v>518</v>
      </c>
      <c r="H15" s="216" t="s">
        <v>3</v>
      </c>
      <c r="I15" s="230" t="s">
        <v>20</v>
      </c>
      <c r="J15" s="230"/>
      <c r="K15" s="230"/>
      <c r="L15" s="211"/>
      <c r="M15" s="14" t="s">
        <v>21</v>
      </c>
      <c r="N15" s="14"/>
      <c r="O15" s="14"/>
      <c r="P15" s="14"/>
      <c r="Q15" s="231" t="s">
        <v>529</v>
      </c>
      <c r="R15" s="231"/>
      <c r="S15" s="231"/>
      <c r="T15" s="231"/>
      <c r="U15" s="231"/>
      <c r="V15" s="212"/>
      <c r="W15" s="212"/>
      <c r="X15" s="14"/>
    </row>
    <row r="16" spans="1:24" x14ac:dyDescent="0.2">
      <c r="A16" s="26"/>
      <c r="B16" s="2"/>
      <c r="C16" s="26"/>
      <c r="D16" s="2"/>
      <c r="E16" s="25"/>
      <c r="F16" s="26" t="s">
        <v>184</v>
      </c>
      <c r="G16" s="25" t="s">
        <v>519</v>
      </c>
      <c r="H16" s="25"/>
      <c r="I16" s="8" t="s">
        <v>55</v>
      </c>
      <c r="J16" s="27" t="s">
        <v>56</v>
      </c>
      <c r="K16" s="27" t="s">
        <v>5</v>
      </c>
      <c r="L16" s="27" t="s">
        <v>55</v>
      </c>
      <c r="M16" s="25" t="s">
        <v>120</v>
      </c>
      <c r="N16" s="25" t="s">
        <v>12</v>
      </c>
      <c r="O16" s="26" t="s">
        <v>22</v>
      </c>
      <c r="P16" s="14"/>
      <c r="Q16" s="231"/>
      <c r="R16" s="231"/>
      <c r="S16" s="231"/>
      <c r="T16" s="231"/>
      <c r="U16" s="231"/>
      <c r="V16" s="212"/>
      <c r="W16" s="212"/>
      <c r="X16" s="14"/>
    </row>
    <row r="17" spans="1:23" x14ac:dyDescent="0.2">
      <c r="A17" t="s">
        <v>508</v>
      </c>
      <c r="B17" t="s">
        <v>509</v>
      </c>
      <c r="C17" t="s">
        <v>161</v>
      </c>
      <c r="D17" t="s">
        <v>514</v>
      </c>
      <c r="E17" s="5"/>
      <c r="F17" s="221">
        <v>157</v>
      </c>
      <c r="G17" s="217">
        <v>1442</v>
      </c>
      <c r="H17" s="214">
        <v>0</v>
      </c>
      <c r="I17" s="217" t="s">
        <v>519</v>
      </c>
      <c r="J17" s="217">
        <f>G17*0</f>
        <v>0</v>
      </c>
      <c r="K17" s="217">
        <f>J17/J$23*100</f>
        <v>0</v>
      </c>
      <c r="L17" s="217" t="s">
        <v>184</v>
      </c>
      <c r="M17" s="217">
        <f t="shared" ref="M17:M23" si="0">F$17*(1-(($E$2+EXP(-$E$3*$E$4))/($E$2+EXP($E$3*(J17-$E$4))))^$E$2)/(1-(($E$2+EXP(-$E$3*$E$4))/($E$2+EXP($E$3*(G$17-$E$4))))^$E$2)</f>
        <v>0</v>
      </c>
      <c r="N17" s="217">
        <f>M17/M$23*100</f>
        <v>0</v>
      </c>
      <c r="Q17" s="231"/>
      <c r="R17" s="231"/>
      <c r="S17" s="231"/>
      <c r="T17" s="231"/>
      <c r="U17" s="231"/>
      <c r="V17" s="212"/>
      <c r="W17" s="212"/>
    </row>
    <row r="18" spans="1:23" x14ac:dyDescent="0.2">
      <c r="E18" s="5"/>
      <c r="F18" s="221"/>
      <c r="G18" s="217"/>
      <c r="H18" s="214">
        <v>1</v>
      </c>
      <c r="J18" s="217">
        <f>G17*0.2</f>
        <v>288.40000000000003</v>
      </c>
      <c r="K18" s="217">
        <f t="shared" ref="K18:K23" si="1">J18/J$23*100</f>
        <v>20</v>
      </c>
      <c r="M18" s="217">
        <f t="shared" si="0"/>
        <v>8.6506465000520709</v>
      </c>
      <c r="N18" s="217">
        <f t="shared" ref="N18:N23" si="2">M18/M$23*100</f>
        <v>5.5099659236000447</v>
      </c>
      <c r="Q18" s="231"/>
      <c r="R18" s="231"/>
      <c r="S18" s="231"/>
      <c r="T18" s="231"/>
      <c r="U18" s="231"/>
      <c r="V18" s="212"/>
      <c r="W18" s="212"/>
    </row>
    <row r="19" spans="1:23" x14ac:dyDescent="0.2">
      <c r="E19" s="5"/>
      <c r="F19" s="221"/>
      <c r="G19" s="217"/>
      <c r="H19" s="214">
        <v>2</v>
      </c>
      <c r="J19" s="217">
        <f>G17*0.4</f>
        <v>576.80000000000007</v>
      </c>
      <c r="K19" s="217">
        <f t="shared" si="1"/>
        <v>40</v>
      </c>
      <c r="M19" s="217">
        <f t="shared" si="0"/>
        <v>31.39552121910592</v>
      </c>
      <c r="N19" s="217">
        <f t="shared" si="2"/>
        <v>19.997147273315871</v>
      </c>
      <c r="Q19" s="231"/>
      <c r="R19" s="231"/>
      <c r="S19" s="231"/>
      <c r="T19" s="231"/>
      <c r="U19" s="231"/>
      <c r="V19" s="212"/>
      <c r="W19" s="212"/>
    </row>
    <row r="20" spans="1:23" x14ac:dyDescent="0.2">
      <c r="E20" s="5"/>
      <c r="F20" s="221"/>
      <c r="G20" s="217"/>
      <c r="H20" s="214">
        <v>3</v>
      </c>
      <c r="J20" s="217">
        <f>G17*0.5</f>
        <v>721</v>
      </c>
      <c r="K20" s="217">
        <f t="shared" si="1"/>
        <v>50</v>
      </c>
      <c r="M20" s="217">
        <f>F$17*(1-(($E$2+EXP(-$E$3*$E$4))/($E$2+EXP($E$3*(J20-$E$4))))^$E$2)/(1-(($E$2+EXP(-$E$3*$E$4))/($E$2+EXP($E$3*(G$17-$E$4))))^$E$2)</f>
        <v>49.58104814241964</v>
      </c>
      <c r="N20" s="217">
        <f>M20/M$23*100</f>
        <v>31.58028544103162</v>
      </c>
      <c r="Q20" s="231"/>
      <c r="R20" s="231"/>
      <c r="S20" s="231"/>
      <c r="T20" s="231"/>
      <c r="U20" s="231"/>
      <c r="V20" s="212"/>
      <c r="W20" s="212"/>
    </row>
    <row r="21" spans="1:23" x14ac:dyDescent="0.2">
      <c r="E21" s="5"/>
      <c r="F21" s="221"/>
      <c r="G21" s="217"/>
      <c r="H21" s="214">
        <v>4</v>
      </c>
      <c r="J21" s="217">
        <f>G17*0.6</f>
        <v>865.19999999999993</v>
      </c>
      <c r="K21" s="217">
        <f t="shared" si="1"/>
        <v>60</v>
      </c>
      <c r="M21" s="217">
        <f t="shared" si="0"/>
        <v>71.041253980059892</v>
      </c>
      <c r="N21" s="217">
        <f t="shared" si="2"/>
        <v>45.249206356726049</v>
      </c>
      <c r="Q21" s="231"/>
      <c r="R21" s="231"/>
      <c r="S21" s="231"/>
      <c r="T21" s="231"/>
      <c r="U21" s="231"/>
      <c r="V21" s="212"/>
      <c r="W21" s="212"/>
    </row>
    <row r="22" spans="1:23" x14ac:dyDescent="0.2">
      <c r="E22" s="5"/>
      <c r="F22" s="221"/>
      <c r="G22" s="217"/>
      <c r="H22" s="214">
        <v>5</v>
      </c>
      <c r="J22" s="217">
        <f>G17*0.8</f>
        <v>1153.6000000000001</v>
      </c>
      <c r="K22" s="217">
        <f t="shared" si="1"/>
        <v>80</v>
      </c>
      <c r="M22" s="217">
        <f t="shared" si="0"/>
        <v>116.39803797569915</v>
      </c>
      <c r="N22" s="217">
        <f>M22/M$23*100</f>
        <v>74.138877691528123</v>
      </c>
      <c r="Q22" s="212"/>
      <c r="R22" s="212"/>
      <c r="S22" s="212"/>
      <c r="T22" s="212"/>
      <c r="U22" s="212"/>
      <c r="V22" s="212"/>
      <c r="W22" s="212"/>
    </row>
    <row r="23" spans="1:23" x14ac:dyDescent="0.2">
      <c r="A23" s="23"/>
      <c r="B23" s="23"/>
      <c r="C23" s="23"/>
      <c r="H23" s="214">
        <v>6</v>
      </c>
      <c r="I23" s="21"/>
      <c r="J23" s="21">
        <f>G17*1</f>
        <v>1442</v>
      </c>
      <c r="K23" s="217">
        <f t="shared" si="1"/>
        <v>100</v>
      </c>
      <c r="L23" s="21"/>
      <c r="M23" s="217">
        <f t="shared" si="0"/>
        <v>157</v>
      </c>
      <c r="N23" s="217">
        <f t="shared" si="2"/>
        <v>100</v>
      </c>
      <c r="O23" s="23"/>
      <c r="Q23" s="212"/>
      <c r="R23" s="212"/>
      <c r="S23" s="212"/>
      <c r="T23" s="212"/>
      <c r="U23" s="212"/>
      <c r="V23" s="212"/>
      <c r="W23" s="212"/>
    </row>
    <row r="24" spans="1:23" x14ac:dyDescent="0.2">
      <c r="A24" s="23"/>
      <c r="B24" s="23"/>
      <c r="C24" s="23"/>
      <c r="D24" s="23" t="s">
        <v>515</v>
      </c>
      <c r="E24" s="218"/>
      <c r="F24" s="192">
        <v>200</v>
      </c>
      <c r="G24" s="21">
        <v>1442</v>
      </c>
      <c r="H24" s="214">
        <v>0</v>
      </c>
      <c r="I24" s="21"/>
      <c r="J24" s="217">
        <f>G24*0</f>
        <v>0</v>
      </c>
      <c r="K24" s="217">
        <f>J24/J$30*100</f>
        <v>0</v>
      </c>
      <c r="L24" s="21"/>
      <c r="M24" s="217">
        <f>F$24*(1-(($E$2+EXP(-$E$3*$E$4))/($E$2+EXP($E$3*(J24-$E$4))))^$E$2)/(1-(($E$2+EXP(-$E$3*$E$4))/($E$2+EXP($E$3*(G$24-$E$4))))^$E$2)</f>
        <v>0</v>
      </c>
      <c r="N24" s="217">
        <f>M24/M$30*100</f>
        <v>0</v>
      </c>
      <c r="O24" s="23"/>
      <c r="Q24" s="212"/>
      <c r="R24" s="212"/>
      <c r="S24" s="212"/>
      <c r="T24" s="212"/>
      <c r="U24" s="212"/>
      <c r="V24" s="212"/>
      <c r="W24" s="212"/>
    </row>
    <row r="25" spans="1:23" x14ac:dyDescent="0.2">
      <c r="A25" s="23"/>
      <c r="B25" s="23"/>
      <c r="C25" s="23"/>
      <c r="D25" s="23"/>
      <c r="E25" s="218"/>
      <c r="F25" s="192"/>
      <c r="G25" s="21"/>
      <c r="H25" s="214">
        <v>1</v>
      </c>
      <c r="I25" s="21"/>
      <c r="J25" s="217">
        <f>G24*0.2</f>
        <v>288.40000000000003</v>
      </c>
      <c r="K25" s="217">
        <f t="shared" ref="K25:K30" si="3">J25/J$30*100</f>
        <v>20</v>
      </c>
      <c r="L25" s="21"/>
      <c r="M25" s="217">
        <f t="shared" ref="M25:M30" si="4">F$24*(1-(($E$2+EXP(-$E$3*$E$4))/($E$2+EXP($E$3*(J25-$E$4))))^$E$2)/(1-(($E$2+EXP(-$E$3*$E$4))/($E$2+EXP($E$3*(G$24-$E$4))))^$E$2)</f>
        <v>11.019931847200089</v>
      </c>
      <c r="N25" s="217">
        <f t="shared" ref="N25:N30" si="5">M25/M$30*100</f>
        <v>5.5099659236000447</v>
      </c>
      <c r="O25" s="23"/>
      <c r="Q25" s="212"/>
      <c r="R25" s="212"/>
      <c r="S25" s="212"/>
      <c r="T25" s="212"/>
      <c r="U25" s="212"/>
      <c r="V25" s="212"/>
      <c r="W25" s="212"/>
    </row>
    <row r="26" spans="1:23" x14ac:dyDescent="0.2">
      <c r="A26" s="23"/>
      <c r="B26" s="23"/>
      <c r="C26" s="23"/>
      <c r="D26" s="23"/>
      <c r="E26" s="218"/>
      <c r="F26" s="192"/>
      <c r="G26" s="21"/>
      <c r="H26" s="214">
        <v>2</v>
      </c>
      <c r="I26" s="21"/>
      <c r="J26" s="217">
        <f>G24*0.4</f>
        <v>576.80000000000007</v>
      </c>
      <c r="K26" s="217">
        <f t="shared" si="3"/>
        <v>40</v>
      </c>
      <c r="L26" s="21"/>
      <c r="M26" s="217">
        <f t="shared" si="4"/>
        <v>39.994294546631743</v>
      </c>
      <c r="N26" s="217">
        <f t="shared" si="5"/>
        <v>19.997147273315871</v>
      </c>
      <c r="O26" s="23"/>
      <c r="Q26" s="212"/>
      <c r="R26" s="212"/>
      <c r="S26" s="212"/>
      <c r="T26" s="212"/>
      <c r="U26" s="212"/>
      <c r="V26" s="212"/>
      <c r="W26" s="212"/>
    </row>
    <row r="27" spans="1:23" x14ac:dyDescent="0.2">
      <c r="A27" s="23"/>
      <c r="B27" s="23"/>
      <c r="C27" s="23"/>
      <c r="D27" s="23"/>
      <c r="E27" s="218"/>
      <c r="F27" s="192"/>
      <c r="G27" s="21"/>
      <c r="H27" s="214">
        <v>3</v>
      </c>
      <c r="I27" s="21"/>
      <c r="J27" s="217">
        <f>G24*0.5</f>
        <v>721</v>
      </c>
      <c r="K27" s="217">
        <f t="shared" si="3"/>
        <v>50</v>
      </c>
      <c r="L27" s="21"/>
      <c r="M27" s="217">
        <f t="shared" si="4"/>
        <v>63.160570882063247</v>
      </c>
      <c r="N27" s="217">
        <f t="shared" si="5"/>
        <v>31.580285441031624</v>
      </c>
      <c r="O27" s="23"/>
      <c r="Q27" s="212"/>
      <c r="R27" s="212"/>
      <c r="S27" s="212"/>
      <c r="T27" s="212"/>
      <c r="U27" s="212"/>
      <c r="V27" s="212"/>
      <c r="W27" s="212"/>
    </row>
    <row r="28" spans="1:23" x14ac:dyDescent="0.2">
      <c r="A28" s="23"/>
      <c r="B28" s="23"/>
      <c r="C28" s="23"/>
      <c r="D28" s="23"/>
      <c r="E28" s="218"/>
      <c r="F28" s="192"/>
      <c r="G28" s="21"/>
      <c r="H28" s="214">
        <v>4</v>
      </c>
      <c r="I28" s="21"/>
      <c r="J28" s="217">
        <f>G24*0.6</f>
        <v>865.19999999999993</v>
      </c>
      <c r="K28" s="217">
        <f t="shared" si="3"/>
        <v>60</v>
      </c>
      <c r="L28" s="21"/>
      <c r="M28" s="217">
        <f t="shared" si="4"/>
        <v>90.498412713452112</v>
      </c>
      <c r="N28" s="217">
        <f t="shared" si="5"/>
        <v>45.249206356726056</v>
      </c>
      <c r="O28" s="23"/>
      <c r="Q28" s="212"/>
      <c r="R28" s="212"/>
      <c r="S28" s="212"/>
      <c r="T28" s="212"/>
      <c r="U28" s="212"/>
      <c r="V28" s="212"/>
      <c r="W28" s="212"/>
    </row>
    <row r="29" spans="1:23" x14ac:dyDescent="0.2">
      <c r="A29" s="23"/>
      <c r="B29" s="23"/>
      <c r="C29" s="23"/>
      <c r="D29" s="23"/>
      <c r="E29" s="218"/>
      <c r="F29" s="192"/>
      <c r="G29" s="21"/>
      <c r="H29" s="214">
        <v>5</v>
      </c>
      <c r="I29" s="21"/>
      <c r="J29" s="217">
        <f>G24*0.8</f>
        <v>1153.6000000000001</v>
      </c>
      <c r="K29" s="217">
        <f t="shared" si="3"/>
        <v>80</v>
      </c>
      <c r="L29" s="21"/>
      <c r="M29" s="217">
        <f t="shared" si="4"/>
        <v>148.27775538305625</v>
      </c>
      <c r="N29" s="217">
        <f t="shared" si="5"/>
        <v>74.138877691528123</v>
      </c>
      <c r="O29" s="23"/>
      <c r="Q29" s="212"/>
      <c r="R29" s="212"/>
      <c r="S29" s="212"/>
      <c r="T29" s="212"/>
      <c r="U29" s="212"/>
      <c r="V29" s="212"/>
      <c r="W29" s="212"/>
    </row>
    <row r="30" spans="1:23" x14ac:dyDescent="0.2">
      <c r="A30" s="23"/>
      <c r="B30" s="23"/>
      <c r="C30" s="23"/>
      <c r="D30" s="23"/>
      <c r="E30" s="218"/>
      <c r="F30" s="192"/>
      <c r="G30" s="21"/>
      <c r="H30" s="218">
        <v>6</v>
      </c>
      <c r="I30" s="21"/>
      <c r="J30" s="21">
        <f>G24*1</f>
        <v>1442</v>
      </c>
      <c r="K30" s="217">
        <f t="shared" si="3"/>
        <v>100</v>
      </c>
      <c r="L30" s="21"/>
      <c r="M30" s="217">
        <f t="shared" si="4"/>
        <v>200</v>
      </c>
      <c r="N30" s="217">
        <f t="shared" si="5"/>
        <v>100</v>
      </c>
      <c r="O30" s="23"/>
      <c r="Q30" s="212"/>
      <c r="R30" s="212"/>
      <c r="S30" s="212"/>
      <c r="T30" s="212"/>
      <c r="U30" s="212"/>
      <c r="V30" s="212"/>
      <c r="W30" s="212"/>
    </row>
    <row r="31" spans="1:23" x14ac:dyDescent="0.2">
      <c r="A31" s="23"/>
      <c r="B31" s="23"/>
      <c r="C31" s="23"/>
      <c r="D31" s="17" t="s">
        <v>520</v>
      </c>
      <c r="E31" s="218" t="s">
        <v>521</v>
      </c>
      <c r="F31" s="192">
        <v>312</v>
      </c>
      <c r="G31" s="21">
        <v>2376</v>
      </c>
      <c r="H31" s="214">
        <v>0</v>
      </c>
      <c r="I31" s="21"/>
      <c r="J31" s="217">
        <f>G31*0</f>
        <v>0</v>
      </c>
      <c r="K31" s="217">
        <f>J31/J$37*100</f>
        <v>0</v>
      </c>
      <c r="L31" s="21"/>
      <c r="M31" s="217">
        <f>F$31*(1-(($E$2+EXP(-$E$3*$E$4))/($E$2+EXP($E$3*(J31-$E$4))))^$E$2)/(1-(($E$2+EXP(-$E$3*$E$4))/($E$2+EXP($E$3*(G$31-$E$4))))^$E$2)</f>
        <v>0</v>
      </c>
      <c r="N31" s="217">
        <f>M31/M$37*100</f>
        <v>0</v>
      </c>
      <c r="O31" s="23"/>
      <c r="Q31" s="212"/>
      <c r="R31" s="212"/>
      <c r="S31" s="212"/>
      <c r="T31" s="212"/>
      <c r="U31" s="212"/>
      <c r="V31" s="212"/>
      <c r="W31" s="212"/>
    </row>
    <row r="32" spans="1:23" x14ac:dyDescent="0.2">
      <c r="B32" s="23"/>
      <c r="C32" s="23"/>
      <c r="H32" s="214">
        <v>1</v>
      </c>
      <c r="I32" s="21"/>
      <c r="J32" s="217">
        <f>G31*0.2</f>
        <v>475.20000000000005</v>
      </c>
      <c r="K32" s="217">
        <f t="shared" ref="K32:K37" si="6">J32/J$37*100</f>
        <v>20</v>
      </c>
      <c r="L32" s="21"/>
      <c r="M32" s="217">
        <f t="shared" ref="M32:M37" si="7">F$31*(1-(($E$2+EXP(-$E$3*$E$4))/($E$2+EXP($E$3*(J32-$E$4))))^$E$2)/(1-(($E$2+EXP(-$E$3*$E$4))/($E$2+EXP($E$3*(G$31-$E$4))))^$E$2)</f>
        <v>27.523503088758357</v>
      </c>
      <c r="N32" s="217">
        <f t="shared" ref="N32:N37" si="8">M32/M$37*100</f>
        <v>8.8216356053712683</v>
      </c>
      <c r="O32" s="23"/>
      <c r="Q32" s="212"/>
      <c r="R32" s="212"/>
      <c r="S32" s="212"/>
      <c r="T32" s="212"/>
      <c r="U32" s="212"/>
      <c r="V32" s="212"/>
      <c r="W32" s="212"/>
    </row>
    <row r="33" spans="1:25" x14ac:dyDescent="0.2">
      <c r="A33" s="23"/>
      <c r="B33" s="23"/>
      <c r="C33" s="23"/>
      <c r="D33" s="17"/>
      <c r="E33" s="218"/>
      <c r="F33" s="192"/>
      <c r="G33" s="21"/>
      <c r="H33" s="214">
        <v>2</v>
      </c>
      <c r="I33" s="21"/>
      <c r="J33" s="217">
        <f>G31*0.4</f>
        <v>950.40000000000009</v>
      </c>
      <c r="K33" s="217">
        <f t="shared" si="6"/>
        <v>40</v>
      </c>
      <c r="L33" s="21"/>
      <c r="M33" s="217">
        <f t="shared" si="7"/>
        <v>109.25137640792303</v>
      </c>
      <c r="N33" s="217">
        <f t="shared" si="8"/>
        <v>35.016466797411226</v>
      </c>
      <c r="O33" s="23"/>
      <c r="Q33" s="212"/>
      <c r="R33" s="212"/>
      <c r="S33" s="212"/>
      <c r="T33" s="212"/>
      <c r="U33" s="212"/>
      <c r="V33" s="212"/>
      <c r="W33" s="212"/>
    </row>
    <row r="34" spans="1:25" x14ac:dyDescent="0.2">
      <c r="A34" s="23"/>
      <c r="B34" s="23"/>
      <c r="C34" s="23"/>
      <c r="D34" s="17"/>
      <c r="E34" s="218"/>
      <c r="F34" s="192"/>
      <c r="G34" s="21"/>
      <c r="H34" s="214">
        <v>3</v>
      </c>
      <c r="I34" s="21"/>
      <c r="J34" s="217">
        <f>G31*0.5</f>
        <v>1188</v>
      </c>
      <c r="K34" s="217">
        <f t="shared" si="6"/>
        <v>50</v>
      </c>
      <c r="L34" s="21"/>
      <c r="M34" s="217">
        <f t="shared" si="7"/>
        <v>157.2511447353931</v>
      </c>
      <c r="N34" s="217">
        <f t="shared" si="8"/>
        <v>50.401007928010614</v>
      </c>
      <c r="O34" s="23"/>
      <c r="Q34" s="212"/>
      <c r="R34" s="212"/>
      <c r="S34" s="212"/>
      <c r="T34" s="212"/>
      <c r="U34" s="212"/>
      <c r="V34" s="212"/>
      <c r="W34" s="212"/>
    </row>
    <row r="35" spans="1:25" x14ac:dyDescent="0.2">
      <c r="A35" s="23"/>
      <c r="B35" s="23"/>
      <c r="C35" s="23"/>
      <c r="D35" s="17"/>
      <c r="E35" s="218"/>
      <c r="F35" s="192"/>
      <c r="G35" s="21"/>
      <c r="H35" s="214">
        <v>4</v>
      </c>
      <c r="I35" s="21"/>
      <c r="J35" s="217">
        <f>G31*0.6</f>
        <v>1425.6</v>
      </c>
      <c r="K35" s="217">
        <f t="shared" si="6"/>
        <v>60</v>
      </c>
      <c r="L35" s="21"/>
      <c r="M35" s="217">
        <f t="shared" si="7"/>
        <v>200.29861277370696</v>
      </c>
      <c r="N35" s="217">
        <f t="shared" si="8"/>
        <v>64.198273324906069</v>
      </c>
      <c r="O35" s="23"/>
      <c r="Q35" s="212"/>
      <c r="R35" s="212"/>
      <c r="S35" s="212"/>
      <c r="T35" s="212"/>
      <c r="U35" s="212"/>
      <c r="V35" s="212"/>
      <c r="W35" s="212"/>
    </row>
    <row r="36" spans="1:25" x14ac:dyDescent="0.2">
      <c r="A36" s="23"/>
      <c r="B36" s="23"/>
      <c r="C36" s="23"/>
      <c r="D36" s="17"/>
      <c r="E36" s="218"/>
      <c r="F36" s="192"/>
      <c r="G36" s="21"/>
      <c r="H36" s="214">
        <v>5</v>
      </c>
      <c r="I36" s="21"/>
      <c r="J36" s="217">
        <f>G31*0.8</f>
        <v>1900.8000000000002</v>
      </c>
      <c r="K36" s="217">
        <f t="shared" si="6"/>
        <v>80</v>
      </c>
      <c r="L36" s="21"/>
      <c r="M36" s="217">
        <f t="shared" si="7"/>
        <v>266.88389521184519</v>
      </c>
      <c r="N36" s="217">
        <f t="shared" si="8"/>
        <v>85.539710003796529</v>
      </c>
      <c r="O36" s="23"/>
      <c r="Q36" s="212"/>
      <c r="R36" s="212"/>
      <c r="S36" s="212"/>
      <c r="T36" s="212"/>
      <c r="U36" s="212"/>
      <c r="V36" s="212"/>
      <c r="W36" s="212"/>
    </row>
    <row r="37" spans="1:25" x14ac:dyDescent="0.2">
      <c r="A37" s="23"/>
      <c r="B37" s="23"/>
      <c r="C37" s="23"/>
      <c r="D37" s="17"/>
      <c r="E37" s="218"/>
      <c r="F37" s="192"/>
      <c r="G37" s="21"/>
      <c r="H37" s="214">
        <v>6</v>
      </c>
      <c r="I37" s="21"/>
      <c r="J37" s="21">
        <f>G31*1</f>
        <v>2376</v>
      </c>
      <c r="K37" s="217">
        <f t="shared" si="6"/>
        <v>100</v>
      </c>
      <c r="L37" s="21"/>
      <c r="M37" s="217">
        <f t="shared" si="7"/>
        <v>312</v>
      </c>
      <c r="N37" s="217">
        <f t="shared" si="8"/>
        <v>100</v>
      </c>
      <c r="O37" s="23"/>
      <c r="Q37" s="212"/>
      <c r="R37" s="212"/>
      <c r="S37" s="212"/>
      <c r="T37" s="212"/>
      <c r="U37" s="212"/>
      <c r="V37" s="212"/>
      <c r="W37" s="212"/>
    </row>
    <row r="38" spans="1:25" x14ac:dyDescent="0.2">
      <c r="A38" s="23"/>
      <c r="B38" s="23"/>
      <c r="C38" s="23"/>
      <c r="D38" s="23"/>
      <c r="E38" s="30">
        <v>36469</v>
      </c>
      <c r="F38" s="222">
        <v>312</v>
      </c>
      <c r="G38" s="21">
        <v>2101</v>
      </c>
      <c r="H38" s="214">
        <v>0</v>
      </c>
      <c r="I38" s="21"/>
      <c r="J38" s="217">
        <f>G38*0</f>
        <v>0</v>
      </c>
      <c r="K38" s="217">
        <f>J38/J$44*100</f>
        <v>0</v>
      </c>
      <c r="L38" s="21"/>
      <c r="M38" s="217">
        <f>F$38*(1-(($E$2+EXP(-$E$3*$E$4))/($E$2+EXP($E$3*(J38-$E$4))))^$E$2)/(1-(($E$2+EXP(-$E$3*$E$4))/($E$2+EXP($E$3*(G$38-$E$4))))^$E$2)</f>
        <v>0</v>
      </c>
      <c r="N38" s="217">
        <f>M38/M$44*100</f>
        <v>0</v>
      </c>
      <c r="O38" s="23"/>
      <c r="Q38" s="212"/>
      <c r="R38" s="212"/>
      <c r="S38" s="212"/>
      <c r="T38" s="212"/>
      <c r="U38" s="212"/>
      <c r="V38" s="212"/>
      <c r="W38" s="212"/>
    </row>
    <row r="39" spans="1:25" x14ac:dyDescent="0.2">
      <c r="A39" s="23"/>
      <c r="B39" s="23"/>
      <c r="C39" s="23"/>
      <c r="D39" s="23"/>
      <c r="E39" s="30"/>
      <c r="F39" s="222"/>
      <c r="G39" s="21"/>
      <c r="H39" s="214">
        <v>1</v>
      </c>
      <c r="I39" s="21"/>
      <c r="J39" s="217">
        <f>G38*0.2</f>
        <v>420.20000000000005</v>
      </c>
      <c r="K39" s="217">
        <f t="shared" ref="K39:K44" si="9">J39/J$44*100</f>
        <v>20</v>
      </c>
      <c r="L39" s="21"/>
      <c r="M39" s="217">
        <f t="shared" ref="M39:M44" si="10">F$38*(1-(($E$2+EXP(-$E$3*$E$4))/($E$2+EXP($E$3*(J39-$E$4))))^$E$2)/(1-(($E$2+EXP(-$E$3*$E$4))/($E$2+EXP($E$3*(G$38-$E$4))))^$E$2)</f>
        <v>23.525545757548691</v>
      </c>
      <c r="N39" s="217">
        <f t="shared" ref="N39:N44" si="11">M39/M$44*100</f>
        <v>7.5402390248553495</v>
      </c>
      <c r="O39" s="23"/>
      <c r="Q39" s="212"/>
      <c r="R39" s="212"/>
      <c r="S39" s="212"/>
      <c r="T39" s="212"/>
      <c r="U39" s="212"/>
      <c r="V39" s="212"/>
      <c r="W39" s="212"/>
      <c r="Y39" t="s">
        <v>530</v>
      </c>
    </row>
    <row r="40" spans="1:25" x14ac:dyDescent="0.2">
      <c r="A40" s="23"/>
      <c r="B40" s="23"/>
      <c r="C40" s="23"/>
      <c r="D40" s="23"/>
      <c r="E40" s="30"/>
      <c r="F40" s="222"/>
      <c r="G40" s="21"/>
      <c r="H40" s="214">
        <v>2</v>
      </c>
      <c r="I40" s="21"/>
      <c r="J40" s="217">
        <f>G38*0.4</f>
        <v>840.40000000000009</v>
      </c>
      <c r="K40" s="217">
        <f t="shared" si="9"/>
        <v>40</v>
      </c>
      <c r="L40" s="21"/>
      <c r="M40" s="217">
        <f t="shared" si="10"/>
        <v>94.111479091951551</v>
      </c>
      <c r="N40" s="217">
        <f t="shared" si="11"/>
        <v>30.163935606394727</v>
      </c>
      <c r="O40" s="23"/>
      <c r="Q40" s="212"/>
      <c r="R40" s="212"/>
      <c r="S40" s="212"/>
      <c r="T40" s="212"/>
      <c r="U40" s="212"/>
      <c r="V40" s="212"/>
      <c r="W40" s="212"/>
    </row>
    <row r="41" spans="1:25" x14ac:dyDescent="0.2">
      <c r="A41" s="23"/>
      <c r="B41" s="23"/>
      <c r="C41" s="23"/>
      <c r="D41" s="23"/>
      <c r="E41" s="30"/>
      <c r="F41" s="222"/>
      <c r="G41" s="21"/>
      <c r="H41" s="214">
        <v>3</v>
      </c>
      <c r="I41" s="21"/>
      <c r="J41" s="217">
        <f>G38*0.5</f>
        <v>1050.5</v>
      </c>
      <c r="K41" s="217">
        <f t="shared" si="9"/>
        <v>50</v>
      </c>
      <c r="L41" s="21"/>
      <c r="M41" s="217">
        <f t="shared" si="10"/>
        <v>140.57841121142471</v>
      </c>
      <c r="N41" s="217">
        <f t="shared" si="11"/>
        <v>45.057183080584842</v>
      </c>
      <c r="O41" s="23"/>
      <c r="Q41" s="212"/>
      <c r="R41" s="212"/>
      <c r="S41" s="212"/>
      <c r="T41" s="212"/>
      <c r="U41" s="212"/>
      <c r="V41" s="212"/>
      <c r="W41" s="212"/>
    </row>
    <row r="42" spans="1:25" x14ac:dyDescent="0.2">
      <c r="A42" s="23"/>
      <c r="B42" s="23"/>
      <c r="C42" s="23"/>
      <c r="D42" s="23"/>
      <c r="E42" s="30"/>
      <c r="F42" s="222"/>
      <c r="G42" s="21"/>
      <c r="H42" s="214">
        <v>4</v>
      </c>
      <c r="I42" s="21"/>
      <c r="J42" s="217">
        <f>G38*0.6</f>
        <v>1260.5999999999999</v>
      </c>
      <c r="K42" s="217">
        <f t="shared" si="9"/>
        <v>60</v>
      </c>
      <c r="L42" s="21"/>
      <c r="M42" s="217">
        <f t="shared" si="10"/>
        <v>185.27036534851558</v>
      </c>
      <c r="N42" s="217">
        <f t="shared" si="11"/>
        <v>59.38152735529345</v>
      </c>
      <c r="O42" s="23"/>
      <c r="Q42" s="212"/>
      <c r="R42" s="212"/>
      <c r="S42" s="212"/>
      <c r="T42" s="212"/>
      <c r="U42" s="212"/>
      <c r="V42" s="212"/>
      <c r="W42" s="212"/>
    </row>
    <row r="43" spans="1:25" x14ac:dyDescent="0.2">
      <c r="A43" s="23"/>
      <c r="B43" s="23"/>
      <c r="C43" s="23"/>
      <c r="D43" s="23"/>
      <c r="E43" s="30"/>
      <c r="F43" s="222"/>
      <c r="G43" s="21"/>
      <c r="H43" s="214">
        <v>5</v>
      </c>
      <c r="I43" s="21"/>
      <c r="J43" s="217">
        <f>G38*0.8</f>
        <v>1680.8000000000002</v>
      </c>
      <c r="K43" s="217">
        <f t="shared" si="9"/>
        <v>80</v>
      </c>
      <c r="L43" s="21"/>
      <c r="M43" s="217">
        <f t="shared" si="10"/>
        <v>259.00833921599536</v>
      </c>
      <c r="N43" s="217">
        <f t="shared" si="11"/>
        <v>83.015493338460061</v>
      </c>
      <c r="O43" s="23"/>
      <c r="Q43" s="212"/>
      <c r="R43" s="212"/>
      <c r="S43" s="212"/>
      <c r="T43" s="212"/>
      <c r="U43" s="212"/>
      <c r="V43" s="212"/>
      <c r="W43" s="212"/>
    </row>
    <row r="44" spans="1:25" x14ac:dyDescent="0.2">
      <c r="A44" s="23"/>
      <c r="B44" s="23"/>
      <c r="C44" s="23"/>
      <c r="D44" s="23"/>
      <c r="E44" s="30"/>
      <c r="F44" s="222"/>
      <c r="G44" s="21"/>
      <c r="H44" s="218">
        <v>6</v>
      </c>
      <c r="I44" s="21"/>
      <c r="J44" s="21">
        <f>G38*1</f>
        <v>2101</v>
      </c>
      <c r="K44" s="217">
        <f t="shared" si="9"/>
        <v>100</v>
      </c>
      <c r="L44" s="21"/>
      <c r="M44" s="217">
        <f t="shared" si="10"/>
        <v>312</v>
      </c>
      <c r="N44" s="217">
        <f t="shared" si="11"/>
        <v>100</v>
      </c>
      <c r="O44" s="23"/>
      <c r="Q44" s="212"/>
      <c r="R44" s="212"/>
      <c r="S44" s="212"/>
      <c r="T44" s="212"/>
      <c r="U44" s="212"/>
      <c r="V44" s="212"/>
      <c r="W44" s="212"/>
    </row>
    <row r="45" spans="1:25" x14ac:dyDescent="0.2">
      <c r="A45" s="23"/>
      <c r="B45" s="29"/>
      <c r="C45" s="23"/>
      <c r="D45" s="23"/>
      <c r="E45" s="94">
        <v>36488</v>
      </c>
      <c r="F45" s="192">
        <v>251</v>
      </c>
      <c r="G45" s="21">
        <v>1996</v>
      </c>
      <c r="H45" s="214">
        <v>0</v>
      </c>
      <c r="I45" s="21"/>
      <c r="J45" s="217">
        <f>G45*0</f>
        <v>0</v>
      </c>
      <c r="K45" s="217">
        <f>J45/J$51*100</f>
        <v>0</v>
      </c>
      <c r="L45" s="21"/>
      <c r="M45" s="217">
        <f>F$45*(1-(($E$2+EXP(-$E$3*$E$4))/($E$2+EXP($E$3*(J45-$E$4))))^$E$2)/(1-(($E$2+EXP(-$E$3*$E$4))/($E$2+EXP($E$3*(G$45-$E$4))))^$E$2)</f>
        <v>0</v>
      </c>
      <c r="N45" s="217">
        <f>M45/M$51*100</f>
        <v>0</v>
      </c>
      <c r="O45" s="23"/>
      <c r="Q45" s="212"/>
      <c r="R45" s="212"/>
      <c r="S45" s="212"/>
      <c r="T45" s="212"/>
      <c r="U45" s="212"/>
      <c r="V45" s="212"/>
      <c r="W45" s="212"/>
    </row>
    <row r="46" spans="1:25" x14ac:dyDescent="0.2">
      <c r="A46" s="23"/>
      <c r="B46" s="29"/>
      <c r="C46" s="23"/>
      <c r="D46" s="23"/>
      <c r="E46" s="94"/>
      <c r="F46" s="192"/>
      <c r="G46" s="21"/>
      <c r="H46" s="214">
        <v>1</v>
      </c>
      <c r="I46" s="21"/>
      <c r="J46" s="217">
        <f>G45*0.2</f>
        <v>399.20000000000005</v>
      </c>
      <c r="K46" s="217">
        <f t="shared" ref="K46:K51" si="12">J46/J$51*100</f>
        <v>20</v>
      </c>
      <c r="L46" s="21"/>
      <c r="M46" s="217">
        <f t="shared" ref="M46:M51" si="13">F$45*(1-(($E$2+EXP(-$E$3*$E$4))/($E$2+EXP($E$3*(J46-$E$4))))^$E$2)/(1-(($E$2+EXP(-$E$3*$E$4))/($E$2+EXP($E$3*(G$45-$E$4))))^$E$2)</f>
        <v>17.858269770493095</v>
      </c>
      <c r="N46" s="217">
        <f t="shared" ref="N46:N51" si="14">M46/M$51*100</f>
        <v>7.1148485141406743</v>
      </c>
      <c r="O46" s="23"/>
      <c r="Q46" s="212"/>
      <c r="R46" s="212"/>
      <c r="S46" s="212"/>
      <c r="T46" s="212"/>
      <c r="U46" s="212"/>
      <c r="V46" s="212"/>
      <c r="W46" s="212"/>
    </row>
    <row r="47" spans="1:25" x14ac:dyDescent="0.2">
      <c r="A47" s="23"/>
      <c r="B47" s="29"/>
      <c r="C47" s="23"/>
      <c r="D47" s="23"/>
      <c r="E47" s="94"/>
      <c r="F47" s="192"/>
      <c r="G47" s="21"/>
      <c r="H47" s="214">
        <v>2</v>
      </c>
      <c r="I47" s="21"/>
      <c r="J47" s="217">
        <f>G45*0.4</f>
        <v>798.40000000000009</v>
      </c>
      <c r="K47" s="217">
        <f t="shared" si="12"/>
        <v>40</v>
      </c>
      <c r="L47" s="21"/>
      <c r="M47" s="217">
        <f t="shared" si="13"/>
        <v>71.152498414481087</v>
      </c>
      <c r="N47" s="217">
        <f t="shared" si="14"/>
        <v>28.347608930072145</v>
      </c>
      <c r="O47" s="23"/>
      <c r="Q47" s="212"/>
      <c r="R47" s="212"/>
      <c r="S47" s="212"/>
      <c r="T47" s="212"/>
      <c r="U47" s="212"/>
      <c r="V47" s="212"/>
      <c r="W47" s="212"/>
    </row>
    <row r="48" spans="1:25" x14ac:dyDescent="0.2">
      <c r="A48" s="23"/>
      <c r="B48" s="29"/>
      <c r="C48" s="23"/>
      <c r="D48" s="23"/>
      <c r="E48" s="94"/>
      <c r="F48" s="192"/>
      <c r="G48" s="21"/>
      <c r="H48" s="214">
        <v>3</v>
      </c>
      <c r="I48" s="21"/>
      <c r="J48" s="217">
        <f>G45*0.5</f>
        <v>998</v>
      </c>
      <c r="K48" s="217">
        <f t="shared" si="12"/>
        <v>50</v>
      </c>
      <c r="L48" s="21"/>
      <c r="M48" s="217">
        <f t="shared" si="13"/>
        <v>107.71224179455722</v>
      </c>
      <c r="N48" s="217">
        <f t="shared" si="14"/>
        <v>42.913243742851478</v>
      </c>
      <c r="O48" s="23"/>
      <c r="Q48" s="212"/>
      <c r="R48" s="212"/>
      <c r="S48" s="212"/>
      <c r="T48" s="212"/>
      <c r="U48" s="212"/>
      <c r="V48" s="212"/>
      <c r="W48" s="212"/>
    </row>
    <row r="49" spans="1:23" x14ac:dyDescent="0.2">
      <c r="A49" s="23"/>
      <c r="B49" s="29"/>
      <c r="C49" s="23"/>
      <c r="D49" s="23"/>
      <c r="E49" s="94"/>
      <c r="F49" s="192"/>
      <c r="G49" s="21"/>
      <c r="H49" s="214">
        <v>4</v>
      </c>
      <c r="I49" s="21"/>
      <c r="J49" s="217">
        <f>G45*0.6</f>
        <v>1197.5999999999999</v>
      </c>
      <c r="K49" s="217">
        <f t="shared" si="12"/>
        <v>60</v>
      </c>
      <c r="L49" s="21"/>
      <c r="M49" s="217">
        <f t="shared" si="13"/>
        <v>143.96208824007638</v>
      </c>
      <c r="N49" s="217">
        <f t="shared" si="14"/>
        <v>57.355413641464693</v>
      </c>
      <c r="O49" s="23"/>
      <c r="Q49" s="212"/>
      <c r="R49" s="212"/>
      <c r="S49" s="212"/>
      <c r="T49" s="212"/>
      <c r="U49" s="212"/>
      <c r="V49" s="212"/>
      <c r="W49" s="212"/>
    </row>
    <row r="50" spans="1:23" x14ac:dyDescent="0.2">
      <c r="A50" s="23"/>
      <c r="B50" s="29"/>
      <c r="C50" s="23"/>
      <c r="D50" s="23"/>
      <c r="E50" s="94"/>
      <c r="F50" s="192"/>
      <c r="G50" s="21"/>
      <c r="H50" s="214">
        <v>5</v>
      </c>
      <c r="I50" s="21"/>
      <c r="J50" s="217">
        <f>G45*0.8</f>
        <v>1596.8000000000002</v>
      </c>
      <c r="K50" s="217">
        <f t="shared" si="12"/>
        <v>80</v>
      </c>
      <c r="L50" s="21"/>
      <c r="M50" s="217">
        <f t="shared" si="13"/>
        <v>205.57556152957864</v>
      </c>
      <c r="N50" s="217">
        <f t="shared" si="14"/>
        <v>81.902614155210614</v>
      </c>
      <c r="O50" s="23"/>
      <c r="Q50" s="212"/>
      <c r="R50" s="212"/>
      <c r="S50" s="212"/>
      <c r="T50" s="212"/>
      <c r="U50" s="212"/>
      <c r="V50" s="212"/>
      <c r="W50" s="212"/>
    </row>
    <row r="51" spans="1:23" x14ac:dyDescent="0.2">
      <c r="A51" s="23"/>
      <c r="B51" s="29"/>
      <c r="C51" s="23"/>
      <c r="D51" s="23"/>
      <c r="E51" s="94"/>
      <c r="F51" s="192"/>
      <c r="G51" s="21"/>
      <c r="H51" s="218">
        <v>6</v>
      </c>
      <c r="I51" s="21"/>
      <c r="J51" s="21">
        <f>G45*1</f>
        <v>1996</v>
      </c>
      <c r="K51" s="217">
        <f t="shared" si="12"/>
        <v>100</v>
      </c>
      <c r="L51" s="21"/>
      <c r="M51" s="217">
        <f t="shared" si="13"/>
        <v>251.00000000000003</v>
      </c>
      <c r="N51" s="217">
        <f t="shared" si="14"/>
        <v>100</v>
      </c>
      <c r="O51" s="23"/>
      <c r="Q51" s="212"/>
      <c r="R51" s="212"/>
      <c r="S51" s="212"/>
      <c r="T51" s="212"/>
      <c r="U51" s="212"/>
      <c r="V51" s="212"/>
      <c r="W51" s="212"/>
    </row>
    <row r="52" spans="1:23" x14ac:dyDescent="0.2">
      <c r="B52" s="29"/>
      <c r="C52" s="23"/>
      <c r="E52" s="94">
        <v>37193</v>
      </c>
      <c r="F52" s="192">
        <v>172</v>
      </c>
      <c r="G52" s="21">
        <v>1442</v>
      </c>
      <c r="H52" s="214">
        <v>0</v>
      </c>
      <c r="I52" s="21"/>
      <c r="J52" s="217">
        <f>G52*0</f>
        <v>0</v>
      </c>
      <c r="K52" s="217">
        <f>J52/J$58*100</f>
        <v>0</v>
      </c>
      <c r="L52" s="21"/>
      <c r="M52" s="217">
        <f>F$52*(1-(($E$2+EXP(-$E$3*$E$4))/($E$2+EXP($E$3*(J52-$E$4))))^$E$2)/(1-(($E$2+EXP(-$E$3*$E$4))/($E$2+EXP($E$3*(G$52-$E$4))))^$E$2)</f>
        <v>0</v>
      </c>
      <c r="N52" s="217">
        <f>M52/M$58*100</f>
        <v>0</v>
      </c>
      <c r="O52" s="23"/>
      <c r="Q52" s="212"/>
      <c r="R52" s="212"/>
      <c r="S52" s="212"/>
      <c r="T52" s="212"/>
      <c r="U52" s="212"/>
      <c r="V52" s="212"/>
      <c r="W52" s="212"/>
    </row>
    <row r="53" spans="1:23" x14ac:dyDescent="0.2">
      <c r="B53" s="29"/>
      <c r="C53" s="23"/>
      <c r="E53" s="94"/>
      <c r="F53" s="192"/>
      <c r="G53" s="21"/>
      <c r="H53" s="214">
        <v>1</v>
      </c>
      <c r="I53" s="21"/>
      <c r="J53" s="217">
        <f>G52*0.2</f>
        <v>288.40000000000003</v>
      </c>
      <c r="K53" s="217">
        <f t="shared" ref="K53:K58" si="15">J53/J$58*100</f>
        <v>20</v>
      </c>
      <c r="L53" s="21"/>
      <c r="M53" s="217">
        <f t="shared" ref="M53:M58" si="16">F$52*(1-(($E$2+EXP(-$E$3*$E$4))/($E$2+EXP($E$3*(J53-$E$4))))^$E$2)/(1-(($E$2+EXP(-$E$3*$E$4))/($E$2+EXP($E$3*(G$52-$E$4))))^$E$2)</f>
        <v>9.4771413885920754</v>
      </c>
      <c r="N53" s="217">
        <f t="shared" ref="N53:N58" si="17">M53/M$58*100</f>
        <v>5.5099659236000438</v>
      </c>
      <c r="O53" s="23"/>
      <c r="Q53" s="212"/>
      <c r="R53" s="212"/>
      <c r="S53" s="212"/>
      <c r="T53" s="212"/>
      <c r="U53" s="212"/>
      <c r="V53" s="212"/>
      <c r="W53" s="212"/>
    </row>
    <row r="54" spans="1:23" x14ac:dyDescent="0.2">
      <c r="B54" s="29"/>
      <c r="C54" s="23"/>
      <c r="E54" s="94"/>
      <c r="F54" s="192"/>
      <c r="G54" s="21"/>
      <c r="H54" s="214">
        <v>2</v>
      </c>
      <c r="I54" s="21"/>
      <c r="J54" s="217">
        <f>G52*0.4</f>
        <v>576.80000000000007</v>
      </c>
      <c r="K54" s="217">
        <f t="shared" si="15"/>
        <v>40</v>
      </c>
      <c r="L54" s="21"/>
      <c r="M54" s="217">
        <f t="shared" si="16"/>
        <v>34.395093310103306</v>
      </c>
      <c r="N54" s="217">
        <f t="shared" si="17"/>
        <v>19.997147273315878</v>
      </c>
      <c r="O54" s="23"/>
      <c r="Q54" s="212"/>
      <c r="R54" s="212"/>
      <c r="S54" s="212"/>
      <c r="T54" s="212"/>
      <c r="U54" s="212"/>
      <c r="V54" s="212"/>
      <c r="W54" s="212"/>
    </row>
    <row r="55" spans="1:23" x14ac:dyDescent="0.2">
      <c r="B55" s="29"/>
      <c r="C55" s="23"/>
      <c r="E55" s="94"/>
      <c r="F55" s="192"/>
      <c r="G55" s="21"/>
      <c r="H55" s="214">
        <v>3</v>
      </c>
      <c r="I55" s="21"/>
      <c r="J55" s="217">
        <f>G52*0.5</f>
        <v>721</v>
      </c>
      <c r="K55" s="217">
        <f t="shared" si="15"/>
        <v>50</v>
      </c>
      <c r="L55" s="21"/>
      <c r="M55" s="217">
        <f t="shared" si="16"/>
        <v>54.318090958574388</v>
      </c>
      <c r="N55" s="217">
        <f t="shared" si="17"/>
        <v>31.58028544103162</v>
      </c>
      <c r="O55" s="23"/>
      <c r="Q55" s="212"/>
      <c r="R55" s="212"/>
      <c r="S55" s="212"/>
      <c r="T55" s="212"/>
      <c r="U55" s="212"/>
      <c r="V55" s="212"/>
      <c r="W55" s="212"/>
    </row>
    <row r="56" spans="1:23" x14ac:dyDescent="0.2">
      <c r="B56" s="29"/>
      <c r="C56" s="23"/>
      <c r="E56" s="94"/>
      <c r="F56" s="192"/>
      <c r="G56" s="21"/>
      <c r="H56" s="214">
        <v>4</v>
      </c>
      <c r="I56" s="21"/>
      <c r="J56" s="217">
        <f>G52*0.6</f>
        <v>865.19999999999993</v>
      </c>
      <c r="K56" s="217">
        <f t="shared" si="15"/>
        <v>60</v>
      </c>
      <c r="L56" s="21"/>
      <c r="M56" s="217">
        <f t="shared" si="16"/>
        <v>77.828634933568807</v>
      </c>
      <c r="N56" s="217">
        <f t="shared" si="17"/>
        <v>45.249206356726049</v>
      </c>
      <c r="O56" s="23"/>
      <c r="Q56" s="212"/>
      <c r="R56" s="212"/>
      <c r="S56" s="212"/>
      <c r="T56" s="212"/>
      <c r="U56" s="212"/>
      <c r="V56" s="212"/>
      <c r="W56" s="212"/>
    </row>
    <row r="57" spans="1:23" x14ac:dyDescent="0.2">
      <c r="B57" s="29"/>
      <c r="C57" s="23"/>
      <c r="E57" s="94"/>
      <c r="F57" s="192"/>
      <c r="G57" s="21"/>
      <c r="H57" s="214">
        <v>5</v>
      </c>
      <c r="I57" s="21"/>
      <c r="J57" s="217">
        <f>G52*0.8</f>
        <v>1153.6000000000001</v>
      </c>
      <c r="K57" s="217">
        <f t="shared" si="15"/>
        <v>80</v>
      </c>
      <c r="L57" s="21"/>
      <c r="M57" s="217">
        <f t="shared" si="16"/>
        <v>127.51886962942838</v>
      </c>
      <c r="N57" s="217">
        <f t="shared" si="17"/>
        <v>74.138877691528123</v>
      </c>
      <c r="O57" s="23"/>
      <c r="Q57" s="212"/>
      <c r="R57" s="212"/>
      <c r="S57" s="212"/>
      <c r="T57" s="212"/>
      <c r="U57" s="212"/>
      <c r="V57" s="212"/>
      <c r="W57" s="212"/>
    </row>
    <row r="58" spans="1:23" x14ac:dyDescent="0.2">
      <c r="B58" s="29"/>
      <c r="C58" s="23"/>
      <c r="E58" s="94"/>
      <c r="F58" s="192"/>
      <c r="G58" s="21"/>
      <c r="H58" s="218">
        <v>6</v>
      </c>
      <c r="I58" s="21"/>
      <c r="J58" s="21">
        <f>G52*1</f>
        <v>1442</v>
      </c>
      <c r="K58" s="217">
        <f t="shared" si="15"/>
        <v>100</v>
      </c>
      <c r="L58" s="21"/>
      <c r="M58" s="217">
        <f t="shared" si="16"/>
        <v>172</v>
      </c>
      <c r="N58" s="217">
        <f t="shared" si="17"/>
        <v>100</v>
      </c>
      <c r="O58" s="23"/>
      <c r="Q58" s="212"/>
      <c r="R58" s="212"/>
      <c r="S58" s="212"/>
      <c r="T58" s="212"/>
      <c r="U58" s="212"/>
      <c r="V58" s="212"/>
      <c r="W58" s="212"/>
    </row>
    <row r="59" spans="1:23" x14ac:dyDescent="0.2">
      <c r="B59" s="29"/>
      <c r="C59" s="23"/>
      <c r="D59" t="s">
        <v>522</v>
      </c>
      <c r="E59" s="218" t="s">
        <v>521</v>
      </c>
      <c r="F59" s="192">
        <v>335</v>
      </c>
      <c r="G59" s="21">
        <v>2376</v>
      </c>
      <c r="H59" s="214">
        <v>0</v>
      </c>
      <c r="I59" s="21"/>
      <c r="J59" s="217">
        <f>G59*0</f>
        <v>0</v>
      </c>
      <c r="K59" s="217">
        <f>J59/J$65*100</f>
        <v>0</v>
      </c>
      <c r="L59" s="21"/>
      <c r="M59" s="217">
        <f>F$59*(1-(($E$2+EXP(-$E$3*$E$4))/($E$2+EXP($E$3*(J59-$E$4))))^$E$2)/(1-(($E$2+EXP(-$E$3*$E$4))/($E$2+EXP($E$3*(G$59-$E$4))))^$E$2)</f>
        <v>0</v>
      </c>
      <c r="N59" s="217">
        <f>M59/M$65*100</f>
        <v>0</v>
      </c>
      <c r="O59" s="23"/>
    </row>
    <row r="60" spans="1:23" x14ac:dyDescent="0.2">
      <c r="B60" s="29"/>
      <c r="C60" s="23"/>
      <c r="E60" s="218"/>
      <c r="F60" s="192"/>
      <c r="G60" s="21"/>
      <c r="H60" s="214">
        <v>1</v>
      </c>
      <c r="I60" s="21"/>
      <c r="J60" s="217">
        <f>G59*0.2</f>
        <v>475.20000000000005</v>
      </c>
      <c r="K60" s="217">
        <f t="shared" ref="K60:K65" si="18">J60/J$65*100</f>
        <v>20</v>
      </c>
      <c r="L60" s="21"/>
      <c r="M60" s="217">
        <f t="shared" ref="M60:M65" si="19">F$59*(1-(($E$2+EXP(-$E$3*$E$4))/($E$2+EXP($E$3*(J60-$E$4))))^$E$2)/(1-(($E$2+EXP(-$E$3*$E$4))/($E$2+EXP($E$3*(G$59-$E$4))))^$E$2)</f>
        <v>29.552479277993747</v>
      </c>
      <c r="N60" s="217">
        <f t="shared" ref="N60:N65" si="20">M60/M$65*100</f>
        <v>8.8216356053712701</v>
      </c>
      <c r="O60" s="23"/>
    </row>
    <row r="61" spans="1:23" x14ac:dyDescent="0.2">
      <c r="B61" s="29"/>
      <c r="C61" s="23"/>
      <c r="E61" s="218"/>
      <c r="F61" s="192"/>
      <c r="G61" s="21"/>
      <c r="H61" s="214">
        <v>2</v>
      </c>
      <c r="I61" s="21"/>
      <c r="J61" s="217">
        <f>G59*0.4</f>
        <v>950.40000000000009</v>
      </c>
      <c r="K61" s="217">
        <f t="shared" si="18"/>
        <v>40</v>
      </c>
      <c r="L61" s="21"/>
      <c r="M61" s="217">
        <f t="shared" si="19"/>
        <v>117.30516377132761</v>
      </c>
      <c r="N61" s="217">
        <f t="shared" si="20"/>
        <v>35.016466797411233</v>
      </c>
      <c r="O61" s="23"/>
    </row>
    <row r="62" spans="1:23" x14ac:dyDescent="0.2">
      <c r="B62" s="29"/>
      <c r="C62" s="23"/>
      <c r="E62" s="218"/>
      <c r="F62" s="192"/>
      <c r="G62" s="21"/>
      <c r="H62" s="214">
        <v>3</v>
      </c>
      <c r="I62" s="21"/>
      <c r="J62" s="217">
        <f>G59*0.5</f>
        <v>1188</v>
      </c>
      <c r="K62" s="217">
        <f t="shared" si="18"/>
        <v>50</v>
      </c>
      <c r="L62" s="21"/>
      <c r="M62" s="217">
        <f t="shared" si="19"/>
        <v>168.84337655883553</v>
      </c>
      <c r="N62" s="217">
        <f t="shared" si="20"/>
        <v>50.401007928010614</v>
      </c>
      <c r="O62" s="23"/>
    </row>
    <row r="63" spans="1:23" x14ac:dyDescent="0.2">
      <c r="B63" s="29"/>
      <c r="C63" s="23"/>
      <c r="E63" s="218"/>
      <c r="F63" s="192"/>
      <c r="G63" s="21"/>
      <c r="H63" s="214">
        <v>4</v>
      </c>
      <c r="I63" s="21"/>
      <c r="J63" s="217">
        <f>G59*0.6</f>
        <v>1425.6</v>
      </c>
      <c r="K63" s="217">
        <f t="shared" si="18"/>
        <v>60</v>
      </c>
      <c r="L63" s="21"/>
      <c r="M63" s="217">
        <f t="shared" si="19"/>
        <v>215.0642156384354</v>
      </c>
      <c r="N63" s="217">
        <f t="shared" si="20"/>
        <v>64.198273324906097</v>
      </c>
      <c r="O63" s="23"/>
    </row>
    <row r="64" spans="1:23" x14ac:dyDescent="0.2">
      <c r="B64" s="29"/>
      <c r="C64" s="23"/>
      <c r="E64" s="218"/>
      <c r="F64" s="192"/>
      <c r="G64" s="21"/>
      <c r="H64" s="214">
        <v>5</v>
      </c>
      <c r="I64" s="21"/>
      <c r="J64" s="217">
        <f>G59*0.8</f>
        <v>1900.8000000000002</v>
      </c>
      <c r="K64" s="217">
        <f t="shared" si="18"/>
        <v>80</v>
      </c>
      <c r="L64" s="21"/>
      <c r="M64" s="217">
        <f t="shared" si="19"/>
        <v>286.55802851271841</v>
      </c>
      <c r="N64" s="217">
        <f t="shared" si="20"/>
        <v>85.539710003796557</v>
      </c>
      <c r="O64" s="23"/>
    </row>
    <row r="65" spans="2:15" x14ac:dyDescent="0.2">
      <c r="B65" s="29"/>
      <c r="C65" s="23"/>
      <c r="E65" s="218"/>
      <c r="F65" s="192"/>
      <c r="G65" s="21"/>
      <c r="H65" s="214">
        <v>6</v>
      </c>
      <c r="I65" s="21"/>
      <c r="J65" s="21">
        <f>G59*1</f>
        <v>2376</v>
      </c>
      <c r="K65" s="217">
        <f t="shared" si="18"/>
        <v>100</v>
      </c>
      <c r="L65" s="21"/>
      <c r="M65" s="217">
        <f t="shared" si="19"/>
        <v>334.99999999999994</v>
      </c>
      <c r="N65" s="217">
        <f t="shared" si="20"/>
        <v>100</v>
      </c>
      <c r="O65" s="23"/>
    </row>
    <row r="66" spans="2:15" x14ac:dyDescent="0.2">
      <c r="C66" s="23"/>
      <c r="D66" s="23"/>
      <c r="E66" s="30">
        <v>36469</v>
      </c>
      <c r="F66" s="192">
        <v>326</v>
      </c>
      <c r="G66" s="21">
        <v>2119</v>
      </c>
      <c r="H66" s="214">
        <v>0</v>
      </c>
      <c r="I66" s="21"/>
      <c r="J66" s="217">
        <f>G66*0</f>
        <v>0</v>
      </c>
      <c r="K66" s="217">
        <f>J66/J$72*100</f>
        <v>0</v>
      </c>
      <c r="L66" s="21"/>
      <c r="M66" s="217">
        <f>F$66*(1-(($E$2+EXP(-$E$3*$E$4))/($E$2+EXP($E$3*(J66-$E$4))))^$E$2)/(1-(($E$2+EXP(-$E$3*$E$4))/($E$2+EXP($E$3*(G$66-$E$4))))^$E$2)</f>
        <v>0</v>
      </c>
      <c r="N66" s="217">
        <f>M66/M$72*100</f>
        <v>0</v>
      </c>
      <c r="O66" s="23"/>
    </row>
    <row r="67" spans="2:15" x14ac:dyDescent="0.2">
      <c r="C67" s="23"/>
      <c r="D67" s="23"/>
      <c r="E67" s="30"/>
      <c r="F67" s="192"/>
      <c r="G67" s="21"/>
      <c r="H67" s="214">
        <v>1</v>
      </c>
      <c r="I67" s="21"/>
      <c r="J67" s="217">
        <f>G66*0.2</f>
        <v>423.8</v>
      </c>
      <c r="K67" s="217">
        <f t="shared" ref="K67:K72" si="21">J67/J$72*100</f>
        <v>20</v>
      </c>
      <c r="L67" s="21"/>
      <c r="M67" s="217">
        <f t="shared" ref="M67:M72" si="22">F$66*(1-(($E$2+EXP(-$E$3*$E$4))/($E$2+EXP($E$3*(J67-$E$4))))^$E$2)/(1-(($E$2+EXP(-$E$3*$E$4))/($E$2+EXP($E$3*(G$66-$E$4))))^$E$2)</f>
        <v>24.83060443918578</v>
      </c>
      <c r="N67" s="217">
        <f t="shared" ref="N67:N72" si="23">M67/M$72*100</f>
        <v>7.6167498279710975</v>
      </c>
      <c r="O67" s="23"/>
    </row>
    <row r="68" spans="2:15" x14ac:dyDescent="0.2">
      <c r="C68" s="23"/>
      <c r="D68" s="23"/>
      <c r="E68" s="30"/>
      <c r="F68" s="192"/>
      <c r="G68" s="21"/>
      <c r="H68" s="214">
        <v>2</v>
      </c>
      <c r="I68" s="21"/>
      <c r="J68" s="217">
        <f>G66*0.4</f>
        <v>847.6</v>
      </c>
      <c r="K68" s="217">
        <f t="shared" si="21"/>
        <v>40</v>
      </c>
      <c r="L68" s="21"/>
      <c r="M68" s="217">
        <f t="shared" si="22"/>
        <v>99.360150402277199</v>
      </c>
      <c r="N68" s="217">
        <f t="shared" si="23"/>
        <v>30.478573743029813</v>
      </c>
      <c r="O68" s="23"/>
    </row>
    <row r="69" spans="2:15" x14ac:dyDescent="0.2">
      <c r="C69" s="23"/>
      <c r="D69" s="23"/>
      <c r="E69" s="30"/>
      <c r="F69" s="192"/>
      <c r="G69" s="21"/>
      <c r="H69" s="214">
        <v>3</v>
      </c>
      <c r="I69" s="21"/>
      <c r="J69" s="217">
        <f>G66*0.5</f>
        <v>1059.5</v>
      </c>
      <c r="K69" s="217">
        <f t="shared" si="21"/>
        <v>50</v>
      </c>
      <c r="L69" s="21"/>
      <c r="M69" s="217">
        <f t="shared" si="22"/>
        <v>148.06844642088714</v>
      </c>
      <c r="N69" s="217">
        <f t="shared" si="23"/>
        <v>45.419768840762927</v>
      </c>
      <c r="O69" s="23"/>
    </row>
    <row r="70" spans="2:15" x14ac:dyDescent="0.2">
      <c r="C70" s="23"/>
      <c r="D70" s="23"/>
      <c r="E70" s="30"/>
      <c r="F70" s="192"/>
      <c r="G70" s="21"/>
      <c r="H70" s="214">
        <v>4</v>
      </c>
      <c r="I70" s="21"/>
      <c r="J70" s="217">
        <f>G66*0.6</f>
        <v>1271.3999999999999</v>
      </c>
      <c r="K70" s="217">
        <f t="shared" si="21"/>
        <v>60</v>
      </c>
      <c r="L70" s="21"/>
      <c r="M70" s="217">
        <f t="shared" si="22"/>
        <v>194.68159209487359</v>
      </c>
      <c r="N70" s="217">
        <f t="shared" si="23"/>
        <v>59.718279783703551</v>
      </c>
      <c r="O70" s="23"/>
    </row>
    <row r="71" spans="2:15" x14ac:dyDescent="0.2">
      <c r="C71" s="23"/>
      <c r="D71" s="23"/>
      <c r="E71" s="30"/>
      <c r="F71" s="192"/>
      <c r="G71" s="21"/>
      <c r="H71" s="214">
        <v>5</v>
      </c>
      <c r="I71" s="21"/>
      <c r="J71" s="217">
        <f>G66*0.8</f>
        <v>1695.2</v>
      </c>
      <c r="K71" s="217">
        <f t="shared" si="21"/>
        <v>80</v>
      </c>
      <c r="L71" s="21"/>
      <c r="M71" s="217">
        <f t="shared" si="22"/>
        <v>271.2227982275939</v>
      </c>
      <c r="N71" s="217">
        <f t="shared" si="23"/>
        <v>83.197177370427582</v>
      </c>
      <c r="O71" s="23"/>
    </row>
    <row r="72" spans="2:15" x14ac:dyDescent="0.2">
      <c r="C72" s="23"/>
      <c r="D72" s="23"/>
      <c r="E72" s="30"/>
      <c r="F72" s="192"/>
      <c r="G72" s="21"/>
      <c r="H72" s="218">
        <v>6</v>
      </c>
      <c r="I72" s="21"/>
      <c r="J72" s="21">
        <f>G66*1</f>
        <v>2119</v>
      </c>
      <c r="K72" s="217">
        <f t="shared" si="21"/>
        <v>100</v>
      </c>
      <c r="L72" s="21"/>
      <c r="M72" s="217">
        <f t="shared" si="22"/>
        <v>326</v>
      </c>
      <c r="N72" s="217">
        <f t="shared" si="23"/>
        <v>100</v>
      </c>
      <c r="O72" s="23"/>
    </row>
    <row r="73" spans="2:15" x14ac:dyDescent="0.2">
      <c r="C73" s="23"/>
      <c r="D73" s="23"/>
      <c r="E73" s="94">
        <v>36488</v>
      </c>
      <c r="F73" s="192">
        <v>276</v>
      </c>
      <c r="G73" s="21">
        <v>1996</v>
      </c>
      <c r="H73" s="214">
        <v>0</v>
      </c>
      <c r="I73" s="21"/>
      <c r="J73" s="217">
        <f>G73*0</f>
        <v>0</v>
      </c>
      <c r="K73" s="217">
        <f>J73/J$79*100</f>
        <v>0</v>
      </c>
      <c r="L73" s="21"/>
      <c r="M73" s="217">
        <f>F$73*(1-(($E$2+EXP(-$E$3*$E$4))/($E$2+EXP($E$3*(J73-$E$4))))^$E$2)/(1-(($E$2+EXP(-$E$3*$E$4))/($E$2+EXP($E$3*(G$73-$E$4))))^$E$2)</f>
        <v>0</v>
      </c>
      <c r="N73" s="217">
        <f>M73/M$79*100</f>
        <v>0</v>
      </c>
      <c r="O73" s="23"/>
    </row>
    <row r="74" spans="2:15" x14ac:dyDescent="0.2">
      <c r="C74" s="23"/>
      <c r="D74" s="23"/>
      <c r="E74" s="94"/>
      <c r="F74" s="192"/>
      <c r="G74" s="21"/>
      <c r="H74" s="214">
        <v>1</v>
      </c>
      <c r="I74" s="21"/>
      <c r="J74" s="217">
        <f>G73*0.2</f>
        <v>399.20000000000005</v>
      </c>
      <c r="K74" s="217">
        <f t="shared" ref="K74:K79" si="24">J74/J$79*100</f>
        <v>20</v>
      </c>
      <c r="L74" s="21"/>
      <c r="M74" s="217">
        <f t="shared" ref="M74:M79" si="25">F$73*(1-(($E$2+EXP(-$E$3*$E$4))/($E$2+EXP($E$3*(J74-$E$4))))^$E$2)/(1-(($E$2+EXP(-$E$3*$E$4))/($E$2+EXP($E$3*(G$73-$E$4))))^$E$2)</f>
        <v>19.636981899028264</v>
      </c>
      <c r="N74" s="217">
        <f t="shared" ref="N74:N79" si="26">M74/M$79*100</f>
        <v>7.1148485141406761</v>
      </c>
      <c r="O74" s="23"/>
    </row>
    <row r="75" spans="2:15" x14ac:dyDescent="0.2">
      <c r="C75" s="23"/>
      <c r="D75" s="23"/>
      <c r="E75" s="94"/>
      <c r="F75" s="192"/>
      <c r="G75" s="21"/>
      <c r="H75" s="214">
        <v>2</v>
      </c>
      <c r="I75" s="21"/>
      <c r="J75" s="217">
        <f>G73*0.4</f>
        <v>798.40000000000009</v>
      </c>
      <c r="K75" s="217">
        <f t="shared" si="24"/>
        <v>40</v>
      </c>
      <c r="L75" s="21"/>
      <c r="M75" s="217">
        <f t="shared" si="25"/>
        <v>78.239400646999115</v>
      </c>
      <c r="N75" s="217">
        <f t="shared" si="26"/>
        <v>28.347608930072145</v>
      </c>
      <c r="O75" s="23"/>
    </row>
    <row r="76" spans="2:15" x14ac:dyDescent="0.2">
      <c r="C76" s="23"/>
      <c r="D76" s="23"/>
      <c r="E76" s="94"/>
      <c r="F76" s="192"/>
      <c r="G76" s="21"/>
      <c r="H76" s="214">
        <v>3</v>
      </c>
      <c r="I76" s="21"/>
      <c r="J76" s="217">
        <f>G73*0.5</f>
        <v>998</v>
      </c>
      <c r="K76" s="217">
        <f t="shared" si="24"/>
        <v>50</v>
      </c>
      <c r="L76" s="21"/>
      <c r="M76" s="217">
        <f t="shared" si="25"/>
        <v>118.44055273027008</v>
      </c>
      <c r="N76" s="217">
        <f t="shared" si="26"/>
        <v>42.913243742851478</v>
      </c>
      <c r="O76" s="23"/>
    </row>
    <row r="77" spans="2:15" x14ac:dyDescent="0.2">
      <c r="C77" s="23"/>
      <c r="D77" s="23"/>
      <c r="E77" s="94"/>
      <c r="F77" s="192"/>
      <c r="G77" s="21"/>
      <c r="H77" s="214">
        <v>4</v>
      </c>
      <c r="I77" s="21"/>
      <c r="J77" s="217">
        <f>G73*0.6</f>
        <v>1197.5999999999999</v>
      </c>
      <c r="K77" s="217">
        <f t="shared" si="24"/>
        <v>60</v>
      </c>
      <c r="L77" s="21"/>
      <c r="M77" s="217">
        <f t="shared" si="25"/>
        <v>158.30094165044258</v>
      </c>
      <c r="N77" s="217">
        <f t="shared" si="26"/>
        <v>57.3554136414647</v>
      </c>
      <c r="O77" s="23"/>
    </row>
    <row r="78" spans="2:15" x14ac:dyDescent="0.2">
      <c r="C78" s="23"/>
      <c r="D78" s="23"/>
      <c r="E78" s="94"/>
      <c r="F78" s="192"/>
      <c r="G78" s="21"/>
      <c r="H78" s="214">
        <v>5</v>
      </c>
      <c r="I78" s="21"/>
      <c r="J78" s="217">
        <f>G73*0.8</f>
        <v>1596.8000000000002</v>
      </c>
      <c r="K78" s="217">
        <f t="shared" si="24"/>
        <v>80</v>
      </c>
      <c r="L78" s="21"/>
      <c r="M78" s="217">
        <f t="shared" si="25"/>
        <v>226.05121506838128</v>
      </c>
      <c r="N78" s="217">
        <f t="shared" si="26"/>
        <v>81.902614155210614</v>
      </c>
      <c r="O78" s="23"/>
    </row>
    <row r="79" spans="2:15" x14ac:dyDescent="0.2">
      <c r="C79" s="23"/>
      <c r="D79" s="23"/>
      <c r="E79" s="94"/>
      <c r="F79" s="192"/>
      <c r="G79" s="21"/>
      <c r="H79" s="218">
        <v>6</v>
      </c>
      <c r="I79" s="21"/>
      <c r="J79" s="21">
        <f>G73*1</f>
        <v>1996</v>
      </c>
      <c r="K79" s="217">
        <f t="shared" si="24"/>
        <v>100</v>
      </c>
      <c r="L79" s="21"/>
      <c r="M79" s="217">
        <f t="shared" si="25"/>
        <v>276</v>
      </c>
      <c r="N79" s="217">
        <f t="shared" si="26"/>
        <v>100</v>
      </c>
      <c r="O79" s="23"/>
    </row>
    <row r="80" spans="2:15" x14ac:dyDescent="0.2">
      <c r="C80" s="23"/>
      <c r="D80" s="23"/>
      <c r="E80" s="94">
        <v>37193</v>
      </c>
      <c r="F80" s="192">
        <v>152</v>
      </c>
      <c r="G80" s="21">
        <v>1442</v>
      </c>
      <c r="H80" s="214">
        <v>0</v>
      </c>
      <c r="I80" s="21"/>
      <c r="J80" s="217">
        <f>G80*0</f>
        <v>0</v>
      </c>
      <c r="K80" s="217">
        <f>J80/J$86*100</f>
        <v>0</v>
      </c>
      <c r="L80" s="21"/>
      <c r="M80" s="217">
        <f>F$80*(1-(($E$2+EXP(-$E$3*$E$4))/($E$2+EXP($E$3*(J80-$E$4))))^$E$2)/(1-(($E$2+EXP(-$E$3*$E$4))/($E$2+EXP($E$3*(G$80-$E$4))))^$E$2)</f>
        <v>0</v>
      </c>
      <c r="N80" s="217">
        <f>M80/M$86*100</f>
        <v>0</v>
      </c>
      <c r="O80" s="23"/>
    </row>
    <row r="81" spans="3:15" x14ac:dyDescent="0.2">
      <c r="C81" s="23"/>
      <c r="D81" s="23"/>
      <c r="E81" s="94"/>
      <c r="F81" s="192"/>
      <c r="G81" s="21"/>
      <c r="H81" s="214">
        <v>1</v>
      </c>
      <c r="I81" s="21"/>
      <c r="J81" s="217">
        <f>G80*0.2</f>
        <v>288.40000000000003</v>
      </c>
      <c r="K81" s="217">
        <f t="shared" ref="K81:K86" si="27">J81/J$86*100</f>
        <v>20</v>
      </c>
      <c r="L81" s="21"/>
      <c r="M81" s="217">
        <f t="shared" ref="M81:M86" si="28">F$80*(1-(($E$2+EXP(-$E$3*$E$4))/($E$2+EXP($E$3*(J81-$E$4))))^$E$2)/(1-(($E$2+EXP(-$E$3*$E$4))/($E$2+EXP($E$3*(G$80-$E$4))))^$E$2)</f>
        <v>8.375148203872067</v>
      </c>
      <c r="N81" s="217">
        <f t="shared" ref="N81:N86" si="29">M81/M$86*100</f>
        <v>5.5099659236000447</v>
      </c>
      <c r="O81" s="23"/>
    </row>
    <row r="82" spans="3:15" x14ac:dyDescent="0.2">
      <c r="C82" s="23"/>
      <c r="D82" s="23"/>
      <c r="E82" s="94"/>
      <c r="F82" s="192"/>
      <c r="G82" s="21"/>
      <c r="H82" s="214">
        <v>2</v>
      </c>
      <c r="I82" s="21"/>
      <c r="J82" s="217">
        <f>G80*0.4</f>
        <v>576.80000000000007</v>
      </c>
      <c r="K82" s="217">
        <f t="shared" si="27"/>
        <v>40</v>
      </c>
      <c r="L82" s="21"/>
      <c r="M82" s="217">
        <f t="shared" si="28"/>
        <v>30.395663855440127</v>
      </c>
      <c r="N82" s="217">
        <f t="shared" si="29"/>
        <v>19.997147273315875</v>
      </c>
      <c r="O82" s="23"/>
    </row>
    <row r="83" spans="3:15" x14ac:dyDescent="0.2">
      <c r="C83" s="23"/>
      <c r="D83" s="23"/>
      <c r="E83" s="94"/>
      <c r="F83" s="192"/>
      <c r="G83" s="21"/>
      <c r="H83" s="214">
        <v>3</v>
      </c>
      <c r="I83" s="21"/>
      <c r="J83" s="217">
        <f>G80*0.5</f>
        <v>721</v>
      </c>
      <c r="K83" s="217">
        <f t="shared" si="27"/>
        <v>50</v>
      </c>
      <c r="L83" s="21"/>
      <c r="M83" s="217">
        <f t="shared" si="28"/>
        <v>48.002033870368059</v>
      </c>
      <c r="N83" s="217">
        <f t="shared" si="29"/>
        <v>31.58028544103162</v>
      </c>
      <c r="O83" s="23"/>
    </row>
    <row r="84" spans="3:15" x14ac:dyDescent="0.2">
      <c r="C84" s="23"/>
      <c r="D84" s="23"/>
      <c r="E84" s="94"/>
      <c r="F84" s="192"/>
      <c r="G84" s="21"/>
      <c r="H84" s="214">
        <v>4</v>
      </c>
      <c r="I84" s="21"/>
      <c r="J84" s="217">
        <f>G80*0.6</f>
        <v>865.19999999999993</v>
      </c>
      <c r="K84" s="217">
        <f t="shared" si="27"/>
        <v>60</v>
      </c>
      <c r="L84" s="21"/>
      <c r="M84" s="217">
        <f t="shared" si="28"/>
        <v>68.778793662223592</v>
      </c>
      <c r="N84" s="217">
        <f t="shared" si="29"/>
        <v>45.249206356726049</v>
      </c>
      <c r="O84" s="23"/>
    </row>
    <row r="85" spans="3:15" x14ac:dyDescent="0.2">
      <c r="C85" s="23"/>
      <c r="D85" s="23"/>
      <c r="E85" s="94"/>
      <c r="F85" s="192"/>
      <c r="G85" s="21"/>
      <c r="H85" s="214">
        <v>5</v>
      </c>
      <c r="I85" s="21"/>
      <c r="J85" s="217">
        <f>G80*0.8</f>
        <v>1153.6000000000001</v>
      </c>
      <c r="K85" s="217">
        <f t="shared" si="27"/>
        <v>80</v>
      </c>
      <c r="L85" s="21"/>
      <c r="M85" s="217">
        <f t="shared" si="28"/>
        <v>112.69109409112275</v>
      </c>
      <c r="N85" s="217">
        <f t="shared" si="29"/>
        <v>74.138877691528123</v>
      </c>
      <c r="O85" s="23"/>
    </row>
    <row r="86" spans="3:15" x14ac:dyDescent="0.2">
      <c r="C86" s="23"/>
      <c r="D86" s="23"/>
      <c r="E86" s="94"/>
      <c r="F86" s="192"/>
      <c r="G86" s="21"/>
      <c r="H86" s="218">
        <v>6</v>
      </c>
      <c r="I86" s="21"/>
      <c r="J86" s="21">
        <f>G80*1</f>
        <v>1442</v>
      </c>
      <c r="K86" s="217">
        <f t="shared" si="27"/>
        <v>100</v>
      </c>
      <c r="L86" s="21"/>
      <c r="M86" s="217">
        <f t="shared" si="28"/>
        <v>152</v>
      </c>
      <c r="N86" s="217">
        <f t="shared" si="29"/>
        <v>100</v>
      </c>
      <c r="O86" s="23"/>
    </row>
    <row r="87" spans="3:15" x14ac:dyDescent="0.2">
      <c r="C87" s="23"/>
      <c r="D87" s="23" t="s">
        <v>523</v>
      </c>
      <c r="E87" s="94">
        <v>36103</v>
      </c>
      <c r="F87" s="192">
        <v>267</v>
      </c>
      <c r="G87" s="21">
        <v>1642</v>
      </c>
      <c r="H87" s="214">
        <v>0</v>
      </c>
      <c r="I87" s="21"/>
      <c r="J87" s="217">
        <f>G87*0</f>
        <v>0</v>
      </c>
      <c r="K87" s="217">
        <f>J87/J$93*100</f>
        <v>0</v>
      </c>
      <c r="L87" s="21"/>
      <c r="M87" s="217">
        <f>F$87*(1-(($E$2+EXP(-$E$3*$E$4))/($E$2+EXP($E$3*(J87-$E$4))))^$E$2)/(1-(($E$2+EXP(-$E$3*$E$4))/($E$2+EXP($E$3*(G$87-$E$4))))^$E$2)</f>
        <v>0</v>
      </c>
      <c r="N87" s="217">
        <f>M87/M$93*100</f>
        <v>0</v>
      </c>
      <c r="O87" s="23"/>
    </row>
    <row r="88" spans="3:15" x14ac:dyDescent="0.2">
      <c r="C88" s="23"/>
      <c r="D88" s="23"/>
      <c r="E88" s="94"/>
      <c r="F88" s="192"/>
      <c r="G88" s="21"/>
      <c r="H88" s="214">
        <v>1</v>
      </c>
      <c r="I88" s="21"/>
      <c r="J88" s="217">
        <f>G87*0.2</f>
        <v>328.40000000000003</v>
      </c>
      <c r="K88" s="217">
        <f t="shared" ref="K88:K93" si="30">J88/J$93*100</f>
        <v>20</v>
      </c>
      <c r="L88" s="21"/>
      <c r="M88" s="217">
        <f t="shared" ref="M88:M93" si="31">F$87*(1-(($E$2+EXP(-$E$3*$E$4))/($E$2+EXP($E$3*(J88-$E$4))))^$E$2)/(1-(($E$2+EXP(-$E$3*$E$4))/($E$2+EXP($E$3*(G$87-$E$4))))^$E$2)</f>
        <v>15.901058992567101</v>
      </c>
      <c r="N88" s="217">
        <f t="shared" ref="N88:N93" si="32">M88/M$93*100</f>
        <v>5.9554528062049066</v>
      </c>
      <c r="O88" s="23"/>
    </row>
    <row r="89" spans="3:15" x14ac:dyDescent="0.2">
      <c r="C89" s="23"/>
      <c r="D89" s="23"/>
      <c r="E89" s="94"/>
      <c r="F89" s="192"/>
      <c r="G89" s="21"/>
      <c r="H89" s="214">
        <v>2</v>
      </c>
      <c r="I89" s="21"/>
      <c r="J89" s="217">
        <f>G87*0.4</f>
        <v>656.80000000000007</v>
      </c>
      <c r="K89" s="217">
        <f t="shared" si="30"/>
        <v>40</v>
      </c>
      <c r="L89" s="21"/>
      <c r="M89" s="217">
        <f t="shared" si="31"/>
        <v>60.53435499163664</v>
      </c>
      <c r="N89" s="217">
        <f t="shared" si="32"/>
        <v>22.672043068028707</v>
      </c>
      <c r="O89" s="23"/>
    </row>
    <row r="90" spans="3:15" x14ac:dyDescent="0.2">
      <c r="C90" s="23"/>
      <c r="D90" s="23"/>
      <c r="E90" s="94"/>
      <c r="F90" s="192"/>
      <c r="G90" s="21"/>
      <c r="H90" s="214">
        <v>3</v>
      </c>
      <c r="I90" s="21"/>
      <c r="J90" s="217">
        <f>G87*0.5</f>
        <v>821</v>
      </c>
      <c r="K90" s="217">
        <f t="shared" si="30"/>
        <v>50</v>
      </c>
      <c r="L90" s="21"/>
      <c r="M90" s="217">
        <f t="shared" si="31"/>
        <v>94.876792290102784</v>
      </c>
      <c r="N90" s="217">
        <f t="shared" si="32"/>
        <v>35.534379134869958</v>
      </c>
      <c r="O90" s="23"/>
    </row>
    <row r="91" spans="3:15" x14ac:dyDescent="0.2">
      <c r="C91" s="23"/>
      <c r="D91" s="23"/>
      <c r="E91" s="94"/>
      <c r="F91" s="192"/>
      <c r="G91" s="21"/>
      <c r="H91" s="214">
        <v>4</v>
      </c>
      <c r="I91" s="21"/>
      <c r="J91" s="217">
        <f>G87*0.6</f>
        <v>985.19999999999993</v>
      </c>
      <c r="K91" s="217">
        <f t="shared" si="30"/>
        <v>60</v>
      </c>
      <c r="L91" s="21"/>
      <c r="M91" s="217">
        <f t="shared" si="31"/>
        <v>132.97860033347089</v>
      </c>
      <c r="N91" s="217">
        <f t="shared" si="32"/>
        <v>49.80471922601906</v>
      </c>
      <c r="O91" s="23"/>
    </row>
    <row r="92" spans="3:15" x14ac:dyDescent="0.2">
      <c r="C92" s="23"/>
      <c r="D92" s="23"/>
      <c r="E92" s="94"/>
      <c r="F92" s="192"/>
      <c r="G92" s="21"/>
      <c r="H92" s="214">
        <v>5</v>
      </c>
      <c r="I92" s="21"/>
      <c r="J92" s="217">
        <f>G87*0.8</f>
        <v>1313.6000000000001</v>
      </c>
      <c r="K92" s="217">
        <f t="shared" si="30"/>
        <v>80</v>
      </c>
      <c r="L92" s="21"/>
      <c r="M92" s="217">
        <f t="shared" si="31"/>
        <v>206.5352850652007</v>
      </c>
      <c r="N92" s="217">
        <f t="shared" si="32"/>
        <v>77.35403935026244</v>
      </c>
      <c r="O92" s="23"/>
    </row>
    <row r="93" spans="3:15" x14ac:dyDescent="0.2">
      <c r="C93" s="23"/>
      <c r="D93" s="23"/>
      <c r="E93" s="94"/>
      <c r="F93" s="192"/>
      <c r="G93" s="21"/>
      <c r="H93" s="218">
        <v>6</v>
      </c>
      <c r="I93" s="21"/>
      <c r="J93" s="21">
        <f>G87*1</f>
        <v>1642</v>
      </c>
      <c r="K93" s="217">
        <f t="shared" si="30"/>
        <v>100</v>
      </c>
      <c r="L93" s="21"/>
      <c r="M93" s="217">
        <f t="shared" si="31"/>
        <v>267</v>
      </c>
      <c r="N93" s="217">
        <f t="shared" si="32"/>
        <v>100</v>
      </c>
      <c r="O93" s="23"/>
    </row>
    <row r="94" spans="3:15" x14ac:dyDescent="0.2">
      <c r="C94" s="23"/>
      <c r="D94" s="23" t="s">
        <v>524</v>
      </c>
      <c r="E94" s="94">
        <v>36463</v>
      </c>
      <c r="F94" s="192">
        <v>190</v>
      </c>
      <c r="G94" s="21">
        <v>1970</v>
      </c>
      <c r="H94" s="214">
        <v>0</v>
      </c>
      <c r="I94" s="21"/>
      <c r="J94" s="217">
        <f>G94*0</f>
        <v>0</v>
      </c>
      <c r="K94" s="217">
        <f>J94/J$100*100</f>
        <v>0</v>
      </c>
      <c r="L94" s="21"/>
      <c r="M94" s="217">
        <f>F$94*(1-(($E$2+EXP(-$E$3*$E$4))/($E$2+EXP($E$3*(J94-$E$4))))^$E$2)/(1-(($E$2+EXP(-$E$3*$E$4))/($E$2+EXP($E$3*(G$94-$E$4))))^$E$2)</f>
        <v>0</v>
      </c>
      <c r="N94" s="217">
        <f>M94/M$100*100</f>
        <v>0</v>
      </c>
      <c r="O94" s="23"/>
    </row>
    <row r="95" spans="3:15" x14ac:dyDescent="0.2">
      <c r="C95" s="23"/>
      <c r="D95" s="23"/>
      <c r="E95" s="94"/>
      <c r="F95" s="192"/>
      <c r="G95" s="21"/>
      <c r="H95" s="214">
        <v>1</v>
      </c>
      <c r="I95" s="21"/>
      <c r="J95" s="217">
        <f>G94*0.2</f>
        <v>394</v>
      </c>
      <c r="K95" s="217">
        <f t="shared" ref="K95:K100" si="33">J95/J$100*100</f>
        <v>20</v>
      </c>
      <c r="L95" s="21"/>
      <c r="M95" s="217">
        <f t="shared" ref="M95:M100" si="34">F$94*(1-(($E$2+EXP(-$E$3*$E$4))/($E$2+EXP($E$3*(J95-$E$4))))^$E$2)/(1-(($E$2+EXP(-$E$3*$E$4))/($E$2+EXP($E$3*(G$94-$E$4))))^$E$2)</f>
        <v>13.328658876095348</v>
      </c>
      <c r="N95" s="217">
        <f t="shared" ref="N95:N100" si="35">M95/M$100*100</f>
        <v>7.0150836189975525</v>
      </c>
      <c r="O95" s="23"/>
    </row>
    <row r="96" spans="3:15" x14ac:dyDescent="0.2">
      <c r="C96" s="23"/>
      <c r="D96" s="23"/>
      <c r="E96" s="94"/>
      <c r="F96" s="192"/>
      <c r="G96" s="21"/>
      <c r="H96" s="214">
        <v>2</v>
      </c>
      <c r="I96" s="21"/>
      <c r="J96" s="217">
        <f>G94*0.4</f>
        <v>788</v>
      </c>
      <c r="K96" s="217">
        <f t="shared" si="33"/>
        <v>40</v>
      </c>
      <c r="L96" s="21"/>
      <c r="M96" s="217">
        <f t="shared" si="34"/>
        <v>53.017857513116098</v>
      </c>
      <c r="N96" s="217">
        <f t="shared" si="35"/>
        <v>27.904135533219005</v>
      </c>
      <c r="O96" s="23"/>
    </row>
    <row r="97" spans="3:15" x14ac:dyDescent="0.2">
      <c r="C97" s="23"/>
      <c r="D97" s="23"/>
      <c r="E97" s="94"/>
      <c r="F97" s="192"/>
      <c r="G97" s="21"/>
      <c r="H97" s="214">
        <v>3</v>
      </c>
      <c r="I97" s="21"/>
      <c r="J97" s="217">
        <f>G94*0.5</f>
        <v>985</v>
      </c>
      <c r="K97" s="217">
        <f t="shared" si="33"/>
        <v>50</v>
      </c>
      <c r="L97" s="21"/>
      <c r="M97" s="217">
        <f t="shared" si="34"/>
        <v>80.51401289667028</v>
      </c>
      <c r="N97" s="217">
        <f t="shared" si="35"/>
        <v>42.375796261405419</v>
      </c>
      <c r="O97" s="23"/>
    </row>
    <row r="98" spans="3:15" x14ac:dyDescent="0.2">
      <c r="C98" s="23"/>
      <c r="D98" s="23"/>
      <c r="E98" s="94"/>
      <c r="F98" s="192"/>
      <c r="G98" s="21"/>
      <c r="H98" s="214">
        <v>4</v>
      </c>
      <c r="I98" s="21"/>
      <c r="J98" s="217">
        <f>G94*0.6</f>
        <v>1182</v>
      </c>
      <c r="K98" s="217">
        <f t="shared" si="33"/>
        <v>60</v>
      </c>
      <c r="L98" s="21"/>
      <c r="M98" s="217">
        <f t="shared" si="34"/>
        <v>107.99118768651894</v>
      </c>
      <c r="N98" s="217">
        <f t="shared" si="35"/>
        <v>56.837467203431032</v>
      </c>
      <c r="O98" s="23"/>
    </row>
    <row r="99" spans="3:15" x14ac:dyDescent="0.2">
      <c r="C99" s="23"/>
      <c r="D99" s="23"/>
      <c r="E99" s="94"/>
      <c r="F99" s="192"/>
      <c r="G99" s="21"/>
      <c r="H99" s="214">
        <v>5</v>
      </c>
      <c r="I99" s="21"/>
      <c r="J99" s="217">
        <f>G94*0.8</f>
        <v>1576</v>
      </c>
      <c r="K99" s="217">
        <f t="shared" si="33"/>
        <v>80</v>
      </c>
      <c r="L99" s="21"/>
      <c r="M99" s="217">
        <f t="shared" si="34"/>
        <v>155.06324573735671</v>
      </c>
      <c r="N99" s="217">
        <f t="shared" si="35"/>
        <v>81.612234598608808</v>
      </c>
      <c r="O99" s="23"/>
    </row>
    <row r="100" spans="3:15" x14ac:dyDescent="0.2">
      <c r="C100" s="23"/>
      <c r="D100" s="23"/>
      <c r="E100" s="94"/>
      <c r="F100" s="192"/>
      <c r="G100" s="21"/>
      <c r="H100" s="218">
        <v>6</v>
      </c>
      <c r="I100" s="21"/>
      <c r="J100" s="21">
        <f>G94*1</f>
        <v>1970</v>
      </c>
      <c r="K100" s="217">
        <f t="shared" si="33"/>
        <v>100</v>
      </c>
      <c r="L100" s="21"/>
      <c r="M100" s="217">
        <f t="shared" si="34"/>
        <v>189.99999999999997</v>
      </c>
      <c r="N100" s="217">
        <f t="shared" si="35"/>
        <v>100</v>
      </c>
      <c r="O100" s="23"/>
    </row>
    <row r="101" spans="3:15" x14ac:dyDescent="0.2">
      <c r="C101" s="23"/>
      <c r="D101" s="23"/>
      <c r="E101" s="94">
        <v>36103</v>
      </c>
      <c r="F101" s="192">
        <v>224</v>
      </c>
      <c r="G101" s="21">
        <v>1828</v>
      </c>
      <c r="H101" s="214">
        <v>0</v>
      </c>
      <c r="I101" s="21"/>
      <c r="J101" s="217">
        <f>G101*0</f>
        <v>0</v>
      </c>
      <c r="K101" s="217">
        <f>J101/J$107*100</f>
        <v>0</v>
      </c>
      <c r="L101" s="21"/>
      <c r="M101" s="217">
        <f>F$101*(1-(($E$2+EXP(-$E$3*$E$4))/($E$2+EXP($E$3*(J101-$E$4))))^$E$2)/(1-(($E$2+EXP(-$E$3*$E$4))/($E$2+EXP($E$3*(G$101-$E$4))))^$E$2)</f>
        <v>0</v>
      </c>
      <c r="N101" s="217">
        <f>M101/M$107*100</f>
        <v>0</v>
      </c>
      <c r="O101" s="23"/>
    </row>
    <row r="102" spans="3:15" x14ac:dyDescent="0.2">
      <c r="C102" s="23"/>
      <c r="D102" s="23"/>
      <c r="E102" s="94"/>
      <c r="F102" s="192"/>
      <c r="G102" s="21"/>
      <c r="H102" s="214">
        <v>1</v>
      </c>
      <c r="I102" s="21"/>
      <c r="J102" s="217">
        <f>G101*0.2</f>
        <v>365.6</v>
      </c>
      <c r="K102" s="217">
        <f t="shared" ref="K102:K107" si="36">J102/J$107*100</f>
        <v>20</v>
      </c>
      <c r="L102" s="21"/>
      <c r="M102" s="217">
        <f t="shared" ref="M102:M107" si="37">F$101*(1-(($E$2+EXP(-$E$3*$E$4))/($E$2+EXP($E$3*(J102-$E$4))))^$E$2)/(1-(($E$2+EXP(-$E$3*$E$4))/($E$2+EXP($E$3*(G$101-$E$4))))^$E$2)</f>
        <v>14.582661262345974</v>
      </c>
      <c r="N102" s="217">
        <f t="shared" ref="N102:N107" si="38">M102/M$107*100</f>
        <v>6.5101166349758808</v>
      </c>
      <c r="O102" s="23"/>
    </row>
    <row r="103" spans="3:15" x14ac:dyDescent="0.2">
      <c r="C103" s="23"/>
      <c r="D103" s="23"/>
      <c r="E103" s="94"/>
      <c r="F103" s="192"/>
      <c r="G103" s="21"/>
      <c r="H103" s="214">
        <v>2</v>
      </c>
      <c r="I103" s="21"/>
      <c r="J103" s="217">
        <f>G101*0.4</f>
        <v>731.2</v>
      </c>
      <c r="K103" s="217">
        <f t="shared" si="36"/>
        <v>40</v>
      </c>
      <c r="L103" s="21"/>
      <c r="M103" s="217">
        <f t="shared" si="37"/>
        <v>57.217394613059767</v>
      </c>
      <c r="N103" s="217">
        <f t="shared" si="38"/>
        <v>25.543479737973108</v>
      </c>
      <c r="O103" s="23"/>
    </row>
    <row r="104" spans="3:15" x14ac:dyDescent="0.2">
      <c r="C104" s="23"/>
      <c r="D104" s="23"/>
      <c r="E104" s="94"/>
      <c r="F104" s="192"/>
      <c r="G104" s="21"/>
      <c r="H104" s="214">
        <v>3</v>
      </c>
      <c r="I104" s="21"/>
      <c r="J104" s="217">
        <f>G101*0.5</f>
        <v>914</v>
      </c>
      <c r="K104" s="217">
        <f t="shared" si="36"/>
        <v>50</v>
      </c>
      <c r="L104" s="21"/>
      <c r="M104" s="217">
        <f t="shared" si="37"/>
        <v>88.282034998676323</v>
      </c>
      <c r="N104" s="217">
        <f t="shared" si="38"/>
        <v>39.411622767266216</v>
      </c>
      <c r="O104" s="23"/>
    </row>
    <row r="105" spans="3:15" x14ac:dyDescent="0.2">
      <c r="C105" s="23"/>
      <c r="D105" s="23"/>
      <c r="E105" s="94"/>
      <c r="F105" s="192"/>
      <c r="G105" s="21"/>
      <c r="H105" s="214">
        <v>4</v>
      </c>
      <c r="I105" s="21"/>
      <c r="J105" s="217">
        <f>G101*0.6</f>
        <v>1096.8</v>
      </c>
      <c r="K105" s="217">
        <f t="shared" si="36"/>
        <v>60</v>
      </c>
      <c r="L105" s="21"/>
      <c r="M105" s="217">
        <f t="shared" si="37"/>
        <v>120.73293395297128</v>
      </c>
      <c r="N105" s="217">
        <f t="shared" si="38"/>
        <v>53.898631229005034</v>
      </c>
      <c r="O105" s="23"/>
    </row>
    <row r="106" spans="3:15" x14ac:dyDescent="0.2">
      <c r="C106" s="23"/>
      <c r="D106" s="23"/>
      <c r="E106" s="94"/>
      <c r="F106" s="192"/>
      <c r="G106" s="21"/>
      <c r="H106" s="214">
        <v>5</v>
      </c>
      <c r="I106" s="21"/>
      <c r="J106" s="217">
        <f>G101*0.8</f>
        <v>1462.4</v>
      </c>
      <c r="K106" s="217">
        <f t="shared" si="36"/>
        <v>80</v>
      </c>
      <c r="L106" s="21"/>
      <c r="M106" s="217">
        <f t="shared" si="37"/>
        <v>179.00189314404622</v>
      </c>
      <c r="N106" s="217">
        <f t="shared" si="38"/>
        <v>79.91155943930633</v>
      </c>
      <c r="O106" s="23"/>
    </row>
    <row r="107" spans="3:15" x14ac:dyDescent="0.2">
      <c r="C107" s="23"/>
      <c r="D107" s="23"/>
      <c r="E107" s="94"/>
      <c r="F107" s="192"/>
      <c r="G107" s="21"/>
      <c r="H107" s="218">
        <v>6</v>
      </c>
      <c r="I107" s="21"/>
      <c r="J107" s="21">
        <f>G101*1</f>
        <v>1828</v>
      </c>
      <c r="K107" s="217">
        <f t="shared" si="36"/>
        <v>100</v>
      </c>
      <c r="L107" s="21"/>
      <c r="M107" s="217">
        <f t="shared" si="37"/>
        <v>224.00000000000003</v>
      </c>
      <c r="N107" s="217">
        <f t="shared" si="38"/>
        <v>100</v>
      </c>
      <c r="O107" s="23"/>
    </row>
    <row r="108" spans="3:15" x14ac:dyDescent="0.2">
      <c r="C108" s="23"/>
      <c r="D108" s="23" t="s">
        <v>525</v>
      </c>
      <c r="E108" s="94">
        <v>36103</v>
      </c>
      <c r="F108" s="192">
        <v>294</v>
      </c>
      <c r="G108" s="21">
        <v>1642</v>
      </c>
      <c r="H108" s="214">
        <v>0</v>
      </c>
      <c r="I108" s="21"/>
      <c r="J108" s="217">
        <f>G108*0</f>
        <v>0</v>
      </c>
      <c r="K108" s="217">
        <f>J108/J$114*100</f>
        <v>0</v>
      </c>
      <c r="L108" s="21"/>
      <c r="M108" s="217">
        <f>F$108*(1-(($E$2+EXP(-$E$3*$E$4))/($E$2+EXP($E$3*(J108-$E$4))))^$E$2)/(1-(($E$2+EXP(-$E$3*$E$4))/($E$2+EXP($E$3*(G$108-$E$4))))^$E$2)</f>
        <v>0</v>
      </c>
      <c r="N108" s="217">
        <f>M108/M$114*100</f>
        <v>0</v>
      </c>
      <c r="O108" s="23"/>
    </row>
    <row r="109" spans="3:15" x14ac:dyDescent="0.2">
      <c r="C109" s="23"/>
      <c r="D109" s="23"/>
      <c r="E109" s="94"/>
      <c r="F109" s="192"/>
      <c r="G109" s="21"/>
      <c r="H109" s="214">
        <v>1</v>
      </c>
      <c r="I109" s="21"/>
      <c r="J109" s="217">
        <f>G108*0.2</f>
        <v>328.40000000000003</v>
      </c>
      <c r="K109" s="217">
        <f t="shared" ref="K109:K114" si="39">J109/J$114*100</f>
        <v>20</v>
      </c>
      <c r="L109" s="21"/>
      <c r="M109" s="217">
        <f t="shared" ref="M109:M114" si="40">F$108*(1-(($E$2+EXP(-$E$3*$E$4))/($E$2+EXP($E$3*(J109-$E$4))))^$E$2)/(1-(($E$2+EXP(-$E$3*$E$4))/($E$2+EXP($E$3*(G$108-$E$4))))^$E$2)</f>
        <v>17.509031250242426</v>
      </c>
      <c r="N109" s="217">
        <f t="shared" ref="N109:N114" si="41">M109/M$114*100</f>
        <v>5.9554528062049066</v>
      </c>
      <c r="O109" s="23"/>
    </row>
    <row r="110" spans="3:15" x14ac:dyDescent="0.2">
      <c r="C110" s="23"/>
      <c r="D110" s="23"/>
      <c r="E110" s="94"/>
      <c r="F110" s="192"/>
      <c r="G110" s="21"/>
      <c r="H110" s="214">
        <v>2</v>
      </c>
      <c r="I110" s="21"/>
      <c r="J110" s="217">
        <f>G108*0.4</f>
        <v>656.80000000000007</v>
      </c>
      <c r="K110" s="217">
        <f t="shared" si="39"/>
        <v>40</v>
      </c>
      <c r="L110" s="21"/>
      <c r="M110" s="217">
        <f t="shared" si="40"/>
        <v>66.655806620004384</v>
      </c>
      <c r="N110" s="217">
        <f t="shared" si="41"/>
        <v>22.672043068028703</v>
      </c>
      <c r="O110" s="23"/>
    </row>
    <row r="111" spans="3:15" x14ac:dyDescent="0.2">
      <c r="C111" s="23"/>
      <c r="D111" s="23"/>
      <c r="E111" s="94"/>
      <c r="F111" s="192"/>
      <c r="G111" s="21"/>
      <c r="H111" s="214">
        <v>3</v>
      </c>
      <c r="I111" s="21"/>
      <c r="J111" s="217">
        <f>G108*0.5</f>
        <v>821</v>
      </c>
      <c r="K111" s="217">
        <f t="shared" si="39"/>
        <v>50</v>
      </c>
      <c r="L111" s="21"/>
      <c r="M111" s="217">
        <f t="shared" si="40"/>
        <v>104.47107465651769</v>
      </c>
      <c r="N111" s="217">
        <f t="shared" si="41"/>
        <v>35.534379134869958</v>
      </c>
      <c r="O111" s="23"/>
    </row>
    <row r="112" spans="3:15" x14ac:dyDescent="0.2">
      <c r="C112" s="23"/>
      <c r="D112" s="23"/>
      <c r="E112" s="94"/>
      <c r="F112" s="192"/>
      <c r="G112" s="21"/>
      <c r="H112" s="214">
        <v>4</v>
      </c>
      <c r="I112" s="21"/>
      <c r="J112" s="217">
        <f>G108*0.6</f>
        <v>985.19999999999993</v>
      </c>
      <c r="K112" s="217">
        <f t="shared" si="39"/>
        <v>60</v>
      </c>
      <c r="L112" s="21"/>
      <c r="M112" s="217">
        <f t="shared" si="40"/>
        <v>146.42587452449607</v>
      </c>
      <c r="N112" s="217">
        <f t="shared" si="41"/>
        <v>49.804719226019074</v>
      </c>
      <c r="O112" s="23"/>
    </row>
    <row r="113" spans="3:15" x14ac:dyDescent="0.2">
      <c r="C113" s="23"/>
      <c r="D113" s="23"/>
      <c r="E113" s="94"/>
      <c r="F113" s="192"/>
      <c r="G113" s="21"/>
      <c r="H113" s="214">
        <v>5</v>
      </c>
      <c r="I113" s="21"/>
      <c r="J113" s="217">
        <f>G108*0.8</f>
        <v>1313.6000000000001</v>
      </c>
      <c r="K113" s="217">
        <f t="shared" si="39"/>
        <v>80</v>
      </c>
      <c r="L113" s="21"/>
      <c r="M113" s="217">
        <f t="shared" si="40"/>
        <v>227.42087568977155</v>
      </c>
      <c r="N113" s="217">
        <f t="shared" si="41"/>
        <v>77.354039350262426</v>
      </c>
      <c r="O113" s="23"/>
    </row>
    <row r="114" spans="3:15" x14ac:dyDescent="0.2">
      <c r="C114" s="23"/>
      <c r="D114" s="23"/>
      <c r="E114" s="94"/>
      <c r="F114" s="192"/>
      <c r="G114" s="21"/>
      <c r="H114" s="218">
        <v>6</v>
      </c>
      <c r="I114" s="21"/>
      <c r="J114" s="21">
        <f>G108*1</f>
        <v>1642</v>
      </c>
      <c r="K114" s="217">
        <f t="shared" si="39"/>
        <v>100</v>
      </c>
      <c r="L114" s="21"/>
      <c r="M114" s="217">
        <f t="shared" si="40"/>
        <v>294</v>
      </c>
      <c r="N114" s="217">
        <f t="shared" si="41"/>
        <v>100</v>
      </c>
      <c r="O114" s="23"/>
    </row>
    <row r="115" spans="3:15" x14ac:dyDescent="0.2">
      <c r="C115" s="23"/>
      <c r="D115" s="23"/>
      <c r="E115" s="94">
        <v>36451</v>
      </c>
      <c r="F115" s="192">
        <v>280</v>
      </c>
      <c r="G115" s="21">
        <v>2179</v>
      </c>
      <c r="H115" s="214">
        <v>0</v>
      </c>
      <c r="I115" s="21"/>
      <c r="J115" s="217">
        <f>G115*0</f>
        <v>0</v>
      </c>
      <c r="K115" s="217">
        <f>J115/J$121*100</f>
        <v>0</v>
      </c>
      <c r="L115" s="21"/>
      <c r="M115" s="217">
        <f>F$115*(1-(($E$2+EXP(-$E$3*$E$4))/($E$2+EXP($E$3*(J115-$E$4))))^$E$2)/(1-(($E$2+EXP(-$E$3*$E$4))/($E$2+EXP($E$3*(G$115-$E$4))))^$E$2)</f>
        <v>0</v>
      </c>
      <c r="N115" s="217">
        <f>M115/M$121*100</f>
        <v>0</v>
      </c>
      <c r="O115" s="23"/>
    </row>
    <row r="116" spans="3:15" x14ac:dyDescent="0.2">
      <c r="C116" s="23"/>
      <c r="D116" s="23"/>
      <c r="E116" s="94"/>
      <c r="F116" s="192"/>
      <c r="G116" s="21"/>
      <c r="H116" s="214">
        <v>1</v>
      </c>
      <c r="I116" s="21"/>
      <c r="J116" s="217">
        <f>G115*0.2</f>
        <v>435.8</v>
      </c>
      <c r="K116" s="217">
        <f t="shared" ref="K116:K121" si="42">J116/J$121*100</f>
        <v>20</v>
      </c>
      <c r="L116" s="21"/>
      <c r="M116" s="217">
        <f t="shared" ref="M116:M121" si="43">F$115*(1-(($E$2+EXP(-$E$3*$E$4))/($E$2+EXP($E$3*(J116-$E$4))))^$E$2)/(1-(($E$2+EXP(-$E$3*$E$4))/($E$2+EXP($E$3*(G$115-$E$4))))^$E$2)</f>
        <v>22.062024321022481</v>
      </c>
      <c r="N116" s="217">
        <f t="shared" ref="N116:N121" si="44">M116/M$121*100</f>
        <v>7.8792944003651719</v>
      </c>
      <c r="O116" s="23"/>
    </row>
    <row r="117" spans="3:15" x14ac:dyDescent="0.2">
      <c r="C117" s="23"/>
      <c r="D117" s="23"/>
      <c r="E117" s="94"/>
      <c r="F117" s="192"/>
      <c r="G117" s="21"/>
      <c r="H117" s="214">
        <v>2</v>
      </c>
      <c r="I117" s="21"/>
      <c r="J117" s="217">
        <f>G115*0.4</f>
        <v>871.6</v>
      </c>
      <c r="K117" s="217">
        <f t="shared" si="42"/>
        <v>40</v>
      </c>
      <c r="L117" s="21"/>
      <c r="M117" s="217">
        <f t="shared" si="43"/>
        <v>88.290383111789026</v>
      </c>
      <c r="N117" s="217">
        <f t="shared" si="44"/>
        <v>31.532279682781795</v>
      </c>
      <c r="O117" s="23"/>
    </row>
    <row r="118" spans="3:15" x14ac:dyDescent="0.2">
      <c r="C118" s="23"/>
      <c r="D118" s="23"/>
      <c r="E118" s="94"/>
      <c r="F118" s="192"/>
      <c r="G118" s="21"/>
      <c r="H118" s="214">
        <v>3</v>
      </c>
      <c r="I118" s="21"/>
      <c r="J118" s="217">
        <f>G115*0.5</f>
        <v>1089.5</v>
      </c>
      <c r="K118" s="217">
        <f t="shared" si="42"/>
        <v>50</v>
      </c>
      <c r="L118" s="21"/>
      <c r="M118" s="217">
        <f t="shared" si="43"/>
        <v>130.52614834851923</v>
      </c>
      <c r="N118" s="217">
        <f t="shared" si="44"/>
        <v>46.616481553042583</v>
      </c>
      <c r="O118" s="23"/>
    </row>
    <row r="119" spans="3:15" x14ac:dyDescent="0.2">
      <c r="C119" s="23"/>
      <c r="D119" s="23"/>
      <c r="E119" s="94"/>
      <c r="F119" s="192"/>
      <c r="G119" s="21"/>
      <c r="H119" s="214">
        <v>4</v>
      </c>
      <c r="I119" s="21"/>
      <c r="J119" s="217">
        <f>G115*0.6</f>
        <v>1307.3999999999999</v>
      </c>
      <c r="K119" s="217">
        <f t="shared" si="42"/>
        <v>60</v>
      </c>
      <c r="L119" s="21"/>
      <c r="M119" s="217">
        <f t="shared" si="43"/>
        <v>170.29203783933659</v>
      </c>
      <c r="N119" s="217">
        <f t="shared" si="44"/>
        <v>60.818584942620213</v>
      </c>
      <c r="O119" s="23"/>
    </row>
    <row r="120" spans="3:15" x14ac:dyDescent="0.2">
      <c r="C120" s="23"/>
      <c r="D120" s="23"/>
      <c r="E120" s="94"/>
      <c r="F120" s="192"/>
      <c r="G120" s="21"/>
      <c r="H120" s="214">
        <v>5</v>
      </c>
      <c r="I120" s="21"/>
      <c r="J120" s="217">
        <f>G115*0.8</f>
        <v>1743.2</v>
      </c>
      <c r="K120" s="217">
        <f t="shared" si="42"/>
        <v>80</v>
      </c>
      <c r="L120" s="21"/>
      <c r="M120" s="217">
        <f t="shared" si="43"/>
        <v>234.59765088966685</v>
      </c>
      <c r="N120" s="217">
        <f t="shared" si="44"/>
        <v>83.784875317738155</v>
      </c>
      <c r="O120" s="23"/>
    </row>
    <row r="121" spans="3:15" x14ac:dyDescent="0.2">
      <c r="C121" s="23"/>
      <c r="D121" s="23"/>
      <c r="E121" s="94"/>
      <c r="F121" s="192"/>
      <c r="G121" s="21"/>
      <c r="H121" s="218">
        <v>6</v>
      </c>
      <c r="I121" s="21"/>
      <c r="J121" s="21">
        <f>G115*1</f>
        <v>2179</v>
      </c>
      <c r="K121" s="217">
        <f t="shared" si="42"/>
        <v>100</v>
      </c>
      <c r="L121" s="21"/>
      <c r="M121" s="217">
        <f t="shared" si="43"/>
        <v>280</v>
      </c>
      <c r="N121" s="217">
        <f t="shared" si="44"/>
        <v>100</v>
      </c>
      <c r="O121" s="23"/>
    </row>
    <row r="122" spans="3:15" x14ac:dyDescent="0.2">
      <c r="C122" s="23"/>
      <c r="D122" s="23"/>
      <c r="E122" s="94">
        <v>36469</v>
      </c>
      <c r="F122" s="192">
        <v>325</v>
      </c>
      <c r="G122" s="21">
        <v>2101</v>
      </c>
      <c r="H122" s="214">
        <v>0</v>
      </c>
      <c r="I122" s="21"/>
      <c r="J122" s="217">
        <f>G122*0</f>
        <v>0</v>
      </c>
      <c r="K122" s="217">
        <f>J122/J$128*100</f>
        <v>0</v>
      </c>
      <c r="L122" s="21"/>
      <c r="M122" s="217">
        <f>F$122*(1-(($E$2+EXP(-$E$3*$E$4))/($E$2+EXP($E$3*(J122-$E$4))))^$E$2)/(1-(($E$2+EXP(-$E$3*$E$4))/($E$2+EXP($E$3*(G$122-$E$4))))^$E$2)</f>
        <v>0</v>
      </c>
      <c r="N122" s="217">
        <f>M122/M$128*100</f>
        <v>0</v>
      </c>
      <c r="O122" s="23"/>
    </row>
    <row r="123" spans="3:15" x14ac:dyDescent="0.2">
      <c r="C123" s="23"/>
      <c r="D123" s="23"/>
      <c r="E123" s="94"/>
      <c r="F123" s="192"/>
      <c r="G123" s="21"/>
      <c r="H123" s="214">
        <v>1</v>
      </c>
      <c r="I123" s="21"/>
      <c r="J123" s="217">
        <f>G122*0.2</f>
        <v>420.20000000000005</v>
      </c>
      <c r="K123" s="217">
        <f t="shared" ref="K123:K128" si="45">J123/J$128*100</f>
        <v>20</v>
      </c>
      <c r="L123" s="21"/>
      <c r="M123" s="217">
        <f t="shared" ref="M123:M128" si="46">F$122*(1-(($E$2+EXP(-$E$3*$E$4))/($E$2+EXP($E$3*(J123-$E$4))))^$E$2)/(1-(($E$2+EXP(-$E$3*$E$4))/($E$2+EXP($E$3*(G$122-$E$4))))^$E$2)</f>
        <v>24.50577683077989</v>
      </c>
      <c r="N123" s="217">
        <f t="shared" ref="N123:N128" si="47">M123/M$128*100</f>
        <v>7.5402390248553512</v>
      </c>
      <c r="O123" s="23"/>
    </row>
    <row r="124" spans="3:15" x14ac:dyDescent="0.2">
      <c r="C124" s="23"/>
      <c r="D124" s="23"/>
      <c r="E124" s="94"/>
      <c r="F124" s="192"/>
      <c r="G124" s="21"/>
      <c r="H124" s="214">
        <v>2</v>
      </c>
      <c r="I124" s="21"/>
      <c r="J124" s="217">
        <f>G122*0.4</f>
        <v>840.40000000000009</v>
      </c>
      <c r="K124" s="217">
        <f t="shared" si="45"/>
        <v>40</v>
      </c>
      <c r="L124" s="21"/>
      <c r="M124" s="217">
        <f t="shared" si="46"/>
        <v>98.03279072078287</v>
      </c>
      <c r="N124" s="217">
        <f t="shared" si="47"/>
        <v>30.16393560639473</v>
      </c>
      <c r="O124" s="23"/>
    </row>
    <row r="125" spans="3:15" x14ac:dyDescent="0.2">
      <c r="C125" s="23"/>
      <c r="D125" s="23"/>
      <c r="E125" s="94"/>
      <c r="F125" s="192"/>
      <c r="G125" s="21"/>
      <c r="H125" s="214">
        <v>3</v>
      </c>
      <c r="I125" s="21"/>
      <c r="J125" s="217">
        <f>G122*0.5</f>
        <v>1050.5</v>
      </c>
      <c r="K125" s="217">
        <f t="shared" si="45"/>
        <v>50</v>
      </c>
      <c r="L125" s="21"/>
      <c r="M125" s="217">
        <f t="shared" si="46"/>
        <v>146.43584501190071</v>
      </c>
      <c r="N125" s="217">
        <f t="shared" si="47"/>
        <v>45.057183080584835</v>
      </c>
      <c r="O125" s="23"/>
    </row>
    <row r="126" spans="3:15" x14ac:dyDescent="0.2">
      <c r="C126" s="23"/>
      <c r="D126" s="23"/>
      <c r="E126" s="94"/>
      <c r="F126" s="192"/>
      <c r="G126" s="21"/>
      <c r="H126" s="214">
        <v>4</v>
      </c>
      <c r="I126" s="21"/>
      <c r="J126" s="217">
        <f>G122*0.6</f>
        <v>1260.5999999999999</v>
      </c>
      <c r="K126" s="217">
        <f t="shared" si="45"/>
        <v>60</v>
      </c>
      <c r="L126" s="21"/>
      <c r="M126" s="217">
        <f t="shared" si="46"/>
        <v>192.98996390470376</v>
      </c>
      <c r="N126" s="217">
        <f t="shared" si="47"/>
        <v>59.381527355293464</v>
      </c>
      <c r="O126" s="23"/>
    </row>
    <row r="127" spans="3:15" x14ac:dyDescent="0.2">
      <c r="C127" s="23"/>
      <c r="D127" s="23"/>
      <c r="E127" s="94"/>
      <c r="F127" s="192"/>
      <c r="G127" s="21"/>
      <c r="H127" s="214">
        <v>5</v>
      </c>
      <c r="I127" s="21"/>
      <c r="J127" s="217">
        <f>G122*0.8</f>
        <v>1680.8000000000002</v>
      </c>
      <c r="K127" s="217">
        <f t="shared" si="45"/>
        <v>80</v>
      </c>
      <c r="L127" s="21"/>
      <c r="M127" s="217">
        <f t="shared" si="46"/>
        <v>269.80035334999519</v>
      </c>
      <c r="N127" s="217">
        <f t="shared" si="47"/>
        <v>83.015493338460061</v>
      </c>
      <c r="O127" s="23"/>
    </row>
    <row r="128" spans="3:15" x14ac:dyDescent="0.2">
      <c r="C128" s="23"/>
      <c r="D128" s="23"/>
      <c r="E128" s="94"/>
      <c r="F128" s="192"/>
      <c r="G128" s="21"/>
      <c r="H128" s="218">
        <v>6</v>
      </c>
      <c r="I128" s="21"/>
      <c r="J128" s="21">
        <f>G122*1</f>
        <v>2101</v>
      </c>
      <c r="K128" s="217">
        <f t="shared" si="45"/>
        <v>100</v>
      </c>
      <c r="L128" s="21"/>
      <c r="M128" s="217">
        <f t="shared" si="46"/>
        <v>325</v>
      </c>
      <c r="N128" s="217">
        <f t="shared" si="47"/>
        <v>100</v>
      </c>
      <c r="O128" s="23"/>
    </row>
    <row r="129" spans="1:15" x14ac:dyDescent="0.2">
      <c r="A129" s="23"/>
      <c r="B129" s="23"/>
      <c r="C129" s="23"/>
      <c r="D129" s="23"/>
      <c r="E129" s="94">
        <v>36488</v>
      </c>
      <c r="F129" s="192">
        <v>272</v>
      </c>
      <c r="G129" s="21">
        <v>1996</v>
      </c>
      <c r="H129" s="214">
        <v>0</v>
      </c>
      <c r="I129" s="21"/>
      <c r="J129" s="217">
        <f>G129*0</f>
        <v>0</v>
      </c>
      <c r="K129" s="217">
        <f>J129/J$135*100</f>
        <v>0</v>
      </c>
      <c r="L129" s="21"/>
      <c r="M129" s="217">
        <f>F$129*(1-(($E$2+EXP(-$E$3*$E$4))/($E$2+EXP($E$3*(J129-$E$4))))^$E$2)/(1-(($E$2+EXP(-$E$3*$E$4))/($E$2+EXP($E$3*(G$129-$E$4))))^$E$2)</f>
        <v>0</v>
      </c>
      <c r="N129" s="217">
        <f>M129/M$135*100</f>
        <v>0</v>
      </c>
      <c r="O129" s="23"/>
    </row>
    <row r="130" spans="1:15" x14ac:dyDescent="0.2">
      <c r="A130" s="23"/>
      <c r="B130" s="23"/>
      <c r="C130" s="23"/>
      <c r="D130" s="23"/>
      <c r="E130" s="94"/>
      <c r="F130" s="192"/>
      <c r="G130" s="21"/>
      <c r="H130" s="214">
        <v>1</v>
      </c>
      <c r="I130" s="21"/>
      <c r="J130" s="217">
        <f>G129*0.2</f>
        <v>399.20000000000005</v>
      </c>
      <c r="K130" s="217">
        <f t="shared" ref="K130:K135" si="48">J130/J$135*100</f>
        <v>20</v>
      </c>
      <c r="L130" s="21"/>
      <c r="M130" s="217">
        <f t="shared" ref="M130:M135" si="49">F$129*(1-(($E$2+EXP(-$E$3*$E$4))/($E$2+EXP($E$3*(J130-$E$4))))^$E$2)/(1-(($E$2+EXP(-$E$3*$E$4))/($E$2+EXP($E$3*(G$129-$E$4))))^$E$2)</f>
        <v>19.352387958462636</v>
      </c>
      <c r="N130" s="217">
        <f t="shared" ref="N130:N135" si="50">M130/M$135*100</f>
        <v>7.1148485141406743</v>
      </c>
      <c r="O130" s="23"/>
    </row>
    <row r="131" spans="1:15" x14ac:dyDescent="0.2">
      <c r="A131" s="23"/>
      <c r="B131" s="23"/>
      <c r="C131" s="23"/>
      <c r="D131" s="23"/>
      <c r="E131" s="94"/>
      <c r="F131" s="192"/>
      <c r="G131" s="21"/>
      <c r="H131" s="214">
        <v>2</v>
      </c>
      <c r="I131" s="21"/>
      <c r="J131" s="217">
        <f>G129*0.4</f>
        <v>798.40000000000009</v>
      </c>
      <c r="K131" s="217">
        <f t="shared" si="48"/>
        <v>40</v>
      </c>
      <c r="L131" s="21"/>
      <c r="M131" s="217">
        <f t="shared" si="49"/>
        <v>77.105496289796235</v>
      </c>
      <c r="N131" s="217">
        <f t="shared" si="50"/>
        <v>28.347608930072145</v>
      </c>
      <c r="O131" s="23"/>
    </row>
    <row r="132" spans="1:15" x14ac:dyDescent="0.2">
      <c r="A132" s="23"/>
      <c r="B132" s="23"/>
      <c r="C132" s="23"/>
      <c r="D132" s="23"/>
      <c r="E132" s="94"/>
      <c r="F132" s="192"/>
      <c r="G132" s="21"/>
      <c r="H132" s="214">
        <v>3</v>
      </c>
      <c r="I132" s="21"/>
      <c r="J132" s="217">
        <f>G129*0.5</f>
        <v>998</v>
      </c>
      <c r="K132" s="217">
        <f t="shared" si="48"/>
        <v>50</v>
      </c>
      <c r="L132" s="21"/>
      <c r="M132" s="217">
        <f t="shared" si="49"/>
        <v>116.72402298055603</v>
      </c>
      <c r="N132" s="217">
        <f t="shared" si="50"/>
        <v>42.913243742851478</v>
      </c>
      <c r="O132" s="23"/>
    </row>
    <row r="133" spans="1:15" x14ac:dyDescent="0.2">
      <c r="A133" s="23"/>
      <c r="B133" s="23"/>
      <c r="C133" s="23"/>
      <c r="D133" s="23"/>
      <c r="E133" s="94"/>
      <c r="F133" s="192"/>
      <c r="G133" s="21"/>
      <c r="H133" s="214">
        <v>4</v>
      </c>
      <c r="I133" s="21"/>
      <c r="J133" s="217">
        <f>G129*0.6</f>
        <v>1197.5999999999999</v>
      </c>
      <c r="K133" s="217">
        <f t="shared" si="48"/>
        <v>60</v>
      </c>
      <c r="L133" s="21"/>
      <c r="M133" s="217">
        <f t="shared" si="49"/>
        <v>156.00672510478398</v>
      </c>
      <c r="N133" s="217">
        <f t="shared" si="50"/>
        <v>57.3554136414647</v>
      </c>
      <c r="O133" s="23"/>
    </row>
    <row r="134" spans="1:15" x14ac:dyDescent="0.2">
      <c r="A134" s="23"/>
      <c r="B134" s="23"/>
      <c r="C134" s="23"/>
      <c r="D134" s="23"/>
      <c r="E134" s="94"/>
      <c r="F134" s="192"/>
      <c r="G134" s="21"/>
      <c r="H134" s="214">
        <v>5</v>
      </c>
      <c r="I134" s="21"/>
      <c r="J134" s="217">
        <f>G129*0.8</f>
        <v>1596.8000000000002</v>
      </c>
      <c r="K134" s="217">
        <f t="shared" si="48"/>
        <v>80</v>
      </c>
      <c r="L134" s="21"/>
      <c r="M134" s="217">
        <f t="shared" si="49"/>
        <v>222.77511050217288</v>
      </c>
      <c r="N134" s="217">
        <f t="shared" si="50"/>
        <v>81.902614155210614</v>
      </c>
      <c r="O134" s="23"/>
    </row>
    <row r="135" spans="1:15" x14ac:dyDescent="0.2">
      <c r="A135" s="23"/>
      <c r="B135" s="23"/>
      <c r="C135" s="23"/>
      <c r="D135" s="23"/>
      <c r="E135" s="94"/>
      <c r="F135" s="192"/>
      <c r="G135" s="21"/>
      <c r="H135" s="218">
        <v>6</v>
      </c>
      <c r="I135" s="21"/>
      <c r="J135" s="21">
        <f>G129*1</f>
        <v>1996</v>
      </c>
      <c r="K135" s="217">
        <f t="shared" si="48"/>
        <v>100</v>
      </c>
      <c r="L135" s="21"/>
      <c r="M135" s="217">
        <f t="shared" si="49"/>
        <v>272</v>
      </c>
      <c r="N135" s="217">
        <f t="shared" si="50"/>
        <v>100</v>
      </c>
      <c r="O135" s="23"/>
    </row>
    <row r="136" spans="1:15" x14ac:dyDescent="0.2">
      <c r="A136" s="23"/>
      <c r="B136" s="23"/>
      <c r="C136" s="23"/>
      <c r="D136" s="23" t="s">
        <v>526</v>
      </c>
      <c r="E136" s="94">
        <v>37193</v>
      </c>
      <c r="F136" s="192">
        <v>203</v>
      </c>
      <c r="G136" s="21">
        <v>1442</v>
      </c>
      <c r="H136" s="214">
        <v>0</v>
      </c>
      <c r="I136" s="21"/>
      <c r="J136" s="217">
        <f>G136*0</f>
        <v>0</v>
      </c>
      <c r="K136" s="217">
        <f>J136/J$142*100</f>
        <v>0</v>
      </c>
      <c r="L136" s="21"/>
      <c r="M136" s="217">
        <f>F$136*(1-(($E$2+EXP(-$E$3*$E$4))/($E$2+EXP($E$3*(J136-$E$4))))^$E$2)/(1-(($E$2+EXP(-$E$3*$E$4))/($E$2+EXP($E$3*(G$136-$E$4))))^$E$2)</f>
        <v>0</v>
      </c>
      <c r="N136" s="217">
        <f>M136/M$142*100</f>
        <v>0</v>
      </c>
      <c r="O136" s="23"/>
    </row>
    <row r="137" spans="1:15" x14ac:dyDescent="0.2">
      <c r="A137" s="23"/>
      <c r="B137" s="23"/>
      <c r="C137" s="23"/>
      <c r="D137" s="23"/>
      <c r="E137" s="94"/>
      <c r="F137" s="192"/>
      <c r="G137" s="21"/>
      <c r="H137" s="214">
        <v>1</v>
      </c>
      <c r="I137" s="21"/>
      <c r="J137" s="217">
        <f>G136*0.2</f>
        <v>288.40000000000003</v>
      </c>
      <c r="K137" s="217">
        <f t="shared" ref="K137:K142" si="51">J137/J$142*100</f>
        <v>20</v>
      </c>
      <c r="L137" s="21"/>
      <c r="M137" s="217">
        <f t="shared" ref="M137:M142" si="52">F$136*(1-(($E$2+EXP(-$E$3*$E$4))/($E$2+EXP($E$3*(J137-$E$4))))^$E$2)/(1-(($E$2+EXP(-$E$3*$E$4))/($E$2+EXP($E$3*(G$136-$E$4))))^$E$2)</f>
        <v>11.185230824908091</v>
      </c>
      <c r="N137" s="217">
        <f t="shared" ref="N137:N142" si="53">M137/M$142*100</f>
        <v>5.5099659236000447</v>
      </c>
      <c r="O137" s="23"/>
    </row>
    <row r="138" spans="1:15" x14ac:dyDescent="0.2">
      <c r="A138" s="23"/>
      <c r="B138" s="23"/>
      <c r="C138" s="23"/>
      <c r="D138" s="23"/>
      <c r="E138" s="94"/>
      <c r="F138" s="192"/>
      <c r="G138" s="21"/>
      <c r="H138" s="214">
        <v>2</v>
      </c>
      <c r="I138" s="21"/>
      <c r="J138" s="217">
        <f>G136*0.4</f>
        <v>576.80000000000007</v>
      </c>
      <c r="K138" s="217">
        <f t="shared" si="51"/>
        <v>40</v>
      </c>
      <c r="L138" s="21"/>
      <c r="M138" s="217">
        <f t="shared" si="52"/>
        <v>40.594208964831218</v>
      </c>
      <c r="N138" s="217">
        <f t="shared" si="53"/>
        <v>19.997147273315871</v>
      </c>
      <c r="O138" s="23"/>
    </row>
    <row r="139" spans="1:15" x14ac:dyDescent="0.2">
      <c r="A139" s="23"/>
      <c r="B139" s="23"/>
      <c r="C139" s="23"/>
      <c r="D139" s="23"/>
      <c r="E139" s="94"/>
      <c r="F139" s="192"/>
      <c r="G139" s="21"/>
      <c r="H139" s="214">
        <v>3</v>
      </c>
      <c r="I139" s="21"/>
      <c r="J139" s="217">
        <f>G136*0.5</f>
        <v>721</v>
      </c>
      <c r="K139" s="217">
        <f t="shared" si="51"/>
        <v>50</v>
      </c>
      <c r="L139" s="21"/>
      <c r="M139" s="217">
        <f t="shared" si="52"/>
        <v>64.107979445294191</v>
      </c>
      <c r="N139" s="217">
        <f t="shared" si="53"/>
        <v>31.58028544103162</v>
      </c>
      <c r="O139" s="23"/>
    </row>
    <row r="140" spans="1:15" x14ac:dyDescent="0.2">
      <c r="A140" s="23"/>
      <c r="B140" s="23"/>
      <c r="C140" s="23"/>
      <c r="D140" s="23"/>
      <c r="E140" s="94"/>
      <c r="F140" s="192"/>
      <c r="G140" s="21"/>
      <c r="H140" s="214">
        <v>4</v>
      </c>
      <c r="I140" s="21"/>
      <c r="J140" s="217">
        <f>G136*0.6</f>
        <v>865.19999999999993</v>
      </c>
      <c r="K140" s="217">
        <f t="shared" si="51"/>
        <v>60</v>
      </c>
      <c r="L140" s="21"/>
      <c r="M140" s="217">
        <f t="shared" si="52"/>
        <v>91.855888904153886</v>
      </c>
      <c r="N140" s="217">
        <f t="shared" si="53"/>
        <v>45.249206356726049</v>
      </c>
      <c r="O140" s="23"/>
    </row>
    <row r="141" spans="1:15" x14ac:dyDescent="0.2">
      <c r="A141" s="23"/>
      <c r="B141" s="23"/>
      <c r="C141" s="23"/>
      <c r="D141" s="23"/>
      <c r="E141" s="94"/>
      <c r="F141" s="192"/>
      <c r="G141" s="21"/>
      <c r="H141" s="214">
        <v>5</v>
      </c>
      <c r="I141" s="21"/>
      <c r="J141" s="217">
        <f>G136*0.8</f>
        <v>1153.6000000000001</v>
      </c>
      <c r="K141" s="217">
        <f t="shared" si="51"/>
        <v>80</v>
      </c>
      <c r="L141" s="21"/>
      <c r="M141" s="217">
        <f t="shared" si="52"/>
        <v>150.50192171380209</v>
      </c>
      <c r="N141" s="217">
        <f t="shared" si="53"/>
        <v>74.138877691528123</v>
      </c>
      <c r="O141" s="23"/>
    </row>
    <row r="142" spans="1:15" x14ac:dyDescent="0.2">
      <c r="A142" s="23"/>
      <c r="B142" s="23"/>
      <c r="C142" s="23"/>
      <c r="D142" s="23"/>
      <c r="E142" s="94"/>
      <c r="F142" s="192"/>
      <c r="G142" s="21"/>
      <c r="H142" s="218">
        <v>6</v>
      </c>
      <c r="I142" s="21"/>
      <c r="J142" s="21">
        <f>G136*1</f>
        <v>1442</v>
      </c>
      <c r="K142" s="217">
        <f t="shared" si="51"/>
        <v>100</v>
      </c>
      <c r="L142" s="21"/>
      <c r="M142" s="217">
        <f t="shared" si="52"/>
        <v>203</v>
      </c>
      <c r="N142" s="217">
        <f t="shared" si="53"/>
        <v>100</v>
      </c>
      <c r="O142" s="23"/>
    </row>
    <row r="143" spans="1:15" x14ac:dyDescent="0.2">
      <c r="A143" s="23"/>
      <c r="B143" s="23"/>
      <c r="C143" s="23"/>
      <c r="D143" s="23"/>
      <c r="E143" s="94">
        <v>35733</v>
      </c>
      <c r="F143" s="192">
        <v>188</v>
      </c>
      <c r="G143" s="21">
        <v>1880</v>
      </c>
      <c r="H143" s="214">
        <v>0</v>
      </c>
      <c r="I143" s="21"/>
      <c r="J143" s="217">
        <f>G143*0</f>
        <v>0</v>
      </c>
      <c r="K143" s="217">
        <f>J143/J$149*100</f>
        <v>0</v>
      </c>
      <c r="L143" s="21"/>
      <c r="M143" s="217">
        <f>F$143*(1-(($E$2+EXP(-$E$3*$E$4))/($E$2+EXP($E$3*(J143-$E$4))))^$E$2)/(1-(($E$2+EXP(-$E$3*$E$4))/($E$2+EXP($E$3*(G$143-$E$4))))^$E$2)</f>
        <v>0</v>
      </c>
      <c r="N143" s="217">
        <f>M143/M$149*100</f>
        <v>0</v>
      </c>
      <c r="O143" s="23"/>
    </row>
    <row r="144" spans="1:15" x14ac:dyDescent="0.2">
      <c r="A144" s="23"/>
      <c r="B144" s="23"/>
      <c r="C144" s="23"/>
      <c r="D144" s="23"/>
      <c r="E144" s="94"/>
      <c r="F144" s="192"/>
      <c r="G144" s="21"/>
      <c r="H144" s="214">
        <v>1</v>
      </c>
      <c r="I144" s="21"/>
      <c r="J144" s="217">
        <f>G143*0.2</f>
        <v>376</v>
      </c>
      <c r="K144" s="217">
        <f t="shared" ref="K144:K149" si="54">J144/J$149*100</f>
        <v>20</v>
      </c>
      <c r="L144" s="21"/>
      <c r="M144" s="217">
        <f t="shared" ref="M144:M149" si="55">F$143*(1-(($E$2+EXP(-$E$3*$E$4))/($E$2+EXP($E$3*(J144-$E$4))))^$E$2)/(1-(($E$2+EXP(-$E$3*$E$4))/($E$2+EXP($E$3*(G$143-$E$4))))^$E$2)</f>
        <v>12.57177542367778</v>
      </c>
      <c r="N144" s="217">
        <f t="shared" ref="N144:N149" si="56">M144/M$149*100</f>
        <v>6.6871145870626494</v>
      </c>
      <c r="O144" s="23"/>
    </row>
    <row r="145" spans="1:15" x14ac:dyDescent="0.2">
      <c r="A145" s="23"/>
      <c r="B145" s="23"/>
      <c r="C145" s="23"/>
      <c r="D145" s="23"/>
      <c r="E145" s="94"/>
      <c r="F145" s="192"/>
      <c r="G145" s="21"/>
      <c r="H145" s="214">
        <v>2</v>
      </c>
      <c r="I145" s="21"/>
      <c r="J145" s="217">
        <f>G143*0.4</f>
        <v>752</v>
      </c>
      <c r="K145" s="217">
        <f t="shared" si="54"/>
        <v>40</v>
      </c>
      <c r="L145" s="21"/>
      <c r="M145" s="217">
        <f t="shared" si="55"/>
        <v>49.621428241942333</v>
      </c>
      <c r="N145" s="217">
        <f t="shared" si="56"/>
        <v>26.394376724437414</v>
      </c>
      <c r="O145" s="23"/>
    </row>
    <row r="146" spans="1:15" x14ac:dyDescent="0.2">
      <c r="A146" s="23"/>
      <c r="B146" s="23"/>
      <c r="C146" s="23"/>
      <c r="D146" s="23"/>
      <c r="E146" s="94"/>
      <c r="F146" s="192"/>
      <c r="G146" s="21"/>
      <c r="H146" s="214">
        <v>3</v>
      </c>
      <c r="I146" s="21"/>
      <c r="J146" s="217">
        <f>G143*0.5</f>
        <v>940</v>
      </c>
      <c r="K146" s="217">
        <f t="shared" si="54"/>
        <v>50</v>
      </c>
      <c r="L146" s="21"/>
      <c r="M146" s="217">
        <f t="shared" si="55"/>
        <v>76.142028321707215</v>
      </c>
      <c r="N146" s="217">
        <f t="shared" si="56"/>
        <v>40.501078894525115</v>
      </c>
      <c r="O146" s="23"/>
    </row>
    <row r="147" spans="1:15" x14ac:dyDescent="0.2">
      <c r="A147" s="23"/>
      <c r="B147" s="23"/>
      <c r="C147" s="23"/>
      <c r="D147" s="23"/>
      <c r="E147" s="94"/>
      <c r="F147" s="192"/>
      <c r="G147" s="21"/>
      <c r="H147" s="214">
        <v>4</v>
      </c>
      <c r="I147" s="21"/>
      <c r="J147" s="217">
        <f>G143*0.6</f>
        <v>1128</v>
      </c>
      <c r="K147" s="217">
        <f t="shared" si="54"/>
        <v>60</v>
      </c>
      <c r="L147" s="21"/>
      <c r="M147" s="217">
        <f t="shared" si="55"/>
        <v>103.39221136878305</v>
      </c>
      <c r="N147" s="217">
        <f t="shared" si="56"/>
        <v>54.995857111054811</v>
      </c>
      <c r="O147" s="23"/>
    </row>
    <row r="148" spans="1:15" x14ac:dyDescent="0.2">
      <c r="A148" s="23"/>
      <c r="B148" s="23"/>
      <c r="C148" s="23"/>
      <c r="D148" s="23"/>
      <c r="E148" s="94"/>
      <c r="F148" s="192"/>
      <c r="G148" s="21"/>
      <c r="H148" s="214">
        <v>5</v>
      </c>
      <c r="I148" s="21"/>
      <c r="J148" s="217">
        <f>G143*0.8</f>
        <v>1504</v>
      </c>
      <c r="K148" s="217">
        <f t="shared" si="54"/>
        <v>80</v>
      </c>
      <c r="L148" s="21"/>
      <c r="M148" s="217">
        <f t="shared" si="55"/>
        <v>151.44865482317016</v>
      </c>
      <c r="N148" s="217">
        <f t="shared" si="56"/>
        <v>80.557795118707531</v>
      </c>
      <c r="O148" s="23"/>
    </row>
    <row r="149" spans="1:15" x14ac:dyDescent="0.2">
      <c r="A149" s="23"/>
      <c r="B149" s="23"/>
      <c r="C149" s="23"/>
      <c r="D149" s="23"/>
      <c r="E149" s="94"/>
      <c r="F149" s="192"/>
      <c r="G149" s="21"/>
      <c r="H149" s="218">
        <v>6</v>
      </c>
      <c r="I149" s="21"/>
      <c r="J149" s="21">
        <f>G143*1</f>
        <v>1880</v>
      </c>
      <c r="K149" s="217">
        <f t="shared" si="54"/>
        <v>100</v>
      </c>
      <c r="L149" s="21"/>
      <c r="M149" s="217">
        <f t="shared" si="55"/>
        <v>188</v>
      </c>
      <c r="N149" s="217">
        <f t="shared" si="56"/>
        <v>100</v>
      </c>
      <c r="O149" s="23"/>
    </row>
    <row r="150" spans="1:15" x14ac:dyDescent="0.2">
      <c r="A150" s="23"/>
      <c r="B150" s="23"/>
      <c r="C150" s="23"/>
      <c r="D150" s="23"/>
      <c r="E150" s="94">
        <v>36084</v>
      </c>
      <c r="F150" s="192">
        <v>261</v>
      </c>
      <c r="G150" s="21">
        <v>1515</v>
      </c>
      <c r="H150" s="214">
        <v>0</v>
      </c>
      <c r="I150" s="21"/>
      <c r="J150" s="217">
        <f>G150*0</f>
        <v>0</v>
      </c>
      <c r="K150" s="217">
        <f>J150/J$156*100</f>
        <v>0</v>
      </c>
      <c r="L150" s="21"/>
      <c r="M150" s="217">
        <f>F$150*(1-(($E$2+EXP(-$E$3*$E$4))/($E$2+EXP($E$3*(J150-$E$4))))^$E$2)/(1-(($E$2+EXP(-$E$3*$E$4))/($E$2+EXP($E$3*(G$150-$E$4))))^$E$2)</f>
        <v>0</v>
      </c>
      <c r="N150" s="217">
        <f>M150/M$156*100</f>
        <v>0</v>
      </c>
      <c r="O150" s="23"/>
    </row>
    <row r="151" spans="1:15" x14ac:dyDescent="0.2">
      <c r="A151" s="23"/>
      <c r="B151" s="23"/>
      <c r="C151" s="23"/>
      <c r="D151" s="23"/>
      <c r="E151" s="94"/>
      <c r="F151" s="192"/>
      <c r="G151" s="21"/>
      <c r="H151" s="214">
        <v>1</v>
      </c>
      <c r="I151" s="21"/>
      <c r="J151" s="217">
        <f>G150*0.2</f>
        <v>303</v>
      </c>
      <c r="K151" s="217">
        <f t="shared" ref="K151:K156" si="57">J151/J$156*100</f>
        <v>20</v>
      </c>
      <c r="L151" s="21"/>
      <c r="M151" s="217">
        <f t="shared" ref="M151:M156" si="58">F$150*(1-(($E$2+EXP(-$E$3*$E$4))/($E$2+EXP($E$3*(J151-$E$4))))^$E$2)/(1-(($E$2+EXP(-$E$3*$E$4))/($E$2+EXP($E$3*(G$150-$E$4))))^$E$2)</f>
        <v>14.753665987940337</v>
      </c>
      <c r="N151" s="217">
        <f t="shared" ref="N151:N156" si="59">M151/M$156*100</f>
        <v>5.6527455892491716</v>
      </c>
      <c r="O151" s="23"/>
    </row>
    <row r="152" spans="1:15" x14ac:dyDescent="0.2">
      <c r="A152" s="23"/>
      <c r="B152" s="23"/>
      <c r="C152" s="23"/>
      <c r="D152" s="23"/>
      <c r="E152" s="94"/>
      <c r="F152" s="192"/>
      <c r="G152" s="21"/>
      <c r="H152" s="214">
        <v>2</v>
      </c>
      <c r="I152" s="21"/>
      <c r="J152" s="217">
        <f>G150*0.4</f>
        <v>606</v>
      </c>
      <c r="K152" s="217">
        <f t="shared" si="57"/>
        <v>40</v>
      </c>
      <c r="L152" s="21"/>
      <c r="M152" s="217">
        <f t="shared" si="58"/>
        <v>54.584497388330625</v>
      </c>
      <c r="N152" s="217">
        <f t="shared" si="59"/>
        <v>20.913600531927443</v>
      </c>
      <c r="O152" s="23"/>
    </row>
    <row r="153" spans="1:15" x14ac:dyDescent="0.2">
      <c r="A153" s="23"/>
      <c r="B153" s="23"/>
      <c r="C153" s="23"/>
      <c r="D153" s="23"/>
      <c r="E153" s="94"/>
      <c r="F153" s="192"/>
      <c r="G153" s="21"/>
      <c r="H153" s="214">
        <v>3</v>
      </c>
      <c r="I153" s="21"/>
      <c r="J153" s="217">
        <f>G150*0.5</f>
        <v>757.5</v>
      </c>
      <c r="K153" s="217">
        <f t="shared" si="57"/>
        <v>50</v>
      </c>
      <c r="L153" s="21"/>
      <c r="M153" s="217">
        <f t="shared" si="58"/>
        <v>86.075890346510846</v>
      </c>
      <c r="N153" s="217">
        <f t="shared" si="59"/>
        <v>32.979268331996494</v>
      </c>
      <c r="O153" s="23"/>
    </row>
    <row r="154" spans="1:15" x14ac:dyDescent="0.2">
      <c r="A154" s="23"/>
      <c r="B154" s="23"/>
      <c r="C154" s="23"/>
      <c r="D154" s="23"/>
      <c r="E154" s="94"/>
      <c r="F154" s="192"/>
      <c r="G154" s="21"/>
      <c r="H154" s="214">
        <v>4</v>
      </c>
      <c r="I154" s="21"/>
      <c r="J154" s="217">
        <f>G150*0.6</f>
        <v>909</v>
      </c>
      <c r="K154" s="217">
        <f t="shared" si="57"/>
        <v>60</v>
      </c>
      <c r="L154" s="21"/>
      <c r="M154" s="217">
        <f t="shared" si="58"/>
        <v>122.44255955764112</v>
      </c>
      <c r="N154" s="217">
        <f t="shared" si="59"/>
        <v>46.91285806806173</v>
      </c>
      <c r="O154" s="23"/>
    </row>
    <row r="155" spans="1:15" x14ac:dyDescent="0.2">
      <c r="A155" s="23"/>
      <c r="B155" s="23"/>
      <c r="C155" s="23"/>
      <c r="D155" s="23"/>
      <c r="E155" s="94"/>
      <c r="F155" s="192"/>
      <c r="G155" s="21"/>
      <c r="H155" s="214">
        <v>5</v>
      </c>
      <c r="I155" s="21"/>
      <c r="J155" s="217">
        <f>G150*0.8</f>
        <v>1212</v>
      </c>
      <c r="K155" s="217">
        <f t="shared" si="57"/>
        <v>80</v>
      </c>
      <c r="L155" s="21"/>
      <c r="M155" s="217">
        <f t="shared" si="58"/>
        <v>196.71297002120289</v>
      </c>
      <c r="N155" s="217">
        <f t="shared" si="59"/>
        <v>75.368954031112224</v>
      </c>
      <c r="O155" s="23"/>
    </row>
    <row r="156" spans="1:15" x14ac:dyDescent="0.2">
      <c r="A156" s="23"/>
      <c r="B156" s="23"/>
      <c r="C156" s="23"/>
      <c r="D156" s="23"/>
      <c r="E156" s="94"/>
      <c r="F156" s="192"/>
      <c r="G156" s="21"/>
      <c r="H156" s="218">
        <v>6</v>
      </c>
      <c r="I156" s="21"/>
      <c r="J156" s="21">
        <f>G150*1</f>
        <v>1515</v>
      </c>
      <c r="K156" s="217">
        <f t="shared" si="57"/>
        <v>100</v>
      </c>
      <c r="L156" s="21"/>
      <c r="M156" s="217">
        <f t="shared" si="58"/>
        <v>261</v>
      </c>
      <c r="N156" s="217">
        <f t="shared" si="59"/>
        <v>100</v>
      </c>
      <c r="O156" s="23"/>
    </row>
    <row r="157" spans="1:15" x14ac:dyDescent="0.2">
      <c r="A157" s="23"/>
      <c r="B157" s="23"/>
      <c r="C157" s="23"/>
      <c r="D157" s="23"/>
      <c r="E157" s="23" t="s">
        <v>527</v>
      </c>
      <c r="F157" s="192">
        <v>197</v>
      </c>
      <c r="G157" s="21">
        <v>1251</v>
      </c>
      <c r="H157" s="214">
        <v>0</v>
      </c>
      <c r="I157" s="21"/>
      <c r="J157" s="217">
        <f>G157*0</f>
        <v>0</v>
      </c>
      <c r="K157" s="217">
        <f>J157/J$163*100</f>
        <v>0</v>
      </c>
      <c r="L157" s="21"/>
      <c r="M157" s="217">
        <f>F$157*(1-(($E$2+EXP(-$E$3*$E$4))/($E$2+EXP($E$3*(J157-$E$4))))^$E$2)/(1-(($E$2+EXP(-$E$3*$E$4))/($E$2+EXP($E$3*(G$157-$E$4))))^$E$2)</f>
        <v>0</v>
      </c>
      <c r="N157" s="217">
        <f>M157/M$163*100</f>
        <v>0</v>
      </c>
      <c r="O157" s="23"/>
    </row>
    <row r="158" spans="1:15" x14ac:dyDescent="0.2">
      <c r="A158" s="23"/>
      <c r="B158" s="23"/>
      <c r="C158" s="23"/>
      <c r="D158" s="23"/>
      <c r="E158" s="23"/>
      <c r="F158" s="192"/>
      <c r="G158" s="21"/>
      <c r="H158" s="214">
        <v>1</v>
      </c>
      <c r="I158" s="21"/>
      <c r="J158" s="217">
        <f>G157*0.2</f>
        <v>250.20000000000002</v>
      </c>
      <c r="K158" s="217">
        <f t="shared" ref="K158:K163" si="60">J158/J$163*100</f>
        <v>20</v>
      </c>
      <c r="L158" s="21"/>
      <c r="M158" s="217">
        <f t="shared" ref="M158:M163" si="61">F$157*(1-(($E$2+EXP(-$E$3*$E$4))/($E$2+EXP($E$3*(J158-$E$4))))^$E$2)/(1-(($E$2+EXP(-$E$3*$E$4))/($E$2+EXP($E$3*(G$157-$E$4))))^$E$2)</f>
        <v>10.370229286768561</v>
      </c>
      <c r="N158" s="217">
        <f t="shared" ref="N158:N163" si="62">M158/M$163*100</f>
        <v>5.2640757800855642</v>
      </c>
      <c r="O158" s="23"/>
    </row>
    <row r="159" spans="1:15" x14ac:dyDescent="0.2">
      <c r="A159" s="23"/>
      <c r="B159" s="23"/>
      <c r="C159" s="23"/>
      <c r="D159" s="23"/>
      <c r="E159" s="23"/>
      <c r="F159" s="192"/>
      <c r="G159" s="21"/>
      <c r="H159" s="214">
        <v>2</v>
      </c>
      <c r="I159" s="21"/>
      <c r="J159" s="217">
        <f>G157*0.4</f>
        <v>500.40000000000003</v>
      </c>
      <c r="K159" s="217">
        <f t="shared" si="60"/>
        <v>40</v>
      </c>
      <c r="L159" s="21"/>
      <c r="M159" s="217">
        <f t="shared" si="61"/>
        <v>35.471274817982753</v>
      </c>
      <c r="N159" s="217">
        <f t="shared" si="62"/>
        <v>18.005723257859266</v>
      </c>
      <c r="O159" s="23"/>
    </row>
    <row r="160" spans="1:15" x14ac:dyDescent="0.2">
      <c r="A160" s="23"/>
      <c r="B160" s="23"/>
      <c r="C160" s="23"/>
      <c r="D160" s="23"/>
      <c r="E160" s="23"/>
      <c r="F160" s="192"/>
      <c r="G160" s="21"/>
      <c r="H160" s="214">
        <v>3</v>
      </c>
      <c r="I160" s="21"/>
      <c r="J160" s="217">
        <f>G157*0.5</f>
        <v>625.5</v>
      </c>
      <c r="K160" s="217">
        <f t="shared" si="60"/>
        <v>50</v>
      </c>
      <c r="L160" s="21"/>
      <c r="M160" s="217">
        <f t="shared" si="61"/>
        <v>55.78712963950543</v>
      </c>
      <c r="N160" s="217">
        <f t="shared" si="62"/>
        <v>28.318339918530675</v>
      </c>
      <c r="O160" s="23"/>
    </row>
    <row r="161" spans="1:15" x14ac:dyDescent="0.2">
      <c r="A161" s="23"/>
      <c r="B161" s="23"/>
      <c r="C161" s="23"/>
      <c r="D161" s="23"/>
      <c r="E161" s="23"/>
      <c r="F161" s="192"/>
      <c r="G161" s="21"/>
      <c r="H161" s="214">
        <v>4</v>
      </c>
      <c r="I161" s="21"/>
      <c r="J161" s="217">
        <f>G157*0.6</f>
        <v>750.6</v>
      </c>
      <c r="K161" s="217">
        <f t="shared" si="60"/>
        <v>60</v>
      </c>
      <c r="L161" s="21"/>
      <c r="M161" s="217">
        <f t="shared" si="61"/>
        <v>80.934351687908034</v>
      </c>
      <c r="N161" s="217">
        <f t="shared" si="62"/>
        <v>41.083427252745196</v>
      </c>
      <c r="O161" s="23"/>
    </row>
    <row r="162" spans="1:15" x14ac:dyDescent="0.2">
      <c r="A162" s="23"/>
      <c r="B162" s="23"/>
      <c r="C162" s="23"/>
      <c r="D162" s="23"/>
      <c r="E162" s="23"/>
      <c r="F162" s="192"/>
      <c r="G162" s="21"/>
      <c r="H162" s="214">
        <v>5</v>
      </c>
      <c r="I162" s="21"/>
      <c r="J162" s="217">
        <f>G157*0.8</f>
        <v>1000.8000000000001</v>
      </c>
      <c r="K162" s="217">
        <f t="shared" si="60"/>
        <v>80</v>
      </c>
      <c r="L162" s="21"/>
      <c r="M162" s="217">
        <f t="shared" si="61"/>
        <v>139.21191123968416</v>
      </c>
      <c r="N162" s="217">
        <f t="shared" si="62"/>
        <v>70.665944791717848</v>
      </c>
      <c r="O162" s="23"/>
    </row>
    <row r="163" spans="1:15" x14ac:dyDescent="0.2">
      <c r="A163" s="23"/>
      <c r="B163" s="23"/>
      <c r="C163" s="23"/>
      <c r="D163" s="23"/>
      <c r="E163" s="23"/>
      <c r="F163" s="192"/>
      <c r="G163" s="21"/>
      <c r="H163" s="218">
        <v>6</v>
      </c>
      <c r="I163" s="21"/>
      <c r="J163" s="21">
        <f>G157*1</f>
        <v>1251</v>
      </c>
      <c r="K163" s="217">
        <f t="shared" si="60"/>
        <v>100</v>
      </c>
      <c r="L163" s="21"/>
      <c r="M163" s="217">
        <f t="shared" si="61"/>
        <v>197</v>
      </c>
      <c r="N163" s="217">
        <f t="shared" si="62"/>
        <v>100</v>
      </c>
      <c r="O163" s="23"/>
    </row>
    <row r="164" spans="1:15" x14ac:dyDescent="0.2">
      <c r="A164" s="23"/>
      <c r="B164" s="23"/>
      <c r="C164" s="23"/>
      <c r="D164" s="23"/>
      <c r="E164" s="23" t="s">
        <v>528</v>
      </c>
      <c r="F164" s="192">
        <v>377</v>
      </c>
      <c r="G164" s="21">
        <v>1642</v>
      </c>
      <c r="H164" s="214">
        <v>0</v>
      </c>
      <c r="I164" s="21"/>
      <c r="J164" s="217">
        <f>G164*0</f>
        <v>0</v>
      </c>
      <c r="K164" s="217">
        <f>J164/J$170*100</f>
        <v>0</v>
      </c>
      <c r="L164" s="21"/>
      <c r="M164" s="217">
        <f>F$164*(1-(($E$2+EXP(-$E$3*$E$4))/($E$2+EXP($E$3*(J164-$E$4))))^$E$2)/(1-(($E$2+EXP(-$E$3*$E$4))/($E$2+EXP($E$3*(G$164-$E$4))))^$E$2)</f>
        <v>0</v>
      </c>
      <c r="N164" s="217">
        <f>M164/M$170*100</f>
        <v>0</v>
      </c>
      <c r="O164" s="23"/>
    </row>
    <row r="165" spans="1:15" x14ac:dyDescent="0.2">
      <c r="A165" s="23"/>
      <c r="B165" s="23"/>
      <c r="C165" s="23"/>
      <c r="D165" s="23"/>
      <c r="E165" s="23"/>
      <c r="F165" s="192"/>
      <c r="G165" s="21"/>
      <c r="H165" s="214">
        <v>1</v>
      </c>
      <c r="I165" s="21"/>
      <c r="J165" s="217">
        <f>G164*0.2</f>
        <v>328.40000000000003</v>
      </c>
      <c r="K165" s="217">
        <f t="shared" ref="K165:K170" si="63">J165/J$170*100</f>
        <v>20</v>
      </c>
      <c r="L165" s="21"/>
      <c r="M165" s="217">
        <f t="shared" ref="M165:M170" si="64">F$164*(1-(($E$2+EXP(-$E$3*$E$4))/($E$2+EXP($E$3*(J165-$E$4))))^$E$2)/(1-(($E$2+EXP(-$E$3*$E$4))/($E$2+EXP($E$3*(G$164-$E$4))))^$E$2)</f>
        <v>22.4520570793925</v>
      </c>
      <c r="N165" s="217">
        <f t="shared" ref="N165:N170" si="65">M165/M$170*100</f>
        <v>5.9554528062049066</v>
      </c>
      <c r="O165" s="23"/>
    </row>
    <row r="166" spans="1:15" x14ac:dyDescent="0.2">
      <c r="A166" s="23"/>
      <c r="B166" s="23"/>
      <c r="C166" s="23"/>
      <c r="D166" s="23"/>
      <c r="E166" s="23"/>
      <c r="F166" s="192"/>
      <c r="G166" s="21"/>
      <c r="H166" s="214">
        <v>2</v>
      </c>
      <c r="I166" s="21"/>
      <c r="J166" s="217">
        <f>G164*0.4</f>
        <v>656.80000000000007</v>
      </c>
      <c r="K166" s="217">
        <f t="shared" si="63"/>
        <v>40</v>
      </c>
      <c r="L166" s="21"/>
      <c r="M166" s="217">
        <f t="shared" si="64"/>
        <v>85.473602366468214</v>
      </c>
      <c r="N166" s="217">
        <f t="shared" si="65"/>
        <v>22.672043068028707</v>
      </c>
      <c r="O166" s="23"/>
    </row>
    <row r="167" spans="1:15" x14ac:dyDescent="0.2">
      <c r="A167" s="23"/>
      <c r="B167" s="23"/>
      <c r="C167" s="23"/>
      <c r="D167" s="23"/>
      <c r="E167" s="23"/>
      <c r="F167" s="192"/>
      <c r="G167" s="21"/>
      <c r="H167" s="214">
        <v>3</v>
      </c>
      <c r="I167" s="21"/>
      <c r="J167" s="217">
        <f>G164*0.5</f>
        <v>821</v>
      </c>
      <c r="K167" s="217">
        <f t="shared" si="63"/>
        <v>50</v>
      </c>
      <c r="L167" s="21"/>
      <c r="M167" s="217">
        <f t="shared" si="64"/>
        <v>133.96460933845975</v>
      </c>
      <c r="N167" s="217">
        <f t="shared" si="65"/>
        <v>35.534379134869958</v>
      </c>
      <c r="O167" s="23"/>
    </row>
    <row r="168" spans="1:15" x14ac:dyDescent="0.2">
      <c r="A168" s="23"/>
      <c r="B168" s="23"/>
      <c r="C168" s="23"/>
      <c r="D168" s="23"/>
      <c r="E168" s="23"/>
      <c r="F168" s="192"/>
      <c r="G168" s="21"/>
      <c r="H168" s="214">
        <v>4</v>
      </c>
      <c r="I168" s="21"/>
      <c r="J168" s="217">
        <f>G164*0.6</f>
        <v>985.19999999999993</v>
      </c>
      <c r="K168" s="217">
        <f t="shared" si="63"/>
        <v>60</v>
      </c>
      <c r="L168" s="21"/>
      <c r="M168" s="217">
        <f t="shared" si="64"/>
        <v>187.7637914820919</v>
      </c>
      <c r="N168" s="217">
        <f t="shared" si="65"/>
        <v>49.804719226019074</v>
      </c>
      <c r="O168" s="23"/>
    </row>
    <row r="169" spans="1:15" x14ac:dyDescent="0.2">
      <c r="A169" s="23"/>
      <c r="B169" s="23"/>
      <c r="C169" s="23"/>
      <c r="D169" s="23"/>
      <c r="E169" s="23"/>
      <c r="F169" s="192"/>
      <c r="G169" s="21"/>
      <c r="H169" s="214">
        <v>5</v>
      </c>
      <c r="I169" s="21"/>
      <c r="J169" s="217">
        <f>G164*0.8</f>
        <v>1313.6000000000001</v>
      </c>
      <c r="K169" s="217">
        <f t="shared" si="63"/>
        <v>80</v>
      </c>
      <c r="L169" s="21"/>
      <c r="M169" s="217">
        <f t="shared" si="64"/>
        <v>291.62472835048942</v>
      </c>
      <c r="N169" s="217">
        <f t="shared" si="65"/>
        <v>77.354039350262454</v>
      </c>
      <c r="O169" s="23"/>
    </row>
    <row r="170" spans="1:15" x14ac:dyDescent="0.2">
      <c r="A170" s="23"/>
      <c r="B170" s="23"/>
      <c r="C170" s="23"/>
      <c r="D170" s="23"/>
      <c r="E170" s="23"/>
      <c r="F170" s="192"/>
      <c r="G170" s="21"/>
      <c r="H170" s="218">
        <v>6</v>
      </c>
      <c r="I170" s="21"/>
      <c r="J170" s="21">
        <f>G164*1</f>
        <v>1642</v>
      </c>
      <c r="K170" s="217">
        <f t="shared" si="63"/>
        <v>100</v>
      </c>
      <c r="L170" s="21"/>
      <c r="M170" s="217">
        <f t="shared" si="64"/>
        <v>377</v>
      </c>
      <c r="N170" s="217">
        <f t="shared" si="65"/>
        <v>100</v>
      </c>
      <c r="O170" s="23"/>
    </row>
    <row r="171" spans="1:15" x14ac:dyDescent="0.2">
      <c r="A171" s="23"/>
      <c r="B171" s="23"/>
      <c r="C171" s="23"/>
      <c r="D171" s="23"/>
      <c r="E171" s="94">
        <v>36119</v>
      </c>
      <c r="F171" s="192">
        <v>186</v>
      </c>
      <c r="G171" s="218">
        <v>1118</v>
      </c>
      <c r="H171" s="214">
        <v>0</v>
      </c>
      <c r="I171" s="21"/>
      <c r="J171" s="217">
        <f>G171*0</f>
        <v>0</v>
      </c>
      <c r="K171" s="217">
        <f>J171/J$177*100</f>
        <v>0</v>
      </c>
      <c r="L171" s="21"/>
      <c r="M171" s="217">
        <f>F$171*(1-(($E$2+EXP(-$E$3*$E$4))/($E$2+EXP($E$3*(J171-$E$4))))^$E$2)/(1-(($E$2+EXP(-$E$3*$E$4))/($E$2+EXP($E$3*(G$171-$E$4))))^$E$2)</f>
        <v>0</v>
      </c>
      <c r="N171" s="217">
        <f>M171/M$177*100</f>
        <v>0</v>
      </c>
      <c r="O171" s="23"/>
    </row>
    <row r="172" spans="1:15" x14ac:dyDescent="0.2">
      <c r="A172" s="23"/>
      <c r="B172" s="23"/>
      <c r="C172" s="23"/>
      <c r="D172" s="23"/>
      <c r="E172" s="94"/>
      <c r="F172" s="192"/>
      <c r="G172" s="218"/>
      <c r="H172" s="214">
        <v>1</v>
      </c>
      <c r="I172" s="21"/>
      <c r="J172" s="217">
        <f>G171*0.2</f>
        <v>223.60000000000002</v>
      </c>
      <c r="K172" s="217">
        <f t="shared" ref="K172:K177" si="66">J172/J$177*100</f>
        <v>20</v>
      </c>
      <c r="L172" s="21"/>
      <c r="M172" s="217">
        <f t="shared" ref="M172:M177" si="67">F$171*(1-(($E$2+EXP(-$E$3*$E$4))/($E$2+EXP($E$3*(J172-$E$4))))^$E$2)/(1-(($E$2+EXP(-$E$3*$E$4))/($E$2+EXP($E$3*(G$171-$E$4))))^$E$2)</f>
        <v>9.7279480050911555</v>
      </c>
      <c r="N172" s="217">
        <f t="shared" ref="N172:N177" si="68">M172/M$177*100</f>
        <v>5.2300795726296538</v>
      </c>
      <c r="O172" s="23"/>
    </row>
    <row r="173" spans="1:15" x14ac:dyDescent="0.2">
      <c r="A173" s="23"/>
      <c r="B173" s="23"/>
      <c r="C173" s="23"/>
      <c r="D173" s="23"/>
      <c r="E173" s="94"/>
      <c r="F173" s="192"/>
      <c r="G173" s="218"/>
      <c r="H173" s="214">
        <v>2</v>
      </c>
      <c r="I173" s="21"/>
      <c r="J173" s="217">
        <f>G171*0.4</f>
        <v>447.20000000000005</v>
      </c>
      <c r="K173" s="217">
        <f t="shared" si="66"/>
        <v>40</v>
      </c>
      <c r="L173" s="21"/>
      <c r="M173" s="217">
        <f t="shared" si="67"/>
        <v>31.714932885764785</v>
      </c>
      <c r="N173" s="217">
        <f t="shared" si="68"/>
        <v>17.051039185895046</v>
      </c>
      <c r="O173" s="23"/>
    </row>
    <row r="174" spans="1:15" x14ac:dyDescent="0.2">
      <c r="A174" s="23"/>
      <c r="B174" s="23"/>
      <c r="C174" s="23"/>
      <c r="D174" s="23"/>
      <c r="E174" s="94"/>
      <c r="F174" s="192"/>
      <c r="G174" s="218"/>
      <c r="H174" s="214">
        <v>3</v>
      </c>
      <c r="I174" s="21"/>
      <c r="J174" s="217">
        <f>G171*0.5</f>
        <v>559</v>
      </c>
      <c r="K174" s="217">
        <f t="shared" si="66"/>
        <v>50</v>
      </c>
      <c r="L174" s="21"/>
      <c r="M174" s="217">
        <f t="shared" si="67"/>
        <v>49.384021674628663</v>
      </c>
      <c r="N174" s="217">
        <f t="shared" si="68"/>
        <v>26.550549287434766</v>
      </c>
      <c r="O174" s="23"/>
    </row>
    <row r="175" spans="1:15" x14ac:dyDescent="0.2">
      <c r="A175" s="23"/>
      <c r="B175" s="23"/>
      <c r="C175" s="23"/>
      <c r="D175" s="23"/>
      <c r="E175" s="94"/>
      <c r="F175" s="192"/>
      <c r="G175" s="218"/>
      <c r="H175" s="214">
        <v>4</v>
      </c>
      <c r="I175" s="21"/>
      <c r="J175" s="217">
        <f>G171*0.6</f>
        <v>670.8</v>
      </c>
      <c r="K175" s="217">
        <f t="shared" si="66"/>
        <v>60</v>
      </c>
      <c r="L175" s="21"/>
      <c r="M175" s="217">
        <f t="shared" si="67"/>
        <v>71.748577570306693</v>
      </c>
      <c r="N175" s="217">
        <f t="shared" si="68"/>
        <v>38.574504070057365</v>
      </c>
      <c r="O175" s="23"/>
    </row>
    <row r="176" spans="1:15" x14ac:dyDescent="0.2">
      <c r="A176" s="23"/>
      <c r="B176" s="23"/>
      <c r="C176" s="23"/>
      <c r="D176" s="23"/>
      <c r="E176" s="94"/>
      <c r="F176" s="192"/>
      <c r="G176" s="218"/>
      <c r="H176" s="214">
        <v>5</v>
      </c>
      <c r="I176" s="21"/>
      <c r="J176" s="217">
        <f>G171*0.8</f>
        <v>894.40000000000009</v>
      </c>
      <c r="K176" s="217">
        <f t="shared" si="66"/>
        <v>80</v>
      </c>
      <c r="L176" s="21"/>
      <c r="M176" s="217">
        <f t="shared" si="67"/>
        <v>126.78556337163768</v>
      </c>
      <c r="N176" s="217">
        <f t="shared" si="68"/>
        <v>68.164281382600905</v>
      </c>
      <c r="O176" s="23"/>
    </row>
    <row r="177" spans="1:15" x14ac:dyDescent="0.2">
      <c r="A177" s="23"/>
      <c r="B177" s="23"/>
      <c r="C177" s="23"/>
      <c r="D177" s="23"/>
      <c r="E177" s="94"/>
      <c r="F177" s="192"/>
      <c r="G177" s="218"/>
      <c r="H177" s="218">
        <v>6</v>
      </c>
      <c r="I177" s="21"/>
      <c r="J177" s="21">
        <f>G171*1</f>
        <v>1118</v>
      </c>
      <c r="K177" s="217">
        <f t="shared" si="66"/>
        <v>100</v>
      </c>
      <c r="L177" s="21"/>
      <c r="M177" s="217">
        <f t="shared" si="67"/>
        <v>186</v>
      </c>
      <c r="N177" s="217">
        <f t="shared" si="68"/>
        <v>100</v>
      </c>
      <c r="O177" s="23"/>
    </row>
    <row r="178" spans="1:15" x14ac:dyDescent="0.2">
      <c r="A178" s="23"/>
      <c r="B178" s="23"/>
      <c r="C178" s="23"/>
      <c r="D178" s="23"/>
      <c r="E178" s="94">
        <v>36451</v>
      </c>
      <c r="F178" s="192">
        <v>310</v>
      </c>
      <c r="G178" s="218">
        <v>2376</v>
      </c>
      <c r="H178" s="214">
        <v>0</v>
      </c>
      <c r="I178" s="21"/>
      <c r="J178" s="217">
        <f>G178*0</f>
        <v>0</v>
      </c>
      <c r="K178" s="217">
        <f>J178/J$184*100</f>
        <v>0</v>
      </c>
      <c r="L178" s="21"/>
      <c r="M178" s="217">
        <f>F$178*(1-(($E$2+EXP(-$E$3*$E$4))/($E$2+EXP($E$3*(J178-$E$4))))^$E$2)/(1-(($E$2+EXP(-$E$3*$E$4))/($E$2+EXP($E$3*(G$178-$E$4))))^$E$2)</f>
        <v>0</v>
      </c>
      <c r="N178" s="217">
        <f>M178/M$184*100</f>
        <v>0</v>
      </c>
      <c r="O178" s="23"/>
    </row>
    <row r="179" spans="1:15" x14ac:dyDescent="0.2">
      <c r="A179" s="23"/>
      <c r="B179" s="23"/>
      <c r="C179" s="23"/>
      <c r="D179" s="23"/>
      <c r="E179" s="94"/>
      <c r="F179" s="192"/>
      <c r="G179" s="218"/>
      <c r="H179" s="214">
        <v>1</v>
      </c>
      <c r="I179" s="21"/>
      <c r="J179" s="217">
        <f>G178*0.2</f>
        <v>475.20000000000005</v>
      </c>
      <c r="K179" s="217">
        <f t="shared" ref="K179:K184" si="69">J179/J$184*100</f>
        <v>20</v>
      </c>
      <c r="L179" s="21"/>
      <c r="M179" s="217">
        <f t="shared" ref="M179:M184" si="70">F$178*(1-(($E$2+EXP(-$E$3*$E$4))/($E$2+EXP($E$3*(J179-$E$4))))^$E$2)/(1-(($E$2+EXP(-$E$3*$E$4))/($E$2+EXP($E$3*(G$178-$E$4))))^$E$2)</f>
        <v>27.34707037665093</v>
      </c>
      <c r="N179" s="217">
        <f t="shared" ref="N179:N184" si="71">M179/M$184*100</f>
        <v>8.8216356053712683</v>
      </c>
      <c r="O179" s="23"/>
    </row>
    <row r="180" spans="1:15" x14ac:dyDescent="0.2">
      <c r="A180" s="23"/>
      <c r="B180" s="23"/>
      <c r="C180" s="23"/>
      <c r="D180" s="23"/>
      <c r="E180" s="94"/>
      <c r="F180" s="192"/>
      <c r="G180" s="218"/>
      <c r="H180" s="214">
        <v>2</v>
      </c>
      <c r="I180" s="21"/>
      <c r="J180" s="217">
        <f>G178*0.4</f>
        <v>950.40000000000009</v>
      </c>
      <c r="K180" s="217">
        <f t="shared" si="69"/>
        <v>40</v>
      </c>
      <c r="L180" s="21"/>
      <c r="M180" s="217">
        <f t="shared" si="70"/>
        <v>108.55104707197482</v>
      </c>
      <c r="N180" s="217">
        <f t="shared" si="71"/>
        <v>35.016466797411233</v>
      </c>
      <c r="O180" s="23"/>
    </row>
    <row r="181" spans="1:15" x14ac:dyDescent="0.2">
      <c r="A181" s="23"/>
      <c r="B181" s="23"/>
      <c r="C181" s="23"/>
      <c r="D181" s="23"/>
      <c r="E181" s="94"/>
      <c r="F181" s="192"/>
      <c r="G181" s="218"/>
      <c r="H181" s="214">
        <v>3</v>
      </c>
      <c r="I181" s="21"/>
      <c r="J181" s="217">
        <f>G178*0.5</f>
        <v>1188</v>
      </c>
      <c r="K181" s="217">
        <f t="shared" si="69"/>
        <v>50</v>
      </c>
      <c r="L181" s="21"/>
      <c r="M181" s="217">
        <f t="shared" si="70"/>
        <v>156.24312457683288</v>
      </c>
      <c r="N181" s="217">
        <f t="shared" si="71"/>
        <v>50.401007928010614</v>
      </c>
      <c r="O181" s="23"/>
    </row>
    <row r="182" spans="1:15" x14ac:dyDescent="0.2">
      <c r="A182" s="23"/>
      <c r="B182" s="23"/>
      <c r="C182" s="23"/>
      <c r="D182" s="23"/>
      <c r="E182" s="94"/>
      <c r="F182" s="192"/>
      <c r="G182" s="218"/>
      <c r="H182" s="214">
        <v>4</v>
      </c>
      <c r="I182" s="21"/>
      <c r="J182" s="217">
        <f>G178*0.6</f>
        <v>1425.6</v>
      </c>
      <c r="K182" s="217">
        <f t="shared" si="69"/>
        <v>60</v>
      </c>
      <c r="L182" s="21"/>
      <c r="M182" s="217">
        <f t="shared" si="70"/>
        <v>199.01464730720886</v>
      </c>
      <c r="N182" s="217">
        <f t="shared" si="71"/>
        <v>64.198273324906083</v>
      </c>
      <c r="O182" s="23"/>
    </row>
    <row r="183" spans="1:15" x14ac:dyDescent="0.2">
      <c r="A183" s="23"/>
      <c r="B183" s="23"/>
      <c r="C183" s="23"/>
      <c r="D183" s="23"/>
      <c r="E183" s="94"/>
      <c r="F183" s="192"/>
      <c r="G183" s="218"/>
      <c r="H183" s="214">
        <v>5</v>
      </c>
      <c r="I183" s="21"/>
      <c r="J183" s="217">
        <f>G178*0.8</f>
        <v>1900.8000000000002</v>
      </c>
      <c r="K183" s="217">
        <f t="shared" si="69"/>
        <v>80</v>
      </c>
      <c r="L183" s="21"/>
      <c r="M183" s="217">
        <f t="shared" si="70"/>
        <v>265.17310101176923</v>
      </c>
      <c r="N183" s="217">
        <f t="shared" si="71"/>
        <v>85.539710003796529</v>
      </c>
      <c r="O183" s="23"/>
    </row>
    <row r="184" spans="1:15" x14ac:dyDescent="0.2">
      <c r="A184" s="23"/>
      <c r="B184" s="23"/>
      <c r="C184" s="23"/>
      <c r="D184" s="23"/>
      <c r="E184" s="94"/>
      <c r="F184" s="192"/>
      <c r="G184" s="218"/>
      <c r="H184" s="218">
        <v>6</v>
      </c>
      <c r="I184" s="21"/>
      <c r="J184" s="21">
        <f>G178*1</f>
        <v>2376</v>
      </c>
      <c r="K184" s="217">
        <f t="shared" si="69"/>
        <v>100</v>
      </c>
      <c r="L184" s="21"/>
      <c r="M184" s="217">
        <f t="shared" si="70"/>
        <v>310</v>
      </c>
      <c r="N184" s="217">
        <f t="shared" si="71"/>
        <v>100</v>
      </c>
      <c r="O184" s="23"/>
    </row>
    <row r="185" spans="1:15" x14ac:dyDescent="0.2">
      <c r="A185" s="23"/>
      <c r="B185" s="23"/>
      <c r="C185" s="23"/>
      <c r="D185" s="23"/>
      <c r="E185" s="94">
        <v>36469</v>
      </c>
      <c r="F185" s="192">
        <v>343</v>
      </c>
      <c r="G185" s="218">
        <v>2101</v>
      </c>
      <c r="H185" s="214">
        <v>0</v>
      </c>
      <c r="I185" s="21"/>
      <c r="J185" s="217">
        <f>G185*0</f>
        <v>0</v>
      </c>
      <c r="K185" s="217">
        <f>J185/J$191*100</f>
        <v>0</v>
      </c>
      <c r="L185" s="21"/>
      <c r="M185" s="217">
        <f>F$185*(1-(($E$2+EXP(-$E$3*$E$4))/($E$2+EXP($E$3*(J185-$E$4))))^$E$2)/(1-(($E$2+EXP(-$E$3*$E$4))/($E$2+EXP($E$3*(G$185-$E$4))))^$E$2)</f>
        <v>0</v>
      </c>
      <c r="N185" s="217">
        <f>M185/M$191*100</f>
        <v>0</v>
      </c>
      <c r="O185" s="23"/>
    </row>
    <row r="186" spans="1:15" x14ac:dyDescent="0.2">
      <c r="A186" s="23"/>
      <c r="B186" s="23"/>
      <c r="C186" s="23"/>
      <c r="D186" s="23"/>
      <c r="E186" s="94"/>
      <c r="F186" s="192"/>
      <c r="G186" s="218"/>
      <c r="H186" s="214">
        <v>1</v>
      </c>
      <c r="I186" s="21"/>
      <c r="J186" s="217">
        <f>G185*0.2</f>
        <v>420.20000000000005</v>
      </c>
      <c r="K186" s="217">
        <f t="shared" ref="K186:K191" si="72">J186/J$191*100</f>
        <v>20</v>
      </c>
      <c r="L186" s="21"/>
      <c r="M186" s="217">
        <f t="shared" ref="M186:M191" si="73">F$185*(1-(($E$2+EXP(-$E$3*$E$4))/($E$2+EXP($E$3*(J186-$E$4))))^$E$2)/(1-(($E$2+EXP(-$E$3*$E$4))/($E$2+EXP($E$3*(G$185-$E$4))))^$E$2)</f>
        <v>25.863019855253853</v>
      </c>
      <c r="N186" s="217">
        <f t="shared" ref="N186:N191" si="74">M186/M$191*100</f>
        <v>7.5402390248553512</v>
      </c>
      <c r="O186" s="23"/>
    </row>
    <row r="187" spans="1:15" x14ac:dyDescent="0.2">
      <c r="A187" s="23"/>
      <c r="B187" s="23"/>
      <c r="C187" s="23"/>
      <c r="D187" s="23"/>
      <c r="E187" s="94"/>
      <c r="F187" s="192"/>
      <c r="G187" s="218"/>
      <c r="H187" s="214">
        <v>2</v>
      </c>
      <c r="I187" s="21"/>
      <c r="J187" s="217">
        <f>G185*0.4</f>
        <v>840.40000000000009</v>
      </c>
      <c r="K187" s="217">
        <f t="shared" si="72"/>
        <v>40</v>
      </c>
      <c r="L187" s="21"/>
      <c r="M187" s="217">
        <f t="shared" si="73"/>
        <v>103.46229912993394</v>
      </c>
      <c r="N187" s="217">
        <f t="shared" si="74"/>
        <v>30.16393560639473</v>
      </c>
      <c r="O187" s="23"/>
    </row>
    <row r="188" spans="1:15" x14ac:dyDescent="0.2">
      <c r="A188" s="23"/>
      <c r="B188" s="23"/>
      <c r="C188" s="23"/>
      <c r="D188" s="23"/>
      <c r="E188" s="94"/>
      <c r="F188" s="192"/>
      <c r="G188" s="218"/>
      <c r="H188" s="214">
        <v>3</v>
      </c>
      <c r="I188" s="21"/>
      <c r="J188" s="217">
        <f>G185*0.5</f>
        <v>1050.5</v>
      </c>
      <c r="K188" s="217">
        <f t="shared" si="72"/>
        <v>50</v>
      </c>
      <c r="L188" s="21"/>
      <c r="M188" s="217">
        <f t="shared" si="73"/>
        <v>154.54613796640598</v>
      </c>
      <c r="N188" s="217">
        <f t="shared" si="74"/>
        <v>45.057183080584835</v>
      </c>
      <c r="O188" s="23"/>
    </row>
    <row r="189" spans="1:15" x14ac:dyDescent="0.2">
      <c r="A189" s="23"/>
      <c r="B189" s="23"/>
      <c r="C189" s="23"/>
      <c r="D189" s="23"/>
      <c r="E189" s="94"/>
      <c r="F189" s="192"/>
      <c r="G189" s="218"/>
      <c r="H189" s="214">
        <v>4</v>
      </c>
      <c r="I189" s="21"/>
      <c r="J189" s="217">
        <f>G185*0.6</f>
        <v>1260.5999999999999</v>
      </c>
      <c r="K189" s="217">
        <f t="shared" si="72"/>
        <v>60</v>
      </c>
      <c r="L189" s="21"/>
      <c r="M189" s="217">
        <f t="shared" si="73"/>
        <v>203.67863882865657</v>
      </c>
      <c r="N189" s="217">
        <f t="shared" si="74"/>
        <v>59.381527355293464</v>
      </c>
      <c r="O189" s="23"/>
    </row>
    <row r="190" spans="1:15" x14ac:dyDescent="0.2">
      <c r="A190" s="23"/>
      <c r="B190" s="23"/>
      <c r="C190" s="23"/>
      <c r="D190" s="23"/>
      <c r="E190" s="94"/>
      <c r="F190" s="192"/>
      <c r="G190" s="218"/>
      <c r="H190" s="214">
        <v>5</v>
      </c>
      <c r="I190" s="21"/>
      <c r="J190" s="217">
        <f>G185*0.8</f>
        <v>1680.8000000000002</v>
      </c>
      <c r="K190" s="217">
        <f t="shared" si="72"/>
        <v>80</v>
      </c>
      <c r="L190" s="21"/>
      <c r="M190" s="217">
        <f t="shared" si="73"/>
        <v>284.74314215091795</v>
      </c>
      <c r="N190" s="217">
        <f t="shared" si="74"/>
        <v>83.015493338460047</v>
      </c>
      <c r="O190" s="23"/>
    </row>
    <row r="191" spans="1:15" x14ac:dyDescent="0.2">
      <c r="A191" s="23"/>
      <c r="B191" s="23"/>
      <c r="C191" s="23"/>
      <c r="D191" s="23"/>
      <c r="E191" s="94"/>
      <c r="F191" s="192"/>
      <c r="G191" s="218"/>
      <c r="H191" s="218">
        <v>6</v>
      </c>
      <c r="I191" s="21"/>
      <c r="J191" s="21">
        <f>G185*1</f>
        <v>2101</v>
      </c>
      <c r="K191" s="217">
        <f t="shared" si="72"/>
        <v>100</v>
      </c>
      <c r="L191" s="21"/>
      <c r="M191" s="217">
        <f t="shared" si="73"/>
        <v>343</v>
      </c>
      <c r="N191" s="217">
        <f t="shared" si="74"/>
        <v>100</v>
      </c>
      <c r="O191" s="23"/>
    </row>
    <row r="192" spans="1:15" x14ac:dyDescent="0.2">
      <c r="A192" s="23"/>
      <c r="B192" s="23"/>
      <c r="C192" s="23"/>
      <c r="D192" s="23"/>
      <c r="E192" s="94">
        <v>36488</v>
      </c>
      <c r="F192" s="192">
        <v>286</v>
      </c>
      <c r="G192" s="218">
        <v>1996</v>
      </c>
      <c r="H192" s="214">
        <v>0</v>
      </c>
      <c r="I192" s="21"/>
      <c r="J192" s="217">
        <f>G192*0</f>
        <v>0</v>
      </c>
      <c r="K192" s="217">
        <f>J192/J$198*100</f>
        <v>0</v>
      </c>
      <c r="L192" s="21"/>
      <c r="M192" s="217">
        <f>F$192*(1-(($E$2+EXP(-$E$3*$E$4))/($E$2+EXP($E$3*(J192-$E$4))))^$E$2)/(1-(($E$2+EXP(-$E$3*$E$4))/($E$2+EXP($E$3*(G$192-$E$4))))^$E$2)</f>
        <v>0</v>
      </c>
      <c r="N192" s="217">
        <f>M192/M$198*100</f>
        <v>0</v>
      </c>
      <c r="O192" s="23"/>
    </row>
    <row r="193" spans="1:15" x14ac:dyDescent="0.2">
      <c r="A193" s="23"/>
      <c r="B193" s="23"/>
      <c r="C193" s="23"/>
      <c r="D193" s="23"/>
      <c r="E193" s="94"/>
      <c r="F193" s="192"/>
      <c r="G193" s="218"/>
      <c r="H193" s="214">
        <v>1</v>
      </c>
      <c r="I193" s="21"/>
      <c r="J193" s="217">
        <f>G192*0.2</f>
        <v>399.20000000000005</v>
      </c>
      <c r="K193" s="217">
        <f t="shared" ref="K193:K197" si="75">J193/J$198*100</f>
        <v>20</v>
      </c>
      <c r="L193" s="21"/>
      <c r="M193" s="217">
        <f t="shared" ref="M193:M198" si="76">F$192*(1-(($E$2+EXP(-$E$3*$E$4))/($E$2+EXP($E$3*(J193-$E$4))))^$E$2)/(1-(($E$2+EXP(-$E$3*$E$4))/($E$2+EXP($E$3*(G$192-$E$4))))^$E$2)</f>
        <v>20.348466750442331</v>
      </c>
      <c r="N193" s="217">
        <f t="shared" ref="N193:N197" si="77">M193/M$198*100</f>
        <v>7.1148485141406743</v>
      </c>
      <c r="O193" s="23"/>
    </row>
    <row r="194" spans="1:15" x14ac:dyDescent="0.2">
      <c r="A194" s="23"/>
      <c r="B194" s="23"/>
      <c r="C194" s="23"/>
      <c r="D194" s="23"/>
      <c r="E194" s="94"/>
      <c r="F194" s="192"/>
      <c r="G194" s="218"/>
      <c r="H194" s="214">
        <v>2</v>
      </c>
      <c r="I194" s="21"/>
      <c r="J194" s="217">
        <f>G192*0.4</f>
        <v>798.40000000000009</v>
      </c>
      <c r="K194" s="217">
        <f t="shared" si="75"/>
        <v>40</v>
      </c>
      <c r="L194" s="21"/>
      <c r="M194" s="217">
        <f t="shared" si="76"/>
        <v>81.07416154000633</v>
      </c>
      <c r="N194" s="217">
        <f t="shared" si="77"/>
        <v>28.347608930072145</v>
      </c>
      <c r="O194" s="23"/>
    </row>
    <row r="195" spans="1:15" x14ac:dyDescent="0.2">
      <c r="A195" s="23"/>
      <c r="B195" s="23"/>
      <c r="C195" s="23"/>
      <c r="D195" s="23"/>
      <c r="E195" s="94"/>
      <c r="F195" s="192"/>
      <c r="G195" s="218"/>
      <c r="H195" s="214">
        <v>3</v>
      </c>
      <c r="I195" s="21"/>
      <c r="J195" s="217">
        <f>G192*0.5</f>
        <v>998</v>
      </c>
      <c r="K195" s="217">
        <f t="shared" si="75"/>
        <v>50</v>
      </c>
      <c r="L195" s="21"/>
      <c r="M195" s="217">
        <f t="shared" si="76"/>
        <v>122.73187710455524</v>
      </c>
      <c r="N195" s="217">
        <f t="shared" si="77"/>
        <v>42.913243742851478</v>
      </c>
      <c r="O195" s="23"/>
    </row>
    <row r="196" spans="1:15" x14ac:dyDescent="0.2">
      <c r="A196" s="23"/>
      <c r="B196" s="23"/>
      <c r="C196" s="23"/>
      <c r="D196" s="23"/>
      <c r="E196" s="94"/>
      <c r="F196" s="192"/>
      <c r="G196" s="218"/>
      <c r="H196" s="214">
        <v>4</v>
      </c>
      <c r="I196" s="21"/>
      <c r="J196" s="217">
        <f>G192*0.6</f>
        <v>1197.5999999999999</v>
      </c>
      <c r="K196" s="217">
        <f t="shared" si="75"/>
        <v>60</v>
      </c>
      <c r="L196" s="21"/>
      <c r="M196" s="217">
        <f t="shared" si="76"/>
        <v>164.03648301458904</v>
      </c>
      <c r="N196" s="217">
        <f t="shared" si="77"/>
        <v>57.3554136414647</v>
      </c>
      <c r="O196" s="23"/>
    </row>
    <row r="197" spans="1:15" x14ac:dyDescent="0.2">
      <c r="A197" s="23"/>
      <c r="B197" s="23"/>
      <c r="C197" s="23"/>
      <c r="D197" s="23"/>
      <c r="E197" s="94"/>
      <c r="F197" s="192"/>
      <c r="G197" s="218"/>
      <c r="H197" s="214">
        <v>5</v>
      </c>
      <c r="I197" s="21"/>
      <c r="J197" s="217">
        <f>G192*0.8</f>
        <v>1596.8000000000002</v>
      </c>
      <c r="K197" s="217">
        <f t="shared" si="75"/>
        <v>80</v>
      </c>
      <c r="L197" s="21"/>
      <c r="M197" s="217">
        <f t="shared" si="76"/>
        <v>234.24147648390235</v>
      </c>
      <c r="N197" s="217">
        <f t="shared" si="77"/>
        <v>81.902614155210614</v>
      </c>
      <c r="O197" s="23"/>
    </row>
    <row r="198" spans="1:15" x14ac:dyDescent="0.2">
      <c r="A198" s="23"/>
      <c r="B198" s="23"/>
      <c r="C198" s="23"/>
      <c r="D198" s="23"/>
      <c r="E198" s="94"/>
      <c r="F198" s="192"/>
      <c r="G198" s="218"/>
      <c r="H198" s="218">
        <v>6</v>
      </c>
      <c r="I198" s="21"/>
      <c r="J198" s="21">
        <f>G192*1</f>
        <v>1996</v>
      </c>
      <c r="K198" s="217">
        <f>J198/J$198*100</f>
        <v>100</v>
      </c>
      <c r="L198" s="21"/>
      <c r="M198" s="217">
        <f t="shared" si="76"/>
        <v>286</v>
      </c>
      <c r="N198" s="217">
        <f>M198/M$198*100</f>
        <v>100</v>
      </c>
      <c r="O198" s="23"/>
    </row>
    <row r="199" spans="1:15" x14ac:dyDescent="0.2">
      <c r="A199" s="23"/>
      <c r="B199" s="23"/>
      <c r="C199" s="23"/>
      <c r="D199" s="23"/>
      <c r="E199" s="94">
        <v>37193</v>
      </c>
      <c r="F199" s="192">
        <v>211</v>
      </c>
      <c r="G199" s="218">
        <v>1442</v>
      </c>
      <c r="H199" s="214">
        <v>0</v>
      </c>
      <c r="I199" s="21"/>
      <c r="J199" s="217">
        <f>G199*0</f>
        <v>0</v>
      </c>
      <c r="K199" s="217">
        <f>J199/J$205*100</f>
        <v>0</v>
      </c>
      <c r="L199" s="21"/>
      <c r="M199" s="217">
        <f>F$199*(1-(($E$2+EXP(-$E$3*$E$4))/($E$2+EXP($E$3*(J199-$E$4))))^$E$2)/(1-(($E$2+EXP(-$E$3*$E$4))/($E$2+EXP($E$3*(G$199-$E$4))))^$E$2)</f>
        <v>0</v>
      </c>
      <c r="N199" s="217">
        <f>M199/M$205*100</f>
        <v>0</v>
      </c>
      <c r="O199" s="23"/>
    </row>
    <row r="200" spans="1:15" x14ac:dyDescent="0.2">
      <c r="A200" s="23"/>
      <c r="B200" s="23"/>
      <c r="C200" s="23"/>
      <c r="D200" s="23"/>
      <c r="E200" s="23"/>
      <c r="F200" s="218"/>
      <c r="G200" s="218"/>
      <c r="H200" s="214">
        <v>1</v>
      </c>
      <c r="I200" s="21"/>
      <c r="J200" s="217">
        <f>G199*0.2</f>
        <v>288.40000000000003</v>
      </c>
      <c r="K200" s="217">
        <f t="shared" ref="K200:K205" si="78">J200/J$205*100</f>
        <v>20</v>
      </c>
      <c r="L200" s="21"/>
      <c r="M200" s="217">
        <f t="shared" ref="M200:M205" si="79">F$199*(1-(($E$2+EXP(-$E$3*$E$4))/($E$2+EXP($E$3*(J200-$E$4))))^$E$2)/(1-(($E$2+EXP(-$E$3*$E$4))/($E$2+EXP($E$3*(G$199-$E$4))))^$E$2)</f>
        <v>11.626028098796095</v>
      </c>
      <c r="N200" s="217">
        <f t="shared" ref="N200:N205" si="80">M200/M$205*100</f>
        <v>5.5099659236000447</v>
      </c>
      <c r="O200" s="23"/>
    </row>
    <row r="201" spans="1:15" x14ac:dyDescent="0.2">
      <c r="A201" s="23"/>
      <c r="B201" s="23"/>
      <c r="C201" s="23"/>
      <c r="D201" s="23"/>
      <c r="E201" s="23"/>
      <c r="F201" s="218"/>
      <c r="G201" s="218"/>
      <c r="H201" s="214">
        <v>2</v>
      </c>
      <c r="I201" s="21"/>
      <c r="J201" s="217">
        <f>G199*0.4</f>
        <v>576.80000000000007</v>
      </c>
      <c r="K201" s="217">
        <f t="shared" si="78"/>
        <v>40</v>
      </c>
      <c r="L201" s="21"/>
      <c r="M201" s="217">
        <f t="shared" si="79"/>
        <v>42.193980746696496</v>
      </c>
      <c r="N201" s="217">
        <f t="shared" si="80"/>
        <v>19.997147273315875</v>
      </c>
      <c r="O201" s="23"/>
    </row>
    <row r="202" spans="1:15" x14ac:dyDescent="0.2">
      <c r="A202" s="23"/>
      <c r="B202" s="23"/>
      <c r="C202" s="23"/>
      <c r="D202" s="23"/>
      <c r="E202" s="23"/>
      <c r="F202" s="218"/>
      <c r="G202" s="218"/>
      <c r="H202" s="214">
        <v>3</v>
      </c>
      <c r="I202" s="21"/>
      <c r="J202" s="217">
        <f>G199*0.5</f>
        <v>721</v>
      </c>
      <c r="K202" s="217">
        <f t="shared" si="78"/>
        <v>50</v>
      </c>
      <c r="L202" s="21"/>
      <c r="M202" s="217">
        <f t="shared" si="79"/>
        <v>66.634402280576708</v>
      </c>
      <c r="N202" s="217">
        <f t="shared" si="80"/>
        <v>31.580285441031613</v>
      </c>
      <c r="O202" s="23"/>
    </row>
    <row r="203" spans="1:15" x14ac:dyDescent="0.2">
      <c r="A203" s="23"/>
      <c r="B203" s="23"/>
      <c r="C203" s="23"/>
      <c r="D203" s="23"/>
      <c r="E203" s="23"/>
      <c r="F203" s="30"/>
      <c r="G203" s="30"/>
      <c r="H203" s="214">
        <v>4</v>
      </c>
      <c r="I203" s="21"/>
      <c r="J203" s="217">
        <f>G199*0.6</f>
        <v>865.19999999999993</v>
      </c>
      <c r="K203" s="217">
        <f t="shared" si="78"/>
        <v>60</v>
      </c>
      <c r="L203" s="21"/>
      <c r="M203" s="217">
        <f t="shared" si="79"/>
        <v>95.475825412691961</v>
      </c>
      <c r="N203" s="217">
        <f t="shared" si="80"/>
        <v>45.249206356726049</v>
      </c>
      <c r="O203" s="23"/>
    </row>
    <row r="204" spans="1:15" x14ac:dyDescent="0.2">
      <c r="A204" s="23"/>
      <c r="B204" s="23"/>
      <c r="C204" s="23"/>
      <c r="D204" s="23"/>
      <c r="E204" s="23"/>
      <c r="F204" s="218"/>
      <c r="G204" s="218"/>
      <c r="H204" s="214">
        <v>5</v>
      </c>
      <c r="I204" s="21"/>
      <c r="J204" s="217">
        <f>G199*0.8</f>
        <v>1153.6000000000001</v>
      </c>
      <c r="K204" s="217">
        <f t="shared" si="78"/>
        <v>80</v>
      </c>
      <c r="L204" s="21"/>
      <c r="M204" s="217">
        <f t="shared" si="79"/>
        <v>156.43303192912433</v>
      </c>
      <c r="N204" s="217">
        <f t="shared" si="80"/>
        <v>74.138877691528108</v>
      </c>
      <c r="O204" s="23"/>
    </row>
    <row r="205" spans="1:15" x14ac:dyDescent="0.2">
      <c r="A205" s="23"/>
      <c r="B205" s="23"/>
      <c r="C205" s="23"/>
      <c r="D205" s="23"/>
      <c r="E205" s="23"/>
      <c r="F205" s="218"/>
      <c r="G205" s="218"/>
      <c r="H205" s="218">
        <v>6</v>
      </c>
      <c r="I205" s="21"/>
      <c r="J205" s="21">
        <f>G199*1</f>
        <v>1442</v>
      </c>
      <c r="K205" s="217">
        <f t="shared" si="78"/>
        <v>100</v>
      </c>
      <c r="L205" s="21"/>
      <c r="M205" s="217">
        <f t="shared" si="79"/>
        <v>211</v>
      </c>
      <c r="N205" s="217">
        <f t="shared" si="80"/>
        <v>100</v>
      </c>
      <c r="O205" s="23"/>
    </row>
    <row r="206" spans="1:15" x14ac:dyDescent="0.2">
      <c r="A206" s="23"/>
      <c r="B206" s="23"/>
      <c r="C206" s="23"/>
      <c r="D206" s="23"/>
      <c r="E206" s="23"/>
      <c r="F206" s="218"/>
      <c r="G206" s="218"/>
      <c r="H206" s="218"/>
      <c r="I206" s="21"/>
      <c r="J206" s="21"/>
      <c r="K206" s="21"/>
      <c r="L206" s="21"/>
      <c r="M206" s="217"/>
      <c r="N206" s="21"/>
      <c r="O206" s="23"/>
    </row>
    <row r="207" spans="1:15" x14ac:dyDescent="0.2">
      <c r="A207" s="23"/>
      <c r="B207" s="23"/>
      <c r="C207" s="23"/>
      <c r="D207" s="23"/>
      <c r="E207" s="23"/>
      <c r="F207" s="218"/>
      <c r="G207" s="218"/>
      <c r="H207" s="218"/>
      <c r="I207" s="21"/>
      <c r="J207" s="21"/>
      <c r="K207" s="21"/>
      <c r="L207" s="21"/>
      <c r="M207" s="21"/>
      <c r="N207" s="21"/>
      <c r="O207" s="23"/>
    </row>
    <row r="208" spans="1:15" x14ac:dyDescent="0.2">
      <c r="A208" s="23"/>
      <c r="B208" s="23"/>
      <c r="C208" s="23"/>
      <c r="D208" s="23"/>
      <c r="E208" s="23"/>
      <c r="F208" s="30"/>
      <c r="G208" s="30"/>
      <c r="H208" s="218"/>
      <c r="I208" s="21"/>
      <c r="J208" s="21"/>
      <c r="K208" s="21"/>
      <c r="L208" s="21"/>
      <c r="M208" s="21"/>
      <c r="N208" s="21"/>
      <c r="O208" s="23"/>
    </row>
    <row r="209" spans="1:15" x14ac:dyDescent="0.2">
      <c r="A209" s="23"/>
      <c r="B209" s="23"/>
      <c r="C209" s="23"/>
      <c r="D209" s="23"/>
      <c r="E209" s="23"/>
      <c r="F209" s="218"/>
      <c r="G209" s="218"/>
      <c r="H209" s="218"/>
      <c r="I209" s="21"/>
      <c r="J209" s="21"/>
      <c r="K209" s="21"/>
      <c r="L209" s="21"/>
      <c r="M209" s="21"/>
      <c r="N209" s="21"/>
      <c r="O209" s="23"/>
    </row>
    <row r="210" spans="1:15" x14ac:dyDescent="0.2">
      <c r="A210" s="23"/>
      <c r="B210" s="23"/>
      <c r="C210" s="23"/>
      <c r="D210" s="23"/>
      <c r="E210" s="23"/>
      <c r="F210" s="218"/>
      <c r="G210" s="218"/>
      <c r="H210" s="218"/>
      <c r="I210" s="21"/>
      <c r="J210" s="21"/>
      <c r="K210" s="21"/>
      <c r="L210" s="21"/>
      <c r="M210" s="21"/>
      <c r="N210" s="21"/>
      <c r="O210" s="23"/>
    </row>
    <row r="211" spans="1:15" x14ac:dyDescent="0.2">
      <c r="A211" s="23"/>
      <c r="B211" s="23"/>
      <c r="C211" s="23"/>
      <c r="D211" s="23"/>
      <c r="E211" s="23"/>
      <c r="F211" s="218"/>
      <c r="G211" s="218"/>
      <c r="H211" s="218"/>
      <c r="I211" s="21"/>
      <c r="J211" s="21"/>
      <c r="K211" s="21"/>
      <c r="L211" s="21"/>
      <c r="M211" s="21"/>
      <c r="N211" s="21"/>
      <c r="O211" s="23"/>
    </row>
    <row r="212" spans="1:15" x14ac:dyDescent="0.2">
      <c r="A212" s="23"/>
      <c r="B212" s="23"/>
      <c r="C212" s="23"/>
      <c r="D212" s="23"/>
      <c r="E212" s="23"/>
      <c r="F212" s="218"/>
      <c r="G212" s="218"/>
      <c r="H212" s="218"/>
      <c r="I212" s="21"/>
      <c r="J212" s="21"/>
      <c r="K212" s="21"/>
      <c r="L212" s="21"/>
      <c r="M212" s="21"/>
      <c r="N212" s="21"/>
      <c r="O212" s="23"/>
    </row>
    <row r="213" spans="1:15" x14ac:dyDescent="0.2">
      <c r="A213" s="23"/>
      <c r="B213" s="23"/>
      <c r="C213" s="23"/>
      <c r="D213" s="23"/>
      <c r="E213" s="23"/>
      <c r="F213" s="30"/>
      <c r="G213" s="30"/>
      <c r="H213" s="218"/>
      <c r="I213" s="21"/>
      <c r="J213" s="21"/>
      <c r="K213" s="21"/>
      <c r="L213" s="21"/>
      <c r="M213" s="21"/>
      <c r="N213" s="21"/>
      <c r="O213" s="23"/>
    </row>
    <row r="214" spans="1:15" x14ac:dyDescent="0.2">
      <c r="A214" s="23"/>
      <c r="B214" s="23"/>
      <c r="C214" s="23"/>
      <c r="D214" s="23"/>
      <c r="E214" s="23"/>
      <c r="F214" s="218"/>
      <c r="G214" s="218"/>
      <c r="H214" s="218"/>
      <c r="I214" s="21"/>
      <c r="J214" s="21"/>
      <c r="K214" s="21"/>
      <c r="L214" s="21"/>
      <c r="M214" s="21"/>
      <c r="N214" s="21"/>
      <c r="O214" s="23"/>
    </row>
    <row r="215" spans="1:15" x14ac:dyDescent="0.2">
      <c r="A215" s="23"/>
      <c r="B215" s="23"/>
      <c r="C215" s="23"/>
      <c r="D215" s="23"/>
      <c r="E215" s="23"/>
      <c r="F215" s="218"/>
      <c r="G215" s="218"/>
      <c r="H215" s="218"/>
      <c r="I215" s="21"/>
      <c r="J215" s="21"/>
      <c r="K215" s="21"/>
      <c r="L215" s="21"/>
      <c r="M215" s="21"/>
      <c r="N215" s="21"/>
      <c r="O215" s="23"/>
    </row>
    <row r="216" spans="1:15" x14ac:dyDescent="0.2">
      <c r="A216" s="23"/>
      <c r="B216" s="23"/>
      <c r="C216" s="23"/>
      <c r="D216" s="23"/>
      <c r="E216" s="23"/>
      <c r="F216" s="218"/>
      <c r="G216" s="218"/>
      <c r="H216" s="218"/>
      <c r="I216" s="21"/>
      <c r="J216" s="21"/>
      <c r="K216" s="21"/>
      <c r="L216" s="21"/>
      <c r="M216" s="21"/>
      <c r="N216" s="21"/>
      <c r="O216" s="23"/>
    </row>
    <row r="217" spans="1:15" x14ac:dyDescent="0.2">
      <c r="A217" s="23"/>
      <c r="B217" s="23"/>
      <c r="C217" s="23"/>
      <c r="D217" s="23"/>
      <c r="E217" s="23"/>
      <c r="F217" s="218"/>
      <c r="G217" s="218"/>
      <c r="H217" s="218"/>
      <c r="I217" s="21"/>
      <c r="J217" s="21"/>
      <c r="K217" s="21"/>
      <c r="L217" s="21"/>
      <c r="M217" s="21"/>
      <c r="N217" s="21"/>
      <c r="O217" s="23"/>
    </row>
    <row r="218" spans="1:15" x14ac:dyDescent="0.2">
      <c r="A218" s="23"/>
      <c r="B218" s="23"/>
      <c r="C218" s="23"/>
      <c r="D218" s="23"/>
      <c r="E218" s="23"/>
      <c r="F218" s="30"/>
      <c r="G218" s="30"/>
      <c r="H218" s="218"/>
      <c r="I218" s="21"/>
      <c r="J218" s="21"/>
      <c r="K218" s="21"/>
      <c r="L218" s="21"/>
      <c r="M218" s="21"/>
      <c r="N218" s="21"/>
      <c r="O218" s="23"/>
    </row>
    <row r="219" spans="1:15" x14ac:dyDescent="0.2">
      <c r="A219" s="23"/>
      <c r="B219" s="23"/>
      <c r="C219" s="23"/>
      <c r="D219" s="23"/>
      <c r="E219" s="23"/>
      <c r="F219" s="218"/>
      <c r="G219" s="218"/>
      <c r="H219" s="218"/>
      <c r="I219" s="21"/>
      <c r="J219" s="21"/>
      <c r="K219" s="21"/>
      <c r="L219" s="21"/>
      <c r="M219" s="21"/>
      <c r="N219" s="21"/>
      <c r="O219" s="23"/>
    </row>
    <row r="220" spans="1:15" x14ac:dyDescent="0.2">
      <c r="A220" s="23"/>
      <c r="B220" s="23"/>
      <c r="C220" s="23"/>
      <c r="D220" s="23"/>
      <c r="E220" s="23"/>
      <c r="F220" s="218"/>
      <c r="G220" s="218"/>
      <c r="H220" s="218"/>
      <c r="I220" s="21"/>
      <c r="J220" s="21"/>
      <c r="K220" s="21"/>
      <c r="L220" s="21"/>
      <c r="M220" s="21"/>
      <c r="N220" s="21"/>
      <c r="O220" s="23"/>
    </row>
    <row r="221" spans="1:15" x14ac:dyDescent="0.2">
      <c r="A221" s="23"/>
      <c r="B221" s="23"/>
      <c r="C221" s="23"/>
      <c r="D221" s="23"/>
      <c r="E221" s="23"/>
      <c r="F221" s="218"/>
      <c r="G221" s="218"/>
      <c r="H221" s="218"/>
      <c r="I221" s="21"/>
      <c r="J221" s="21"/>
      <c r="K221" s="21"/>
      <c r="L221" s="21"/>
      <c r="M221" s="21"/>
      <c r="N221" s="21"/>
      <c r="O221" s="23"/>
    </row>
    <row r="222" spans="1:15" x14ac:dyDescent="0.2">
      <c r="A222" s="23"/>
      <c r="B222" s="23"/>
      <c r="C222" s="23"/>
      <c r="D222" s="23"/>
      <c r="E222" s="23"/>
      <c r="F222" s="218"/>
      <c r="G222" s="218"/>
      <c r="H222" s="218"/>
      <c r="I222" s="21"/>
      <c r="J222" s="21"/>
      <c r="K222" s="21"/>
      <c r="L222" s="21"/>
      <c r="M222" s="21"/>
      <c r="N222" s="21"/>
      <c r="O222" s="23"/>
    </row>
    <row r="223" spans="1:15" x14ac:dyDescent="0.2">
      <c r="A223" s="23"/>
      <c r="B223" s="23"/>
      <c r="C223" s="23"/>
      <c r="D223" s="23"/>
      <c r="E223" s="23"/>
      <c r="F223" s="30"/>
      <c r="G223" s="30"/>
      <c r="H223" s="218"/>
      <c r="I223" s="21"/>
      <c r="J223" s="21"/>
      <c r="K223" s="21"/>
      <c r="L223" s="21"/>
      <c r="M223" s="21"/>
      <c r="N223" s="21"/>
      <c r="O223" s="23"/>
    </row>
    <row r="224" spans="1:15" x14ac:dyDescent="0.2">
      <c r="A224" s="23"/>
      <c r="B224" s="23"/>
      <c r="C224" s="23"/>
      <c r="D224" s="23"/>
      <c r="E224" s="23"/>
      <c r="F224" s="218"/>
      <c r="G224" s="218"/>
      <c r="H224" s="218"/>
      <c r="I224" s="21"/>
      <c r="J224" s="21"/>
      <c r="K224" s="21"/>
      <c r="L224" s="21"/>
      <c r="M224" s="21"/>
      <c r="N224" s="21"/>
      <c r="O224" s="23"/>
    </row>
    <row r="225" spans="1:15" x14ac:dyDescent="0.2">
      <c r="A225" s="23"/>
      <c r="B225" s="23"/>
      <c r="C225" s="23"/>
      <c r="D225" s="23"/>
      <c r="E225" s="23"/>
      <c r="F225" s="218"/>
      <c r="G225" s="218"/>
      <c r="H225" s="218"/>
      <c r="I225" s="21"/>
      <c r="J225" s="21"/>
      <c r="K225" s="21"/>
      <c r="L225" s="21"/>
      <c r="M225" s="21"/>
      <c r="N225" s="21"/>
      <c r="O225" s="23"/>
    </row>
    <row r="226" spans="1:15" x14ac:dyDescent="0.2">
      <c r="A226" s="23"/>
      <c r="B226" s="23"/>
      <c r="C226" s="23"/>
      <c r="D226" s="23"/>
      <c r="E226" s="23"/>
      <c r="F226" s="218"/>
      <c r="G226" s="218"/>
      <c r="H226" s="218"/>
      <c r="I226" s="21"/>
      <c r="J226" s="21"/>
      <c r="K226" s="21"/>
      <c r="L226" s="21"/>
      <c r="M226" s="21"/>
      <c r="N226" s="21"/>
      <c r="O226" s="23"/>
    </row>
    <row r="227" spans="1:15" x14ac:dyDescent="0.2">
      <c r="A227" s="23"/>
      <c r="B227" s="23"/>
      <c r="C227" s="23"/>
      <c r="D227" s="23"/>
      <c r="E227" s="23"/>
      <c r="F227" s="218"/>
      <c r="G227" s="218"/>
      <c r="H227" s="218"/>
      <c r="I227" s="21"/>
      <c r="J227" s="21"/>
      <c r="K227" s="21"/>
      <c r="L227" s="21"/>
      <c r="M227" s="21"/>
      <c r="N227" s="21"/>
      <c r="O227" s="23"/>
    </row>
    <row r="228" spans="1:15" x14ac:dyDescent="0.2">
      <c r="A228" s="23"/>
      <c r="B228" s="23"/>
      <c r="C228" s="23"/>
      <c r="D228" s="23"/>
      <c r="E228" s="23"/>
      <c r="F228" s="30"/>
      <c r="G228" s="30"/>
      <c r="H228" s="218"/>
      <c r="I228" s="21"/>
      <c r="J228" s="21"/>
      <c r="K228" s="21"/>
      <c r="L228" s="21"/>
      <c r="M228" s="21"/>
      <c r="N228" s="21"/>
      <c r="O228" s="23"/>
    </row>
    <row r="229" spans="1:15" x14ac:dyDescent="0.2">
      <c r="A229" s="23"/>
      <c r="B229" s="23"/>
      <c r="C229" s="23"/>
      <c r="D229" s="23"/>
      <c r="E229" s="23"/>
      <c r="F229" s="218"/>
      <c r="G229" s="218"/>
      <c r="H229" s="218"/>
      <c r="I229" s="21"/>
      <c r="J229" s="21"/>
      <c r="K229" s="21"/>
      <c r="L229" s="21"/>
      <c r="M229" s="21"/>
      <c r="N229" s="21"/>
      <c r="O229" s="23"/>
    </row>
    <row r="230" spans="1:15" x14ac:dyDescent="0.2">
      <c r="A230" s="23"/>
      <c r="B230" s="23"/>
      <c r="C230" s="23"/>
      <c r="D230" s="23"/>
      <c r="E230" s="23"/>
      <c r="F230" s="218"/>
      <c r="G230" s="218"/>
      <c r="H230" s="218"/>
      <c r="I230" s="21"/>
      <c r="J230" s="21"/>
      <c r="K230" s="21"/>
      <c r="L230" s="21"/>
      <c r="M230" s="21"/>
      <c r="N230" s="21"/>
      <c r="O230" s="23"/>
    </row>
    <row r="231" spans="1:15" x14ac:dyDescent="0.2">
      <c r="A231" s="23"/>
      <c r="B231" s="23"/>
      <c r="C231" s="23"/>
      <c r="D231" s="23"/>
      <c r="E231" s="23"/>
      <c r="F231" s="218"/>
      <c r="G231" s="218"/>
      <c r="H231" s="218"/>
      <c r="I231" s="21"/>
      <c r="J231" s="21"/>
      <c r="K231" s="21"/>
      <c r="L231" s="21"/>
      <c r="M231" s="21"/>
      <c r="N231" s="21"/>
      <c r="O231" s="23"/>
    </row>
    <row r="232" spans="1:15" x14ac:dyDescent="0.2">
      <c r="A232" s="23"/>
      <c r="B232" s="23"/>
      <c r="C232" s="23"/>
      <c r="D232" s="17"/>
      <c r="E232" s="23"/>
      <c r="F232" s="218"/>
      <c r="G232" s="218"/>
      <c r="H232" s="218"/>
      <c r="I232" s="21"/>
      <c r="J232" s="21"/>
      <c r="K232" s="21"/>
      <c r="L232" s="21"/>
      <c r="M232" s="218"/>
      <c r="N232" s="21"/>
      <c r="O232" s="23"/>
    </row>
    <row r="233" spans="1:15" x14ac:dyDescent="0.2">
      <c r="A233" s="23"/>
      <c r="B233" s="23"/>
      <c r="C233" s="23"/>
      <c r="D233" s="17"/>
      <c r="E233" s="17"/>
      <c r="F233" s="30"/>
      <c r="G233" s="218"/>
      <c r="H233" s="218"/>
      <c r="I233" s="21"/>
      <c r="J233" s="21"/>
      <c r="K233" s="21"/>
      <c r="L233" s="21"/>
      <c r="M233" s="21"/>
      <c r="N233" s="21"/>
      <c r="O233" s="23"/>
    </row>
    <row r="234" spans="1:15" x14ac:dyDescent="0.2">
      <c r="A234" s="23"/>
      <c r="B234" s="23"/>
      <c r="C234" s="23"/>
      <c r="D234" s="17"/>
      <c r="E234" s="17"/>
      <c r="F234" s="218"/>
      <c r="G234" s="218"/>
      <c r="H234" s="218"/>
      <c r="I234" s="21"/>
      <c r="J234" s="21"/>
      <c r="K234" s="21"/>
      <c r="L234" s="21"/>
      <c r="M234" s="21"/>
      <c r="N234" s="21"/>
      <c r="O234" s="23"/>
    </row>
    <row r="235" spans="1:15" x14ac:dyDescent="0.2">
      <c r="A235" s="23"/>
      <c r="B235" s="23"/>
      <c r="C235" s="23"/>
      <c r="D235" s="17"/>
      <c r="E235" s="17"/>
      <c r="F235" s="218"/>
      <c r="G235" s="30"/>
      <c r="H235" s="218"/>
      <c r="I235" s="21"/>
      <c r="J235" s="21"/>
      <c r="K235" s="21"/>
      <c r="L235" s="21"/>
      <c r="M235" s="21"/>
      <c r="N235" s="21"/>
      <c r="O235" s="23"/>
    </row>
    <row r="236" spans="1:15" x14ac:dyDescent="0.2">
      <c r="A236" s="23"/>
      <c r="B236" s="23"/>
      <c r="C236" s="23"/>
      <c r="D236" s="17"/>
      <c r="E236" s="17"/>
      <c r="F236" s="218"/>
      <c r="G236" s="218"/>
      <c r="H236" s="218"/>
      <c r="I236" s="21"/>
      <c r="J236" s="21"/>
      <c r="K236" s="21"/>
      <c r="L236" s="21"/>
      <c r="M236" s="21"/>
      <c r="N236" s="21"/>
      <c r="O236" s="23"/>
    </row>
    <row r="237" spans="1:15" x14ac:dyDescent="0.2">
      <c r="A237" s="23"/>
      <c r="B237" s="23"/>
      <c r="C237" s="23"/>
      <c r="D237" s="17"/>
      <c r="E237" s="17"/>
      <c r="F237" s="218"/>
      <c r="G237" s="218"/>
      <c r="H237" s="218"/>
      <c r="I237" s="21"/>
      <c r="J237" s="21"/>
      <c r="K237" s="21"/>
      <c r="L237" s="21"/>
      <c r="M237" s="21"/>
      <c r="N237" s="21"/>
      <c r="O237" s="23"/>
    </row>
    <row r="238" spans="1:15" x14ac:dyDescent="0.2">
      <c r="A238" s="23"/>
      <c r="B238" s="23"/>
      <c r="C238" s="23"/>
      <c r="D238" s="17"/>
      <c r="E238" s="17"/>
      <c r="F238" s="218"/>
      <c r="G238" s="218"/>
      <c r="H238" s="218"/>
      <c r="I238" s="21"/>
      <c r="J238" s="21"/>
      <c r="K238" s="21"/>
      <c r="L238" s="21"/>
      <c r="M238" s="21"/>
      <c r="N238" s="21"/>
      <c r="O238" s="23"/>
    </row>
    <row r="239" spans="1:15" x14ac:dyDescent="0.2">
      <c r="A239" s="23"/>
      <c r="B239" s="23"/>
      <c r="C239" s="23"/>
      <c r="D239" s="23"/>
      <c r="E239" s="17"/>
      <c r="F239" s="218"/>
      <c r="G239" s="218"/>
      <c r="H239" s="218"/>
      <c r="I239" s="21"/>
      <c r="J239" s="21"/>
      <c r="K239" s="21"/>
      <c r="L239" s="21"/>
      <c r="M239" s="218"/>
      <c r="N239" s="21"/>
      <c r="O239" s="23"/>
    </row>
    <row r="240" spans="1:15" x14ac:dyDescent="0.2">
      <c r="A240" s="23"/>
      <c r="B240" s="23"/>
      <c r="C240" s="23"/>
      <c r="D240" s="23"/>
      <c r="E240" s="23"/>
      <c r="F240" s="30"/>
      <c r="G240" s="218"/>
      <c r="H240" s="218"/>
      <c r="I240" s="21"/>
      <c r="J240" s="21"/>
      <c r="K240" s="21"/>
      <c r="L240" s="21"/>
      <c r="M240" s="21"/>
      <c r="N240" s="21"/>
      <c r="O240" s="23"/>
    </row>
    <row r="241" spans="1:23" x14ac:dyDescent="0.2">
      <c r="A241" s="23"/>
      <c r="B241" s="23"/>
      <c r="C241" s="23"/>
      <c r="D241" s="23"/>
      <c r="E241" s="23"/>
      <c r="F241" s="218"/>
      <c r="G241" s="218"/>
      <c r="H241" s="218"/>
      <c r="I241" s="21"/>
      <c r="J241" s="21"/>
      <c r="K241" s="21"/>
      <c r="L241" s="21"/>
      <c r="M241" s="21"/>
      <c r="N241" s="21"/>
      <c r="O241" s="23"/>
    </row>
    <row r="242" spans="1:23" x14ac:dyDescent="0.2">
      <c r="A242" s="23"/>
      <c r="B242" s="23"/>
      <c r="C242" s="23"/>
      <c r="D242" s="23"/>
      <c r="E242" s="23"/>
      <c r="F242" s="218"/>
      <c r="H242" s="218"/>
      <c r="I242" s="21"/>
      <c r="J242" s="21"/>
      <c r="K242" s="21"/>
      <c r="L242" s="21"/>
      <c r="M242" s="21"/>
      <c r="N242" s="21"/>
      <c r="O242" s="23"/>
    </row>
    <row r="243" spans="1:23" x14ac:dyDescent="0.2">
      <c r="A243" s="23"/>
      <c r="B243" s="23"/>
      <c r="C243" s="23"/>
      <c r="D243" s="23"/>
      <c r="E243" s="23"/>
      <c r="F243" s="218"/>
      <c r="H243" s="218"/>
      <c r="I243" s="21"/>
      <c r="J243" s="21"/>
      <c r="K243" s="21"/>
      <c r="L243" s="21"/>
      <c r="M243" s="21"/>
      <c r="N243" s="21"/>
      <c r="O243" s="23"/>
    </row>
    <row r="244" spans="1:23" x14ac:dyDescent="0.2">
      <c r="A244" s="23"/>
      <c r="B244" s="23"/>
      <c r="C244" s="23"/>
      <c r="D244" s="23"/>
      <c r="E244" s="23"/>
      <c r="F244" s="218"/>
      <c r="H244" s="218"/>
      <c r="I244" s="21"/>
      <c r="J244" s="21"/>
      <c r="K244" s="21"/>
      <c r="L244" s="21"/>
      <c r="M244" s="21"/>
      <c r="N244" s="21"/>
      <c r="O244" s="23"/>
    </row>
    <row r="245" spans="1:23" x14ac:dyDescent="0.2">
      <c r="A245" s="23"/>
      <c r="B245" s="23"/>
      <c r="C245" s="23"/>
      <c r="D245" s="23"/>
      <c r="E245" s="23"/>
      <c r="F245" s="218"/>
      <c r="H245" s="218"/>
      <c r="I245" s="21"/>
      <c r="J245" s="21"/>
      <c r="K245" s="21"/>
      <c r="L245" s="21"/>
      <c r="M245" s="21"/>
      <c r="N245" s="21"/>
      <c r="O245" s="23"/>
    </row>
    <row r="246" spans="1:23" x14ac:dyDescent="0.2">
      <c r="E246" s="23"/>
      <c r="F246" s="218"/>
    </row>
    <row r="248" spans="1:23" x14ac:dyDescent="0.2">
      <c r="A248" t="s">
        <v>37</v>
      </c>
      <c r="C248" s="232" t="s">
        <v>532</v>
      </c>
      <c r="D248" s="233"/>
      <c r="E248" s="233"/>
      <c r="F248" s="233"/>
      <c r="G248" s="233"/>
      <c r="H248" s="233"/>
      <c r="I248" s="233"/>
      <c r="J248" s="233"/>
      <c r="K248" s="234"/>
      <c r="L248" s="213"/>
    </row>
    <row r="249" spans="1:23" x14ac:dyDescent="0.2">
      <c r="C249" s="235"/>
      <c r="D249" s="236"/>
      <c r="E249" s="236"/>
      <c r="F249" s="236"/>
      <c r="G249" s="236"/>
      <c r="H249" s="236"/>
      <c r="I249" s="236"/>
      <c r="J249" s="236"/>
      <c r="K249" s="237"/>
      <c r="L249" s="213"/>
    </row>
    <row r="250" spans="1:23" x14ac:dyDescent="0.2">
      <c r="C250" s="238"/>
      <c r="D250" s="239"/>
      <c r="E250" s="239"/>
      <c r="F250" s="239"/>
      <c r="G250" s="239"/>
      <c r="H250" s="239"/>
      <c r="I250" s="239"/>
      <c r="J250" s="239"/>
      <c r="K250" s="240"/>
      <c r="L250" s="213"/>
    </row>
    <row r="251" spans="1:23" x14ac:dyDescent="0.2">
      <c r="C251" s="14"/>
      <c r="D251" s="14"/>
      <c r="E251" s="14"/>
      <c r="F251" s="14"/>
      <c r="G251" s="14"/>
      <c r="H251" s="14"/>
      <c r="I251" s="14"/>
      <c r="J251" s="14"/>
    </row>
    <row r="252" spans="1:23" x14ac:dyDescent="0.2">
      <c r="C252" s="264"/>
      <c r="D252" s="265"/>
      <c r="E252" s="265"/>
      <c r="F252" s="265"/>
      <c r="G252" s="265"/>
      <c r="H252" s="265"/>
      <c r="I252" s="265"/>
      <c r="J252" s="265"/>
      <c r="K252" s="265"/>
      <c r="L252" s="265"/>
      <c r="M252" s="265"/>
      <c r="N252" s="266"/>
    </row>
    <row r="253" spans="1:23" x14ac:dyDescent="0.2">
      <c r="C253" s="267"/>
      <c r="D253" s="268"/>
      <c r="E253" s="268"/>
      <c r="F253" s="268"/>
      <c r="G253" s="268"/>
      <c r="H253" s="268"/>
      <c r="I253" s="268"/>
      <c r="J253" s="268"/>
      <c r="K253" s="268"/>
      <c r="L253" s="268"/>
      <c r="M253" s="268"/>
      <c r="N253" s="269"/>
      <c r="O253" s="241"/>
      <c r="P253" s="241"/>
      <c r="Q253" s="241"/>
      <c r="R253" s="241"/>
      <c r="S253" s="241"/>
      <c r="T253" s="241"/>
      <c r="V253" s="241"/>
      <c r="W253" s="241"/>
    </row>
    <row r="254" spans="1:23" x14ac:dyDescent="0.2">
      <c r="C254" s="270"/>
      <c r="D254" s="271"/>
      <c r="E254" s="271"/>
      <c r="F254" s="271"/>
      <c r="G254" s="271"/>
      <c r="H254" s="271"/>
      <c r="I254" s="271"/>
      <c r="J254" s="271"/>
      <c r="K254" s="271"/>
      <c r="L254" s="271"/>
      <c r="M254" s="271"/>
      <c r="N254" s="272"/>
      <c r="O254" s="214"/>
      <c r="P254" s="214"/>
      <c r="S254" s="214"/>
      <c r="T254" s="214"/>
    </row>
    <row r="255" spans="1:23" x14ac:dyDescent="0.2">
      <c r="C255" s="215"/>
      <c r="D255" s="215"/>
      <c r="H255" s="215"/>
      <c r="I255" s="215"/>
      <c r="J255" s="215"/>
      <c r="K255" s="215"/>
      <c r="L255" s="215"/>
      <c r="M255" s="215"/>
      <c r="N255" s="215"/>
      <c r="O255" s="214"/>
      <c r="P255" s="214"/>
      <c r="S255" s="214"/>
      <c r="T255" s="214"/>
    </row>
    <row r="256" spans="1:23" x14ac:dyDescent="0.2">
      <c r="E256" s="215"/>
      <c r="F256" s="215"/>
      <c r="M256"/>
      <c r="N256" s="11"/>
      <c r="O256" s="214"/>
      <c r="P256" s="11"/>
      <c r="R256" s="11"/>
      <c r="T256" s="11"/>
    </row>
    <row r="257" spans="1:20" x14ac:dyDescent="0.2">
      <c r="A257" s="1"/>
      <c r="B257" s="1"/>
      <c r="M257"/>
      <c r="N257" s="11"/>
      <c r="O257" s="214"/>
      <c r="P257" s="11"/>
      <c r="R257" s="11"/>
      <c r="T257" s="11"/>
    </row>
    <row r="258" spans="1:20" x14ac:dyDescent="0.2">
      <c r="A258" s="1"/>
      <c r="B258" s="1"/>
      <c r="N258" s="11"/>
      <c r="O258" s="214"/>
      <c r="P258" s="11"/>
      <c r="R258" s="11"/>
      <c r="T258" s="11"/>
    </row>
    <row r="259" spans="1:20" x14ac:dyDescent="0.2">
      <c r="N259" s="11"/>
      <c r="O259" s="214"/>
      <c r="P259" s="11"/>
      <c r="R259" s="11"/>
      <c r="T259" s="11"/>
    </row>
    <row r="260" spans="1:20" x14ac:dyDescent="0.2">
      <c r="N260" s="11"/>
      <c r="O260" s="214"/>
      <c r="P260" s="11"/>
      <c r="R260" s="11"/>
      <c r="T260" s="11"/>
    </row>
    <row r="261" spans="1:20" x14ac:dyDescent="0.2">
      <c r="N261" s="11"/>
      <c r="O261" s="214"/>
      <c r="P261" s="11"/>
      <c r="R261" s="11"/>
      <c r="T261" s="11"/>
    </row>
  </sheetData>
  <mergeCells count="8">
    <mergeCell ref="V253:W253"/>
    <mergeCell ref="Q15:U21"/>
    <mergeCell ref="C248:K250"/>
    <mergeCell ref="C252:N254"/>
    <mergeCell ref="I15:K15"/>
    <mergeCell ref="O253:P253"/>
    <mergeCell ref="Q253:R253"/>
    <mergeCell ref="S253:T253"/>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102"/>
  <sheetViews>
    <sheetView topLeftCell="Q28" zoomScale="70" zoomScaleNormal="70" zoomScalePageLayoutView="70" workbookViewId="0">
      <selection activeCell="AB63" sqref="AB63"/>
    </sheetView>
  </sheetViews>
  <sheetFormatPr baseColWidth="10" defaultColWidth="8.83203125" defaultRowHeight="15" x14ac:dyDescent="0.2"/>
  <cols>
    <col min="1" max="1" width="20.6640625" customWidth="1"/>
    <col min="2" max="2" width="16.33203125" customWidth="1"/>
    <col min="3" max="3" width="16.33203125" style="34" customWidth="1"/>
    <col min="4" max="4" width="10.1640625" customWidth="1"/>
    <col min="5" max="5" width="13.5" customWidth="1"/>
    <col min="6" max="6" width="13.5" style="3" customWidth="1"/>
    <col min="7" max="7" width="16.6640625" style="3" customWidth="1"/>
    <col min="8" max="8" width="10.1640625" style="3" customWidth="1"/>
    <col min="9" max="9" width="12.33203125" style="7" customWidth="1"/>
    <col min="10" max="10" width="10.1640625" style="3" customWidth="1"/>
    <col min="11" max="11" width="10.1640625" style="58" customWidth="1"/>
    <col min="12" max="12" width="13.5" style="7" customWidth="1"/>
    <col min="13" max="13" width="10.1640625" style="7" customWidth="1"/>
    <col min="14" max="14" width="10.1640625" style="13" customWidth="1"/>
    <col min="15" max="15" width="10.1640625" style="3" customWidth="1"/>
    <col min="16" max="16" width="16.33203125" style="3" customWidth="1"/>
    <col min="17" max="17" width="41.33203125" customWidth="1"/>
  </cols>
  <sheetData>
    <row r="1" spans="1:40" x14ac:dyDescent="0.2">
      <c r="AE1" t="s">
        <v>156</v>
      </c>
    </row>
    <row r="2" spans="1:40" x14ac:dyDescent="0.2">
      <c r="AF2" s="241" t="s">
        <v>134</v>
      </c>
      <c r="AG2" s="241"/>
    </row>
    <row r="3" spans="1:40" s="14" customFormat="1" ht="30" x14ac:dyDescent="0.2">
      <c r="A3" s="14" t="s">
        <v>0</v>
      </c>
      <c r="C3" s="32"/>
      <c r="D3" s="14" t="s">
        <v>13</v>
      </c>
      <c r="E3" s="14" t="s">
        <v>28</v>
      </c>
      <c r="F3" s="15" t="s">
        <v>1</v>
      </c>
      <c r="G3" s="15" t="s">
        <v>2</v>
      </c>
      <c r="H3" s="15" t="s">
        <v>4</v>
      </c>
      <c r="I3" s="16" t="s">
        <v>8</v>
      </c>
      <c r="J3" s="15" t="s">
        <v>3</v>
      </c>
      <c r="K3" s="60"/>
      <c r="L3" s="230" t="s">
        <v>20</v>
      </c>
      <c r="M3" s="230"/>
      <c r="N3" s="245" t="s">
        <v>21</v>
      </c>
      <c r="O3" s="245"/>
      <c r="P3" s="245"/>
      <c r="S3" s="231" t="s">
        <v>157</v>
      </c>
      <c r="T3" s="231"/>
      <c r="U3" s="231"/>
      <c r="V3" s="231"/>
      <c r="W3" s="231"/>
      <c r="X3" s="231"/>
      <c r="Y3" s="231"/>
      <c r="AE3" t="s">
        <v>5</v>
      </c>
      <c r="AF3" t="s">
        <v>14</v>
      </c>
      <c r="AG3" t="s">
        <v>15</v>
      </c>
      <c r="AI3" s="14" t="s">
        <v>153</v>
      </c>
      <c r="AJ3" s="14">
        <v>0.26</v>
      </c>
    </row>
    <row r="4" spans="1:40" s="14" customFormat="1" x14ac:dyDescent="0.2">
      <c r="A4" s="26"/>
      <c r="B4" s="26" t="s">
        <v>10</v>
      </c>
      <c r="C4" s="33" t="s">
        <v>42</v>
      </c>
      <c r="D4" s="26"/>
      <c r="E4" s="26" t="s">
        <v>27</v>
      </c>
      <c r="F4" s="25"/>
      <c r="G4" s="25"/>
      <c r="H4" s="25" t="s">
        <v>7</v>
      </c>
      <c r="I4" s="27" t="s">
        <v>9</v>
      </c>
      <c r="J4" s="25"/>
      <c r="K4" s="64" t="s">
        <v>55</v>
      </c>
      <c r="L4" s="26" t="s">
        <v>104</v>
      </c>
      <c r="M4" s="27" t="s">
        <v>5</v>
      </c>
      <c r="N4" s="27" t="s">
        <v>55</v>
      </c>
      <c r="O4" s="25" t="s">
        <v>83</v>
      </c>
      <c r="P4" s="25" t="s">
        <v>12</v>
      </c>
      <c r="Q4" s="26" t="s">
        <v>22</v>
      </c>
      <c r="S4" s="231"/>
      <c r="T4" s="231"/>
      <c r="U4" s="231"/>
      <c r="V4" s="231"/>
      <c r="W4" s="231"/>
      <c r="X4" s="231"/>
      <c r="Y4" s="231"/>
      <c r="AE4">
        <v>0</v>
      </c>
      <c r="AF4">
        <v>0</v>
      </c>
      <c r="AG4">
        <v>0</v>
      </c>
    </row>
    <row r="5" spans="1:40" ht="20.25" customHeight="1" x14ac:dyDescent="0.2">
      <c r="A5" t="s">
        <v>38</v>
      </c>
      <c r="B5" t="s">
        <v>11</v>
      </c>
      <c r="C5" s="244" t="s">
        <v>43</v>
      </c>
      <c r="D5" t="s">
        <v>14</v>
      </c>
      <c r="E5">
        <v>29.3</v>
      </c>
      <c r="F5" s="5">
        <v>38422</v>
      </c>
      <c r="G5" s="5">
        <v>38524</v>
      </c>
      <c r="H5" s="3">
        <f>G5-F5</f>
        <v>102</v>
      </c>
      <c r="I5" s="7">
        <v>0</v>
      </c>
      <c r="J5" s="3">
        <v>0</v>
      </c>
      <c r="K5" s="246" t="s">
        <v>19</v>
      </c>
      <c r="L5" s="7">
        <v>0</v>
      </c>
      <c r="M5" s="7">
        <f t="shared" ref="M5:M19" si="0">L5/L$9*100</f>
        <v>0</v>
      </c>
      <c r="N5" s="13" t="s">
        <v>6</v>
      </c>
      <c r="O5" s="7">
        <v>0</v>
      </c>
      <c r="P5" s="7">
        <f>O5/O$9*100</f>
        <v>0</v>
      </c>
      <c r="Q5" t="s">
        <v>23</v>
      </c>
      <c r="S5" s="231"/>
      <c r="T5" s="231"/>
      <c r="U5" s="231"/>
      <c r="V5" s="231"/>
      <c r="W5" s="231"/>
      <c r="X5" s="231"/>
      <c r="Y5" s="231"/>
      <c r="AE5">
        <v>10</v>
      </c>
      <c r="AF5" s="11">
        <v>0.21321961620469082</v>
      </c>
      <c r="AG5" s="11">
        <v>0.53304904051172708</v>
      </c>
    </row>
    <row r="6" spans="1:40" x14ac:dyDescent="0.2">
      <c r="C6" s="231"/>
      <c r="D6" t="s">
        <v>14</v>
      </c>
      <c r="I6" s="7">
        <v>0</v>
      </c>
      <c r="J6" s="3">
        <v>1</v>
      </c>
      <c r="K6" s="247"/>
      <c r="L6" s="7">
        <v>41.677419354838712</v>
      </c>
      <c r="M6" s="7">
        <f t="shared" si="0"/>
        <v>41.007194244604314</v>
      </c>
      <c r="O6" s="7">
        <v>39.819004524886878</v>
      </c>
      <c r="P6" s="7">
        <f>O6/O$9*100</f>
        <v>15.827338129496404</v>
      </c>
      <c r="Q6" s="1" t="s">
        <v>131</v>
      </c>
      <c r="S6" s="231"/>
      <c r="T6" s="231"/>
      <c r="U6" s="231"/>
      <c r="V6" s="231"/>
      <c r="W6" s="231"/>
      <c r="X6" s="231"/>
      <c r="Y6" s="231"/>
      <c r="AE6">
        <v>20</v>
      </c>
      <c r="AF6" s="11">
        <v>1.9189765458422174</v>
      </c>
      <c r="AG6" s="11">
        <v>8.3155650319829419</v>
      </c>
    </row>
    <row r="7" spans="1:40" x14ac:dyDescent="0.2">
      <c r="C7" s="231"/>
      <c r="D7" t="s">
        <v>14</v>
      </c>
      <c r="E7">
        <v>10.3</v>
      </c>
      <c r="F7" s="3" t="s">
        <v>29</v>
      </c>
      <c r="I7" s="7">
        <v>0</v>
      </c>
      <c r="J7" s="3">
        <v>2</v>
      </c>
      <c r="K7" s="247"/>
      <c r="L7" s="7">
        <v>70.193548387096783</v>
      </c>
      <c r="M7" s="7">
        <f t="shared" si="0"/>
        <v>69.064748201438846</v>
      </c>
      <c r="O7" s="7">
        <v>124.8868778280543</v>
      </c>
      <c r="P7" s="7">
        <f>O7/O$9*100</f>
        <v>49.640287769784173</v>
      </c>
      <c r="S7" s="231"/>
      <c r="T7" s="231"/>
      <c r="U7" s="231"/>
      <c r="V7" s="231"/>
      <c r="W7" s="231"/>
      <c r="X7" s="231"/>
      <c r="Y7" s="231"/>
      <c r="AE7">
        <v>30</v>
      </c>
      <c r="AF7" s="11">
        <v>7.4626865671641784</v>
      </c>
      <c r="AG7" s="11">
        <v>25.799573560767588</v>
      </c>
    </row>
    <row r="8" spans="1:40" x14ac:dyDescent="0.2">
      <c r="C8" s="231"/>
      <c r="D8" t="s">
        <v>14</v>
      </c>
      <c r="I8" s="7">
        <v>0</v>
      </c>
      <c r="J8" s="3">
        <v>3</v>
      </c>
      <c r="K8" s="247"/>
      <c r="L8" s="7">
        <v>86.27956989247312</v>
      </c>
      <c r="M8" s="7">
        <f t="shared" si="0"/>
        <v>84.892086330935243</v>
      </c>
      <c r="O8" s="7">
        <v>213.57466063348417</v>
      </c>
      <c r="P8" s="7">
        <f>O8/O$9*100</f>
        <v>84.892086330935257</v>
      </c>
      <c r="S8" s="231"/>
      <c r="T8" s="231"/>
      <c r="U8" s="231"/>
      <c r="V8" s="231"/>
      <c r="W8" s="231"/>
      <c r="X8" s="231"/>
      <c r="Y8" s="231"/>
      <c r="AE8">
        <v>40</v>
      </c>
      <c r="AF8" s="11">
        <v>18.976545842217483</v>
      </c>
      <c r="AG8" s="11">
        <v>42.430703624733475</v>
      </c>
    </row>
    <row r="9" spans="1:40" x14ac:dyDescent="0.2">
      <c r="B9" s="19"/>
      <c r="C9" s="231"/>
      <c r="D9" s="2" t="s">
        <v>14</v>
      </c>
      <c r="E9" s="2">
        <v>18.899999999999999</v>
      </c>
      <c r="F9" s="4" t="s">
        <v>30</v>
      </c>
      <c r="G9" s="4"/>
      <c r="H9" s="4"/>
      <c r="I9" s="8">
        <v>0</v>
      </c>
      <c r="J9" s="4">
        <v>4</v>
      </c>
      <c r="K9" s="248"/>
      <c r="L9" s="8">
        <v>101.63440860215054</v>
      </c>
      <c r="M9" s="8">
        <f t="shared" si="0"/>
        <v>100</v>
      </c>
      <c r="N9" s="8"/>
      <c r="O9" s="8">
        <v>251.58371040723981</v>
      </c>
      <c r="P9" s="8">
        <f>O9/O$9*100</f>
        <v>100</v>
      </c>
      <c r="S9" s="231"/>
      <c r="T9" s="231"/>
      <c r="U9" s="231"/>
      <c r="V9" s="231"/>
      <c r="W9" s="231"/>
      <c r="X9" s="231"/>
      <c r="Y9" s="231"/>
      <c r="AE9">
        <v>50</v>
      </c>
      <c r="AF9" s="11">
        <v>33.475479744136457</v>
      </c>
      <c r="AG9" s="11">
        <v>60.554371002132193</v>
      </c>
      <c r="AH9" s="241"/>
      <c r="AI9" s="241"/>
    </row>
    <row r="10" spans="1:40" x14ac:dyDescent="0.2">
      <c r="B10" s="19"/>
      <c r="C10" s="231"/>
      <c r="D10" t="s">
        <v>14</v>
      </c>
      <c r="E10">
        <v>37.6</v>
      </c>
      <c r="F10" s="5">
        <v>38422</v>
      </c>
      <c r="G10" s="5">
        <v>38524</v>
      </c>
      <c r="H10" s="9">
        <f>G10-F10</f>
        <v>102</v>
      </c>
      <c r="I10" s="10">
        <f>152/1.12</f>
        <v>135.71428571428569</v>
      </c>
      <c r="J10" s="9">
        <v>0</v>
      </c>
      <c r="L10" s="10">
        <v>0</v>
      </c>
      <c r="M10" s="10">
        <f t="shared" si="0"/>
        <v>0</v>
      </c>
      <c r="O10" s="10">
        <v>0</v>
      </c>
      <c r="P10" s="10">
        <f>O10/O$14*100</f>
        <v>0</v>
      </c>
      <c r="S10" s="231"/>
      <c r="T10" s="231"/>
      <c r="U10" s="231"/>
      <c r="V10" s="231"/>
      <c r="W10" s="231"/>
      <c r="X10" s="231"/>
      <c r="Y10" s="231"/>
      <c r="AE10">
        <v>60</v>
      </c>
      <c r="AF10" s="11">
        <v>49.680170575692962</v>
      </c>
      <c r="AG10" s="11">
        <v>79.530916844349676</v>
      </c>
    </row>
    <row r="11" spans="1:40" x14ac:dyDescent="0.2">
      <c r="B11" s="19"/>
      <c r="C11" s="231"/>
      <c r="D11" t="s">
        <v>14</v>
      </c>
      <c r="F11" s="9"/>
      <c r="G11" s="9"/>
      <c r="H11" s="9"/>
      <c r="I11" s="10">
        <f>152/1.12</f>
        <v>135.71428571428569</v>
      </c>
      <c r="J11" s="9">
        <v>1</v>
      </c>
      <c r="L11" s="10">
        <v>41.677419354838712</v>
      </c>
      <c r="M11" s="10">
        <f t="shared" si="0"/>
        <v>41.007194244604314</v>
      </c>
      <c r="O11" s="10">
        <v>39.819004524886878</v>
      </c>
      <c r="P11" s="10">
        <f>O11/O$14*100</f>
        <v>12.154696132596685</v>
      </c>
      <c r="AE11">
        <v>70</v>
      </c>
      <c r="AF11" s="11">
        <v>65.245202558635398</v>
      </c>
      <c r="AG11" s="11">
        <v>93.816631130063968</v>
      </c>
      <c r="AN11" t="s">
        <v>158</v>
      </c>
    </row>
    <row r="12" spans="1:40" x14ac:dyDescent="0.2">
      <c r="C12" s="231"/>
      <c r="D12" t="s">
        <v>14</v>
      </c>
      <c r="E12">
        <v>12.4</v>
      </c>
      <c r="F12" s="9" t="s">
        <v>29</v>
      </c>
      <c r="G12" s="9"/>
      <c r="H12" s="9"/>
      <c r="I12" s="10">
        <f>152/1.12</f>
        <v>135.71428571428569</v>
      </c>
      <c r="J12" s="9">
        <v>2</v>
      </c>
      <c r="L12" s="10">
        <v>70.193548387096783</v>
      </c>
      <c r="M12" s="10">
        <f t="shared" si="0"/>
        <v>69.064748201438846</v>
      </c>
      <c r="O12" s="10">
        <v>159.27601809954751</v>
      </c>
      <c r="P12" s="10">
        <f>O12/O$14*100</f>
        <v>48.618784530386741</v>
      </c>
      <c r="AE12">
        <v>80</v>
      </c>
      <c r="AF12" s="11">
        <v>80.810234541577827</v>
      </c>
      <c r="AG12" s="11">
        <v>99.573560767590607</v>
      </c>
      <c r="AI12" s="11"/>
    </row>
    <row r="13" spans="1:40" x14ac:dyDescent="0.2">
      <c r="C13" s="231"/>
      <c r="D13" t="s">
        <v>14</v>
      </c>
      <c r="F13" s="9"/>
      <c r="G13" s="9"/>
      <c r="H13" s="9"/>
      <c r="I13" s="10">
        <f>152/1.12</f>
        <v>135.71428571428569</v>
      </c>
      <c r="J13" s="9">
        <v>3</v>
      </c>
      <c r="L13" s="10">
        <v>86.27956989247312</v>
      </c>
      <c r="M13" s="10">
        <f t="shared" si="0"/>
        <v>84.892086330935243</v>
      </c>
      <c r="O13" s="10">
        <v>249.77375565610859</v>
      </c>
      <c r="P13" s="10">
        <f>O13/O$14*100</f>
        <v>76.243093922651923</v>
      </c>
      <c r="S13" s="81" t="s">
        <v>151</v>
      </c>
      <c r="T13" s="81"/>
      <c r="U13" s="81"/>
      <c r="V13" s="81"/>
      <c r="W13" s="81"/>
      <c r="X13" s="81"/>
      <c r="Y13" s="81"/>
      <c r="Z13" s="81"/>
      <c r="AA13" s="81"/>
      <c r="AB13" s="81"/>
      <c r="AC13" s="81"/>
      <c r="AE13">
        <v>90</v>
      </c>
      <c r="AF13" s="11">
        <v>93.176972281449892</v>
      </c>
      <c r="AG13" s="11">
        <v>99.786780383795303</v>
      </c>
      <c r="AI13" s="11"/>
    </row>
    <row r="14" spans="1:40" x14ac:dyDescent="0.2">
      <c r="C14" s="231"/>
      <c r="D14" s="2" t="s">
        <v>14</v>
      </c>
      <c r="E14" s="2">
        <v>25.1</v>
      </c>
      <c r="F14" s="4" t="s">
        <v>30</v>
      </c>
      <c r="G14" s="4"/>
      <c r="H14" s="4"/>
      <c r="I14" s="8">
        <f>152/1.12</f>
        <v>135.71428571428569</v>
      </c>
      <c r="J14" s="4">
        <v>4</v>
      </c>
      <c r="K14" s="4"/>
      <c r="L14" s="8">
        <v>101.63440860215054</v>
      </c>
      <c r="M14" s="8">
        <f t="shared" si="0"/>
        <v>100</v>
      </c>
      <c r="N14" s="8"/>
      <c r="O14" s="8">
        <v>327.60180995475116</v>
      </c>
      <c r="P14" s="8">
        <f>O14/O$14*100</f>
        <v>100</v>
      </c>
      <c r="S14" s="81"/>
      <c r="T14" s="81"/>
      <c r="U14" s="81"/>
      <c r="V14" s="81"/>
      <c r="W14" s="81"/>
      <c r="X14" s="81"/>
      <c r="Y14" s="81"/>
      <c r="Z14" s="81"/>
      <c r="AA14" s="81"/>
      <c r="AB14" s="81"/>
      <c r="AC14" s="81"/>
      <c r="AE14">
        <v>100</v>
      </c>
      <c r="AF14">
        <v>100</v>
      </c>
      <c r="AG14">
        <v>100</v>
      </c>
      <c r="AI14" s="11"/>
    </row>
    <row r="15" spans="1:40" x14ac:dyDescent="0.2">
      <c r="C15" s="231"/>
      <c r="D15" t="s">
        <v>14</v>
      </c>
      <c r="E15">
        <v>34.799999999999997</v>
      </c>
      <c r="F15" s="5">
        <v>38422</v>
      </c>
      <c r="G15" s="5">
        <v>38524</v>
      </c>
      <c r="H15" s="9">
        <f>G15-F15</f>
        <v>102</v>
      </c>
      <c r="I15" s="10">
        <f>710/1.12</f>
        <v>633.92857142857133</v>
      </c>
      <c r="J15" s="9">
        <v>0</v>
      </c>
      <c r="L15" s="10">
        <v>0</v>
      </c>
      <c r="M15" s="10">
        <f t="shared" si="0"/>
        <v>0</v>
      </c>
      <c r="O15" s="10">
        <v>0</v>
      </c>
      <c r="P15" s="10">
        <f>O15/O$19*100</f>
        <v>0</v>
      </c>
      <c r="S15" s="81"/>
      <c r="T15" s="81"/>
      <c r="U15" s="81"/>
      <c r="V15" s="81"/>
      <c r="W15" s="81"/>
      <c r="X15" s="81"/>
      <c r="Y15" s="81"/>
      <c r="Z15" s="81"/>
      <c r="AA15" s="81"/>
      <c r="AB15" s="81"/>
      <c r="AC15" s="81"/>
      <c r="AI15" s="11"/>
    </row>
    <row r="16" spans="1:40" x14ac:dyDescent="0.2">
      <c r="C16" s="231"/>
      <c r="D16" t="s">
        <v>14</v>
      </c>
      <c r="F16" s="9"/>
      <c r="G16" s="9"/>
      <c r="H16" s="9"/>
      <c r="I16" s="10">
        <f>710/1.12</f>
        <v>633.92857142857133</v>
      </c>
      <c r="J16" s="9">
        <v>1</v>
      </c>
      <c r="L16" s="10">
        <v>41.677419354838712</v>
      </c>
      <c r="M16" s="10">
        <f t="shared" si="0"/>
        <v>41.007194244604314</v>
      </c>
      <c r="O16" s="10">
        <v>39.819004524886878</v>
      </c>
      <c r="P16" s="10">
        <f>O16/O$19*100</f>
        <v>13.580246913580247</v>
      </c>
      <c r="S16" s="81"/>
      <c r="T16" s="81"/>
      <c r="U16" s="81"/>
      <c r="V16" s="81"/>
      <c r="W16" s="81"/>
      <c r="X16" s="81"/>
      <c r="Y16" s="81"/>
      <c r="Z16" s="81"/>
      <c r="AA16" s="81"/>
      <c r="AB16" s="81"/>
      <c r="AC16" s="81"/>
      <c r="AE16" t="s">
        <v>138</v>
      </c>
      <c r="AI16" s="11"/>
    </row>
    <row r="17" spans="3:40" x14ac:dyDescent="0.2">
      <c r="C17" s="231"/>
      <c r="D17" t="s">
        <v>14</v>
      </c>
      <c r="E17">
        <v>12.2</v>
      </c>
      <c r="F17" s="9" t="s">
        <v>29</v>
      </c>
      <c r="G17" s="9"/>
      <c r="H17" s="9"/>
      <c r="I17" s="10">
        <f>710/1.12</f>
        <v>633.92857142857133</v>
      </c>
      <c r="J17" s="9">
        <v>2</v>
      </c>
      <c r="L17" s="10">
        <v>70.193548387096783</v>
      </c>
      <c r="M17" s="10">
        <f t="shared" si="0"/>
        <v>69.064748201438846</v>
      </c>
      <c r="O17" s="10">
        <v>150.22624434389141</v>
      </c>
      <c r="P17" s="10">
        <f>O17/O$19*100</f>
        <v>51.234567901234563</v>
      </c>
      <c r="S17" s="81"/>
      <c r="T17" s="81"/>
      <c r="U17" s="81"/>
      <c r="V17" s="81"/>
      <c r="W17" s="81"/>
      <c r="X17" s="81"/>
      <c r="Y17" s="81"/>
      <c r="Z17" s="81"/>
      <c r="AA17" s="81"/>
      <c r="AB17" s="81"/>
      <c r="AC17" s="81"/>
      <c r="AE17" t="s">
        <v>139</v>
      </c>
      <c r="AI17" s="11"/>
    </row>
    <row r="18" spans="3:40" x14ac:dyDescent="0.2">
      <c r="C18" s="231"/>
      <c r="D18" t="s">
        <v>14</v>
      </c>
      <c r="F18" s="9"/>
      <c r="G18" s="9"/>
      <c r="H18" s="9"/>
      <c r="I18" s="10">
        <f>710/1.12</f>
        <v>633.92857142857133</v>
      </c>
      <c r="J18" s="9">
        <v>3</v>
      </c>
      <c r="L18" s="10">
        <v>86.27956989247312</v>
      </c>
      <c r="M18" s="10">
        <f t="shared" si="0"/>
        <v>84.892086330935243</v>
      </c>
      <c r="O18" s="10">
        <v>258.8235294117647</v>
      </c>
      <c r="P18" s="10">
        <f>O18/O$19*100</f>
        <v>88.271604938271579</v>
      </c>
      <c r="S18" s="81"/>
      <c r="T18" s="81"/>
      <c r="U18" s="81"/>
      <c r="V18" s="81"/>
      <c r="W18" s="81"/>
      <c r="X18" s="81"/>
      <c r="Y18" s="81"/>
      <c r="Z18" s="81"/>
      <c r="AA18" s="81"/>
      <c r="AB18" s="81"/>
      <c r="AC18" s="81"/>
      <c r="AE18" s="81"/>
      <c r="AF18" s="82" t="s">
        <v>14</v>
      </c>
      <c r="AG18" s="81"/>
      <c r="AH18" s="81"/>
      <c r="AI18" s="83"/>
      <c r="AJ18" s="81"/>
      <c r="AK18" s="81"/>
      <c r="AL18" s="81"/>
      <c r="AM18" s="81"/>
      <c r="AN18" s="81"/>
    </row>
    <row r="19" spans="3:40" x14ac:dyDescent="0.2">
      <c r="C19" s="231"/>
      <c r="D19" s="2" t="s">
        <v>14</v>
      </c>
      <c r="E19" s="2">
        <v>22.5</v>
      </c>
      <c r="F19" s="4" t="s">
        <v>30</v>
      </c>
      <c r="G19" s="4"/>
      <c r="H19" s="4"/>
      <c r="I19" s="8">
        <f>710/1.12</f>
        <v>633.92857142857133</v>
      </c>
      <c r="J19" s="4">
        <v>4</v>
      </c>
      <c r="K19" s="4"/>
      <c r="L19" s="8">
        <v>101.63440860215054</v>
      </c>
      <c r="M19" s="8">
        <f t="shared" si="0"/>
        <v>100</v>
      </c>
      <c r="N19" s="8"/>
      <c r="O19" s="8">
        <v>293.21266968325796</v>
      </c>
      <c r="P19" s="8">
        <f>O19/O$19*100</f>
        <v>100</v>
      </c>
      <c r="Q19" s="2"/>
      <c r="S19" s="81"/>
      <c r="T19" s="81"/>
      <c r="U19" s="81"/>
      <c r="V19" s="81"/>
      <c r="W19" s="81"/>
      <c r="X19" s="81"/>
      <c r="Y19" s="81"/>
      <c r="Z19" s="81"/>
      <c r="AA19" s="81"/>
      <c r="AB19" s="81"/>
      <c r="AC19" s="81"/>
      <c r="AE19" s="81"/>
      <c r="AF19" s="81"/>
      <c r="AG19" s="81"/>
      <c r="AH19" s="81"/>
      <c r="AI19" s="83"/>
      <c r="AJ19" s="81"/>
      <c r="AK19" s="81"/>
      <c r="AL19" s="81"/>
      <c r="AM19" s="81"/>
      <c r="AN19" s="81"/>
    </row>
    <row r="20" spans="3:40" x14ac:dyDescent="0.2">
      <c r="D20" t="s">
        <v>15</v>
      </c>
      <c r="E20">
        <v>11.6</v>
      </c>
      <c r="F20" s="5">
        <v>38603</v>
      </c>
      <c r="G20" s="5">
        <v>38724</v>
      </c>
      <c r="H20" s="9">
        <f>G20-F20</f>
        <v>121</v>
      </c>
      <c r="I20" s="10">
        <v>0</v>
      </c>
      <c r="J20" s="9">
        <v>0</v>
      </c>
      <c r="L20" s="10">
        <v>0</v>
      </c>
      <c r="M20" s="10">
        <f t="shared" ref="M20:M34" si="1">L20/L$24*100</f>
        <v>0</v>
      </c>
      <c r="O20" s="10">
        <v>0</v>
      </c>
      <c r="P20" s="10">
        <f>O20/O$23*100</f>
        <v>0</v>
      </c>
      <c r="Q20" t="s">
        <v>24</v>
      </c>
      <c r="S20" s="81"/>
      <c r="T20" s="81"/>
      <c r="U20" s="81"/>
      <c r="V20" s="81"/>
      <c r="W20" s="81"/>
      <c r="X20" s="81"/>
      <c r="Y20" s="81"/>
      <c r="Z20" s="81"/>
      <c r="AA20" s="81"/>
      <c r="AB20" s="81"/>
      <c r="AC20" s="81"/>
      <c r="AE20" s="81"/>
      <c r="AF20" s="81"/>
      <c r="AG20" s="81"/>
      <c r="AH20" s="81"/>
      <c r="AI20" s="83"/>
      <c r="AJ20" s="81"/>
      <c r="AK20" s="81"/>
      <c r="AL20" s="81"/>
      <c r="AM20" s="81"/>
      <c r="AN20" s="81"/>
    </row>
    <row r="21" spans="3:40" x14ac:dyDescent="0.2">
      <c r="D21" t="s">
        <v>15</v>
      </c>
      <c r="F21" s="9"/>
      <c r="G21" s="9"/>
      <c r="H21" s="9"/>
      <c r="I21" s="10">
        <v>0</v>
      </c>
      <c r="J21" s="9">
        <v>1</v>
      </c>
      <c r="L21" s="10">
        <v>40.333333333333336</v>
      </c>
      <c r="M21" s="10">
        <f t="shared" si="1"/>
        <v>33.333333333333336</v>
      </c>
      <c r="O21" s="10">
        <v>38.009049773755656</v>
      </c>
      <c r="P21" s="10">
        <f>O21/O$23*100</f>
        <v>33.87096774193548</v>
      </c>
      <c r="Q21" s="1" t="s">
        <v>130</v>
      </c>
      <c r="S21" s="81"/>
      <c r="T21" s="81"/>
      <c r="U21" s="81"/>
      <c r="V21" s="81"/>
      <c r="W21" s="81"/>
      <c r="X21" s="81"/>
      <c r="Y21" s="81"/>
      <c r="Z21" s="81"/>
      <c r="AA21" s="81"/>
      <c r="AB21" s="81"/>
      <c r="AC21" s="81"/>
      <c r="AE21" s="81"/>
      <c r="AF21" s="81"/>
      <c r="AG21" s="81"/>
      <c r="AH21" s="81"/>
      <c r="AI21" s="81"/>
      <c r="AJ21" s="81"/>
      <c r="AK21" s="81"/>
      <c r="AL21" s="81"/>
      <c r="AM21" s="81"/>
      <c r="AN21" s="81"/>
    </row>
    <row r="22" spans="3:40" x14ac:dyDescent="0.2">
      <c r="D22" t="s">
        <v>15</v>
      </c>
      <c r="E22">
        <v>5.9</v>
      </c>
      <c r="F22" s="9" t="s">
        <v>31</v>
      </c>
      <c r="G22" s="9"/>
      <c r="H22" s="9"/>
      <c r="I22" s="10">
        <v>0</v>
      </c>
      <c r="J22" s="9">
        <v>2</v>
      </c>
      <c r="L22" s="10">
        <v>61.045045045045043</v>
      </c>
      <c r="M22" s="10">
        <f t="shared" si="1"/>
        <v>50.450450450450447</v>
      </c>
      <c r="O22" s="10">
        <v>72.398190045248882</v>
      </c>
      <c r="P22" s="10">
        <f>O22/O$23*100</f>
        <v>64.516129032258078</v>
      </c>
      <c r="S22" s="81"/>
      <c r="T22" s="81"/>
      <c r="U22" s="81"/>
      <c r="V22" s="81"/>
      <c r="W22" s="81"/>
      <c r="X22" s="81"/>
      <c r="Y22" s="81"/>
      <c r="Z22" s="81"/>
      <c r="AA22" s="81"/>
      <c r="AB22" s="81"/>
      <c r="AC22" s="81"/>
      <c r="AE22" s="81"/>
      <c r="AF22" s="81"/>
      <c r="AG22" s="81"/>
      <c r="AH22" s="81"/>
      <c r="AI22" s="81"/>
      <c r="AJ22" s="81"/>
      <c r="AK22" s="81"/>
      <c r="AL22" s="81"/>
      <c r="AM22" s="81"/>
      <c r="AN22" s="81"/>
    </row>
    <row r="23" spans="3:40" x14ac:dyDescent="0.2">
      <c r="D23" t="s">
        <v>15</v>
      </c>
      <c r="F23" s="9"/>
      <c r="G23" s="9"/>
      <c r="H23" s="9"/>
      <c r="I23" s="10">
        <v>0</v>
      </c>
      <c r="J23" s="9">
        <v>3</v>
      </c>
      <c r="L23" s="10">
        <v>81.030030030030034</v>
      </c>
      <c r="M23" s="10">
        <f t="shared" si="1"/>
        <v>66.966966966966964</v>
      </c>
      <c r="O23" s="10">
        <v>112.21719457013575</v>
      </c>
      <c r="P23" s="10">
        <f>O23/O$23*100</f>
        <v>100</v>
      </c>
      <c r="S23" s="81"/>
      <c r="T23" s="81"/>
      <c r="U23" s="81"/>
      <c r="V23" s="81"/>
      <c r="W23" s="81"/>
      <c r="X23" s="81"/>
      <c r="Y23" s="81"/>
      <c r="Z23" s="81"/>
      <c r="AA23" s="81"/>
      <c r="AB23" s="81"/>
      <c r="AC23" s="81"/>
      <c r="AE23" s="81"/>
      <c r="AF23" s="81"/>
      <c r="AG23" s="81"/>
      <c r="AH23" s="81"/>
      <c r="AI23" s="81"/>
      <c r="AJ23" s="81"/>
      <c r="AK23" s="81"/>
      <c r="AL23" s="81"/>
      <c r="AM23" s="81"/>
      <c r="AN23" s="81"/>
    </row>
    <row r="24" spans="3:40" x14ac:dyDescent="0.2">
      <c r="D24" s="2" t="s">
        <v>15</v>
      </c>
      <c r="E24" s="2">
        <v>5.7</v>
      </c>
      <c r="F24" s="4" t="s">
        <v>32</v>
      </c>
      <c r="G24" s="4"/>
      <c r="H24" s="4"/>
      <c r="I24" s="8">
        <v>0</v>
      </c>
      <c r="J24" s="4">
        <v>4</v>
      </c>
      <c r="K24" s="4"/>
      <c r="L24" s="8">
        <v>121</v>
      </c>
      <c r="M24" s="8">
        <f t="shared" si="1"/>
        <v>100</v>
      </c>
      <c r="N24" s="8"/>
      <c r="O24" s="8">
        <v>108.5972850678733</v>
      </c>
      <c r="P24" s="8">
        <f>O24/O$23*100</f>
        <v>96.774193548387103</v>
      </c>
      <c r="S24" s="81"/>
      <c r="T24" s="81"/>
      <c r="U24" s="81"/>
      <c r="V24" s="81"/>
      <c r="W24" s="81"/>
      <c r="X24" s="81"/>
      <c r="Y24" s="81"/>
      <c r="Z24" s="81"/>
      <c r="AA24" s="81"/>
      <c r="AB24" s="81"/>
      <c r="AC24" s="81"/>
      <c r="AE24" s="81"/>
      <c r="AF24" s="81"/>
      <c r="AG24" s="81"/>
      <c r="AH24" s="81"/>
      <c r="AI24" s="81"/>
      <c r="AJ24" s="81"/>
      <c r="AK24" s="81"/>
      <c r="AL24" s="81"/>
      <c r="AM24" s="81"/>
      <c r="AN24" s="81"/>
    </row>
    <row r="25" spans="3:40" x14ac:dyDescent="0.2">
      <c r="D25" t="s">
        <v>15</v>
      </c>
      <c r="E25">
        <v>16.7</v>
      </c>
      <c r="F25" s="5">
        <v>38603</v>
      </c>
      <c r="G25" s="5">
        <v>38724</v>
      </c>
      <c r="H25" s="9">
        <f>G25-F25</f>
        <v>121</v>
      </c>
      <c r="I25" s="10">
        <f>405/1.12</f>
        <v>361.60714285714283</v>
      </c>
      <c r="J25" s="9">
        <v>0</v>
      </c>
      <c r="L25" s="10">
        <v>0</v>
      </c>
      <c r="M25" s="10">
        <f t="shared" si="1"/>
        <v>0</v>
      </c>
      <c r="O25" s="10">
        <v>0</v>
      </c>
      <c r="P25" s="10">
        <f>O25/O$29*100</f>
        <v>0</v>
      </c>
      <c r="S25" s="81"/>
      <c r="T25" s="81"/>
      <c r="U25" s="81"/>
      <c r="V25" s="81"/>
      <c r="W25" s="81"/>
      <c r="X25" s="81"/>
      <c r="Y25" s="81"/>
      <c r="Z25" s="81"/>
      <c r="AA25" s="81"/>
      <c r="AB25" s="81"/>
      <c r="AC25" s="81"/>
      <c r="AE25" s="81"/>
      <c r="AF25" s="81"/>
      <c r="AG25" s="81"/>
      <c r="AH25" s="81"/>
      <c r="AI25" s="81"/>
      <c r="AJ25" s="81"/>
      <c r="AK25" s="81"/>
      <c r="AL25" s="81"/>
      <c r="AM25" s="81"/>
      <c r="AN25" s="81"/>
    </row>
    <row r="26" spans="3:40" x14ac:dyDescent="0.2">
      <c r="D26" t="s">
        <v>15</v>
      </c>
      <c r="F26" s="9"/>
      <c r="G26" s="9"/>
      <c r="H26" s="9"/>
      <c r="I26" s="10">
        <f>405/1.12</f>
        <v>361.60714285714283</v>
      </c>
      <c r="J26" s="9">
        <v>1</v>
      </c>
      <c r="L26" s="10">
        <v>40.333333333333336</v>
      </c>
      <c r="M26" s="10">
        <f t="shared" si="1"/>
        <v>33.333333333333336</v>
      </c>
      <c r="O26" s="10">
        <v>38.009049773755656</v>
      </c>
      <c r="P26" s="10">
        <f>O26/O$29*100</f>
        <v>24.137931034482758</v>
      </c>
      <c r="S26" s="81"/>
      <c r="T26" s="81"/>
      <c r="U26" s="81"/>
      <c r="V26" s="81"/>
      <c r="W26" s="81"/>
      <c r="X26" s="81"/>
      <c r="Y26" s="81"/>
      <c r="Z26" s="81"/>
      <c r="AA26" s="81"/>
      <c r="AB26" s="81"/>
      <c r="AC26" s="81"/>
      <c r="AE26" s="81"/>
      <c r="AF26" s="81"/>
      <c r="AG26" s="81"/>
      <c r="AH26" s="81"/>
      <c r="AI26" s="81"/>
      <c r="AJ26" s="81"/>
      <c r="AK26" s="81"/>
      <c r="AL26" s="81"/>
      <c r="AM26" s="81"/>
      <c r="AN26" s="81"/>
    </row>
    <row r="27" spans="3:40" x14ac:dyDescent="0.2">
      <c r="D27" t="s">
        <v>15</v>
      </c>
      <c r="E27">
        <v>9.3000000000000007</v>
      </c>
      <c r="F27" s="9" t="s">
        <v>31</v>
      </c>
      <c r="G27" s="9"/>
      <c r="H27" s="9"/>
      <c r="I27" s="10">
        <f>405/1.12</f>
        <v>361.60714285714283</v>
      </c>
      <c r="J27" s="9">
        <v>2</v>
      </c>
      <c r="L27" s="10">
        <v>61.045045045045043</v>
      </c>
      <c r="M27" s="10">
        <f t="shared" si="1"/>
        <v>50.450450450450447</v>
      </c>
      <c r="O27" s="10">
        <v>128.50678733031674</v>
      </c>
      <c r="P27" s="10">
        <f>O27/O$29*100</f>
        <v>81.609195402298838</v>
      </c>
      <c r="S27" s="81"/>
      <c r="T27" s="81"/>
      <c r="U27" s="81"/>
      <c r="V27" s="81"/>
      <c r="W27" s="81"/>
      <c r="X27" s="81"/>
      <c r="Y27" s="81"/>
      <c r="Z27" s="81"/>
      <c r="AA27" s="81"/>
      <c r="AB27" s="81"/>
      <c r="AC27" s="81"/>
      <c r="AE27" s="81"/>
      <c r="AF27" s="81"/>
      <c r="AG27" s="81"/>
      <c r="AH27" s="81"/>
      <c r="AI27" s="81"/>
      <c r="AJ27" s="81"/>
      <c r="AK27" s="81"/>
      <c r="AL27" s="81"/>
      <c r="AM27" s="81"/>
      <c r="AN27" s="81"/>
    </row>
    <row r="28" spans="3:40" x14ac:dyDescent="0.2">
      <c r="D28" t="s">
        <v>15</v>
      </c>
      <c r="F28" s="9"/>
      <c r="G28" s="9"/>
      <c r="H28" s="9"/>
      <c r="I28" s="10">
        <f>405/1.12</f>
        <v>361.60714285714283</v>
      </c>
      <c r="J28" s="9">
        <v>3</v>
      </c>
      <c r="L28" s="10">
        <v>81.030030030030034</v>
      </c>
      <c r="M28" s="10">
        <f t="shared" si="1"/>
        <v>66.966966966966964</v>
      </c>
      <c r="O28" s="10">
        <v>144.79638009049776</v>
      </c>
      <c r="P28" s="10">
        <f>O28/O$29*100</f>
        <v>91.954022988505756</v>
      </c>
      <c r="S28" s="81"/>
      <c r="T28" s="81"/>
      <c r="U28" s="81"/>
      <c r="V28" s="81"/>
      <c r="W28" s="81"/>
      <c r="X28" s="81"/>
      <c r="Y28" s="81"/>
      <c r="Z28" s="81"/>
      <c r="AA28" s="81"/>
      <c r="AB28" s="81"/>
      <c r="AC28" s="81"/>
      <c r="AE28" s="81"/>
      <c r="AF28" s="81"/>
      <c r="AG28" s="81"/>
      <c r="AH28" s="81"/>
      <c r="AI28" s="81"/>
      <c r="AJ28" s="81"/>
      <c r="AK28" s="81"/>
      <c r="AL28" s="81"/>
      <c r="AM28" s="81"/>
      <c r="AN28" s="81"/>
    </row>
    <row r="29" spans="3:40" x14ac:dyDescent="0.2">
      <c r="D29" s="2" t="s">
        <v>15</v>
      </c>
      <c r="E29" s="2">
        <v>7.4</v>
      </c>
      <c r="F29" s="4" t="s">
        <v>32</v>
      </c>
      <c r="G29" s="4"/>
      <c r="H29" s="4"/>
      <c r="I29" s="8">
        <f>405/1.12</f>
        <v>361.60714285714283</v>
      </c>
      <c r="J29" s="4">
        <v>4</v>
      </c>
      <c r="K29" s="4"/>
      <c r="L29" s="8">
        <v>121</v>
      </c>
      <c r="M29" s="8">
        <f t="shared" si="1"/>
        <v>100</v>
      </c>
      <c r="N29" s="8"/>
      <c r="O29" s="8">
        <v>157.4660633484163</v>
      </c>
      <c r="P29" s="8">
        <f>O29/O$29*100</f>
        <v>100</v>
      </c>
      <c r="S29" s="81"/>
      <c r="T29" s="81"/>
      <c r="U29" s="81"/>
      <c r="V29" s="81"/>
      <c r="W29" s="81"/>
      <c r="X29" s="81"/>
      <c r="Y29" s="81"/>
      <c r="Z29" s="81"/>
      <c r="AA29" s="81"/>
      <c r="AB29" s="81"/>
      <c r="AC29" s="81"/>
      <c r="AE29" s="81"/>
      <c r="AF29" s="81"/>
      <c r="AG29" s="81"/>
      <c r="AH29" s="81"/>
      <c r="AI29" s="81"/>
      <c r="AJ29" s="81"/>
      <c r="AK29" s="81"/>
      <c r="AL29" s="81"/>
      <c r="AM29" s="81"/>
      <c r="AN29" s="81"/>
    </row>
    <row r="30" spans="3:40" x14ac:dyDescent="0.2">
      <c r="D30" t="s">
        <v>15</v>
      </c>
      <c r="E30">
        <v>14.3</v>
      </c>
      <c r="F30" s="5">
        <v>38603</v>
      </c>
      <c r="G30" s="5">
        <v>38724</v>
      </c>
      <c r="H30" s="9">
        <f>G30-F30</f>
        <v>121</v>
      </c>
      <c r="I30" s="10">
        <f>675/1.12</f>
        <v>602.67857142857133</v>
      </c>
      <c r="J30" s="9">
        <v>0</v>
      </c>
      <c r="L30" s="10">
        <v>0</v>
      </c>
      <c r="M30" s="10">
        <f t="shared" si="1"/>
        <v>0</v>
      </c>
      <c r="O30" s="10">
        <v>0</v>
      </c>
      <c r="P30" s="10">
        <f>O30/O$34*100</f>
        <v>0</v>
      </c>
      <c r="S30" s="81"/>
      <c r="T30" s="81"/>
      <c r="U30" s="81"/>
      <c r="V30" s="81"/>
      <c r="W30" s="81"/>
      <c r="X30" s="81"/>
      <c r="Y30" s="81"/>
      <c r="Z30" s="81"/>
      <c r="AA30" s="81"/>
      <c r="AB30" s="81"/>
      <c r="AC30" s="81"/>
      <c r="AE30" s="81"/>
      <c r="AF30" s="81"/>
      <c r="AG30" s="81"/>
      <c r="AH30" s="81"/>
      <c r="AI30" s="81"/>
      <c r="AJ30" s="81"/>
      <c r="AK30" s="81"/>
      <c r="AL30" s="81"/>
      <c r="AM30" s="81"/>
      <c r="AN30" s="81"/>
    </row>
    <row r="31" spans="3:40" x14ac:dyDescent="0.2">
      <c r="D31" t="s">
        <v>15</v>
      </c>
      <c r="F31" s="9"/>
      <c r="G31" s="9"/>
      <c r="H31" s="9"/>
      <c r="I31" s="10">
        <f>675/1.12</f>
        <v>602.67857142857133</v>
      </c>
      <c r="J31" s="9">
        <v>1</v>
      </c>
      <c r="L31" s="10">
        <v>40.333333333333336</v>
      </c>
      <c r="M31" s="10">
        <f t="shared" si="1"/>
        <v>33.333333333333336</v>
      </c>
      <c r="O31" s="10">
        <v>38.009049773755656</v>
      </c>
      <c r="P31" s="10">
        <f>O31/O$34*100</f>
        <v>26.923076923076923</v>
      </c>
      <c r="S31" s="81"/>
      <c r="T31" s="81"/>
      <c r="U31" s="81"/>
      <c r="V31" s="81"/>
      <c r="W31" s="81"/>
      <c r="X31" s="81"/>
      <c r="Y31" s="81"/>
      <c r="Z31" s="81"/>
      <c r="AA31" s="81"/>
      <c r="AB31" s="81"/>
      <c r="AC31" s="81"/>
      <c r="AE31" s="81"/>
      <c r="AF31" s="81"/>
      <c r="AG31" s="81"/>
      <c r="AH31" s="81"/>
      <c r="AI31" s="81"/>
      <c r="AJ31" s="81"/>
      <c r="AK31" s="81"/>
      <c r="AL31" s="81"/>
      <c r="AM31" s="81"/>
      <c r="AN31" s="81"/>
    </row>
    <row r="32" spans="3:40" x14ac:dyDescent="0.2">
      <c r="D32" t="s">
        <v>15</v>
      </c>
      <c r="E32">
        <v>6.4</v>
      </c>
      <c r="F32" s="9" t="s">
        <v>31</v>
      </c>
      <c r="G32" s="9"/>
      <c r="H32" s="9"/>
      <c r="I32" s="10">
        <f>675/1.12</f>
        <v>602.67857142857133</v>
      </c>
      <c r="J32" s="9">
        <v>2</v>
      </c>
      <c r="L32" s="10">
        <v>61.045045045045043</v>
      </c>
      <c r="M32" s="10">
        <f t="shared" si="1"/>
        <v>50.450450450450447</v>
      </c>
      <c r="O32" s="10">
        <v>106.78733031674209</v>
      </c>
      <c r="P32" s="10">
        <f>O32/O$34*100</f>
        <v>75.641025641025635</v>
      </c>
      <c r="S32" s="81"/>
      <c r="T32" s="81"/>
      <c r="U32" s="81"/>
      <c r="V32" s="81"/>
      <c r="W32" s="81"/>
      <c r="X32" s="81"/>
      <c r="Y32" s="81"/>
      <c r="Z32" s="81"/>
      <c r="AA32" s="81"/>
      <c r="AB32" s="81"/>
      <c r="AC32" s="81"/>
      <c r="AE32" s="81"/>
      <c r="AF32" s="81"/>
      <c r="AG32" s="81"/>
      <c r="AH32" s="81"/>
      <c r="AI32" s="81"/>
      <c r="AJ32" s="81"/>
      <c r="AK32" s="81"/>
      <c r="AL32" s="81"/>
      <c r="AM32" s="81"/>
      <c r="AN32" s="81"/>
    </row>
    <row r="33" spans="4:40" x14ac:dyDescent="0.2">
      <c r="D33" t="s">
        <v>15</v>
      </c>
      <c r="F33" s="9"/>
      <c r="G33" s="9"/>
      <c r="H33" s="9"/>
      <c r="I33" s="10">
        <f>675/1.12</f>
        <v>602.67857142857133</v>
      </c>
      <c r="J33" s="9">
        <v>3</v>
      </c>
      <c r="L33" s="10">
        <v>81.030030030030034</v>
      </c>
      <c r="M33" s="10">
        <f t="shared" si="1"/>
        <v>66.966966966966964</v>
      </c>
      <c r="O33" s="10">
        <v>135.74660633484163</v>
      </c>
      <c r="P33" s="10">
        <f>O33/O$34*100</f>
        <v>96.153846153846146</v>
      </c>
      <c r="S33" s="81" t="s">
        <v>152</v>
      </c>
      <c r="T33" s="81"/>
      <c r="U33" s="81"/>
      <c r="V33" s="81"/>
      <c r="W33" s="81"/>
      <c r="X33" s="81"/>
      <c r="Y33" s="81"/>
      <c r="Z33" s="81"/>
      <c r="AA33" s="81"/>
      <c r="AB33" s="81"/>
      <c r="AC33" s="81"/>
      <c r="AE33" s="81"/>
      <c r="AF33" s="81"/>
      <c r="AG33" s="81"/>
      <c r="AH33" s="81"/>
      <c r="AI33" s="81"/>
      <c r="AJ33" s="81"/>
      <c r="AK33" s="81"/>
      <c r="AL33" s="81"/>
      <c r="AM33" s="81"/>
      <c r="AN33" s="81"/>
    </row>
    <row r="34" spans="4:40" x14ac:dyDescent="0.2">
      <c r="D34" s="2" t="s">
        <v>15</v>
      </c>
      <c r="E34" s="2">
        <v>7.9</v>
      </c>
      <c r="F34" s="4" t="s">
        <v>32</v>
      </c>
      <c r="G34" s="4"/>
      <c r="H34" s="4"/>
      <c r="I34" s="8">
        <f>675/1.12</f>
        <v>602.67857142857133</v>
      </c>
      <c r="J34" s="4">
        <v>4</v>
      </c>
      <c r="K34" s="4"/>
      <c r="L34" s="8">
        <v>121</v>
      </c>
      <c r="M34" s="8">
        <f t="shared" si="1"/>
        <v>100</v>
      </c>
      <c r="N34" s="8"/>
      <c r="O34" s="8">
        <v>141.1764705882353</v>
      </c>
      <c r="P34" s="8">
        <f>O34/O$34*100</f>
        <v>100</v>
      </c>
      <c r="Q34" s="2"/>
      <c r="S34" s="81"/>
      <c r="T34" s="81"/>
      <c r="U34" s="81"/>
      <c r="V34" s="81"/>
      <c r="W34" s="81"/>
      <c r="X34" s="81"/>
      <c r="Y34" s="81"/>
      <c r="Z34" s="81"/>
      <c r="AA34" s="81"/>
      <c r="AB34" s="81"/>
      <c r="AC34" s="81"/>
      <c r="AE34" s="81"/>
      <c r="AF34" s="81"/>
      <c r="AG34" s="81"/>
      <c r="AH34" s="81"/>
      <c r="AI34" s="81"/>
      <c r="AJ34" s="81"/>
      <c r="AK34" s="81"/>
      <c r="AL34" s="81"/>
      <c r="AM34" s="81"/>
      <c r="AN34" s="81"/>
    </row>
    <row r="35" spans="4:40" x14ac:dyDescent="0.2">
      <c r="D35" t="s">
        <v>14</v>
      </c>
      <c r="E35">
        <v>26.4</v>
      </c>
      <c r="F35" s="5">
        <v>38763</v>
      </c>
      <c r="G35" s="5">
        <v>38886</v>
      </c>
      <c r="H35" s="9">
        <f>G35-F35</f>
        <v>123</v>
      </c>
      <c r="I35" s="10">
        <v>0</v>
      </c>
      <c r="J35" s="9">
        <v>0</v>
      </c>
      <c r="L35" s="10">
        <v>0</v>
      </c>
      <c r="M35" s="10">
        <f t="shared" ref="M35:M49" si="2">L35/L$39*100</f>
        <v>0</v>
      </c>
      <c r="O35" s="10">
        <v>0</v>
      </c>
      <c r="P35" s="10">
        <f>O35/O$39*100</f>
        <v>0</v>
      </c>
      <c r="Q35" t="s">
        <v>25</v>
      </c>
      <c r="S35" s="81"/>
      <c r="T35" s="81"/>
      <c r="U35" s="81"/>
      <c r="V35" s="81"/>
      <c r="W35" s="81"/>
      <c r="X35" s="81"/>
      <c r="Y35" s="81"/>
      <c r="Z35" s="81"/>
      <c r="AA35" s="81"/>
      <c r="AB35" s="81"/>
      <c r="AC35" s="81"/>
      <c r="AE35" s="81"/>
      <c r="AF35" s="81"/>
      <c r="AG35" s="81"/>
      <c r="AH35" s="81"/>
      <c r="AI35" s="81"/>
      <c r="AJ35" s="81"/>
      <c r="AK35" s="81"/>
      <c r="AL35" s="81"/>
      <c r="AM35" s="81"/>
      <c r="AN35" s="81"/>
    </row>
    <row r="36" spans="4:40" x14ac:dyDescent="0.2">
      <c r="D36" t="s">
        <v>14</v>
      </c>
      <c r="F36" s="9"/>
      <c r="G36" s="9"/>
      <c r="H36" s="9"/>
      <c r="I36" s="10">
        <v>0</v>
      </c>
      <c r="J36" s="9">
        <v>1</v>
      </c>
      <c r="L36" s="10">
        <v>44.92173913043478</v>
      </c>
      <c r="M36" s="10">
        <f t="shared" si="2"/>
        <v>36.521739130434781</v>
      </c>
      <c r="O36" s="10">
        <v>38.009049773755656</v>
      </c>
      <c r="P36" s="10">
        <f>O36/O$39*100</f>
        <v>23.595505617977526</v>
      </c>
      <c r="Q36" s="1" t="s">
        <v>132</v>
      </c>
      <c r="S36" s="81"/>
      <c r="T36" s="81"/>
      <c r="U36" s="81"/>
      <c r="V36" s="81"/>
      <c r="W36" s="81"/>
      <c r="X36" s="81"/>
      <c r="Y36" s="81"/>
      <c r="Z36" s="81"/>
      <c r="AA36" s="81"/>
      <c r="AB36" s="81"/>
      <c r="AC36" s="81"/>
      <c r="AE36" s="81"/>
      <c r="AF36" s="81"/>
      <c r="AG36" s="81"/>
      <c r="AH36" s="81"/>
      <c r="AI36" s="81"/>
      <c r="AJ36" s="81"/>
      <c r="AK36" s="81"/>
      <c r="AL36" s="81"/>
      <c r="AM36" s="81"/>
      <c r="AN36" s="81"/>
    </row>
    <row r="37" spans="4:40" x14ac:dyDescent="0.2">
      <c r="D37" t="s">
        <v>14</v>
      </c>
      <c r="E37">
        <v>12</v>
      </c>
      <c r="F37" s="9" t="s">
        <v>33</v>
      </c>
      <c r="G37" s="9"/>
      <c r="H37" s="9"/>
      <c r="I37" s="10">
        <v>0</v>
      </c>
      <c r="J37" s="9">
        <v>2</v>
      </c>
      <c r="L37" s="10">
        <v>76.295652173913041</v>
      </c>
      <c r="M37" s="10">
        <f t="shared" si="2"/>
        <v>62.028985507246368</v>
      </c>
      <c r="O37" s="10">
        <v>95.927601809954766</v>
      </c>
      <c r="P37" s="10">
        <f>O37/O$39*100</f>
        <v>59.550561797752813</v>
      </c>
      <c r="S37" s="81"/>
      <c r="T37" s="81"/>
      <c r="U37" s="81"/>
      <c r="V37" s="81"/>
      <c r="W37" s="81"/>
      <c r="X37" s="81"/>
      <c r="Y37" s="81"/>
      <c r="Z37" s="81"/>
      <c r="AA37" s="81"/>
      <c r="AB37" s="81"/>
      <c r="AC37" s="81"/>
      <c r="AE37" s="81"/>
      <c r="AF37" s="81"/>
      <c r="AG37" s="81"/>
      <c r="AH37" s="81"/>
      <c r="AI37" s="81"/>
      <c r="AJ37" s="81"/>
      <c r="AK37" s="81"/>
      <c r="AL37" s="81"/>
      <c r="AM37" s="81"/>
      <c r="AN37" s="81"/>
    </row>
    <row r="38" spans="4:40" x14ac:dyDescent="0.2">
      <c r="D38" t="s">
        <v>14</v>
      </c>
      <c r="F38" s="9"/>
      <c r="G38" s="9"/>
      <c r="H38" s="9"/>
      <c r="I38" s="10">
        <v>0</v>
      </c>
      <c r="J38" s="9">
        <v>3</v>
      </c>
      <c r="L38" s="10">
        <v>99.826086956521735</v>
      </c>
      <c r="M38" s="10">
        <f t="shared" si="2"/>
        <v>81.159420289855063</v>
      </c>
      <c r="O38" s="10">
        <v>121.26696832579186</v>
      </c>
      <c r="P38" s="10">
        <f>O38/O$39*100</f>
        <v>75.280898876404493</v>
      </c>
      <c r="S38" s="81"/>
      <c r="T38" s="81"/>
      <c r="U38" s="81"/>
      <c r="V38" s="81"/>
      <c r="W38" s="81"/>
      <c r="X38" s="81"/>
      <c r="Y38" s="81"/>
      <c r="Z38" s="81"/>
      <c r="AA38" s="81"/>
      <c r="AB38" s="81"/>
      <c r="AC38" s="81"/>
      <c r="AE38" s="81"/>
      <c r="AF38" s="81"/>
      <c r="AG38" s="81"/>
      <c r="AH38" s="81"/>
      <c r="AI38" s="81"/>
      <c r="AJ38" s="81"/>
      <c r="AK38" s="81"/>
      <c r="AL38" s="81"/>
      <c r="AM38" s="81"/>
      <c r="AN38" s="81"/>
    </row>
    <row r="39" spans="4:40" x14ac:dyDescent="0.2">
      <c r="D39" s="2" t="s">
        <v>14</v>
      </c>
      <c r="E39" s="2">
        <v>14.5</v>
      </c>
      <c r="F39" s="4" t="s">
        <v>34</v>
      </c>
      <c r="G39" s="4"/>
      <c r="H39" s="4"/>
      <c r="I39" s="8">
        <v>0</v>
      </c>
      <c r="J39" s="4">
        <v>4</v>
      </c>
      <c r="K39" s="4"/>
      <c r="L39" s="8">
        <v>123</v>
      </c>
      <c r="M39" s="8">
        <f t="shared" si="2"/>
        <v>100</v>
      </c>
      <c r="N39" s="8"/>
      <c r="O39" s="8">
        <v>161.08597285067876</v>
      </c>
      <c r="P39" s="8">
        <f>O39/O$39*100</f>
        <v>100</v>
      </c>
      <c r="S39" s="81"/>
      <c r="T39" s="81"/>
      <c r="U39" s="81"/>
      <c r="V39" s="81"/>
      <c r="W39" s="81"/>
      <c r="X39" s="81"/>
      <c r="Y39" s="81"/>
      <c r="Z39" s="81"/>
      <c r="AA39" s="81"/>
      <c r="AB39" s="81"/>
      <c r="AC39" s="81"/>
      <c r="AE39" s="81"/>
      <c r="AF39" s="81"/>
      <c r="AG39" s="81"/>
      <c r="AH39" s="81"/>
      <c r="AI39" s="81"/>
      <c r="AJ39" s="81"/>
      <c r="AK39" s="81"/>
      <c r="AL39" s="81"/>
      <c r="AM39" s="81"/>
      <c r="AN39" s="81"/>
    </row>
    <row r="40" spans="4:40" x14ac:dyDescent="0.2">
      <c r="D40" t="s">
        <v>14</v>
      </c>
      <c r="E40">
        <v>38.799999999999997</v>
      </c>
      <c r="F40" s="5">
        <v>38763</v>
      </c>
      <c r="G40" s="5">
        <v>38886</v>
      </c>
      <c r="H40" s="9">
        <f>G40-F40</f>
        <v>123</v>
      </c>
      <c r="I40" s="10">
        <f>319/1.12</f>
        <v>284.82142857142856</v>
      </c>
      <c r="J40" s="9">
        <v>0</v>
      </c>
      <c r="L40" s="10">
        <v>0</v>
      </c>
      <c r="M40" s="10">
        <f t="shared" si="2"/>
        <v>0</v>
      </c>
      <c r="O40" s="10">
        <v>0</v>
      </c>
      <c r="P40" s="10">
        <f>O40/O$44*100</f>
        <v>0</v>
      </c>
      <c r="S40" s="81"/>
      <c r="T40" s="81"/>
      <c r="U40" s="81"/>
      <c r="V40" s="81"/>
      <c r="W40" s="81"/>
      <c r="X40" s="81"/>
      <c r="Y40" s="81"/>
      <c r="Z40" s="81"/>
      <c r="AA40" s="81"/>
      <c r="AB40" s="81"/>
      <c r="AC40" s="81"/>
      <c r="AE40" s="81"/>
      <c r="AF40" s="82" t="s">
        <v>15</v>
      </c>
      <c r="AG40" s="81"/>
      <c r="AH40" s="81"/>
      <c r="AI40" s="81"/>
      <c r="AJ40" s="81"/>
      <c r="AK40" s="81"/>
      <c r="AL40" s="81"/>
      <c r="AM40" s="81"/>
      <c r="AN40" s="81"/>
    </row>
    <row r="41" spans="4:40" x14ac:dyDescent="0.2">
      <c r="D41" t="s">
        <v>14</v>
      </c>
      <c r="F41" s="9"/>
      <c r="G41" s="9"/>
      <c r="H41" s="9"/>
      <c r="I41" s="10">
        <f>319/1.12</f>
        <v>284.82142857142856</v>
      </c>
      <c r="J41" s="9">
        <v>1</v>
      </c>
      <c r="L41" s="10">
        <v>44.92173913043478</v>
      </c>
      <c r="M41" s="10">
        <f t="shared" si="2"/>
        <v>36.521739130434781</v>
      </c>
      <c r="O41" s="10">
        <v>57.918552036199102</v>
      </c>
      <c r="P41" s="10">
        <f>O41/O$44*100</f>
        <v>20.915032679738562</v>
      </c>
      <c r="S41" s="81"/>
      <c r="T41" s="81"/>
      <c r="U41" s="81"/>
      <c r="V41" s="81"/>
      <c r="W41" s="81"/>
      <c r="X41" s="81"/>
      <c r="Y41" s="81"/>
      <c r="Z41" s="81"/>
      <c r="AA41" s="81"/>
      <c r="AB41" s="81"/>
      <c r="AC41" s="81"/>
      <c r="AE41" s="81"/>
      <c r="AF41" s="81"/>
      <c r="AG41" s="81"/>
      <c r="AH41" s="81"/>
      <c r="AI41" s="81"/>
      <c r="AJ41" s="81"/>
      <c r="AK41" s="81"/>
      <c r="AL41" s="81"/>
      <c r="AM41" s="81"/>
      <c r="AN41" s="81"/>
    </row>
    <row r="42" spans="4:40" x14ac:dyDescent="0.2">
      <c r="D42" t="s">
        <v>14</v>
      </c>
      <c r="E42">
        <v>16.600000000000001</v>
      </c>
      <c r="F42" s="9" t="s">
        <v>33</v>
      </c>
      <c r="G42" s="9"/>
      <c r="H42" s="9"/>
      <c r="I42" s="10">
        <f>319/1.12</f>
        <v>284.82142857142856</v>
      </c>
      <c r="J42" s="9">
        <v>2</v>
      </c>
      <c r="L42" s="10">
        <v>76.295652173913041</v>
      </c>
      <c r="M42" s="10">
        <f t="shared" si="2"/>
        <v>62.028985507246368</v>
      </c>
      <c r="O42" s="10">
        <v>193.66515837104075</v>
      </c>
      <c r="P42" s="10">
        <f>O42/O$44*100</f>
        <v>69.93464052287581</v>
      </c>
      <c r="S42" s="81"/>
      <c r="T42" s="81"/>
      <c r="U42" s="81"/>
      <c r="V42" s="81"/>
      <c r="W42" s="81"/>
      <c r="X42" s="81"/>
      <c r="Y42" s="81"/>
      <c r="Z42" s="81"/>
      <c r="AA42" s="81"/>
      <c r="AB42" s="81"/>
      <c r="AC42" s="81"/>
      <c r="AE42" s="81"/>
      <c r="AF42" s="81"/>
      <c r="AG42" s="81"/>
      <c r="AH42" s="81"/>
      <c r="AI42" s="81"/>
      <c r="AJ42" s="81"/>
      <c r="AK42" s="81"/>
      <c r="AL42" s="81"/>
      <c r="AM42" s="81"/>
      <c r="AN42" s="81"/>
    </row>
    <row r="43" spans="4:40" x14ac:dyDescent="0.2">
      <c r="D43" t="s">
        <v>14</v>
      </c>
      <c r="F43" s="9"/>
      <c r="G43" s="9"/>
      <c r="H43" s="9"/>
      <c r="I43" s="10">
        <f>319/1.12</f>
        <v>284.82142857142856</v>
      </c>
      <c r="J43" s="9">
        <v>3</v>
      </c>
      <c r="L43" s="10">
        <v>99.826086956521735</v>
      </c>
      <c r="M43" s="10">
        <f t="shared" si="2"/>
        <v>81.159420289855063</v>
      </c>
      <c r="O43" s="10">
        <v>237.10407239819006</v>
      </c>
      <c r="P43" s="10">
        <f>O43/O$44*100</f>
        <v>85.620915032679733</v>
      </c>
      <c r="S43" s="81"/>
      <c r="T43" s="81"/>
      <c r="U43" s="81"/>
      <c r="V43" s="81"/>
      <c r="W43" s="81"/>
      <c r="X43" s="81"/>
      <c r="Y43" s="81"/>
      <c r="Z43" s="81"/>
      <c r="AA43" s="81"/>
      <c r="AB43" s="81"/>
      <c r="AC43" s="81"/>
      <c r="AE43" s="81"/>
      <c r="AF43" s="81"/>
      <c r="AG43" s="81"/>
      <c r="AH43" s="81"/>
      <c r="AI43" s="81"/>
      <c r="AJ43" s="81"/>
      <c r="AK43" s="81"/>
      <c r="AL43" s="81"/>
      <c r="AM43" s="81"/>
      <c r="AN43" s="81"/>
    </row>
    <row r="44" spans="4:40" x14ac:dyDescent="0.2">
      <c r="D44" s="2" t="s">
        <v>14</v>
      </c>
      <c r="E44" s="2">
        <v>22.1</v>
      </c>
      <c r="F44" s="4" t="s">
        <v>34</v>
      </c>
      <c r="G44" s="4"/>
      <c r="H44" s="4"/>
      <c r="I44" s="8">
        <f>319/1.12</f>
        <v>284.82142857142856</v>
      </c>
      <c r="J44" s="4">
        <v>4</v>
      </c>
      <c r="K44" s="4"/>
      <c r="L44" s="8">
        <v>123</v>
      </c>
      <c r="M44" s="8">
        <f t="shared" si="2"/>
        <v>100</v>
      </c>
      <c r="N44" s="8"/>
      <c r="O44" s="8">
        <v>276.92307692307696</v>
      </c>
      <c r="P44" s="8">
        <f>O44/O$44*100</f>
        <v>100</v>
      </c>
      <c r="S44" s="81"/>
      <c r="T44" s="81"/>
      <c r="U44" s="81"/>
      <c r="V44" s="81"/>
      <c r="W44" s="81"/>
      <c r="X44" s="81"/>
      <c r="Y44" s="81"/>
      <c r="Z44" s="81"/>
      <c r="AA44" s="81"/>
      <c r="AB44" s="81"/>
      <c r="AC44" s="81"/>
      <c r="AE44" s="81"/>
      <c r="AF44" s="81"/>
      <c r="AG44" s="81"/>
      <c r="AH44" s="81"/>
      <c r="AI44" s="81"/>
      <c r="AJ44" s="81"/>
      <c r="AK44" s="81"/>
      <c r="AL44" s="81"/>
      <c r="AM44" s="81"/>
      <c r="AN44" s="81"/>
    </row>
    <row r="45" spans="4:40" x14ac:dyDescent="0.2">
      <c r="D45" t="s">
        <v>14</v>
      </c>
      <c r="E45">
        <v>36.5</v>
      </c>
      <c r="F45" s="5">
        <v>38763</v>
      </c>
      <c r="G45" s="5">
        <v>38886</v>
      </c>
      <c r="H45" s="9">
        <f>G45-F45</f>
        <v>123</v>
      </c>
      <c r="I45" s="10">
        <f>666/1.12</f>
        <v>594.64285714285711</v>
      </c>
      <c r="J45" s="9">
        <v>0</v>
      </c>
      <c r="L45" s="10">
        <v>0</v>
      </c>
      <c r="M45" s="10">
        <f t="shared" si="2"/>
        <v>0</v>
      </c>
      <c r="O45" s="10">
        <v>0</v>
      </c>
      <c r="P45" s="10">
        <f>O45/O$49*100</f>
        <v>0</v>
      </c>
      <c r="S45" s="81"/>
      <c r="T45" s="81"/>
      <c r="U45" s="81"/>
      <c r="V45" s="81"/>
      <c r="W45" s="81"/>
      <c r="X45" s="81"/>
      <c r="Y45" s="81"/>
      <c r="Z45" s="81"/>
      <c r="AA45" s="81"/>
      <c r="AB45" s="81"/>
      <c r="AC45" s="81"/>
      <c r="AE45" s="81"/>
      <c r="AF45" s="81"/>
      <c r="AG45" s="81"/>
      <c r="AH45" s="81"/>
      <c r="AI45" s="81"/>
      <c r="AJ45" s="81"/>
      <c r="AK45" s="81"/>
      <c r="AL45" s="81"/>
      <c r="AM45" s="81"/>
      <c r="AN45" s="81"/>
    </row>
    <row r="46" spans="4:40" x14ac:dyDescent="0.2">
      <c r="D46" t="s">
        <v>14</v>
      </c>
      <c r="F46" s="9"/>
      <c r="G46" s="9"/>
      <c r="H46" s="9"/>
      <c r="I46" s="10">
        <f>666/1.12</f>
        <v>594.64285714285711</v>
      </c>
      <c r="J46" s="9">
        <v>1</v>
      </c>
      <c r="L46" s="10">
        <v>44.92173913043478</v>
      </c>
      <c r="M46" s="10">
        <f t="shared" si="2"/>
        <v>36.521739130434781</v>
      </c>
      <c r="O46" s="10">
        <v>38.009049773755656</v>
      </c>
      <c r="P46" s="10">
        <f>O46/O$49*100</f>
        <v>13.207547169811317</v>
      </c>
      <c r="S46" s="81"/>
      <c r="T46" s="81"/>
      <c r="U46" s="81"/>
      <c r="V46" s="81"/>
      <c r="W46" s="81"/>
      <c r="X46" s="81"/>
      <c r="Y46" s="81"/>
      <c r="Z46" s="81"/>
      <c r="AA46" s="81"/>
      <c r="AB46" s="81"/>
      <c r="AC46" s="81"/>
      <c r="AE46" s="81"/>
      <c r="AF46" s="81"/>
      <c r="AG46" s="81"/>
      <c r="AH46" s="81"/>
      <c r="AI46" s="81"/>
      <c r="AJ46" s="81"/>
      <c r="AK46" s="81"/>
      <c r="AL46" s="81"/>
      <c r="AM46" s="81"/>
      <c r="AN46" s="81"/>
    </row>
    <row r="47" spans="4:40" x14ac:dyDescent="0.2">
      <c r="D47" t="s">
        <v>14</v>
      </c>
      <c r="E47">
        <v>16.100000000000001</v>
      </c>
      <c r="F47" s="9" t="s">
        <v>33</v>
      </c>
      <c r="G47" s="9"/>
      <c r="H47" s="9"/>
      <c r="I47" s="10">
        <f>666/1.12</f>
        <v>594.64285714285711</v>
      </c>
      <c r="J47" s="9">
        <v>2</v>
      </c>
      <c r="L47" s="10">
        <v>76.295652173913041</v>
      </c>
      <c r="M47" s="10">
        <f t="shared" si="2"/>
        <v>62.028985507246368</v>
      </c>
      <c r="O47" s="10">
        <v>202.71493212669685</v>
      </c>
      <c r="P47" s="10">
        <f>O47/O$49*100</f>
        <v>70.440251572327043</v>
      </c>
      <c r="S47" s="81"/>
      <c r="T47" s="81"/>
      <c r="U47" s="81"/>
      <c r="V47" s="81"/>
      <c r="W47" s="81"/>
      <c r="X47" s="81"/>
      <c r="Y47" s="81"/>
      <c r="Z47" s="81"/>
      <c r="AA47" s="81"/>
      <c r="AB47" s="81"/>
      <c r="AC47" s="81"/>
      <c r="AE47" s="81"/>
      <c r="AF47" s="81"/>
      <c r="AG47" s="81"/>
      <c r="AH47" s="81"/>
      <c r="AI47" s="81"/>
      <c r="AJ47" s="81"/>
      <c r="AK47" s="81"/>
      <c r="AL47" s="81"/>
      <c r="AM47" s="81"/>
      <c r="AN47" s="81"/>
    </row>
    <row r="48" spans="4:40" x14ac:dyDescent="0.2">
      <c r="D48" t="s">
        <v>14</v>
      </c>
      <c r="F48" s="9"/>
      <c r="G48" s="9"/>
      <c r="H48" s="9"/>
      <c r="I48" s="10">
        <f>666/1.12</f>
        <v>594.64285714285711</v>
      </c>
      <c r="J48" s="9">
        <v>3</v>
      </c>
      <c r="L48" s="10">
        <v>99.826086956521735</v>
      </c>
      <c r="M48" s="10">
        <f t="shared" si="2"/>
        <v>81.159420289855063</v>
      </c>
      <c r="O48" s="10">
        <v>237.10407239819006</v>
      </c>
      <c r="P48" s="10">
        <f>O48/O$49*100</f>
        <v>82.389937106918225</v>
      </c>
      <c r="S48" s="81"/>
      <c r="T48" s="81"/>
      <c r="U48" s="81"/>
      <c r="V48" s="81"/>
      <c r="W48" s="81"/>
      <c r="X48" s="81"/>
      <c r="Y48" s="81"/>
      <c r="Z48" s="81"/>
      <c r="AA48" s="81"/>
      <c r="AB48" s="81"/>
      <c r="AC48" s="81"/>
      <c r="AE48" s="81"/>
      <c r="AF48" s="81"/>
      <c r="AG48" s="81"/>
      <c r="AH48" s="81"/>
      <c r="AI48" s="81"/>
      <c r="AJ48" s="81"/>
      <c r="AK48" s="81"/>
      <c r="AL48" s="81"/>
      <c r="AM48" s="81"/>
      <c r="AN48" s="81"/>
    </row>
    <row r="49" spans="1:40" x14ac:dyDescent="0.2">
      <c r="D49" s="2" t="s">
        <v>14</v>
      </c>
      <c r="E49" s="2">
        <v>20.399999999999999</v>
      </c>
      <c r="F49" s="4" t="s">
        <v>34</v>
      </c>
      <c r="G49" s="4"/>
      <c r="H49" s="4"/>
      <c r="I49" s="8">
        <f>666/1.12</f>
        <v>594.64285714285711</v>
      </c>
      <c r="J49" s="4">
        <v>4</v>
      </c>
      <c r="K49" s="4"/>
      <c r="L49" s="8">
        <v>123</v>
      </c>
      <c r="M49" s="8">
        <f t="shared" si="2"/>
        <v>100</v>
      </c>
      <c r="N49" s="8"/>
      <c r="O49" s="8">
        <v>287.78280542986431</v>
      </c>
      <c r="P49" s="8">
        <f>O49/O$49*100</f>
        <v>100</v>
      </c>
      <c r="Q49" s="2"/>
      <c r="S49" s="81"/>
      <c r="T49" s="81"/>
      <c r="U49" s="81"/>
      <c r="V49" s="81"/>
      <c r="W49" s="81"/>
      <c r="X49" s="81"/>
      <c r="Y49" s="81"/>
      <c r="Z49" s="81"/>
      <c r="AA49" s="81"/>
      <c r="AB49" s="81"/>
      <c r="AC49" s="81"/>
      <c r="AE49" s="81"/>
      <c r="AF49" s="81"/>
      <c r="AG49" s="81"/>
      <c r="AH49" s="81"/>
      <c r="AI49" s="81"/>
      <c r="AJ49" s="81"/>
      <c r="AK49" s="81"/>
      <c r="AL49" s="81"/>
      <c r="AM49" s="81"/>
      <c r="AN49" s="81"/>
    </row>
    <row r="50" spans="1:40" x14ac:dyDescent="0.2">
      <c r="D50" t="s">
        <v>15</v>
      </c>
      <c r="E50">
        <v>17.5</v>
      </c>
      <c r="F50" s="5">
        <v>38970</v>
      </c>
      <c r="G50" s="5">
        <v>39081</v>
      </c>
      <c r="H50" s="9">
        <f>G50-F50</f>
        <v>111</v>
      </c>
      <c r="I50" s="10">
        <v>0</v>
      </c>
      <c r="J50" s="9">
        <v>0</v>
      </c>
      <c r="L50" s="10">
        <v>0</v>
      </c>
      <c r="M50" s="10">
        <f t="shared" ref="M50:M64" si="3">L50/L$54*100</f>
        <v>0</v>
      </c>
      <c r="O50" s="10">
        <v>0</v>
      </c>
      <c r="P50" s="10">
        <f>O50/O$54*100</f>
        <v>0</v>
      </c>
      <c r="Q50" t="s">
        <v>26</v>
      </c>
      <c r="S50" s="81"/>
      <c r="T50" s="81"/>
      <c r="U50" s="81"/>
      <c r="V50" s="81"/>
      <c r="W50" s="81"/>
      <c r="X50" s="81"/>
      <c r="Y50" s="81"/>
      <c r="Z50" s="81"/>
      <c r="AA50" s="81"/>
      <c r="AB50" s="81"/>
      <c r="AC50" s="81"/>
      <c r="AE50" s="81"/>
      <c r="AF50" s="81"/>
      <c r="AG50" s="81"/>
      <c r="AH50" s="81"/>
      <c r="AI50" s="81"/>
      <c r="AJ50" s="81"/>
      <c r="AK50" s="81"/>
      <c r="AL50" s="81"/>
      <c r="AM50" s="81"/>
      <c r="AN50" s="81"/>
    </row>
    <row r="51" spans="1:40" x14ac:dyDescent="0.2">
      <c r="D51" t="s">
        <v>15</v>
      </c>
      <c r="F51" s="9"/>
      <c r="G51" s="9"/>
      <c r="H51" s="9"/>
      <c r="I51" s="10">
        <v>0</v>
      </c>
      <c r="J51" s="9">
        <v>1</v>
      </c>
      <c r="L51" s="10">
        <v>29.842622950819671</v>
      </c>
      <c r="M51" s="10">
        <f t="shared" si="3"/>
        <v>26.885245901639344</v>
      </c>
      <c r="O51" s="10">
        <v>34.389140271493218</v>
      </c>
      <c r="P51" s="10">
        <f>O51/O$54*100</f>
        <v>21.839080459770116</v>
      </c>
      <c r="Q51" s="1" t="s">
        <v>133</v>
      </c>
      <c r="S51" s="81"/>
      <c r="T51" s="81"/>
      <c r="U51" s="81"/>
      <c r="V51" s="81"/>
      <c r="W51" s="81"/>
      <c r="X51" s="81"/>
      <c r="Y51" s="81"/>
      <c r="Z51" s="81"/>
      <c r="AA51" s="81"/>
      <c r="AB51" s="81"/>
      <c r="AC51" s="81"/>
      <c r="AE51" s="81"/>
      <c r="AF51" s="81"/>
      <c r="AG51" s="81"/>
      <c r="AH51" s="81"/>
      <c r="AI51" s="81"/>
      <c r="AJ51" s="81"/>
      <c r="AK51" s="81"/>
      <c r="AL51" s="81"/>
      <c r="AM51" s="81"/>
      <c r="AN51" s="81"/>
    </row>
    <row r="52" spans="1:40" x14ac:dyDescent="0.2">
      <c r="D52" t="s">
        <v>15</v>
      </c>
      <c r="E52">
        <v>12.8</v>
      </c>
      <c r="F52" s="9" t="s">
        <v>35</v>
      </c>
      <c r="G52" s="9"/>
      <c r="H52" s="9"/>
      <c r="I52" s="10">
        <v>0</v>
      </c>
      <c r="J52" s="9">
        <v>2</v>
      </c>
      <c r="L52" s="10">
        <v>47.311475409836071</v>
      </c>
      <c r="M52" s="10">
        <f t="shared" si="3"/>
        <v>42.622950819672134</v>
      </c>
      <c r="O52" s="10">
        <v>81.447963800904986</v>
      </c>
      <c r="P52" s="10">
        <f>O52/O$54*100</f>
        <v>51.724137931034484</v>
      </c>
      <c r="S52" s="81"/>
      <c r="T52" s="81"/>
      <c r="U52" s="81"/>
      <c r="V52" s="81"/>
      <c r="W52" s="81"/>
      <c r="X52" s="81"/>
      <c r="Y52" s="81"/>
      <c r="Z52" s="81"/>
      <c r="AA52" s="81"/>
      <c r="AB52" s="81"/>
      <c r="AC52" s="81"/>
      <c r="AE52" s="81"/>
      <c r="AF52" s="81"/>
      <c r="AG52" s="81"/>
      <c r="AH52" s="81"/>
      <c r="AI52" s="81"/>
      <c r="AJ52" s="81"/>
      <c r="AK52" s="81"/>
      <c r="AL52" s="81"/>
      <c r="AM52" s="81"/>
      <c r="AN52" s="81"/>
    </row>
    <row r="53" spans="1:40" x14ac:dyDescent="0.2">
      <c r="D53" t="s">
        <v>15</v>
      </c>
      <c r="F53" s="9"/>
      <c r="G53" s="9"/>
      <c r="H53" s="9"/>
      <c r="I53" s="10">
        <v>0</v>
      </c>
      <c r="J53" s="9">
        <v>3</v>
      </c>
      <c r="L53" s="10">
        <v>68.419672131147536</v>
      </c>
      <c r="M53" s="10">
        <f t="shared" si="3"/>
        <v>61.639344262295083</v>
      </c>
      <c r="O53" s="10">
        <v>117.64705882352942</v>
      </c>
      <c r="P53" s="10">
        <f>O53/O$54*100</f>
        <v>74.712643678160916</v>
      </c>
      <c r="S53" s="81"/>
      <c r="T53" s="81"/>
      <c r="U53" s="81"/>
      <c r="V53" s="81"/>
      <c r="W53" s="81"/>
      <c r="X53" s="81"/>
      <c r="Y53" s="81"/>
      <c r="Z53" s="81"/>
      <c r="AA53" s="81"/>
      <c r="AB53" s="81"/>
      <c r="AC53" s="81"/>
      <c r="AE53" s="81"/>
      <c r="AF53" s="81"/>
      <c r="AG53" s="81"/>
      <c r="AH53" s="81"/>
      <c r="AI53" s="81"/>
      <c r="AJ53" s="81"/>
      <c r="AK53" s="81"/>
      <c r="AL53" s="81"/>
      <c r="AM53" s="81"/>
      <c r="AN53" s="81"/>
    </row>
    <row r="54" spans="1:40" x14ac:dyDescent="0.2">
      <c r="D54" s="2" t="s">
        <v>15</v>
      </c>
      <c r="E54" s="2">
        <v>4.7</v>
      </c>
      <c r="F54" s="4" t="s">
        <v>36</v>
      </c>
      <c r="G54" s="4"/>
      <c r="H54" s="4"/>
      <c r="I54" s="8">
        <v>0</v>
      </c>
      <c r="J54" s="4">
        <v>4</v>
      </c>
      <c r="K54" s="4"/>
      <c r="L54" s="8">
        <v>111</v>
      </c>
      <c r="M54" s="8">
        <f t="shared" si="3"/>
        <v>100</v>
      </c>
      <c r="N54" s="8"/>
      <c r="O54" s="8">
        <v>157.4660633484163</v>
      </c>
      <c r="P54" s="8">
        <f>O54/O$54*100</f>
        <v>100</v>
      </c>
      <c r="AE54" s="81"/>
      <c r="AF54" s="81"/>
      <c r="AG54" s="81"/>
      <c r="AH54" s="81"/>
      <c r="AI54" s="81"/>
      <c r="AJ54" s="81"/>
      <c r="AK54" s="81"/>
      <c r="AL54" s="81"/>
      <c r="AM54" s="81"/>
      <c r="AN54" s="81"/>
    </row>
    <row r="55" spans="1:40" x14ac:dyDescent="0.2">
      <c r="D55" t="s">
        <v>15</v>
      </c>
      <c r="E55">
        <v>20.7</v>
      </c>
      <c r="F55" s="5">
        <v>38970</v>
      </c>
      <c r="G55" s="5">
        <v>39081</v>
      </c>
      <c r="H55" s="9">
        <f>G55-F55</f>
        <v>111</v>
      </c>
      <c r="I55" s="10">
        <f>310/1.12</f>
        <v>276.78571428571428</v>
      </c>
      <c r="J55" s="9">
        <v>0</v>
      </c>
      <c r="L55" s="10">
        <v>0</v>
      </c>
      <c r="M55" s="10">
        <f t="shared" si="3"/>
        <v>0</v>
      </c>
      <c r="O55" s="10">
        <v>0</v>
      </c>
      <c r="P55" s="10">
        <f>O55/O$59*100</f>
        <v>0</v>
      </c>
      <c r="AE55" s="81"/>
      <c r="AF55" s="81"/>
      <c r="AG55" s="81"/>
      <c r="AH55" s="81"/>
      <c r="AI55" s="81"/>
      <c r="AJ55" s="81"/>
      <c r="AK55" s="81"/>
      <c r="AL55" s="81"/>
      <c r="AM55" s="81"/>
      <c r="AN55" s="81"/>
    </row>
    <row r="56" spans="1:40" x14ac:dyDescent="0.2">
      <c r="D56" t="s">
        <v>15</v>
      </c>
      <c r="F56" s="9"/>
      <c r="G56" s="9"/>
      <c r="H56" s="9"/>
      <c r="I56" s="10">
        <f>310/1.12</f>
        <v>276.78571428571428</v>
      </c>
      <c r="J56" s="9">
        <v>1</v>
      </c>
      <c r="L56" s="10">
        <v>29.842622950819671</v>
      </c>
      <c r="M56" s="10">
        <f t="shared" si="3"/>
        <v>26.885245901639344</v>
      </c>
      <c r="O56" s="10">
        <v>59.728506787330325</v>
      </c>
      <c r="P56" s="10">
        <f>O56/O$59*100</f>
        <v>26.612903225806456</v>
      </c>
      <c r="AE56" s="81"/>
      <c r="AF56" s="81"/>
      <c r="AG56" s="81"/>
      <c r="AH56" s="81"/>
      <c r="AI56" s="81"/>
      <c r="AJ56" s="81"/>
      <c r="AK56" s="81"/>
      <c r="AL56" s="81"/>
      <c r="AM56" s="81"/>
      <c r="AN56" s="81"/>
    </row>
    <row r="57" spans="1:40" x14ac:dyDescent="0.2">
      <c r="D57" t="s">
        <v>15</v>
      </c>
      <c r="E57">
        <v>14.8</v>
      </c>
      <c r="F57" s="9" t="s">
        <v>35</v>
      </c>
      <c r="G57" s="9"/>
      <c r="H57" s="9"/>
      <c r="I57" s="10">
        <f>310/1.12</f>
        <v>276.78571428571428</v>
      </c>
      <c r="J57" s="9">
        <v>2</v>
      </c>
      <c r="L57" s="10">
        <v>47.311475409836071</v>
      </c>
      <c r="M57" s="10">
        <f t="shared" si="3"/>
        <v>42.622950819672134</v>
      </c>
      <c r="O57" s="10">
        <v>121.26696832579186</v>
      </c>
      <c r="P57" s="10">
        <f>O57/O$59*100</f>
        <v>54.032258064516135</v>
      </c>
      <c r="AE57" s="81"/>
      <c r="AF57" s="81"/>
      <c r="AG57" s="81"/>
      <c r="AH57" s="81"/>
      <c r="AI57" s="81"/>
      <c r="AJ57" s="81"/>
      <c r="AK57" s="81"/>
      <c r="AL57" s="81"/>
      <c r="AM57" s="81"/>
      <c r="AN57" s="81"/>
    </row>
    <row r="58" spans="1:40" x14ac:dyDescent="0.2">
      <c r="D58" t="s">
        <v>15</v>
      </c>
      <c r="F58" s="9"/>
      <c r="G58" s="9"/>
      <c r="H58" s="9"/>
      <c r="I58" s="10">
        <f>310/1.12</f>
        <v>276.78571428571428</v>
      </c>
      <c r="J58" s="9">
        <v>3</v>
      </c>
      <c r="L58" s="10">
        <v>68.419672131147536</v>
      </c>
      <c r="M58" s="10">
        <f t="shared" si="3"/>
        <v>61.639344262295083</v>
      </c>
      <c r="O58" s="10">
        <v>180.99547511312218</v>
      </c>
      <c r="P58" s="10">
        <f>O58/O$59*100</f>
        <v>80.645161290322591</v>
      </c>
      <c r="AE58" s="81"/>
      <c r="AF58" s="81"/>
      <c r="AG58" s="81"/>
      <c r="AH58" s="81"/>
      <c r="AI58" s="81"/>
      <c r="AJ58" s="81"/>
      <c r="AK58" s="81"/>
      <c r="AL58" s="81"/>
      <c r="AM58" s="81"/>
      <c r="AN58" s="81"/>
    </row>
    <row r="59" spans="1:40" x14ac:dyDescent="0.2">
      <c r="D59" s="2" t="s">
        <v>15</v>
      </c>
      <c r="E59" s="2">
        <v>5.9</v>
      </c>
      <c r="F59" s="4" t="s">
        <v>36</v>
      </c>
      <c r="G59" s="4"/>
      <c r="H59" s="4"/>
      <c r="I59" s="8">
        <f>310/1.12</f>
        <v>276.78571428571428</v>
      </c>
      <c r="J59" s="4">
        <v>4</v>
      </c>
      <c r="K59" s="4"/>
      <c r="L59" s="8">
        <v>111</v>
      </c>
      <c r="M59" s="8">
        <f t="shared" si="3"/>
        <v>100</v>
      </c>
      <c r="N59" s="8"/>
      <c r="O59" s="8">
        <v>224.43438914027149</v>
      </c>
      <c r="P59" s="8">
        <f>O59/O$59*100</f>
        <v>100</v>
      </c>
      <c r="AE59" s="81"/>
      <c r="AF59" s="81"/>
      <c r="AG59" s="81"/>
      <c r="AH59" s="81"/>
      <c r="AI59" s="81"/>
      <c r="AJ59" s="81"/>
      <c r="AK59" s="81"/>
      <c r="AL59" s="81"/>
      <c r="AM59" s="81"/>
      <c r="AN59" s="81"/>
    </row>
    <row r="60" spans="1:40" x14ac:dyDescent="0.2">
      <c r="D60" t="s">
        <v>15</v>
      </c>
      <c r="E60">
        <v>20.6</v>
      </c>
      <c r="F60" s="5">
        <v>38970</v>
      </c>
      <c r="G60" s="5">
        <v>39081</v>
      </c>
      <c r="H60" s="9">
        <f>G60-F60</f>
        <v>111</v>
      </c>
      <c r="I60" s="10">
        <f>590/1.12</f>
        <v>526.78571428571422</v>
      </c>
      <c r="J60" s="9">
        <v>0</v>
      </c>
      <c r="L60" s="10">
        <v>0</v>
      </c>
      <c r="M60" s="10">
        <f t="shared" si="3"/>
        <v>0</v>
      </c>
      <c r="O60" s="10">
        <v>0</v>
      </c>
      <c r="P60" s="10">
        <f>O60/O$64*100</f>
        <v>0</v>
      </c>
      <c r="AE60" s="81"/>
      <c r="AF60" s="81"/>
      <c r="AG60" s="81"/>
      <c r="AH60" s="81"/>
      <c r="AI60" s="81"/>
      <c r="AJ60" s="81"/>
      <c r="AK60" s="81"/>
      <c r="AL60" s="81"/>
      <c r="AM60" s="81"/>
      <c r="AN60" s="81"/>
    </row>
    <row r="61" spans="1:40" x14ac:dyDescent="0.2">
      <c r="D61" t="s">
        <v>15</v>
      </c>
      <c r="F61" s="9"/>
      <c r="G61" s="9"/>
      <c r="H61" s="9"/>
      <c r="I61" s="10">
        <f>590/1.12</f>
        <v>526.78571428571422</v>
      </c>
      <c r="J61" s="9">
        <v>1</v>
      </c>
      <c r="L61" s="10">
        <v>29.842622950819671</v>
      </c>
      <c r="M61" s="10">
        <f t="shared" si="3"/>
        <v>26.885245901639344</v>
      </c>
      <c r="O61" s="10">
        <v>58.928571428571423</v>
      </c>
      <c r="P61" s="10">
        <f>O61/O$64*100</f>
        <v>26.612903225806448</v>
      </c>
      <c r="AE61" s="81"/>
      <c r="AF61" s="81"/>
      <c r="AG61" s="81"/>
      <c r="AH61" s="81"/>
      <c r="AI61" s="81"/>
      <c r="AJ61" s="81"/>
      <c r="AK61" s="81"/>
      <c r="AL61" s="81"/>
      <c r="AM61" s="81"/>
      <c r="AN61" s="81"/>
    </row>
    <row r="62" spans="1:40" x14ac:dyDescent="0.2">
      <c r="D62" t="s">
        <v>15</v>
      </c>
      <c r="E62">
        <v>14.7</v>
      </c>
      <c r="F62" s="9" t="s">
        <v>35</v>
      </c>
      <c r="G62" s="9"/>
      <c r="H62" s="9"/>
      <c r="I62" s="10">
        <f>590/1.12</f>
        <v>526.78571428571422</v>
      </c>
      <c r="J62" s="9">
        <v>2</v>
      </c>
      <c r="L62" s="10">
        <v>47.311475409836071</v>
      </c>
      <c r="M62" s="10">
        <f t="shared" si="3"/>
        <v>42.622950819672134</v>
      </c>
      <c r="O62" s="10">
        <v>119.64285714285714</v>
      </c>
      <c r="P62" s="10">
        <f>O62/O$64*100</f>
        <v>54.032258064516128</v>
      </c>
    </row>
    <row r="63" spans="1:40" x14ac:dyDescent="0.2">
      <c r="D63" t="s">
        <v>15</v>
      </c>
      <c r="F63" s="9"/>
      <c r="G63" s="9"/>
      <c r="H63" s="9"/>
      <c r="I63" s="10">
        <f>590/1.12</f>
        <v>526.78571428571422</v>
      </c>
      <c r="J63" s="9">
        <v>3</v>
      </c>
      <c r="L63" s="10">
        <v>68.419672131147536</v>
      </c>
      <c r="M63" s="10">
        <f t="shared" si="3"/>
        <v>61.639344262295083</v>
      </c>
      <c r="O63" s="10">
        <v>180.35714285714283</v>
      </c>
      <c r="P63" s="10">
        <f>O63/O$64*100</f>
        <v>81.451612903225794</v>
      </c>
    </row>
    <row r="64" spans="1:40" x14ac:dyDescent="0.2">
      <c r="A64" s="2"/>
      <c r="B64" s="2"/>
      <c r="C64" s="36"/>
      <c r="D64" s="2" t="s">
        <v>15</v>
      </c>
      <c r="E64" s="2">
        <v>5.8</v>
      </c>
      <c r="F64" s="4" t="s">
        <v>36</v>
      </c>
      <c r="G64" s="4"/>
      <c r="H64" s="4"/>
      <c r="I64" s="8">
        <f>590/1.12</f>
        <v>526.78571428571422</v>
      </c>
      <c r="J64" s="4">
        <v>4</v>
      </c>
      <c r="K64" s="4"/>
      <c r="L64" s="8">
        <v>111</v>
      </c>
      <c r="M64" s="8">
        <f t="shared" si="3"/>
        <v>100</v>
      </c>
      <c r="N64" s="8"/>
      <c r="O64" s="8">
        <v>221.42857142857142</v>
      </c>
      <c r="P64" s="8">
        <f>O64/O$64*100</f>
        <v>100</v>
      </c>
      <c r="Q64" s="2"/>
    </row>
    <row r="65" spans="1:30" x14ac:dyDescent="0.2">
      <c r="A65" t="s">
        <v>16</v>
      </c>
      <c r="B65" t="s">
        <v>17</v>
      </c>
      <c r="C65" s="244" t="s">
        <v>44</v>
      </c>
      <c r="D65" s="17" t="s">
        <v>14</v>
      </c>
      <c r="E65" s="17"/>
      <c r="F65" s="5">
        <v>41702</v>
      </c>
      <c r="G65" s="5">
        <v>41787</v>
      </c>
      <c r="H65" s="9">
        <f>G65-F65</f>
        <v>85</v>
      </c>
      <c r="I65" s="7" t="s">
        <v>18</v>
      </c>
      <c r="J65" s="3">
        <v>0</v>
      </c>
      <c r="K65" s="247" t="s">
        <v>19</v>
      </c>
      <c r="L65" s="7">
        <v>0</v>
      </c>
      <c r="M65" s="7">
        <f t="shared" ref="M65:M71" si="4">L65/L$71*100</f>
        <v>0</v>
      </c>
      <c r="N65" s="13" t="s">
        <v>6</v>
      </c>
      <c r="O65" s="3">
        <v>0</v>
      </c>
      <c r="P65" s="10">
        <f>O65/O$71*100</f>
        <v>0</v>
      </c>
    </row>
    <row r="66" spans="1:30" x14ac:dyDescent="0.2">
      <c r="C66" s="231"/>
      <c r="D66" s="17" t="s">
        <v>14</v>
      </c>
      <c r="E66" s="17"/>
      <c r="J66" s="3">
        <v>1</v>
      </c>
      <c r="K66" s="247"/>
      <c r="L66" s="7">
        <v>14.821124361158434</v>
      </c>
      <c r="M66" s="10">
        <f t="shared" si="4"/>
        <v>17.647058823529413</v>
      </c>
      <c r="O66" s="10">
        <v>2.604166666666667</v>
      </c>
      <c r="P66" s="10">
        <f t="shared" ref="P66:P71" si="5">O66/O$71*100</f>
        <v>1.1600928074245942</v>
      </c>
      <c r="S66" s="241"/>
      <c r="T66" s="241"/>
      <c r="U66" s="241"/>
      <c r="V66" s="241"/>
      <c r="X66" s="241"/>
      <c r="Y66" s="241"/>
    </row>
    <row r="67" spans="1:30" x14ac:dyDescent="0.2">
      <c r="C67" s="231"/>
      <c r="D67" s="17" t="s">
        <v>14</v>
      </c>
      <c r="E67" s="17"/>
      <c r="J67" s="3">
        <v>2</v>
      </c>
      <c r="K67" s="247"/>
      <c r="L67" s="7">
        <v>28.449744463373083</v>
      </c>
      <c r="M67" s="10">
        <f t="shared" si="4"/>
        <v>33.874239350912774</v>
      </c>
      <c r="O67" s="10">
        <v>8.3333333333333339</v>
      </c>
      <c r="P67" s="10">
        <f t="shared" si="5"/>
        <v>3.7122969837587014</v>
      </c>
      <c r="U67" s="9"/>
      <c r="V67" s="9"/>
    </row>
    <row r="68" spans="1:30" x14ac:dyDescent="0.2">
      <c r="C68" s="231"/>
      <c r="D68" s="17" t="s">
        <v>14</v>
      </c>
      <c r="E68" s="17"/>
      <c r="J68" s="3">
        <v>3</v>
      </c>
      <c r="K68" s="247"/>
      <c r="L68" s="7">
        <v>42.248722316865418</v>
      </c>
      <c r="M68" s="10">
        <f t="shared" si="4"/>
        <v>50.304259634888439</v>
      </c>
      <c r="O68" s="10">
        <v>46.875</v>
      </c>
      <c r="P68" s="10">
        <f t="shared" si="5"/>
        <v>20.881670533642694</v>
      </c>
      <c r="U68" s="9"/>
      <c r="V68" s="9"/>
    </row>
    <row r="69" spans="1:30" x14ac:dyDescent="0.2">
      <c r="C69" s="231"/>
      <c r="D69" s="17" t="s">
        <v>14</v>
      </c>
      <c r="E69" s="17"/>
      <c r="J69" s="3">
        <v>4</v>
      </c>
      <c r="K69" s="247"/>
      <c r="L69" s="7">
        <v>55.877342419080065</v>
      </c>
      <c r="M69" s="10">
        <f t="shared" si="4"/>
        <v>66.531440162271792</v>
      </c>
      <c r="O69" s="10">
        <v>105.72916666666666</v>
      </c>
      <c r="P69" s="10">
        <f t="shared" si="5"/>
        <v>47.099767981438511</v>
      </c>
      <c r="T69" s="11"/>
      <c r="V69" s="11"/>
    </row>
    <row r="70" spans="1:30" x14ac:dyDescent="0.2">
      <c r="C70" s="231"/>
      <c r="D70" s="17" t="s">
        <v>14</v>
      </c>
      <c r="E70" s="17"/>
      <c r="F70" s="20"/>
      <c r="G70" s="20"/>
      <c r="H70" s="20"/>
      <c r="I70" s="21"/>
      <c r="J70" s="20">
        <v>5</v>
      </c>
      <c r="K70" s="20"/>
      <c r="L70" s="21">
        <v>70.017035775127781</v>
      </c>
      <c r="M70" s="21">
        <f t="shared" si="4"/>
        <v>83.367139959432052</v>
      </c>
      <c r="N70" s="21"/>
      <c r="O70" s="21">
        <v>178.125</v>
      </c>
      <c r="P70" s="21">
        <f t="shared" si="5"/>
        <v>79.35034802784223</v>
      </c>
      <c r="T70" s="11"/>
      <c r="V70" s="11"/>
    </row>
    <row r="71" spans="1:30" x14ac:dyDescent="0.2">
      <c r="C71" s="231"/>
      <c r="D71" s="22" t="s">
        <v>14</v>
      </c>
      <c r="E71" s="22"/>
      <c r="F71" s="4"/>
      <c r="G71" s="4"/>
      <c r="H71" s="4"/>
      <c r="I71" s="8"/>
      <c r="J71" s="4">
        <v>6</v>
      </c>
      <c r="K71" s="4"/>
      <c r="L71" s="8">
        <v>83.98637137989779</v>
      </c>
      <c r="M71" s="8">
        <f t="shared" si="4"/>
        <v>100</v>
      </c>
      <c r="N71" s="8"/>
      <c r="O71" s="8">
        <v>224.47916666666666</v>
      </c>
      <c r="P71" s="8">
        <f t="shared" si="5"/>
        <v>100</v>
      </c>
      <c r="T71" s="11"/>
      <c r="V71" s="11"/>
    </row>
    <row r="72" spans="1:30" x14ac:dyDescent="0.2">
      <c r="C72" s="231"/>
      <c r="D72" t="s">
        <v>15</v>
      </c>
      <c r="F72" s="5">
        <v>41522</v>
      </c>
      <c r="G72" s="5">
        <v>41630</v>
      </c>
      <c r="H72" s="9">
        <f>G72-F72</f>
        <v>108</v>
      </c>
      <c r="I72" s="7" t="s">
        <v>18</v>
      </c>
      <c r="J72" s="3">
        <v>0</v>
      </c>
      <c r="L72" s="7">
        <v>0</v>
      </c>
      <c r="M72" s="7">
        <f t="shared" ref="M72:M78" si="6">L72/L$78*100</f>
        <v>0</v>
      </c>
      <c r="O72" s="3">
        <v>0</v>
      </c>
      <c r="P72" s="10">
        <f>O72/O$78*100</f>
        <v>0</v>
      </c>
      <c r="T72" s="11"/>
      <c r="V72" s="11"/>
    </row>
    <row r="73" spans="1:30" x14ac:dyDescent="0.2">
      <c r="C73" s="231"/>
      <c r="D73" t="s">
        <v>15</v>
      </c>
      <c r="J73" s="3">
        <v>1</v>
      </c>
      <c r="L73" s="7">
        <v>14.821124361158434</v>
      </c>
      <c r="M73" s="10">
        <f t="shared" si="6"/>
        <v>18.995633187772924</v>
      </c>
      <c r="O73" s="10">
        <v>2.604166666666667</v>
      </c>
      <c r="P73" s="10">
        <f t="shared" ref="P73:P78" si="7">O73/O$78*100</f>
        <v>1.5923566878980893</v>
      </c>
      <c r="T73" s="11"/>
      <c r="V73" s="11"/>
    </row>
    <row r="74" spans="1:30" x14ac:dyDescent="0.2">
      <c r="C74" s="231"/>
      <c r="D74" t="s">
        <v>15</v>
      </c>
      <c r="J74" s="3">
        <v>2</v>
      </c>
      <c r="L74" s="7">
        <v>29.642248722316868</v>
      </c>
      <c r="M74" s="10">
        <f t="shared" si="6"/>
        <v>37.991266375545848</v>
      </c>
      <c r="O74" s="10">
        <v>42.187500000000007</v>
      </c>
      <c r="P74" s="10">
        <f t="shared" si="7"/>
        <v>25.796178343949045</v>
      </c>
      <c r="T74" s="11"/>
      <c r="V74" s="11"/>
    </row>
    <row r="75" spans="1:30" x14ac:dyDescent="0.2">
      <c r="C75" s="231"/>
      <c r="D75" t="s">
        <v>15</v>
      </c>
      <c r="J75" s="3">
        <v>3</v>
      </c>
      <c r="L75" s="7">
        <v>43.100511073253834</v>
      </c>
      <c r="M75" s="10">
        <f t="shared" si="6"/>
        <v>55.240174672489083</v>
      </c>
      <c r="O75" s="10">
        <v>80.208333333333343</v>
      </c>
      <c r="P75" s="10">
        <f t="shared" si="7"/>
        <v>49.044585987261144</v>
      </c>
    </row>
    <row r="76" spans="1:30" x14ac:dyDescent="0.2">
      <c r="C76" s="231"/>
      <c r="D76" t="s">
        <v>15</v>
      </c>
      <c r="J76" s="3">
        <v>4</v>
      </c>
      <c r="L76" s="7">
        <v>56.218057921635435</v>
      </c>
      <c r="M76" s="10">
        <f t="shared" si="6"/>
        <v>72.052401746724897</v>
      </c>
      <c r="O76" s="10">
        <v>123.95833333333333</v>
      </c>
      <c r="P76" s="10">
        <f t="shared" si="7"/>
        <v>75.796178343949023</v>
      </c>
      <c r="AB76" s="241"/>
      <c r="AC76" s="241"/>
      <c r="AD76" s="80"/>
    </row>
    <row r="77" spans="1:30" x14ac:dyDescent="0.2">
      <c r="C77" s="231"/>
      <c r="D77" s="23" t="s">
        <v>15</v>
      </c>
      <c r="E77" s="23"/>
      <c r="F77" s="20"/>
      <c r="G77" s="20"/>
      <c r="H77" s="20"/>
      <c r="I77" s="21"/>
      <c r="J77" s="20">
        <v>5</v>
      </c>
      <c r="K77" s="20"/>
      <c r="L77" s="21">
        <v>71.039182282793874</v>
      </c>
      <c r="M77" s="21">
        <f t="shared" si="6"/>
        <v>91.048034934497821</v>
      </c>
      <c r="N77" s="21"/>
      <c r="O77" s="21">
        <v>141.66666666666669</v>
      </c>
      <c r="P77" s="21">
        <f t="shared" si="7"/>
        <v>86.624203821656053</v>
      </c>
      <c r="AB77" s="3"/>
    </row>
    <row r="78" spans="1:30" x14ac:dyDescent="0.2">
      <c r="C78" s="231"/>
      <c r="D78" s="2" t="s">
        <v>15</v>
      </c>
      <c r="E78" s="2"/>
      <c r="F78" s="4"/>
      <c r="G78" s="4"/>
      <c r="H78" s="4"/>
      <c r="I78" s="8"/>
      <c r="J78" s="4">
        <v>6</v>
      </c>
      <c r="K78" s="4"/>
      <c r="L78" s="8">
        <v>78.023850085178879</v>
      </c>
      <c r="M78" s="8">
        <f t="shared" si="6"/>
        <v>100</v>
      </c>
      <c r="N78" s="8"/>
      <c r="O78" s="8">
        <v>163.54166666666669</v>
      </c>
      <c r="P78" s="8">
        <f t="shared" si="7"/>
        <v>100</v>
      </c>
      <c r="AC78" s="3"/>
    </row>
    <row r="79" spans="1:30" x14ac:dyDescent="0.2">
      <c r="AC79" s="7"/>
    </row>
    <row r="80" spans="1:30" x14ac:dyDescent="0.2">
      <c r="AC80" s="7"/>
      <c r="AD80" s="3"/>
    </row>
    <row r="81" spans="1:35" ht="15" customHeight="1" x14ac:dyDescent="0.2">
      <c r="A81" t="s">
        <v>37</v>
      </c>
      <c r="B81" s="243" t="s">
        <v>39</v>
      </c>
      <c r="C81" s="243"/>
      <c r="D81" s="243"/>
      <c r="E81" s="243"/>
      <c r="F81" s="243"/>
      <c r="G81" s="243"/>
      <c r="H81" s="243"/>
      <c r="I81" s="243"/>
      <c r="J81" s="243"/>
      <c r="K81" s="243"/>
      <c r="L81" s="243"/>
      <c r="M81" s="243"/>
      <c r="N81" s="28"/>
      <c r="AC81" s="7"/>
      <c r="AD81" s="3"/>
    </row>
    <row r="82" spans="1:35" x14ac:dyDescent="0.2">
      <c r="B82" s="243"/>
      <c r="C82" s="243"/>
      <c r="D82" s="243"/>
      <c r="E82" s="243"/>
      <c r="F82" s="243"/>
      <c r="G82" s="243"/>
      <c r="H82" s="243"/>
      <c r="I82" s="243"/>
      <c r="J82" s="243"/>
      <c r="K82" s="243"/>
      <c r="L82" s="243"/>
      <c r="M82" s="243"/>
      <c r="N82" s="28"/>
      <c r="O82" s="9"/>
      <c r="P82" s="9"/>
      <c r="AC82" s="7"/>
      <c r="AD82" s="3"/>
    </row>
    <row r="83" spans="1:35" x14ac:dyDescent="0.2">
      <c r="B83" s="243"/>
      <c r="C83" s="243"/>
      <c r="D83" s="243"/>
      <c r="E83" s="243"/>
      <c r="F83" s="243"/>
      <c r="G83" s="243"/>
      <c r="H83" s="243"/>
      <c r="I83" s="243"/>
      <c r="J83" s="243"/>
      <c r="K83" s="243"/>
      <c r="L83" s="243"/>
      <c r="M83" s="243"/>
      <c r="N83" s="28"/>
      <c r="O83" s="9"/>
      <c r="P83" s="9"/>
    </row>
    <row r="84" spans="1:35" x14ac:dyDescent="0.2">
      <c r="B84" s="14"/>
      <c r="C84" s="32"/>
      <c r="D84" s="14"/>
      <c r="E84" s="14"/>
      <c r="F84" s="14"/>
      <c r="G84" s="14"/>
      <c r="H84" s="14"/>
      <c r="I84" s="14"/>
      <c r="J84" s="14"/>
      <c r="K84" s="14"/>
      <c r="L84" s="14"/>
      <c r="M84" s="10"/>
      <c r="O84" s="9"/>
      <c r="P84" s="9"/>
    </row>
    <row r="85" spans="1:35" ht="15" customHeight="1" x14ac:dyDescent="0.2">
      <c r="B85" s="243" t="s">
        <v>40</v>
      </c>
      <c r="C85" s="243"/>
      <c r="D85" s="243"/>
      <c r="E85" s="243"/>
      <c r="F85" s="243"/>
      <c r="G85" s="243"/>
      <c r="H85" s="243"/>
      <c r="I85" s="243"/>
      <c r="J85" s="243"/>
      <c r="K85" s="243"/>
      <c r="L85" s="243"/>
      <c r="M85" s="243"/>
      <c r="N85" s="243"/>
      <c r="O85" s="243"/>
      <c r="P85" s="243"/>
    </row>
    <row r="86" spans="1:35" x14ac:dyDescent="0.2">
      <c r="B86" s="243"/>
      <c r="C86" s="243"/>
      <c r="D86" s="243"/>
      <c r="E86" s="243"/>
      <c r="F86" s="243"/>
      <c r="G86" s="243"/>
      <c r="H86" s="243"/>
      <c r="I86" s="243"/>
      <c r="J86" s="243"/>
      <c r="K86" s="243"/>
      <c r="L86" s="243"/>
      <c r="M86" s="243"/>
      <c r="N86" s="243"/>
      <c r="O86" s="243"/>
      <c r="P86" s="243"/>
      <c r="Q86" s="241"/>
      <c r="R86" s="241"/>
    </row>
    <row r="87" spans="1:35" x14ac:dyDescent="0.2">
      <c r="B87" s="243"/>
      <c r="C87" s="243"/>
      <c r="D87" s="243"/>
      <c r="E87" s="243"/>
      <c r="F87" s="243"/>
      <c r="G87" s="243"/>
      <c r="H87" s="243"/>
      <c r="I87" s="243"/>
      <c r="J87" s="243"/>
      <c r="K87" s="243"/>
      <c r="L87" s="243"/>
      <c r="M87" s="243"/>
      <c r="N87" s="243"/>
      <c r="O87" s="243"/>
      <c r="P87" s="243"/>
      <c r="Q87" s="3"/>
      <c r="R87" s="3"/>
    </row>
    <row r="88" spans="1:35" x14ac:dyDescent="0.2">
      <c r="B88" s="28"/>
      <c r="C88" s="35"/>
      <c r="D88" s="28"/>
      <c r="E88" s="28"/>
      <c r="F88" s="28"/>
      <c r="G88" s="28"/>
      <c r="H88" s="28"/>
      <c r="I88" s="28"/>
      <c r="J88" s="28"/>
      <c r="K88" s="59"/>
      <c r="L88" s="28"/>
      <c r="M88" s="28"/>
      <c r="N88" s="28"/>
      <c r="O88" s="28"/>
      <c r="P88" s="28"/>
      <c r="Q88" s="9"/>
      <c r="R88" s="9"/>
    </row>
    <row r="89" spans="1:35" x14ac:dyDescent="0.2">
      <c r="A89" t="s">
        <v>16</v>
      </c>
      <c r="O89"/>
      <c r="P89" s="11"/>
      <c r="Q89" s="3"/>
      <c r="R89" s="11"/>
    </row>
    <row r="90" spans="1:35" x14ac:dyDescent="0.2">
      <c r="A90" s="1"/>
      <c r="H90" s="3" t="s">
        <v>38</v>
      </c>
      <c r="O90"/>
      <c r="P90" s="11"/>
      <c r="Q90" s="3"/>
      <c r="R90" s="11"/>
    </row>
    <row r="91" spans="1:35" x14ac:dyDescent="0.2">
      <c r="A91" s="1"/>
      <c r="P91" s="11"/>
      <c r="Q91" s="9"/>
      <c r="R91" s="11"/>
    </row>
    <row r="92" spans="1:35" x14ac:dyDescent="0.2">
      <c r="P92" s="11"/>
      <c r="Q92" s="9"/>
      <c r="R92" s="11"/>
    </row>
    <row r="93" spans="1:35" x14ac:dyDescent="0.2">
      <c r="P93" s="11"/>
      <c r="Q93" s="9"/>
      <c r="R93" s="11"/>
    </row>
    <row r="94" spans="1:35" x14ac:dyDescent="0.2">
      <c r="P94" s="11"/>
      <c r="Q94" s="9"/>
      <c r="R94" s="11"/>
    </row>
    <row r="96" spans="1:35" x14ac:dyDescent="0.2">
      <c r="AE96" s="80"/>
      <c r="AF96" s="242"/>
      <c r="AG96" s="242"/>
      <c r="AH96" s="241"/>
      <c r="AI96" s="241"/>
    </row>
    <row r="97" spans="31:35" x14ac:dyDescent="0.2">
      <c r="AE97" s="3"/>
      <c r="AF97" s="6"/>
      <c r="AG97" s="3"/>
      <c r="AH97" s="6"/>
      <c r="AI97" s="7"/>
    </row>
    <row r="98" spans="31:35" x14ac:dyDescent="0.2">
      <c r="AE98" s="3"/>
      <c r="AF98" s="6"/>
      <c r="AG98" s="3"/>
      <c r="AH98" s="6"/>
      <c r="AI98" s="3"/>
    </row>
    <row r="99" spans="31:35" x14ac:dyDescent="0.2">
      <c r="AE99" s="3"/>
      <c r="AG99" s="3"/>
      <c r="AI99" s="3"/>
    </row>
    <row r="100" spans="31:35" x14ac:dyDescent="0.2">
      <c r="AE100" s="7"/>
      <c r="AF100" s="6"/>
      <c r="AG100" s="7"/>
      <c r="AH100" s="6"/>
      <c r="AI100" s="7"/>
    </row>
    <row r="101" spans="31:35" x14ac:dyDescent="0.2">
      <c r="AE101" s="7"/>
      <c r="AF101" s="6"/>
      <c r="AG101" s="7"/>
      <c r="AH101" s="6"/>
      <c r="AI101" s="7"/>
    </row>
    <row r="102" spans="31:35" x14ac:dyDescent="0.2">
      <c r="AE102" s="7"/>
      <c r="AF102" s="6"/>
      <c r="AG102" s="7"/>
      <c r="AH102" s="6"/>
      <c r="AI102" s="7"/>
    </row>
  </sheetData>
  <mergeCells count="18">
    <mergeCell ref="AH9:AI9"/>
    <mergeCell ref="AF2:AG2"/>
    <mergeCell ref="L3:M3"/>
    <mergeCell ref="B81:M83"/>
    <mergeCell ref="B85:P87"/>
    <mergeCell ref="S3:Y10"/>
    <mergeCell ref="C5:C19"/>
    <mergeCell ref="C65:C78"/>
    <mergeCell ref="N3:P3"/>
    <mergeCell ref="K5:K9"/>
    <mergeCell ref="K65:K69"/>
    <mergeCell ref="AB76:AC76"/>
    <mergeCell ref="AF96:AG96"/>
    <mergeCell ref="AH96:AI96"/>
    <mergeCell ref="Q86:R86"/>
    <mergeCell ref="U66:V66"/>
    <mergeCell ref="X66:Y66"/>
    <mergeCell ref="S66:T66"/>
  </mergeCells>
  <pageMargins left="0.7" right="0.7" top="0.75" bottom="0.75" header="0.3" footer="0.3"/>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Z94"/>
  <sheetViews>
    <sheetView zoomScale="85" zoomScaleNormal="85" zoomScalePageLayoutView="85" workbookViewId="0">
      <selection activeCell="F37" sqref="A1:XFD1048576"/>
    </sheetView>
  </sheetViews>
  <sheetFormatPr baseColWidth="10" defaultColWidth="8.83203125" defaultRowHeight="15" x14ac:dyDescent="0.2"/>
  <cols>
    <col min="1" max="2" width="20.6640625" customWidth="1"/>
    <col min="3" max="3" width="16.33203125" customWidth="1"/>
    <col min="4" max="4" width="10.1640625" customWidth="1"/>
    <col min="5" max="5" width="13.5" customWidth="1"/>
    <col min="6" max="6" width="13.5" style="9" customWidth="1"/>
    <col min="7" max="7" width="11.6640625" style="9" customWidth="1"/>
    <col min="8" max="8" width="10.1640625" style="9" customWidth="1"/>
    <col min="9" max="9" width="12.33203125" style="10" customWidth="1"/>
    <col min="10" max="10" width="10.1640625" style="9" customWidth="1"/>
    <col min="11" max="12" width="13.5" style="10" customWidth="1"/>
    <col min="13" max="13" width="10.1640625" style="10" customWidth="1"/>
    <col min="14" max="14" width="10.1640625" style="13" customWidth="1"/>
    <col min="15" max="15" width="10.1640625" style="9" customWidth="1"/>
    <col min="16" max="16" width="16.33203125" style="9" customWidth="1"/>
    <col min="17" max="17" width="41.33203125" customWidth="1"/>
  </cols>
  <sheetData>
    <row r="3" spans="1:26" ht="30" x14ac:dyDescent="0.2">
      <c r="A3" s="14" t="s">
        <v>0</v>
      </c>
      <c r="B3" s="14"/>
      <c r="C3" s="14"/>
      <c r="D3" s="14" t="s">
        <v>13</v>
      </c>
      <c r="E3" s="14" t="s">
        <v>28</v>
      </c>
      <c r="F3" s="15" t="s">
        <v>1</v>
      </c>
      <c r="G3" s="15" t="s">
        <v>2</v>
      </c>
      <c r="H3" s="15" t="s">
        <v>4</v>
      </c>
      <c r="I3" s="16" t="s">
        <v>8</v>
      </c>
      <c r="J3" s="15" t="s">
        <v>3</v>
      </c>
      <c r="K3" s="230" t="s">
        <v>20</v>
      </c>
      <c r="L3" s="230"/>
      <c r="M3" s="230"/>
      <c r="N3" s="24"/>
      <c r="O3" s="14" t="s">
        <v>21</v>
      </c>
      <c r="P3" s="14"/>
      <c r="Q3" s="14"/>
      <c r="R3" s="14"/>
      <c r="S3" s="231" t="s">
        <v>41</v>
      </c>
      <c r="T3" s="231"/>
      <c r="U3" s="231"/>
      <c r="V3" s="231"/>
      <c r="W3" s="231"/>
      <c r="X3" s="231"/>
      <c r="Y3" s="231"/>
      <c r="Z3" s="14"/>
    </row>
    <row r="4" spans="1:26" x14ac:dyDescent="0.2">
      <c r="A4" s="26"/>
      <c r="B4" s="26" t="s">
        <v>42</v>
      </c>
      <c r="C4" s="26" t="s">
        <v>10</v>
      </c>
      <c r="D4" s="26"/>
      <c r="E4" s="26" t="s">
        <v>27</v>
      </c>
      <c r="F4" s="25"/>
      <c r="G4" s="25"/>
      <c r="H4" s="25" t="s">
        <v>7</v>
      </c>
      <c r="I4" s="27" t="s">
        <v>9</v>
      </c>
      <c r="J4" s="25"/>
      <c r="K4" s="8" t="s">
        <v>55</v>
      </c>
      <c r="L4" s="27" t="s">
        <v>56</v>
      </c>
      <c r="M4" s="27" t="s">
        <v>5</v>
      </c>
      <c r="N4" s="27" t="s">
        <v>55</v>
      </c>
      <c r="O4" s="25" t="s">
        <v>120</v>
      </c>
      <c r="P4" s="25" t="s">
        <v>12</v>
      </c>
      <c r="Q4" s="26" t="s">
        <v>22</v>
      </c>
      <c r="R4" s="14"/>
      <c r="S4" s="231"/>
      <c r="T4" s="231"/>
      <c r="U4" s="231"/>
      <c r="V4" s="231"/>
      <c r="W4" s="231"/>
      <c r="X4" s="231"/>
      <c r="Y4" s="231"/>
      <c r="Z4" s="14"/>
    </row>
    <row r="5" spans="1:26" x14ac:dyDescent="0.2">
      <c r="F5" s="5"/>
      <c r="G5" s="5"/>
      <c r="O5" s="10"/>
      <c r="P5" s="10"/>
      <c r="S5" s="231"/>
      <c r="T5" s="231"/>
      <c r="U5" s="231"/>
      <c r="V5" s="231"/>
      <c r="W5" s="231"/>
      <c r="X5" s="231"/>
      <c r="Y5" s="231"/>
    </row>
    <row r="6" spans="1:26" x14ac:dyDescent="0.2">
      <c r="A6" s="23"/>
      <c r="B6" s="23"/>
      <c r="C6" s="23"/>
      <c r="D6" s="23"/>
      <c r="E6" s="23"/>
      <c r="F6" s="20"/>
      <c r="G6" s="20"/>
      <c r="H6" s="20"/>
      <c r="I6" s="21"/>
      <c r="J6" s="20"/>
      <c r="K6" s="21"/>
      <c r="L6" s="21"/>
      <c r="M6" s="21"/>
      <c r="N6" s="21"/>
      <c r="O6" s="21"/>
      <c r="P6" s="21"/>
      <c r="Q6" s="23"/>
      <c r="S6" s="231"/>
      <c r="T6" s="231"/>
      <c r="U6" s="231"/>
      <c r="V6" s="231"/>
      <c r="W6" s="231"/>
      <c r="X6" s="231"/>
      <c r="Y6" s="231"/>
    </row>
    <row r="7" spans="1:26" x14ac:dyDescent="0.2">
      <c r="A7" s="23"/>
      <c r="B7" s="23"/>
      <c r="C7" s="23"/>
      <c r="D7" s="23"/>
      <c r="E7" s="23"/>
      <c r="F7" s="20"/>
      <c r="G7" s="20"/>
      <c r="H7" s="20"/>
      <c r="I7" s="21"/>
      <c r="J7" s="20"/>
      <c r="K7" s="21"/>
      <c r="L7" s="21"/>
      <c r="M7" s="21"/>
      <c r="N7" s="21"/>
      <c r="O7" s="21"/>
      <c r="P7" s="21"/>
      <c r="Q7" s="23"/>
      <c r="S7" s="231"/>
      <c r="T7" s="231"/>
      <c r="U7" s="231"/>
      <c r="V7" s="231"/>
      <c r="W7" s="231"/>
      <c r="X7" s="231"/>
      <c r="Y7" s="231"/>
    </row>
    <row r="8" spans="1:26" x14ac:dyDescent="0.2">
      <c r="A8" s="23"/>
      <c r="B8" s="23"/>
      <c r="C8" s="23"/>
      <c r="D8" s="23"/>
      <c r="E8" s="23"/>
      <c r="F8" s="20"/>
      <c r="G8" s="20"/>
      <c r="H8" s="20"/>
      <c r="I8" s="21"/>
      <c r="J8" s="20"/>
      <c r="K8" s="21"/>
      <c r="L8" s="21"/>
      <c r="M8" s="21"/>
      <c r="N8" s="21"/>
      <c r="O8" s="21"/>
      <c r="P8" s="21"/>
      <c r="Q8" s="23"/>
      <c r="S8" s="231"/>
      <c r="T8" s="231"/>
      <c r="U8" s="231"/>
      <c r="V8" s="231"/>
      <c r="W8" s="231"/>
      <c r="X8" s="231"/>
      <c r="Y8" s="231"/>
    </row>
    <row r="9" spans="1:26" x14ac:dyDescent="0.2">
      <c r="A9" s="23"/>
      <c r="B9" s="23"/>
      <c r="C9" s="29"/>
      <c r="D9" s="23"/>
      <c r="E9" s="23"/>
      <c r="F9" s="20"/>
      <c r="G9" s="20"/>
      <c r="H9" s="20"/>
      <c r="I9" s="21"/>
      <c r="J9" s="20"/>
      <c r="K9" s="21"/>
      <c r="L9" s="21"/>
      <c r="M9" s="21"/>
      <c r="N9" s="21"/>
      <c r="O9" s="21"/>
      <c r="P9" s="21"/>
      <c r="Q9" s="23"/>
      <c r="S9" s="231"/>
      <c r="T9" s="231"/>
      <c r="U9" s="231"/>
      <c r="V9" s="231"/>
      <c r="W9" s="231"/>
      <c r="X9" s="231"/>
      <c r="Y9" s="231"/>
    </row>
    <row r="10" spans="1:26" x14ac:dyDescent="0.2">
      <c r="A10" s="23"/>
      <c r="B10" s="23"/>
      <c r="C10" s="29"/>
      <c r="D10" s="23"/>
      <c r="E10" s="23"/>
      <c r="F10" s="30"/>
      <c r="G10" s="30"/>
      <c r="H10" s="20"/>
      <c r="I10" s="21"/>
      <c r="J10" s="20"/>
      <c r="K10" s="21"/>
      <c r="L10" s="21"/>
      <c r="M10" s="21"/>
      <c r="N10" s="21"/>
      <c r="O10" s="21"/>
      <c r="P10" s="21"/>
      <c r="Q10" s="23"/>
      <c r="S10" s="231"/>
      <c r="T10" s="231"/>
      <c r="U10" s="231"/>
      <c r="V10" s="231"/>
      <c r="W10" s="231"/>
      <c r="X10" s="231"/>
      <c r="Y10" s="231"/>
    </row>
    <row r="11" spans="1:26" x14ac:dyDescent="0.2">
      <c r="A11" s="23"/>
      <c r="B11" s="23"/>
      <c r="C11" s="29"/>
      <c r="D11" s="23"/>
      <c r="E11" s="23"/>
      <c r="F11" s="20"/>
      <c r="G11" s="20"/>
      <c r="H11" s="20"/>
      <c r="I11" s="21"/>
      <c r="J11" s="20"/>
      <c r="K11" s="21"/>
      <c r="L11" s="21"/>
      <c r="M11" s="21"/>
      <c r="N11" s="21"/>
      <c r="O11" s="21"/>
      <c r="P11" s="21"/>
      <c r="Q11" s="23"/>
    </row>
    <row r="12" spans="1:26" x14ac:dyDescent="0.2">
      <c r="A12" s="23"/>
      <c r="B12" s="23"/>
      <c r="C12" s="23"/>
      <c r="D12" s="23"/>
      <c r="E12" s="23"/>
      <c r="F12" s="20"/>
      <c r="G12" s="20"/>
      <c r="H12" s="20"/>
      <c r="I12" s="21"/>
      <c r="J12" s="20"/>
      <c r="K12" s="21"/>
      <c r="L12" s="21"/>
      <c r="M12" s="21"/>
      <c r="N12" s="21"/>
      <c r="O12" s="21"/>
      <c r="P12" s="21"/>
      <c r="Q12" s="23"/>
    </row>
    <row r="13" spans="1:26" x14ac:dyDescent="0.2">
      <c r="A13" s="23"/>
      <c r="B13" s="23"/>
      <c r="C13" s="23"/>
      <c r="D13" s="23"/>
      <c r="E13" s="23"/>
      <c r="F13" s="20"/>
      <c r="G13" s="20"/>
      <c r="H13" s="20"/>
      <c r="I13" s="21"/>
      <c r="J13" s="20"/>
      <c r="K13" s="21"/>
      <c r="L13" s="21"/>
      <c r="M13" s="21"/>
      <c r="N13" s="21"/>
      <c r="O13" s="21"/>
      <c r="P13" s="21"/>
      <c r="Q13" s="23"/>
    </row>
    <row r="14" spans="1:26" x14ac:dyDescent="0.2">
      <c r="A14" s="23"/>
      <c r="B14" s="23"/>
      <c r="C14" s="23"/>
      <c r="D14" s="23"/>
      <c r="E14" s="23"/>
      <c r="F14" s="20"/>
      <c r="G14" s="20"/>
      <c r="H14" s="20"/>
      <c r="I14" s="21"/>
      <c r="J14" s="20"/>
      <c r="K14" s="21"/>
      <c r="L14" s="21"/>
      <c r="M14" s="21"/>
      <c r="N14" s="21"/>
      <c r="O14" s="21"/>
      <c r="P14" s="21"/>
      <c r="Q14" s="23"/>
    </row>
    <row r="15" spans="1:26" x14ac:dyDescent="0.2">
      <c r="A15" s="23"/>
      <c r="B15" s="23"/>
      <c r="C15" s="23"/>
      <c r="D15" s="23"/>
      <c r="E15" s="23"/>
      <c r="F15" s="30"/>
      <c r="G15" s="30"/>
      <c r="H15" s="20"/>
      <c r="I15" s="21"/>
      <c r="J15" s="20"/>
      <c r="K15" s="21"/>
      <c r="L15" s="21"/>
      <c r="M15" s="21"/>
      <c r="N15" s="21"/>
      <c r="O15" s="21"/>
      <c r="P15" s="21"/>
      <c r="Q15" s="23"/>
    </row>
    <row r="16" spans="1:26" x14ac:dyDescent="0.2">
      <c r="A16" s="23"/>
      <c r="B16" s="23"/>
      <c r="C16" s="23"/>
      <c r="D16" s="23"/>
      <c r="E16" s="23"/>
      <c r="F16" s="20"/>
      <c r="G16" s="20"/>
      <c r="H16" s="20"/>
      <c r="I16" s="21"/>
      <c r="J16" s="20"/>
      <c r="K16" s="21"/>
      <c r="L16" s="21"/>
      <c r="M16" s="21"/>
      <c r="N16" s="21"/>
      <c r="O16" s="21"/>
      <c r="P16" s="21"/>
      <c r="Q16" s="23"/>
    </row>
    <row r="17" spans="1:17" x14ac:dyDescent="0.2">
      <c r="A17" s="23"/>
      <c r="B17" s="23"/>
      <c r="C17" s="23"/>
      <c r="D17" s="23"/>
      <c r="E17" s="23"/>
      <c r="F17" s="20"/>
      <c r="G17" s="20"/>
      <c r="H17" s="20"/>
      <c r="I17" s="21"/>
      <c r="J17" s="20"/>
      <c r="K17" s="21"/>
      <c r="L17" s="21"/>
      <c r="M17" s="21"/>
      <c r="N17" s="21"/>
      <c r="O17" s="21"/>
      <c r="P17" s="21"/>
      <c r="Q17" s="23"/>
    </row>
    <row r="18" spans="1:17" x14ac:dyDescent="0.2">
      <c r="A18" s="23"/>
      <c r="B18" s="23"/>
      <c r="C18" s="23"/>
      <c r="D18" s="23"/>
      <c r="E18" s="23"/>
      <c r="F18" s="20"/>
      <c r="G18" s="20"/>
      <c r="H18" s="20"/>
      <c r="I18" s="21"/>
      <c r="J18" s="20"/>
      <c r="K18" s="21"/>
      <c r="L18" s="21"/>
      <c r="M18" s="21"/>
      <c r="N18" s="21"/>
      <c r="O18" s="21"/>
      <c r="P18" s="21"/>
      <c r="Q18" s="23"/>
    </row>
    <row r="19" spans="1:17" x14ac:dyDescent="0.2">
      <c r="A19" s="23"/>
      <c r="B19" s="23"/>
      <c r="C19" s="23"/>
      <c r="D19" s="23"/>
      <c r="E19" s="23"/>
      <c r="F19" s="20"/>
      <c r="G19" s="20"/>
      <c r="H19" s="20"/>
      <c r="I19" s="21"/>
      <c r="J19" s="20"/>
      <c r="K19" s="21"/>
      <c r="L19" s="21"/>
      <c r="M19" s="21"/>
      <c r="N19" s="21"/>
      <c r="O19" s="21"/>
      <c r="P19" s="21"/>
      <c r="Q19" s="23"/>
    </row>
    <row r="20" spans="1:17" x14ac:dyDescent="0.2">
      <c r="A20" s="23"/>
      <c r="B20" s="23"/>
      <c r="C20" s="23"/>
      <c r="D20" s="23"/>
      <c r="E20" s="23"/>
      <c r="F20" s="30"/>
      <c r="G20" s="30"/>
      <c r="H20" s="20"/>
      <c r="I20" s="21"/>
      <c r="J20" s="20"/>
      <c r="K20" s="21"/>
      <c r="L20" s="21"/>
      <c r="M20" s="21"/>
      <c r="N20" s="21"/>
      <c r="O20" s="21"/>
      <c r="P20" s="21"/>
      <c r="Q20" s="23"/>
    </row>
    <row r="21" spans="1:17" x14ac:dyDescent="0.2">
      <c r="A21" s="23"/>
      <c r="B21" s="23"/>
      <c r="C21" s="23"/>
      <c r="D21" s="23"/>
      <c r="E21" s="23"/>
      <c r="F21" s="20"/>
      <c r="G21" s="20"/>
      <c r="H21" s="20"/>
      <c r="I21" s="21"/>
      <c r="J21" s="20"/>
      <c r="K21" s="21"/>
      <c r="L21" s="21"/>
      <c r="M21" s="21"/>
      <c r="N21" s="21"/>
      <c r="O21" s="21"/>
      <c r="P21" s="21"/>
      <c r="Q21" s="23"/>
    </row>
    <row r="22" spans="1:17" x14ac:dyDescent="0.2">
      <c r="A22" s="23"/>
      <c r="B22" s="23"/>
      <c r="C22" s="23"/>
      <c r="D22" s="23"/>
      <c r="E22" s="23"/>
      <c r="F22" s="20"/>
      <c r="G22" s="20"/>
      <c r="H22" s="20"/>
      <c r="I22" s="21"/>
      <c r="J22" s="20"/>
      <c r="K22" s="21"/>
      <c r="L22" s="21"/>
      <c r="M22" s="21"/>
      <c r="N22" s="21"/>
      <c r="O22" s="21"/>
      <c r="P22" s="21"/>
      <c r="Q22" s="23"/>
    </row>
    <row r="23" spans="1:17" x14ac:dyDescent="0.2">
      <c r="A23" s="23"/>
      <c r="B23" s="23"/>
      <c r="C23" s="23"/>
      <c r="D23" s="23"/>
      <c r="E23" s="23"/>
      <c r="F23" s="20"/>
      <c r="G23" s="20"/>
      <c r="H23" s="20"/>
      <c r="I23" s="21"/>
      <c r="J23" s="20"/>
      <c r="K23" s="21"/>
      <c r="L23" s="21"/>
      <c r="M23" s="21"/>
      <c r="N23" s="21"/>
      <c r="O23" s="21"/>
      <c r="P23" s="21"/>
      <c r="Q23" s="23"/>
    </row>
    <row r="24" spans="1:17" x14ac:dyDescent="0.2">
      <c r="A24" s="23"/>
      <c r="B24" s="23"/>
      <c r="C24" s="23"/>
      <c r="D24" s="23"/>
      <c r="E24" s="23"/>
      <c r="F24" s="20"/>
      <c r="G24" s="20"/>
      <c r="H24" s="20"/>
      <c r="I24" s="21"/>
      <c r="J24" s="20"/>
      <c r="K24" s="21"/>
      <c r="L24" s="21"/>
      <c r="M24" s="21"/>
      <c r="N24" s="21"/>
      <c r="O24" s="21"/>
      <c r="P24" s="21"/>
      <c r="Q24" s="23"/>
    </row>
    <row r="25" spans="1:17" x14ac:dyDescent="0.2">
      <c r="A25" s="23"/>
      <c r="B25" s="23"/>
      <c r="C25" s="23"/>
      <c r="D25" s="23"/>
      <c r="E25" s="23"/>
      <c r="F25" s="30"/>
      <c r="G25" s="30"/>
      <c r="H25" s="20"/>
      <c r="I25" s="21"/>
      <c r="J25" s="20"/>
      <c r="K25" s="21"/>
      <c r="L25" s="21"/>
      <c r="M25" s="21"/>
      <c r="N25" s="21"/>
      <c r="O25" s="21"/>
      <c r="P25" s="21"/>
      <c r="Q25" s="23"/>
    </row>
    <row r="26" spans="1:17" x14ac:dyDescent="0.2">
      <c r="A26" s="23"/>
      <c r="B26" s="23"/>
      <c r="C26" s="23"/>
      <c r="D26" s="23"/>
      <c r="E26" s="23"/>
      <c r="F26" s="20"/>
      <c r="G26" s="20"/>
      <c r="H26" s="20"/>
      <c r="I26" s="21"/>
      <c r="J26" s="20"/>
      <c r="K26" s="21"/>
      <c r="L26" s="21"/>
      <c r="M26" s="21"/>
      <c r="N26" s="21"/>
      <c r="O26" s="21"/>
      <c r="P26" s="21"/>
      <c r="Q26" s="23"/>
    </row>
    <row r="27" spans="1:17" x14ac:dyDescent="0.2">
      <c r="A27" s="23"/>
      <c r="B27" s="23"/>
      <c r="C27" s="23"/>
      <c r="D27" s="23"/>
      <c r="E27" s="23"/>
      <c r="F27" s="20"/>
      <c r="G27" s="20"/>
      <c r="H27" s="20"/>
      <c r="I27" s="21"/>
      <c r="J27" s="20"/>
      <c r="K27" s="21"/>
      <c r="L27" s="21"/>
      <c r="M27" s="21"/>
      <c r="N27" s="21"/>
      <c r="O27" s="21"/>
      <c r="P27" s="21"/>
      <c r="Q27" s="23"/>
    </row>
    <row r="28" spans="1:17" x14ac:dyDescent="0.2">
      <c r="A28" s="23"/>
      <c r="B28" s="23"/>
      <c r="C28" s="23"/>
      <c r="D28" s="23"/>
      <c r="E28" s="23"/>
      <c r="F28" s="20"/>
      <c r="G28" s="20"/>
      <c r="H28" s="20"/>
      <c r="I28" s="21"/>
      <c r="J28" s="20"/>
      <c r="K28" s="21"/>
      <c r="L28" s="21"/>
      <c r="M28" s="21"/>
      <c r="N28" s="21"/>
      <c r="O28" s="21"/>
      <c r="P28" s="21"/>
      <c r="Q28" s="23"/>
    </row>
    <row r="29" spans="1:17" x14ac:dyDescent="0.2">
      <c r="A29" s="23"/>
      <c r="B29" s="23"/>
      <c r="C29" s="23"/>
      <c r="D29" s="23"/>
      <c r="E29" s="23"/>
      <c r="F29" s="20"/>
      <c r="G29" s="20"/>
      <c r="H29" s="20"/>
      <c r="I29" s="21"/>
      <c r="J29" s="20"/>
      <c r="K29" s="21"/>
      <c r="L29" s="21"/>
      <c r="M29" s="21"/>
      <c r="N29" s="21"/>
      <c r="O29" s="21"/>
      <c r="P29" s="21"/>
      <c r="Q29" s="23"/>
    </row>
    <row r="30" spans="1:17" x14ac:dyDescent="0.2">
      <c r="A30" s="23"/>
      <c r="B30" s="23"/>
      <c r="C30" s="23"/>
      <c r="D30" s="23"/>
      <c r="E30" s="23"/>
      <c r="F30" s="30"/>
      <c r="G30" s="30"/>
      <c r="H30" s="20"/>
      <c r="I30" s="21"/>
      <c r="J30" s="20"/>
      <c r="K30" s="21"/>
      <c r="L30" s="21"/>
      <c r="M30" s="21"/>
      <c r="N30" s="21"/>
      <c r="O30" s="21"/>
      <c r="P30" s="21"/>
      <c r="Q30" s="23"/>
    </row>
    <row r="31" spans="1:17" x14ac:dyDescent="0.2">
      <c r="A31" s="23"/>
      <c r="B31" s="23"/>
      <c r="C31" s="23"/>
      <c r="D31" s="23"/>
      <c r="E31" s="23"/>
      <c r="F31" s="20"/>
      <c r="G31" s="20"/>
      <c r="H31" s="20"/>
      <c r="I31" s="21"/>
      <c r="J31" s="20"/>
      <c r="K31" s="21"/>
      <c r="L31" s="21"/>
      <c r="M31" s="21"/>
      <c r="N31" s="21"/>
      <c r="O31" s="21"/>
      <c r="P31" s="21"/>
      <c r="Q31" s="23"/>
    </row>
    <row r="32" spans="1:17" x14ac:dyDescent="0.2">
      <c r="A32" s="23"/>
      <c r="B32" s="23"/>
      <c r="C32" s="23"/>
      <c r="D32" s="23"/>
      <c r="E32" s="23"/>
      <c r="F32" s="20"/>
      <c r="G32" s="20"/>
      <c r="H32" s="20"/>
      <c r="I32" s="21"/>
      <c r="J32" s="20"/>
      <c r="K32" s="21"/>
      <c r="L32" s="21"/>
      <c r="M32" s="21"/>
      <c r="N32" s="21"/>
      <c r="O32" s="21"/>
      <c r="P32" s="21"/>
      <c r="Q32" s="23"/>
    </row>
    <row r="33" spans="1:17" x14ac:dyDescent="0.2">
      <c r="A33" s="23"/>
      <c r="B33" s="23"/>
      <c r="C33" s="23"/>
      <c r="D33" s="23"/>
      <c r="E33" s="23"/>
      <c r="F33" s="20"/>
      <c r="G33" s="20"/>
      <c r="H33" s="20"/>
      <c r="I33" s="21"/>
      <c r="J33" s="20"/>
      <c r="K33" s="21"/>
      <c r="L33" s="21"/>
      <c r="M33" s="21"/>
      <c r="N33" s="21"/>
      <c r="O33" s="21"/>
      <c r="P33" s="21"/>
      <c r="Q33" s="23"/>
    </row>
    <row r="34" spans="1:17" x14ac:dyDescent="0.2">
      <c r="A34" s="23"/>
      <c r="B34" s="23"/>
      <c r="C34" s="23"/>
      <c r="D34" s="23"/>
      <c r="E34" s="23"/>
      <c r="F34" s="20"/>
      <c r="G34" s="20"/>
      <c r="H34" s="20"/>
      <c r="I34" s="21"/>
      <c r="J34" s="20"/>
      <c r="K34" s="21"/>
      <c r="L34" s="21"/>
      <c r="M34" s="21"/>
      <c r="N34" s="21"/>
      <c r="O34" s="21"/>
      <c r="P34" s="21"/>
      <c r="Q34" s="23"/>
    </row>
    <row r="35" spans="1:17" x14ac:dyDescent="0.2">
      <c r="A35" s="23"/>
      <c r="B35" s="23"/>
      <c r="C35" s="23"/>
      <c r="D35" s="23"/>
      <c r="E35" s="23"/>
      <c r="F35" s="30"/>
      <c r="G35" s="30"/>
      <c r="H35" s="20"/>
      <c r="I35" s="21"/>
      <c r="J35" s="20"/>
      <c r="K35" s="21"/>
      <c r="L35" s="21"/>
      <c r="M35" s="21"/>
      <c r="N35" s="21"/>
      <c r="O35" s="21"/>
      <c r="P35" s="21"/>
      <c r="Q35" s="23"/>
    </row>
    <row r="36" spans="1:17" x14ac:dyDescent="0.2">
      <c r="A36" s="23"/>
      <c r="B36" s="23"/>
      <c r="C36" s="23"/>
      <c r="D36" s="23"/>
      <c r="E36" s="23"/>
      <c r="F36" s="20"/>
      <c r="G36" s="20"/>
      <c r="H36" s="20"/>
      <c r="I36" s="21"/>
      <c r="J36" s="20"/>
      <c r="K36" s="21"/>
      <c r="L36" s="21"/>
      <c r="M36" s="21"/>
      <c r="N36" s="21"/>
      <c r="O36" s="21"/>
      <c r="P36" s="21"/>
      <c r="Q36" s="23"/>
    </row>
    <row r="37" spans="1:17" x14ac:dyDescent="0.2">
      <c r="A37" s="23"/>
      <c r="B37" s="23"/>
      <c r="C37" s="23"/>
      <c r="D37" s="23"/>
      <c r="E37" s="23"/>
      <c r="F37" s="20"/>
      <c r="G37" s="20"/>
      <c r="H37" s="20"/>
      <c r="I37" s="21"/>
      <c r="J37" s="20"/>
      <c r="K37" s="21"/>
      <c r="L37" s="21"/>
      <c r="M37" s="21"/>
      <c r="N37" s="21"/>
      <c r="O37" s="21"/>
      <c r="P37" s="21"/>
      <c r="Q37" s="23"/>
    </row>
    <row r="38" spans="1:17" x14ac:dyDescent="0.2">
      <c r="A38" s="23"/>
      <c r="B38" s="23"/>
      <c r="C38" s="23"/>
      <c r="D38" s="23"/>
      <c r="E38" s="23"/>
      <c r="F38" s="20"/>
      <c r="G38" s="20"/>
      <c r="H38" s="20"/>
      <c r="I38" s="21"/>
      <c r="J38" s="20"/>
      <c r="K38" s="21"/>
      <c r="L38" s="21"/>
      <c r="M38" s="21"/>
      <c r="N38" s="21"/>
      <c r="O38" s="21"/>
      <c r="P38" s="21"/>
      <c r="Q38" s="23"/>
    </row>
    <row r="39" spans="1:17" x14ac:dyDescent="0.2">
      <c r="A39" s="23"/>
      <c r="B39" s="23"/>
      <c r="C39" s="23"/>
      <c r="D39" s="23"/>
      <c r="E39" s="23"/>
      <c r="F39" s="20"/>
      <c r="G39" s="20"/>
      <c r="H39" s="20"/>
      <c r="I39" s="21"/>
      <c r="J39" s="20"/>
      <c r="K39" s="21"/>
      <c r="L39" s="21"/>
      <c r="M39" s="21"/>
      <c r="N39" s="21"/>
      <c r="O39" s="21"/>
      <c r="P39" s="21"/>
      <c r="Q39" s="23"/>
    </row>
    <row r="40" spans="1:17" x14ac:dyDescent="0.2">
      <c r="A40" s="23"/>
      <c r="B40" s="23"/>
      <c r="C40" s="23"/>
      <c r="D40" s="23"/>
      <c r="E40" s="23"/>
      <c r="F40" s="30"/>
      <c r="G40" s="30"/>
      <c r="H40" s="20"/>
      <c r="I40" s="21"/>
      <c r="J40" s="20"/>
      <c r="K40" s="21"/>
      <c r="L40" s="21"/>
      <c r="M40" s="21"/>
      <c r="N40" s="21"/>
      <c r="O40" s="21"/>
      <c r="P40" s="21"/>
      <c r="Q40" s="23"/>
    </row>
    <row r="41" spans="1:17" x14ac:dyDescent="0.2">
      <c r="A41" s="23"/>
      <c r="B41" s="23"/>
      <c r="C41" s="23"/>
      <c r="D41" s="23"/>
      <c r="E41" s="23"/>
      <c r="F41" s="20"/>
      <c r="G41" s="20"/>
      <c r="H41" s="20"/>
      <c r="I41" s="21"/>
      <c r="J41" s="20"/>
      <c r="K41" s="21"/>
      <c r="L41" s="21"/>
      <c r="M41" s="21"/>
      <c r="N41" s="21"/>
      <c r="O41" s="21"/>
      <c r="P41" s="21"/>
      <c r="Q41" s="23"/>
    </row>
    <row r="42" spans="1:17" x14ac:dyDescent="0.2">
      <c r="A42" s="23"/>
      <c r="B42" s="23"/>
      <c r="C42" s="23"/>
      <c r="D42" s="23"/>
      <c r="E42" s="23"/>
      <c r="F42" s="20"/>
      <c r="G42" s="20"/>
      <c r="H42" s="20"/>
      <c r="I42" s="21"/>
      <c r="J42" s="20"/>
      <c r="K42" s="21"/>
      <c r="L42" s="21"/>
      <c r="M42" s="21"/>
      <c r="N42" s="21"/>
      <c r="O42" s="21"/>
      <c r="P42" s="21"/>
      <c r="Q42" s="23"/>
    </row>
    <row r="43" spans="1:17" x14ac:dyDescent="0.2">
      <c r="A43" s="23"/>
      <c r="B43" s="23"/>
      <c r="C43" s="23"/>
      <c r="D43" s="23"/>
      <c r="E43" s="23"/>
      <c r="F43" s="20"/>
      <c r="G43" s="20"/>
      <c r="H43" s="20"/>
      <c r="I43" s="21"/>
      <c r="J43" s="20"/>
      <c r="K43" s="21"/>
      <c r="L43" s="21"/>
      <c r="M43" s="21"/>
      <c r="N43" s="21"/>
      <c r="O43" s="21"/>
      <c r="P43" s="21"/>
      <c r="Q43" s="23"/>
    </row>
    <row r="44" spans="1:17" x14ac:dyDescent="0.2">
      <c r="A44" s="23"/>
      <c r="B44" s="23"/>
      <c r="C44" s="23"/>
      <c r="D44" s="23"/>
      <c r="E44" s="23"/>
      <c r="F44" s="20"/>
      <c r="G44" s="20"/>
      <c r="H44" s="20"/>
      <c r="I44" s="21"/>
      <c r="J44" s="20"/>
      <c r="K44" s="21"/>
      <c r="L44" s="21"/>
      <c r="M44" s="21"/>
      <c r="N44" s="21"/>
      <c r="O44" s="21"/>
      <c r="P44" s="21"/>
      <c r="Q44" s="23"/>
    </row>
    <row r="45" spans="1:17" x14ac:dyDescent="0.2">
      <c r="A45" s="23"/>
      <c r="B45" s="23"/>
      <c r="C45" s="23"/>
      <c r="D45" s="23"/>
      <c r="E45" s="23"/>
      <c r="F45" s="30"/>
      <c r="G45" s="30"/>
      <c r="H45" s="20"/>
      <c r="I45" s="21"/>
      <c r="J45" s="20"/>
      <c r="K45" s="21"/>
      <c r="L45" s="21"/>
      <c r="M45" s="21"/>
      <c r="N45" s="21"/>
      <c r="O45" s="21"/>
      <c r="P45" s="21"/>
      <c r="Q45" s="23"/>
    </row>
    <row r="46" spans="1:17" x14ac:dyDescent="0.2">
      <c r="A46" s="23"/>
      <c r="B46" s="23"/>
      <c r="C46" s="23"/>
      <c r="D46" s="23"/>
      <c r="E46" s="23"/>
      <c r="F46" s="20"/>
      <c r="G46" s="20"/>
      <c r="H46" s="20"/>
      <c r="I46" s="21"/>
      <c r="J46" s="20"/>
      <c r="K46" s="21"/>
      <c r="L46" s="21"/>
      <c r="M46" s="21"/>
      <c r="N46" s="21"/>
      <c r="O46" s="21"/>
      <c r="P46" s="21"/>
      <c r="Q46" s="23"/>
    </row>
    <row r="47" spans="1:17" x14ac:dyDescent="0.2">
      <c r="A47" s="23"/>
      <c r="B47" s="23"/>
      <c r="C47" s="23"/>
      <c r="D47" s="23"/>
      <c r="E47" s="23"/>
      <c r="F47" s="20"/>
      <c r="G47" s="20"/>
      <c r="H47" s="20"/>
      <c r="I47" s="21"/>
      <c r="J47" s="20"/>
      <c r="K47" s="21"/>
      <c r="L47" s="21"/>
      <c r="M47" s="21"/>
      <c r="N47" s="21"/>
      <c r="O47" s="21"/>
      <c r="P47" s="21"/>
      <c r="Q47" s="23"/>
    </row>
    <row r="48" spans="1:17" x14ac:dyDescent="0.2">
      <c r="A48" s="23"/>
      <c r="B48" s="23"/>
      <c r="C48" s="23"/>
      <c r="D48" s="23"/>
      <c r="E48" s="23"/>
      <c r="F48" s="20"/>
      <c r="G48" s="20"/>
      <c r="H48" s="20"/>
      <c r="I48" s="21"/>
      <c r="J48" s="20"/>
      <c r="K48" s="21"/>
      <c r="L48" s="21"/>
      <c r="M48" s="21"/>
      <c r="N48" s="21"/>
      <c r="O48" s="21"/>
      <c r="P48" s="21"/>
      <c r="Q48" s="23"/>
    </row>
    <row r="49" spans="1:17" x14ac:dyDescent="0.2">
      <c r="A49" s="23"/>
      <c r="B49" s="23"/>
      <c r="C49" s="23"/>
      <c r="D49" s="23"/>
      <c r="E49" s="23"/>
      <c r="F49" s="20"/>
      <c r="G49" s="20"/>
      <c r="H49" s="20"/>
      <c r="I49" s="21"/>
      <c r="J49" s="20"/>
      <c r="K49" s="21"/>
      <c r="L49" s="21"/>
      <c r="M49" s="21"/>
      <c r="N49" s="21"/>
      <c r="O49" s="21"/>
      <c r="P49" s="21"/>
      <c r="Q49" s="23"/>
    </row>
    <row r="50" spans="1:17" x14ac:dyDescent="0.2">
      <c r="A50" s="23"/>
      <c r="B50" s="23"/>
      <c r="C50" s="23"/>
      <c r="D50" s="23"/>
      <c r="E50" s="23"/>
      <c r="F50" s="30"/>
      <c r="G50" s="30"/>
      <c r="H50" s="20"/>
      <c r="I50" s="21"/>
      <c r="J50" s="20"/>
      <c r="K50" s="21"/>
      <c r="L50" s="21"/>
      <c r="M50" s="21"/>
      <c r="N50" s="21"/>
      <c r="O50" s="21"/>
      <c r="P50" s="21"/>
      <c r="Q50" s="23"/>
    </row>
    <row r="51" spans="1:17" x14ac:dyDescent="0.2">
      <c r="A51" s="23"/>
      <c r="B51" s="23"/>
      <c r="C51" s="23"/>
      <c r="D51" s="23"/>
      <c r="E51" s="23"/>
      <c r="F51" s="20"/>
      <c r="G51" s="20"/>
      <c r="H51" s="20"/>
      <c r="I51" s="21"/>
      <c r="J51" s="20"/>
      <c r="K51" s="21"/>
      <c r="L51" s="21"/>
      <c r="M51" s="21"/>
      <c r="N51" s="21"/>
      <c r="O51" s="21"/>
      <c r="P51" s="21"/>
      <c r="Q51" s="23"/>
    </row>
    <row r="52" spans="1:17" x14ac:dyDescent="0.2">
      <c r="A52" s="23"/>
      <c r="B52" s="23"/>
      <c r="C52" s="23"/>
      <c r="D52" s="23"/>
      <c r="E52" s="23"/>
      <c r="F52" s="20"/>
      <c r="G52" s="20"/>
      <c r="H52" s="20"/>
      <c r="I52" s="21"/>
      <c r="J52" s="20"/>
      <c r="K52" s="21"/>
      <c r="L52" s="21"/>
      <c r="M52" s="21"/>
      <c r="N52" s="21"/>
      <c r="O52" s="21"/>
      <c r="P52" s="21"/>
      <c r="Q52" s="23"/>
    </row>
    <row r="53" spans="1:17" x14ac:dyDescent="0.2">
      <c r="A53" s="23"/>
      <c r="B53" s="23"/>
      <c r="C53" s="23"/>
      <c r="D53" s="23"/>
      <c r="E53" s="23"/>
      <c r="F53" s="20"/>
      <c r="G53" s="20"/>
      <c r="H53" s="20"/>
      <c r="I53" s="21"/>
      <c r="J53" s="20"/>
      <c r="K53" s="21"/>
      <c r="L53" s="21"/>
      <c r="M53" s="21"/>
      <c r="N53" s="21"/>
      <c r="O53" s="21"/>
      <c r="P53" s="21"/>
      <c r="Q53" s="23"/>
    </row>
    <row r="54" spans="1:17" x14ac:dyDescent="0.2">
      <c r="A54" s="23"/>
      <c r="B54" s="23"/>
      <c r="C54" s="23"/>
      <c r="D54" s="23"/>
      <c r="E54" s="23"/>
      <c r="F54" s="20"/>
      <c r="G54" s="20"/>
      <c r="H54" s="20"/>
      <c r="I54" s="21"/>
      <c r="J54" s="20"/>
      <c r="K54" s="21"/>
      <c r="L54" s="21"/>
      <c r="M54" s="21"/>
      <c r="N54" s="21"/>
      <c r="O54" s="21"/>
      <c r="P54" s="21"/>
      <c r="Q54" s="23"/>
    </row>
    <row r="55" spans="1:17" x14ac:dyDescent="0.2">
      <c r="A55" s="23"/>
      <c r="B55" s="23"/>
      <c r="C55" s="23"/>
      <c r="D55" s="23"/>
      <c r="E55" s="23"/>
      <c r="F55" s="30"/>
      <c r="G55" s="30"/>
      <c r="H55" s="20"/>
      <c r="I55" s="21"/>
      <c r="J55" s="20"/>
      <c r="K55" s="21"/>
      <c r="L55" s="21"/>
      <c r="M55" s="21"/>
      <c r="N55" s="21"/>
      <c r="O55" s="21"/>
      <c r="P55" s="21"/>
      <c r="Q55" s="23"/>
    </row>
    <row r="56" spans="1:17" x14ac:dyDescent="0.2">
      <c r="A56" s="23"/>
      <c r="B56" s="23"/>
      <c r="C56" s="23"/>
      <c r="D56" s="23"/>
      <c r="E56" s="23"/>
      <c r="F56" s="20"/>
      <c r="G56" s="20"/>
      <c r="H56" s="20"/>
      <c r="I56" s="21"/>
      <c r="J56" s="20"/>
      <c r="K56" s="21"/>
      <c r="L56" s="21"/>
      <c r="M56" s="21"/>
      <c r="N56" s="21"/>
      <c r="O56" s="21"/>
      <c r="P56" s="21"/>
      <c r="Q56" s="23"/>
    </row>
    <row r="57" spans="1:17" x14ac:dyDescent="0.2">
      <c r="A57" s="23"/>
      <c r="B57" s="23"/>
      <c r="C57" s="23"/>
      <c r="D57" s="23"/>
      <c r="E57" s="23"/>
      <c r="F57" s="20"/>
      <c r="G57" s="20"/>
      <c r="H57" s="20"/>
      <c r="I57" s="21"/>
      <c r="J57" s="20"/>
      <c r="K57" s="21"/>
      <c r="L57" s="21"/>
      <c r="M57" s="21"/>
      <c r="N57" s="21"/>
      <c r="O57" s="21"/>
      <c r="P57" s="21"/>
      <c r="Q57" s="23"/>
    </row>
    <row r="58" spans="1:17" x14ac:dyDescent="0.2">
      <c r="A58" s="23"/>
      <c r="B58" s="23"/>
      <c r="C58" s="23"/>
      <c r="D58" s="23"/>
      <c r="E58" s="23"/>
      <c r="F58" s="20"/>
      <c r="G58" s="20"/>
      <c r="H58" s="20"/>
      <c r="I58" s="21"/>
      <c r="J58" s="20"/>
      <c r="K58" s="21"/>
      <c r="L58" s="21"/>
      <c r="M58" s="21"/>
      <c r="N58" s="21"/>
      <c r="O58" s="21"/>
      <c r="P58" s="21"/>
      <c r="Q58" s="23"/>
    </row>
    <row r="59" spans="1:17" x14ac:dyDescent="0.2">
      <c r="A59" s="23"/>
      <c r="B59" s="23"/>
      <c r="C59" s="23"/>
      <c r="D59" s="23"/>
      <c r="E59" s="23"/>
      <c r="F59" s="20"/>
      <c r="G59" s="20"/>
      <c r="H59" s="20"/>
      <c r="I59" s="21"/>
      <c r="J59" s="20"/>
      <c r="K59" s="21"/>
      <c r="L59" s="21"/>
      <c r="M59" s="21"/>
      <c r="N59" s="21"/>
      <c r="O59" s="21"/>
      <c r="P59" s="21"/>
      <c r="Q59" s="23"/>
    </row>
    <row r="60" spans="1:17" x14ac:dyDescent="0.2">
      <c r="A60" s="23"/>
      <c r="B60" s="23"/>
      <c r="C60" s="23"/>
      <c r="D60" s="23"/>
      <c r="E60" s="23"/>
      <c r="F60" s="30"/>
      <c r="G60" s="30"/>
      <c r="H60" s="20"/>
      <c r="I60" s="21"/>
      <c r="J60" s="20"/>
      <c r="K60" s="21"/>
      <c r="L60" s="21"/>
      <c r="M60" s="21"/>
      <c r="N60" s="21"/>
      <c r="O60" s="21"/>
      <c r="P60" s="21"/>
      <c r="Q60" s="23"/>
    </row>
    <row r="61" spans="1:17" x14ac:dyDescent="0.2">
      <c r="A61" s="23"/>
      <c r="B61" s="23"/>
      <c r="C61" s="23"/>
      <c r="D61" s="23"/>
      <c r="E61" s="23"/>
      <c r="F61" s="20"/>
      <c r="G61" s="20"/>
      <c r="H61" s="20"/>
      <c r="I61" s="21"/>
      <c r="J61" s="20"/>
      <c r="K61" s="21"/>
      <c r="L61" s="21"/>
      <c r="M61" s="21"/>
      <c r="N61" s="21"/>
      <c r="O61" s="21"/>
      <c r="P61" s="21"/>
      <c r="Q61" s="23"/>
    </row>
    <row r="62" spans="1:17" x14ac:dyDescent="0.2">
      <c r="A62" s="23"/>
      <c r="B62" s="23"/>
      <c r="C62" s="23"/>
      <c r="D62" s="23"/>
      <c r="E62" s="23"/>
      <c r="F62" s="20"/>
      <c r="G62" s="20"/>
      <c r="H62" s="20"/>
      <c r="I62" s="21"/>
      <c r="J62" s="20"/>
      <c r="K62" s="21"/>
      <c r="L62" s="21"/>
      <c r="M62" s="21"/>
      <c r="N62" s="21"/>
      <c r="O62" s="21"/>
      <c r="P62" s="21"/>
      <c r="Q62" s="23"/>
    </row>
    <row r="63" spans="1:17" x14ac:dyDescent="0.2">
      <c r="A63" s="23"/>
      <c r="B63" s="23"/>
      <c r="C63" s="23"/>
      <c r="D63" s="23"/>
      <c r="E63" s="23"/>
      <c r="F63" s="20"/>
      <c r="G63" s="20"/>
      <c r="H63" s="20"/>
      <c r="I63" s="21"/>
      <c r="J63" s="20"/>
      <c r="K63" s="21"/>
      <c r="L63" s="21"/>
      <c r="M63" s="21"/>
      <c r="N63" s="21"/>
      <c r="O63" s="21"/>
      <c r="P63" s="21"/>
      <c r="Q63" s="23"/>
    </row>
    <row r="64" spans="1:17" x14ac:dyDescent="0.2">
      <c r="A64" s="23"/>
      <c r="B64" s="23"/>
      <c r="C64" s="23"/>
      <c r="D64" s="23"/>
      <c r="E64" s="23"/>
      <c r="F64" s="20"/>
      <c r="G64" s="20"/>
      <c r="H64" s="20"/>
      <c r="I64" s="21"/>
      <c r="J64" s="20"/>
      <c r="K64" s="21"/>
      <c r="L64" s="21"/>
      <c r="M64" s="21"/>
      <c r="N64" s="21"/>
      <c r="O64" s="21"/>
      <c r="P64" s="21"/>
      <c r="Q64" s="23"/>
    </row>
    <row r="65" spans="1:17" x14ac:dyDescent="0.2">
      <c r="A65" s="23"/>
      <c r="B65" s="23"/>
      <c r="C65" s="23"/>
      <c r="D65" s="17"/>
      <c r="E65" s="17"/>
      <c r="F65" s="30"/>
      <c r="G65" s="30"/>
      <c r="H65" s="20"/>
      <c r="I65" s="21"/>
      <c r="J65" s="20"/>
      <c r="K65" s="21"/>
      <c r="L65" s="21"/>
      <c r="M65" s="21"/>
      <c r="N65" s="21"/>
      <c r="O65" s="20"/>
      <c r="P65" s="21"/>
      <c r="Q65" s="23"/>
    </row>
    <row r="66" spans="1:17" x14ac:dyDescent="0.2">
      <c r="A66" s="23"/>
      <c r="B66" s="23"/>
      <c r="C66" s="23"/>
      <c r="D66" s="17"/>
      <c r="E66" s="17"/>
      <c r="F66" s="20"/>
      <c r="G66" s="20"/>
      <c r="H66" s="20"/>
      <c r="I66" s="21"/>
      <c r="J66" s="20"/>
      <c r="K66" s="21"/>
      <c r="L66" s="21"/>
      <c r="M66" s="21"/>
      <c r="N66" s="21"/>
      <c r="O66" s="21"/>
      <c r="P66" s="21"/>
      <c r="Q66" s="23"/>
    </row>
    <row r="67" spans="1:17" x14ac:dyDescent="0.2">
      <c r="A67" s="23"/>
      <c r="B67" s="23"/>
      <c r="C67" s="23"/>
      <c r="D67" s="17"/>
      <c r="E67" s="17"/>
      <c r="F67" s="20"/>
      <c r="G67" s="20"/>
      <c r="H67" s="20"/>
      <c r="I67" s="21"/>
      <c r="J67" s="20"/>
      <c r="K67" s="21"/>
      <c r="L67" s="21"/>
      <c r="M67" s="21"/>
      <c r="N67" s="21"/>
      <c r="O67" s="21"/>
      <c r="P67" s="21"/>
      <c r="Q67" s="23"/>
    </row>
    <row r="68" spans="1:17" x14ac:dyDescent="0.2">
      <c r="A68" s="23"/>
      <c r="B68" s="23"/>
      <c r="C68" s="23"/>
      <c r="D68" s="17"/>
      <c r="E68" s="17"/>
      <c r="F68" s="20"/>
      <c r="G68" s="20"/>
      <c r="H68" s="20"/>
      <c r="I68" s="21"/>
      <c r="J68" s="20"/>
      <c r="K68" s="21"/>
      <c r="L68" s="21"/>
      <c r="M68" s="21"/>
      <c r="N68" s="21"/>
      <c r="O68" s="21"/>
      <c r="P68" s="21"/>
      <c r="Q68" s="23"/>
    </row>
    <row r="69" spans="1:17" x14ac:dyDescent="0.2">
      <c r="A69" s="23"/>
      <c r="B69" s="23"/>
      <c r="C69" s="23"/>
      <c r="D69" s="17"/>
      <c r="E69" s="17"/>
      <c r="F69" s="20"/>
      <c r="G69" s="20"/>
      <c r="H69" s="20"/>
      <c r="I69" s="21"/>
      <c r="J69" s="20"/>
      <c r="K69" s="21"/>
      <c r="L69" s="21"/>
      <c r="M69" s="21"/>
      <c r="N69" s="21"/>
      <c r="O69" s="21"/>
      <c r="P69" s="21"/>
      <c r="Q69" s="23"/>
    </row>
    <row r="70" spans="1:17" x14ac:dyDescent="0.2">
      <c r="A70" s="23"/>
      <c r="B70" s="23"/>
      <c r="C70" s="23"/>
      <c r="D70" s="17"/>
      <c r="E70" s="17"/>
      <c r="F70" s="20"/>
      <c r="G70" s="20"/>
      <c r="H70" s="20"/>
      <c r="I70" s="21"/>
      <c r="J70" s="20"/>
      <c r="K70" s="21"/>
      <c r="L70" s="21"/>
      <c r="M70" s="21"/>
      <c r="N70" s="21"/>
      <c r="O70" s="21"/>
      <c r="P70" s="21"/>
      <c r="Q70" s="23"/>
    </row>
    <row r="71" spans="1:17" x14ac:dyDescent="0.2">
      <c r="A71" s="23"/>
      <c r="B71" s="23"/>
      <c r="C71" s="23"/>
      <c r="D71" s="17"/>
      <c r="E71" s="17"/>
      <c r="F71" s="20"/>
      <c r="G71" s="20"/>
      <c r="H71" s="20"/>
      <c r="I71" s="21"/>
      <c r="J71" s="20"/>
      <c r="K71" s="21"/>
      <c r="L71" s="21"/>
      <c r="M71" s="21"/>
      <c r="N71" s="21"/>
      <c r="O71" s="21"/>
      <c r="P71" s="21"/>
      <c r="Q71" s="23"/>
    </row>
    <row r="72" spans="1:17" x14ac:dyDescent="0.2">
      <c r="A72" s="23"/>
      <c r="B72" s="23"/>
      <c r="C72" s="23"/>
      <c r="D72" s="23"/>
      <c r="E72" s="23"/>
      <c r="F72" s="30"/>
      <c r="G72" s="30"/>
      <c r="H72" s="20"/>
      <c r="I72" s="21"/>
      <c r="J72" s="20"/>
      <c r="K72" s="21"/>
      <c r="L72" s="21"/>
      <c r="M72" s="21"/>
      <c r="N72" s="21"/>
      <c r="O72" s="20"/>
      <c r="P72" s="21"/>
      <c r="Q72" s="23"/>
    </row>
    <row r="73" spans="1:17" x14ac:dyDescent="0.2">
      <c r="A73" s="23"/>
      <c r="B73" s="23"/>
      <c r="C73" s="23"/>
      <c r="D73" s="23"/>
      <c r="E73" s="23"/>
      <c r="F73" s="20"/>
      <c r="G73" s="20"/>
      <c r="H73" s="20"/>
      <c r="I73" s="21"/>
      <c r="J73" s="20"/>
      <c r="K73" s="21"/>
      <c r="L73" s="21"/>
      <c r="M73" s="21"/>
      <c r="N73" s="21"/>
      <c r="O73" s="21"/>
      <c r="P73" s="21"/>
      <c r="Q73" s="23"/>
    </row>
    <row r="74" spans="1:17" x14ac:dyDescent="0.2">
      <c r="A74" s="23"/>
      <c r="B74" s="23"/>
      <c r="C74" s="23"/>
      <c r="D74" s="23"/>
      <c r="E74" s="23"/>
      <c r="F74" s="20"/>
      <c r="G74" s="20"/>
      <c r="H74" s="20"/>
      <c r="I74" s="21"/>
      <c r="J74" s="20"/>
      <c r="K74" s="21"/>
      <c r="L74" s="21"/>
      <c r="M74" s="21"/>
      <c r="N74" s="21"/>
      <c r="O74" s="21"/>
      <c r="P74" s="21"/>
      <c r="Q74" s="23"/>
    </row>
    <row r="75" spans="1:17" x14ac:dyDescent="0.2">
      <c r="A75" s="23"/>
      <c r="B75" s="23"/>
      <c r="C75" s="23"/>
      <c r="D75" s="23"/>
      <c r="E75" s="23"/>
      <c r="F75" s="20"/>
      <c r="G75" s="20"/>
      <c r="H75" s="20"/>
      <c r="I75" s="21"/>
      <c r="J75" s="20"/>
      <c r="K75" s="21"/>
      <c r="L75" s="21"/>
      <c r="M75" s="21"/>
      <c r="N75" s="21"/>
      <c r="O75" s="21"/>
      <c r="P75" s="21"/>
      <c r="Q75" s="23"/>
    </row>
    <row r="76" spans="1:17" x14ac:dyDescent="0.2">
      <c r="A76" s="23"/>
      <c r="B76" s="23"/>
      <c r="C76" s="23"/>
      <c r="D76" s="23"/>
      <c r="E76" s="23"/>
      <c r="F76" s="20"/>
      <c r="G76" s="20"/>
      <c r="H76" s="20"/>
      <c r="I76" s="21"/>
      <c r="J76" s="20"/>
      <c r="K76" s="21"/>
      <c r="L76" s="21"/>
      <c r="M76" s="21"/>
      <c r="N76" s="21"/>
      <c r="O76" s="21"/>
      <c r="P76" s="21"/>
      <c r="Q76" s="23"/>
    </row>
    <row r="77" spans="1:17" x14ac:dyDescent="0.2">
      <c r="A77" s="23"/>
      <c r="B77" s="23"/>
      <c r="C77" s="23"/>
      <c r="D77" s="23"/>
      <c r="E77" s="23"/>
      <c r="F77" s="20"/>
      <c r="G77" s="20"/>
      <c r="H77" s="20"/>
      <c r="I77" s="21"/>
      <c r="J77" s="20"/>
      <c r="K77" s="21"/>
      <c r="L77" s="21"/>
      <c r="M77" s="21"/>
      <c r="N77" s="21"/>
      <c r="O77" s="21"/>
      <c r="P77" s="21"/>
      <c r="Q77" s="23"/>
    </row>
    <row r="78" spans="1:17" x14ac:dyDescent="0.2">
      <c r="A78" s="23"/>
      <c r="B78" s="23"/>
      <c r="C78" s="23"/>
      <c r="D78" s="23"/>
      <c r="E78" s="23"/>
      <c r="F78" s="20"/>
      <c r="G78" s="20"/>
      <c r="H78" s="20"/>
      <c r="I78" s="21"/>
      <c r="J78" s="20"/>
      <c r="K78" s="21"/>
      <c r="L78" s="21"/>
      <c r="M78" s="21"/>
      <c r="N78" s="21"/>
      <c r="O78" s="21"/>
      <c r="P78" s="21"/>
      <c r="Q78" s="23"/>
    </row>
    <row r="81" spans="1:25" x14ac:dyDescent="0.2">
      <c r="A81" t="s">
        <v>37</v>
      </c>
      <c r="C81" s="232"/>
      <c r="D81" s="233"/>
      <c r="E81" s="233"/>
      <c r="F81" s="233"/>
      <c r="G81" s="233"/>
      <c r="H81" s="233"/>
      <c r="I81" s="233"/>
      <c r="J81" s="233"/>
      <c r="K81" s="233"/>
      <c r="L81" s="233"/>
      <c r="M81" s="234"/>
      <c r="N81" s="31"/>
    </row>
    <row r="82" spans="1:25" x14ac:dyDescent="0.2">
      <c r="C82" s="235"/>
      <c r="D82" s="236"/>
      <c r="E82" s="236"/>
      <c r="F82" s="236"/>
      <c r="G82" s="236"/>
      <c r="H82" s="236"/>
      <c r="I82" s="236"/>
      <c r="J82" s="236"/>
      <c r="K82" s="236"/>
      <c r="L82" s="236"/>
      <c r="M82" s="237"/>
      <c r="N82" s="31"/>
    </row>
    <row r="83" spans="1:25" x14ac:dyDescent="0.2">
      <c r="C83" s="238"/>
      <c r="D83" s="239"/>
      <c r="E83" s="239"/>
      <c r="F83" s="239"/>
      <c r="G83" s="239"/>
      <c r="H83" s="239"/>
      <c r="I83" s="239"/>
      <c r="J83" s="239"/>
      <c r="K83" s="239"/>
      <c r="L83" s="239"/>
      <c r="M83" s="240"/>
      <c r="N83" s="31"/>
    </row>
    <row r="84" spans="1:25" x14ac:dyDescent="0.2">
      <c r="C84" s="14"/>
      <c r="D84" s="14"/>
      <c r="E84" s="14"/>
      <c r="F84" s="14"/>
      <c r="G84" s="14"/>
      <c r="H84" s="14"/>
      <c r="I84" s="14"/>
      <c r="J84" s="14"/>
      <c r="K84" s="14"/>
      <c r="L84" s="14"/>
    </row>
    <row r="85" spans="1:25" x14ac:dyDescent="0.2">
      <c r="C85" s="232"/>
      <c r="D85" s="233"/>
      <c r="E85" s="233"/>
      <c r="F85" s="233"/>
      <c r="G85" s="233"/>
      <c r="H85" s="233"/>
      <c r="I85" s="233"/>
      <c r="J85" s="233"/>
      <c r="K85" s="233"/>
      <c r="L85" s="233"/>
      <c r="M85" s="233"/>
      <c r="N85" s="233"/>
      <c r="O85" s="233"/>
      <c r="P85" s="234"/>
    </row>
    <row r="86" spans="1:25" x14ac:dyDescent="0.2">
      <c r="C86" s="235"/>
      <c r="D86" s="236"/>
      <c r="E86" s="236"/>
      <c r="F86" s="236"/>
      <c r="G86" s="236"/>
      <c r="H86" s="236"/>
      <c r="I86" s="236"/>
      <c r="J86" s="236"/>
      <c r="K86" s="236"/>
      <c r="L86" s="236"/>
      <c r="M86" s="236"/>
      <c r="N86" s="236"/>
      <c r="O86" s="236"/>
      <c r="P86" s="237"/>
      <c r="Q86" s="241"/>
      <c r="R86" s="241"/>
      <c r="S86" s="241"/>
      <c r="T86" s="241"/>
      <c r="U86" s="241"/>
      <c r="V86" s="241"/>
      <c r="X86" s="241"/>
      <c r="Y86" s="241"/>
    </row>
    <row r="87" spans="1:25" x14ac:dyDescent="0.2">
      <c r="C87" s="238"/>
      <c r="D87" s="239"/>
      <c r="E87" s="239"/>
      <c r="F87" s="239"/>
      <c r="G87" s="239"/>
      <c r="H87" s="239"/>
      <c r="I87" s="239"/>
      <c r="J87" s="239"/>
      <c r="K87" s="239"/>
      <c r="L87" s="239"/>
      <c r="M87" s="239"/>
      <c r="N87" s="239"/>
      <c r="O87" s="239"/>
      <c r="P87" s="240"/>
      <c r="Q87" s="9"/>
      <c r="R87" s="9"/>
      <c r="U87" s="9"/>
      <c r="V87" s="9"/>
    </row>
    <row r="88" spans="1:25" x14ac:dyDescent="0.2">
      <c r="C88" s="28"/>
      <c r="D88" s="28"/>
      <c r="E88" s="28"/>
      <c r="F88" s="28"/>
      <c r="G88" s="28"/>
      <c r="H88" s="28"/>
      <c r="I88" s="28"/>
      <c r="J88" s="28"/>
      <c r="K88" s="28"/>
      <c r="L88" s="28"/>
      <c r="M88" s="28"/>
      <c r="N88" s="28"/>
      <c r="O88" s="28"/>
      <c r="P88" s="28"/>
      <c r="Q88" s="9"/>
      <c r="R88" s="9"/>
      <c r="U88" s="9"/>
      <c r="V88" s="9"/>
    </row>
    <row r="89" spans="1:25" x14ac:dyDescent="0.2">
      <c r="O89"/>
      <c r="P89" s="11"/>
      <c r="Q89" s="9"/>
      <c r="R89" s="11"/>
      <c r="T89" s="11"/>
      <c r="V89" s="11"/>
    </row>
    <row r="90" spans="1:25" x14ac:dyDescent="0.2">
      <c r="A90" s="1"/>
      <c r="B90" s="1"/>
      <c r="O90"/>
      <c r="P90" s="11"/>
      <c r="Q90" s="9"/>
      <c r="R90" s="11"/>
      <c r="T90" s="11"/>
      <c r="V90" s="11"/>
    </row>
    <row r="91" spans="1:25" x14ac:dyDescent="0.2">
      <c r="A91" s="1"/>
      <c r="B91" s="1"/>
      <c r="P91" s="11"/>
      <c r="Q91" s="9"/>
      <c r="R91" s="11"/>
      <c r="T91" s="11"/>
      <c r="V91" s="11"/>
    </row>
    <row r="92" spans="1:25" x14ac:dyDescent="0.2">
      <c r="P92" s="11"/>
      <c r="Q92" s="9"/>
      <c r="R92" s="11"/>
      <c r="T92" s="11"/>
      <c r="V92" s="11"/>
    </row>
    <row r="93" spans="1:25" x14ac:dyDescent="0.2">
      <c r="P93" s="11"/>
      <c r="Q93" s="9"/>
      <c r="R93" s="11"/>
      <c r="T93" s="11"/>
      <c r="V93" s="11"/>
    </row>
    <row r="94" spans="1:25" x14ac:dyDescent="0.2">
      <c r="P94" s="11"/>
      <c r="Q94" s="9"/>
      <c r="R94" s="11"/>
      <c r="T94" s="11"/>
      <c r="V94" s="11"/>
    </row>
  </sheetData>
  <sortState ref="A5:O64">
    <sortCondition ref="E5:E64"/>
    <sortCondition ref="M5:M64"/>
  </sortState>
  <mergeCells count="8">
    <mergeCell ref="K3:M3"/>
    <mergeCell ref="S3:Y10"/>
    <mergeCell ref="C81:M83"/>
    <mergeCell ref="C85:P87"/>
    <mergeCell ref="Q86:R86"/>
    <mergeCell ref="S86:T86"/>
    <mergeCell ref="U86:V86"/>
    <mergeCell ref="X86:Y86"/>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9"/>
  <sheetViews>
    <sheetView zoomScale="70" zoomScaleNormal="70" zoomScalePageLayoutView="70" workbookViewId="0">
      <selection activeCell="B4" sqref="B4"/>
    </sheetView>
  </sheetViews>
  <sheetFormatPr baseColWidth="10" defaultColWidth="8.83203125" defaultRowHeight="15" x14ac:dyDescent="0.2"/>
  <cols>
    <col min="1" max="1" width="44.1640625" customWidth="1"/>
    <col min="2" max="2" width="12.1640625" style="14" customWidth="1"/>
    <col min="3" max="3" width="25.33203125" style="14" customWidth="1"/>
    <col min="4" max="4" width="28.33203125" style="14" customWidth="1"/>
    <col min="5" max="5" width="28.1640625" style="14" customWidth="1"/>
    <col min="8" max="8" width="64.6640625" customWidth="1"/>
    <col min="9" max="9" width="13.6640625" customWidth="1"/>
  </cols>
  <sheetData>
    <row r="1" spans="1:8" x14ac:dyDescent="0.2">
      <c r="A1" s="98" t="s">
        <v>227</v>
      </c>
      <c r="B1" s="100" t="s">
        <v>249</v>
      </c>
      <c r="C1" s="26" t="s">
        <v>246</v>
      </c>
      <c r="D1" s="26" t="s">
        <v>248</v>
      </c>
      <c r="E1" s="26" t="s">
        <v>247</v>
      </c>
      <c r="H1" s="103" t="s">
        <v>276</v>
      </c>
    </row>
    <row r="2" spans="1:8" ht="16" x14ac:dyDescent="0.2">
      <c r="A2" s="99" t="s">
        <v>228</v>
      </c>
      <c r="B2" s="102" t="s">
        <v>250</v>
      </c>
      <c r="C2" s="103" t="s">
        <v>250</v>
      </c>
      <c r="D2" s="103" t="s">
        <v>292</v>
      </c>
      <c r="E2" s="103" t="s">
        <v>250</v>
      </c>
      <c r="H2" t="s">
        <v>277</v>
      </c>
    </row>
    <row r="3" spans="1:8" ht="16" x14ac:dyDescent="0.2">
      <c r="A3" s="99" t="s">
        <v>230</v>
      </c>
      <c r="B3" s="102" t="s">
        <v>250</v>
      </c>
      <c r="C3" s="103" t="s">
        <v>250</v>
      </c>
      <c r="D3" s="103"/>
      <c r="E3" s="14" t="s">
        <v>531</v>
      </c>
      <c r="F3">
        <v>1</v>
      </c>
      <c r="H3" t="s">
        <v>278</v>
      </c>
    </row>
    <row r="4" spans="1:8" ht="16" x14ac:dyDescent="0.2">
      <c r="A4" s="99" t="s">
        <v>233</v>
      </c>
      <c r="B4" s="102" t="s">
        <v>251</v>
      </c>
      <c r="C4" s="103" t="s">
        <v>250</v>
      </c>
      <c r="D4" s="103" t="s">
        <v>250</v>
      </c>
      <c r="E4" s="103" t="s">
        <v>250</v>
      </c>
    </row>
    <row r="5" spans="1:8" ht="30" x14ac:dyDescent="0.2">
      <c r="A5" s="99" t="s">
        <v>236</v>
      </c>
      <c r="B5" s="102" t="s">
        <v>250</v>
      </c>
      <c r="C5" s="177" t="s">
        <v>407</v>
      </c>
      <c r="D5" s="103"/>
      <c r="E5" s="177" t="s">
        <v>406</v>
      </c>
      <c r="F5">
        <v>2</v>
      </c>
    </row>
    <row r="6" spans="1:8" ht="16" x14ac:dyDescent="0.2">
      <c r="A6" s="99" t="s">
        <v>239</v>
      </c>
      <c r="B6" s="102" t="s">
        <v>250</v>
      </c>
      <c r="C6" s="103" t="s">
        <v>250</v>
      </c>
      <c r="D6" s="103" t="s">
        <v>253</v>
      </c>
      <c r="E6" s="103" t="s">
        <v>252</v>
      </c>
    </row>
    <row r="7" spans="1:8" ht="16" x14ac:dyDescent="0.2">
      <c r="A7" s="99" t="s">
        <v>327</v>
      </c>
      <c r="B7" s="102" t="s">
        <v>250</v>
      </c>
      <c r="C7" s="103" t="s">
        <v>250</v>
      </c>
      <c r="D7" s="103" t="s">
        <v>250</v>
      </c>
      <c r="E7" s="103" t="s">
        <v>250</v>
      </c>
      <c r="F7">
        <v>3</v>
      </c>
    </row>
    <row r="8" spans="1:8" ht="75" x14ac:dyDescent="0.2">
      <c r="A8" s="99" t="s">
        <v>328</v>
      </c>
      <c r="B8" s="102" t="s">
        <v>250</v>
      </c>
      <c r="C8" s="175" t="s">
        <v>326</v>
      </c>
      <c r="D8" s="175" t="s">
        <v>250</v>
      </c>
      <c r="E8" s="175" t="s">
        <v>252</v>
      </c>
      <c r="F8">
        <v>4</v>
      </c>
      <c r="H8" s="103" t="s">
        <v>330</v>
      </c>
    </row>
    <row r="9" spans="1:8" ht="16" x14ac:dyDescent="0.2">
      <c r="A9" s="99" t="s">
        <v>242</v>
      </c>
      <c r="B9" s="102" t="s">
        <v>251</v>
      </c>
      <c r="C9" s="103" t="s">
        <v>250</v>
      </c>
      <c r="D9" s="103" t="s">
        <v>250</v>
      </c>
      <c r="E9" s="103" t="s">
        <v>250</v>
      </c>
      <c r="F9">
        <v>5</v>
      </c>
      <c r="H9" t="s">
        <v>329</v>
      </c>
    </row>
    <row r="10" spans="1:8" ht="24" customHeight="1" x14ac:dyDescent="0.2">
      <c r="A10" s="99" t="s">
        <v>244</v>
      </c>
      <c r="B10" s="102" t="s">
        <v>251</v>
      </c>
      <c r="C10" s="103" t="s">
        <v>250</v>
      </c>
      <c r="D10" s="103" t="s">
        <v>250</v>
      </c>
      <c r="E10" s="103" t="s">
        <v>250</v>
      </c>
      <c r="F10">
        <v>6</v>
      </c>
    </row>
    <row r="11" spans="1:8" ht="16" x14ac:dyDescent="0.2">
      <c r="A11" s="99" t="s">
        <v>229</v>
      </c>
      <c r="B11" s="102" t="s">
        <v>250</v>
      </c>
      <c r="C11" s="103" t="s">
        <v>250</v>
      </c>
      <c r="D11" s="103" t="s">
        <v>250</v>
      </c>
      <c r="E11" s="103" t="s">
        <v>250</v>
      </c>
    </row>
    <row r="12" spans="1:8" ht="16" x14ac:dyDescent="0.2">
      <c r="A12" s="99" t="s">
        <v>231</v>
      </c>
      <c r="B12" s="102" t="s">
        <v>250</v>
      </c>
      <c r="C12" s="103" t="s">
        <v>250</v>
      </c>
      <c r="D12" s="103" t="s">
        <v>250</v>
      </c>
      <c r="E12" s="103" t="s">
        <v>250</v>
      </c>
      <c r="F12">
        <v>7</v>
      </c>
      <c r="H12" s="205" t="s">
        <v>483</v>
      </c>
    </row>
    <row r="13" spans="1:8" ht="16" x14ac:dyDescent="0.2">
      <c r="A13" s="99" t="s">
        <v>232</v>
      </c>
      <c r="B13" s="102" t="s">
        <v>251</v>
      </c>
      <c r="C13" s="103" t="s">
        <v>250</v>
      </c>
      <c r="D13" s="103" t="s">
        <v>250</v>
      </c>
      <c r="E13" s="103" t="s">
        <v>250</v>
      </c>
      <c r="F13">
        <v>8</v>
      </c>
    </row>
    <row r="14" spans="1:8" ht="16" x14ac:dyDescent="0.2">
      <c r="A14" s="97" t="s">
        <v>234</v>
      </c>
      <c r="B14" s="101" t="s">
        <v>251</v>
      </c>
      <c r="C14" s="103" t="s">
        <v>360</v>
      </c>
      <c r="E14" s="14" t="s">
        <v>274</v>
      </c>
      <c r="F14">
        <v>9</v>
      </c>
    </row>
    <row r="15" spans="1:8" ht="16" x14ac:dyDescent="0.2">
      <c r="A15" s="99" t="s">
        <v>235</v>
      </c>
      <c r="B15" s="102" t="s">
        <v>250</v>
      </c>
      <c r="C15" s="103" t="s">
        <v>250</v>
      </c>
      <c r="D15" s="103" t="s">
        <v>250</v>
      </c>
      <c r="E15" s="103" t="s">
        <v>250</v>
      </c>
      <c r="F15">
        <v>10</v>
      </c>
    </row>
    <row r="16" spans="1:8" ht="16" x14ac:dyDescent="0.2">
      <c r="A16" s="99" t="s">
        <v>237</v>
      </c>
      <c r="B16" s="102" t="s">
        <v>250</v>
      </c>
      <c r="C16" s="103" t="s">
        <v>250</v>
      </c>
      <c r="D16" s="103" t="s">
        <v>250</v>
      </c>
      <c r="E16" s="103" t="s">
        <v>360</v>
      </c>
      <c r="F16">
        <v>11</v>
      </c>
    </row>
    <row r="17" spans="1:16" ht="16" x14ac:dyDescent="0.2">
      <c r="A17" s="99" t="s">
        <v>238</v>
      </c>
      <c r="B17" s="102" t="s">
        <v>251</v>
      </c>
      <c r="C17" s="103" t="s">
        <v>250</v>
      </c>
      <c r="D17" s="103" t="s">
        <v>250</v>
      </c>
      <c r="E17" s="103" t="s">
        <v>250</v>
      </c>
      <c r="F17">
        <v>12</v>
      </c>
    </row>
    <row r="18" spans="1:16" ht="30" x14ac:dyDescent="0.2">
      <c r="A18" s="99" t="s">
        <v>240</v>
      </c>
      <c r="B18" s="102" t="s">
        <v>250</v>
      </c>
      <c r="C18" s="103" t="s">
        <v>254</v>
      </c>
      <c r="D18" s="103" t="s">
        <v>250</v>
      </c>
      <c r="E18" s="103" t="s">
        <v>250</v>
      </c>
    </row>
    <row r="19" spans="1:16" ht="16" x14ac:dyDescent="0.2">
      <c r="A19" s="99" t="s">
        <v>241</v>
      </c>
      <c r="B19" s="102" t="s">
        <v>250</v>
      </c>
      <c r="C19" s="103" t="s">
        <v>250</v>
      </c>
      <c r="D19" s="103" t="s">
        <v>250</v>
      </c>
      <c r="E19" s="103" t="s">
        <v>250</v>
      </c>
    </row>
    <row r="20" spans="1:16" ht="16" x14ac:dyDescent="0.2">
      <c r="A20" s="99" t="s">
        <v>243</v>
      </c>
      <c r="B20" s="102" t="s">
        <v>250</v>
      </c>
      <c r="C20" s="103" t="s">
        <v>250</v>
      </c>
      <c r="D20" s="103" t="s">
        <v>255</v>
      </c>
      <c r="E20" s="103" t="s">
        <v>250</v>
      </c>
    </row>
    <row r="21" spans="1:16" ht="16" x14ac:dyDescent="0.2">
      <c r="A21" s="99" t="s">
        <v>245</v>
      </c>
      <c r="B21" s="102" t="s">
        <v>250</v>
      </c>
      <c r="C21" s="103" t="s">
        <v>250</v>
      </c>
      <c r="D21" s="103" t="s">
        <v>250</v>
      </c>
      <c r="E21" s="103" t="s">
        <v>250</v>
      </c>
      <c r="L21">
        <v>1</v>
      </c>
      <c r="M21">
        <v>1</v>
      </c>
      <c r="N21">
        <v>3</v>
      </c>
    </row>
    <row r="22" spans="1:16" x14ac:dyDescent="0.2">
      <c r="L22">
        <v>4</v>
      </c>
      <c r="M22">
        <v>3</v>
      </c>
      <c r="N22">
        <v>2</v>
      </c>
    </row>
    <row r="23" spans="1:16" x14ac:dyDescent="0.2">
      <c r="A23" s="104" t="s">
        <v>257</v>
      </c>
      <c r="B23" s="105">
        <v>43252</v>
      </c>
    </row>
    <row r="24" spans="1:16" x14ac:dyDescent="0.2">
      <c r="A24" t="s">
        <v>258</v>
      </c>
      <c r="B24" t="s">
        <v>259</v>
      </c>
    </row>
    <row r="26" spans="1:16" x14ac:dyDescent="0.2">
      <c r="L26" s="210">
        <v>2</v>
      </c>
      <c r="M26">
        <v>3</v>
      </c>
      <c r="N26">
        <v>2</v>
      </c>
      <c r="O26">
        <f>M26*N26</f>
        <v>6</v>
      </c>
    </row>
    <row r="27" spans="1:16" x14ac:dyDescent="0.2">
      <c r="L27" s="210">
        <v>3</v>
      </c>
      <c r="M27">
        <v>3</v>
      </c>
      <c r="N27">
        <v>1</v>
      </c>
      <c r="O27">
        <f t="shared" ref="O27:O28" si="0">M27*N27</f>
        <v>3</v>
      </c>
    </row>
    <row r="28" spans="1:16" x14ac:dyDescent="0.2">
      <c r="L28" s="210">
        <v>5</v>
      </c>
      <c r="M28">
        <v>1</v>
      </c>
      <c r="N28">
        <v>2</v>
      </c>
      <c r="O28">
        <f t="shared" si="0"/>
        <v>2</v>
      </c>
    </row>
    <row r="29" spans="1:16" x14ac:dyDescent="0.2">
      <c r="O29">
        <f>SUM(O26:O28)</f>
        <v>11</v>
      </c>
      <c r="P29">
        <f>O29*2</f>
        <v>22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J94"/>
  <sheetViews>
    <sheetView topLeftCell="AB5" zoomScale="55" zoomScaleNormal="55" zoomScalePageLayoutView="55" workbookViewId="0">
      <selection activeCell="AD71" sqref="AD71"/>
    </sheetView>
  </sheetViews>
  <sheetFormatPr baseColWidth="10" defaultColWidth="8.83203125" defaultRowHeight="15" x14ac:dyDescent="0.2"/>
  <cols>
    <col min="1" max="1" width="26.5" customWidth="1"/>
    <col min="2" max="2" width="20.6640625" customWidth="1"/>
    <col min="3" max="3" width="16.33203125" customWidth="1"/>
    <col min="4" max="4" width="10.1640625" customWidth="1"/>
    <col min="5" max="5" width="13.5" customWidth="1"/>
    <col min="6" max="6" width="13.5" style="65" customWidth="1"/>
    <col min="7" max="7" width="11.6640625" style="65" customWidth="1"/>
    <col min="8" max="8" width="10.1640625" style="65" customWidth="1"/>
    <col min="9" max="9" width="12.33203125" style="66" customWidth="1"/>
    <col min="10" max="10" width="10.1640625" style="65" customWidth="1"/>
    <col min="11" max="12" width="13.5" style="66" customWidth="1"/>
    <col min="13" max="14" width="10.1640625" style="66" customWidth="1"/>
    <col min="15" max="15" width="10.1640625" style="65" customWidth="1"/>
    <col min="16" max="16" width="16.33203125" style="65" customWidth="1"/>
    <col min="17" max="17" width="42.5" customWidth="1"/>
    <col min="18" max="18" width="5.83203125" customWidth="1"/>
    <col min="19" max="21" width="6.5" customWidth="1"/>
    <col min="22" max="22" width="5.33203125" customWidth="1"/>
    <col min="23" max="23" width="6.5" customWidth="1"/>
    <col min="32" max="32" width="16.1640625" customWidth="1"/>
  </cols>
  <sheetData>
    <row r="2" spans="1:36" ht="15" customHeight="1" x14ac:dyDescent="0.2">
      <c r="AE2" t="s">
        <v>149</v>
      </c>
      <c r="AG2" s="73"/>
    </row>
    <row r="3" spans="1:36" ht="30" x14ac:dyDescent="0.2">
      <c r="A3" s="14" t="s">
        <v>0</v>
      </c>
      <c r="B3" s="14"/>
      <c r="C3" s="14"/>
      <c r="D3" s="14" t="s">
        <v>13</v>
      </c>
      <c r="E3" s="14" t="s">
        <v>28</v>
      </c>
      <c r="F3" s="69" t="s">
        <v>1</v>
      </c>
      <c r="G3" s="69" t="s">
        <v>2</v>
      </c>
      <c r="H3" s="69" t="s">
        <v>4</v>
      </c>
      <c r="I3" s="67" t="s">
        <v>8</v>
      </c>
      <c r="J3" s="69" t="s">
        <v>3</v>
      </c>
      <c r="K3" s="230" t="s">
        <v>20</v>
      </c>
      <c r="L3" s="230"/>
      <c r="M3" s="230"/>
      <c r="N3" s="67"/>
      <c r="O3" s="14" t="s">
        <v>21</v>
      </c>
      <c r="P3" s="14"/>
      <c r="Q3" s="14"/>
      <c r="R3" s="14"/>
      <c r="S3" s="231" t="s">
        <v>162</v>
      </c>
      <c r="T3" s="231"/>
      <c r="U3" s="231"/>
      <c r="V3" s="231"/>
      <c r="W3" s="231"/>
      <c r="X3" s="231"/>
      <c r="Y3" s="231"/>
      <c r="Z3" s="14"/>
      <c r="AE3" t="s">
        <v>5</v>
      </c>
      <c r="AF3" s="73" t="s">
        <v>134</v>
      </c>
      <c r="AI3" s="14" t="s">
        <v>153</v>
      </c>
      <c r="AJ3">
        <v>0.4</v>
      </c>
    </row>
    <row r="4" spans="1:36" x14ac:dyDescent="0.2">
      <c r="A4" s="26"/>
      <c r="B4" s="26" t="s">
        <v>42</v>
      </c>
      <c r="C4" s="26" t="s">
        <v>10</v>
      </c>
      <c r="D4" s="26"/>
      <c r="E4" s="26" t="s">
        <v>27</v>
      </c>
      <c r="F4" s="25"/>
      <c r="G4" s="25"/>
      <c r="H4" s="25" t="s">
        <v>7</v>
      </c>
      <c r="I4" s="27" t="s">
        <v>9</v>
      </c>
      <c r="J4" s="25"/>
      <c r="K4" s="8" t="s">
        <v>55</v>
      </c>
      <c r="L4" s="27" t="s">
        <v>56</v>
      </c>
      <c r="M4" s="27" t="s">
        <v>5</v>
      </c>
      <c r="N4" s="27" t="s">
        <v>55</v>
      </c>
      <c r="O4" s="25" t="s">
        <v>83</v>
      </c>
      <c r="P4" s="25" t="s">
        <v>12</v>
      </c>
      <c r="Q4" s="26" t="s">
        <v>22</v>
      </c>
      <c r="R4" s="14"/>
      <c r="S4" s="231"/>
      <c r="T4" s="231"/>
      <c r="U4" s="231"/>
      <c r="V4" s="231"/>
      <c r="W4" s="231"/>
      <c r="X4" s="231"/>
      <c r="Y4" s="231"/>
      <c r="Z4" s="14"/>
      <c r="AE4">
        <v>0</v>
      </c>
      <c r="AF4" s="11">
        <v>0</v>
      </c>
      <c r="AG4" s="11"/>
    </row>
    <row r="5" spans="1:36" ht="18.75" customHeight="1" x14ac:dyDescent="0.2">
      <c r="A5" t="s">
        <v>122</v>
      </c>
      <c r="C5" t="s">
        <v>119</v>
      </c>
      <c r="D5" t="s">
        <v>121</v>
      </c>
      <c r="F5" s="30">
        <v>35560</v>
      </c>
      <c r="G5" s="5">
        <f>F5+H5</f>
        <v>35660</v>
      </c>
      <c r="H5" s="65">
        <v>100</v>
      </c>
      <c r="I5" s="21">
        <v>44.642857142857139</v>
      </c>
      <c r="J5" s="65">
        <v>0</v>
      </c>
      <c r="K5" s="249" t="s">
        <v>19</v>
      </c>
      <c r="L5" s="66">
        <v>0</v>
      </c>
      <c r="M5" s="66">
        <f>L5/$L$12*100</f>
        <v>0</v>
      </c>
      <c r="N5" s="66" t="s">
        <v>6</v>
      </c>
      <c r="O5" s="65">
        <v>0</v>
      </c>
      <c r="P5" s="66">
        <f>O5/$O$12*100</f>
        <v>0</v>
      </c>
      <c r="Q5" t="s">
        <v>146</v>
      </c>
      <c r="S5" s="231"/>
      <c r="T5" s="231"/>
      <c r="U5" s="231"/>
      <c r="V5" s="231"/>
      <c r="W5" s="231"/>
      <c r="X5" s="231"/>
      <c r="Y5" s="231"/>
      <c r="AE5">
        <v>10</v>
      </c>
      <c r="AF5" s="11">
        <v>0.84459459459459463</v>
      </c>
      <c r="AG5" s="11"/>
    </row>
    <row r="6" spans="1:36" x14ac:dyDescent="0.2">
      <c r="A6" s="23"/>
      <c r="B6" s="23"/>
      <c r="C6" s="23"/>
      <c r="D6" s="23"/>
      <c r="E6" s="23"/>
      <c r="J6" s="20">
        <v>1</v>
      </c>
      <c r="K6" s="230"/>
      <c r="L6" s="21">
        <v>18.648648648648649</v>
      </c>
      <c r="M6" s="66">
        <f t="shared" ref="M6:M12" si="0">L6/$L$12*100</f>
        <v>18.699186991869922</v>
      </c>
      <c r="N6" s="21"/>
      <c r="O6" s="66">
        <v>2.8183621933621934</v>
      </c>
      <c r="P6" s="66">
        <f t="shared" ref="P6:P12" si="1">O6/$O$12*100</f>
        <v>2.6315789473684217</v>
      </c>
      <c r="Q6" s="23"/>
      <c r="S6" s="231"/>
      <c r="T6" s="231"/>
      <c r="U6" s="231"/>
      <c r="V6" s="231"/>
      <c r="W6" s="231"/>
      <c r="X6" s="231"/>
      <c r="Y6" s="231"/>
      <c r="AE6">
        <v>20</v>
      </c>
      <c r="AF6" s="11">
        <v>1.6891891891891893</v>
      </c>
      <c r="AG6" s="11"/>
    </row>
    <row r="7" spans="1:36" x14ac:dyDescent="0.2">
      <c r="A7" s="23"/>
      <c r="B7" s="23"/>
      <c r="C7" s="23"/>
      <c r="D7" s="23"/>
      <c r="E7" s="23"/>
      <c r="J7" s="20">
        <v>2</v>
      </c>
      <c r="K7" s="230"/>
      <c r="L7" s="21">
        <v>30</v>
      </c>
      <c r="M7" s="66">
        <f t="shared" si="0"/>
        <v>30.081300813008134</v>
      </c>
      <c r="N7" s="21"/>
      <c r="O7" s="21">
        <v>4.5093795093795093</v>
      </c>
      <c r="P7" s="66">
        <f t="shared" si="1"/>
        <v>4.2105263157894743</v>
      </c>
      <c r="Q7" s="23"/>
      <c r="S7" s="231"/>
      <c r="T7" s="231"/>
      <c r="U7" s="231"/>
      <c r="V7" s="231"/>
      <c r="W7" s="231"/>
      <c r="X7" s="231"/>
      <c r="Y7" s="231"/>
      <c r="AE7">
        <v>30</v>
      </c>
      <c r="AF7" s="11">
        <v>3.7162162162162162</v>
      </c>
      <c r="AG7" s="11"/>
    </row>
    <row r="8" spans="1:36" x14ac:dyDescent="0.2">
      <c r="A8" s="23"/>
      <c r="B8" s="23"/>
      <c r="C8" s="23"/>
      <c r="D8" s="23"/>
      <c r="E8" s="23"/>
      <c r="J8" s="20">
        <v>3</v>
      </c>
      <c r="K8" s="230"/>
      <c r="L8" s="21">
        <v>44.594594594594597</v>
      </c>
      <c r="M8" s="66">
        <f t="shared" si="0"/>
        <v>44.715447154471548</v>
      </c>
      <c r="N8" s="21"/>
      <c r="O8" s="21">
        <v>16.910173160173159</v>
      </c>
      <c r="P8" s="66">
        <f t="shared" si="1"/>
        <v>15.789473684210527</v>
      </c>
      <c r="Q8" s="23"/>
      <c r="S8" s="231"/>
      <c r="T8" s="231"/>
      <c r="U8" s="231"/>
      <c r="V8" s="231"/>
      <c r="W8" s="231"/>
      <c r="X8" s="231"/>
      <c r="Y8" s="231"/>
      <c r="AE8">
        <v>40</v>
      </c>
      <c r="AF8" s="11">
        <v>16.216216216216214</v>
      </c>
      <c r="AG8" s="11"/>
    </row>
    <row r="9" spans="1:36" x14ac:dyDescent="0.2">
      <c r="A9" s="23"/>
      <c r="B9" s="23"/>
      <c r="C9" s="29"/>
      <c r="D9" s="23"/>
      <c r="E9" s="23"/>
      <c r="J9" s="20">
        <v>4</v>
      </c>
      <c r="K9" s="21"/>
      <c r="L9" s="21">
        <v>57.567567567567565</v>
      </c>
      <c r="M9" s="66">
        <f t="shared" si="0"/>
        <v>57.72357723577236</v>
      </c>
      <c r="N9" s="21"/>
      <c r="O9" s="21">
        <v>48.475829725829719</v>
      </c>
      <c r="P9" s="66">
        <f t="shared" si="1"/>
        <v>45.263157894736842</v>
      </c>
      <c r="Q9" s="23"/>
      <c r="S9" s="231"/>
      <c r="T9" s="231"/>
      <c r="U9" s="231"/>
      <c r="V9" s="231"/>
      <c r="W9" s="231"/>
      <c r="X9" s="231"/>
      <c r="Y9" s="231"/>
      <c r="AE9">
        <v>50</v>
      </c>
      <c r="AF9" s="11">
        <v>30.405405405405403</v>
      </c>
      <c r="AG9" s="11"/>
    </row>
    <row r="10" spans="1:36" x14ac:dyDescent="0.2">
      <c r="A10" s="23"/>
      <c r="B10" s="23"/>
      <c r="C10" s="29"/>
      <c r="D10" s="23"/>
      <c r="E10" s="23"/>
      <c r="J10" s="20">
        <v>5</v>
      </c>
      <c r="K10" s="21"/>
      <c r="L10" s="21">
        <v>71.351351351351354</v>
      </c>
      <c r="M10" s="66">
        <f t="shared" si="0"/>
        <v>71.544715447154474</v>
      </c>
      <c r="N10" s="21"/>
      <c r="O10" s="21">
        <v>75.532106782106794</v>
      </c>
      <c r="P10" s="66">
        <f t="shared" si="1"/>
        <v>70.526315789473699</v>
      </c>
      <c r="Q10" s="23"/>
      <c r="S10" s="231"/>
      <c r="T10" s="231"/>
      <c r="U10" s="231"/>
      <c r="V10" s="231"/>
      <c r="W10" s="231"/>
      <c r="X10" s="231"/>
      <c r="Y10" s="231"/>
      <c r="AE10">
        <v>60</v>
      </c>
      <c r="AF10" s="11">
        <v>45.608108108108112</v>
      </c>
      <c r="AG10" s="11"/>
    </row>
    <row r="11" spans="1:36" x14ac:dyDescent="0.2">
      <c r="A11" s="23"/>
      <c r="B11" s="23"/>
      <c r="C11" s="29"/>
      <c r="D11" s="23"/>
      <c r="E11" s="23"/>
      <c r="G11" s="20"/>
      <c r="H11" s="20"/>
      <c r="I11" s="21"/>
      <c r="J11" s="20">
        <v>6</v>
      </c>
      <c r="K11" s="21"/>
      <c r="L11" s="21">
        <v>85.945945945945951</v>
      </c>
      <c r="M11" s="66">
        <f t="shared" si="0"/>
        <v>86.178861788617894</v>
      </c>
      <c r="N11" s="21"/>
      <c r="O11" s="21">
        <v>92.442279942279939</v>
      </c>
      <c r="P11" s="66">
        <f t="shared" si="1"/>
        <v>86.31578947368422</v>
      </c>
      <c r="Q11" s="23"/>
      <c r="AE11">
        <v>70</v>
      </c>
      <c r="AF11" s="11">
        <v>64.189189189189179</v>
      </c>
      <c r="AG11" s="11"/>
    </row>
    <row r="12" spans="1:36" x14ac:dyDescent="0.2">
      <c r="A12" s="23"/>
      <c r="B12" s="23"/>
      <c r="C12" s="23"/>
      <c r="D12" s="23"/>
      <c r="E12" s="23"/>
      <c r="F12" s="20"/>
      <c r="G12" s="20"/>
      <c r="H12" s="20"/>
      <c r="I12" s="21"/>
      <c r="J12" s="20">
        <v>7</v>
      </c>
      <c r="K12" s="21"/>
      <c r="L12" s="21">
        <v>99.729729729729726</v>
      </c>
      <c r="M12" s="66">
        <f t="shared" si="0"/>
        <v>100</v>
      </c>
      <c r="N12" s="21"/>
      <c r="O12" s="21">
        <v>107.09776334776333</v>
      </c>
      <c r="P12" s="66">
        <f t="shared" si="1"/>
        <v>100</v>
      </c>
      <c r="Q12" s="23"/>
      <c r="AE12">
        <v>80</v>
      </c>
      <c r="AF12" s="11">
        <v>78.378378378378372</v>
      </c>
      <c r="AG12" s="11"/>
    </row>
    <row r="13" spans="1:36" x14ac:dyDescent="0.2">
      <c r="A13" s="23"/>
      <c r="B13" s="23"/>
      <c r="C13" s="23"/>
      <c r="D13" s="23"/>
      <c r="E13" s="23"/>
      <c r="G13" s="20"/>
      <c r="H13" s="20"/>
      <c r="I13" s="21">
        <v>178.57142857142856</v>
      </c>
      <c r="J13" s="65">
        <v>0</v>
      </c>
      <c r="K13" s="21"/>
      <c r="L13" s="66">
        <v>0</v>
      </c>
      <c r="M13" s="66">
        <f>L13/$L$20*100</f>
        <v>0</v>
      </c>
      <c r="N13" s="21"/>
      <c r="O13" s="65">
        <v>0</v>
      </c>
      <c r="P13" s="66">
        <f>O13/$O$20*100</f>
        <v>0</v>
      </c>
      <c r="Q13" s="23"/>
      <c r="AE13">
        <v>90</v>
      </c>
      <c r="AF13" s="11">
        <v>90.202702702702695</v>
      </c>
      <c r="AG13" s="11"/>
    </row>
    <row r="14" spans="1:36" x14ac:dyDescent="0.2">
      <c r="A14" s="23"/>
      <c r="B14" s="23"/>
      <c r="C14" s="23"/>
      <c r="D14" s="23"/>
      <c r="E14" s="23"/>
      <c r="J14" s="20">
        <v>1</v>
      </c>
      <c r="K14" s="21"/>
      <c r="L14" s="21">
        <v>18.648648648648649</v>
      </c>
      <c r="M14" s="66">
        <f t="shared" ref="M14:M20" si="2">L14/$L$20*100</f>
        <v>18.699186991869922</v>
      </c>
      <c r="N14" s="21"/>
      <c r="O14" s="21">
        <v>2.8183621933621934</v>
      </c>
      <c r="P14" s="66">
        <f t="shared" ref="P14:P20" si="3">O14/$O$20*100</f>
        <v>1.9230769230769236</v>
      </c>
      <c r="Q14" s="23"/>
      <c r="AE14">
        <v>100</v>
      </c>
      <c r="AF14" s="11">
        <v>100</v>
      </c>
      <c r="AG14" s="11"/>
    </row>
    <row r="15" spans="1:36" x14ac:dyDescent="0.2">
      <c r="A15" s="23"/>
      <c r="B15" s="23"/>
      <c r="C15" s="23"/>
      <c r="D15" s="23"/>
      <c r="E15" s="23"/>
      <c r="J15" s="20">
        <v>2</v>
      </c>
      <c r="K15" s="21"/>
      <c r="L15" s="21">
        <v>30</v>
      </c>
      <c r="M15" s="66">
        <f t="shared" si="2"/>
        <v>30.081300813008134</v>
      </c>
      <c r="N15" s="21"/>
      <c r="O15" s="21">
        <v>4.5093795093795093</v>
      </c>
      <c r="P15" s="66">
        <f t="shared" si="3"/>
        <v>3.0769230769230775</v>
      </c>
      <c r="Q15" s="23"/>
    </row>
    <row r="16" spans="1:36" x14ac:dyDescent="0.2">
      <c r="A16" s="23"/>
      <c r="B16" s="23"/>
      <c r="C16" s="23"/>
      <c r="D16" s="23"/>
      <c r="E16" s="23"/>
      <c r="J16" s="20">
        <v>3</v>
      </c>
      <c r="K16" s="21"/>
      <c r="L16" s="21">
        <v>44.594594594594597</v>
      </c>
      <c r="M16" s="66">
        <f t="shared" si="2"/>
        <v>44.715447154471548</v>
      </c>
      <c r="N16" s="21"/>
      <c r="O16" s="21">
        <v>16.910173160173159</v>
      </c>
      <c r="P16" s="66">
        <f t="shared" si="3"/>
        <v>11.538461538461538</v>
      </c>
      <c r="Q16" s="23"/>
      <c r="AE16" t="s">
        <v>226</v>
      </c>
    </row>
    <row r="17" spans="1:31" x14ac:dyDescent="0.2">
      <c r="A17" s="23"/>
      <c r="B17" s="23"/>
      <c r="C17" s="23"/>
      <c r="D17" s="23"/>
      <c r="E17" s="23"/>
      <c r="J17" s="20">
        <v>4</v>
      </c>
      <c r="K17" s="21"/>
      <c r="L17" s="21">
        <v>57.567567567567565</v>
      </c>
      <c r="M17" s="66">
        <f t="shared" si="2"/>
        <v>57.72357723577236</v>
      </c>
      <c r="N17" s="21"/>
      <c r="O17" s="21">
        <v>59.749278499278503</v>
      </c>
      <c r="P17" s="66">
        <f t="shared" si="3"/>
        <v>40.769230769230781</v>
      </c>
      <c r="Q17" s="23"/>
      <c r="AE17" t="s">
        <v>147</v>
      </c>
    </row>
    <row r="18" spans="1:31" x14ac:dyDescent="0.2">
      <c r="A18" s="23"/>
      <c r="B18" s="23"/>
      <c r="C18" s="23"/>
      <c r="D18" s="23"/>
      <c r="E18" s="23"/>
      <c r="F18" s="20"/>
      <c r="G18" s="20"/>
      <c r="H18" s="20"/>
      <c r="I18" s="21"/>
      <c r="J18" s="20">
        <v>5</v>
      </c>
      <c r="K18" s="21"/>
      <c r="L18" s="21">
        <v>71.351351351351354</v>
      </c>
      <c r="M18" s="66">
        <f t="shared" si="2"/>
        <v>71.544715447154474</v>
      </c>
      <c r="N18" s="21"/>
      <c r="O18" s="21">
        <v>111.60714285714285</v>
      </c>
      <c r="P18" s="66">
        <f t="shared" si="3"/>
        <v>76.15384615384616</v>
      </c>
      <c r="Q18" s="23"/>
      <c r="AE18" t="s">
        <v>148</v>
      </c>
    </row>
    <row r="19" spans="1:31" x14ac:dyDescent="0.2">
      <c r="A19" s="23"/>
      <c r="B19" s="23"/>
      <c r="C19" s="23"/>
      <c r="D19" s="23"/>
      <c r="E19" s="23"/>
      <c r="F19" s="20"/>
      <c r="G19" s="20"/>
      <c r="H19" s="20"/>
      <c r="I19" s="21"/>
      <c r="J19" s="20">
        <v>6</v>
      </c>
      <c r="K19" s="21"/>
      <c r="L19" s="21">
        <v>85.945945945945951</v>
      </c>
      <c r="M19" s="66">
        <f t="shared" si="2"/>
        <v>86.178861788617894</v>
      </c>
      <c r="N19" s="21"/>
      <c r="O19" s="21">
        <v>127.38997113997112</v>
      </c>
      <c r="P19" s="66">
        <f t="shared" si="3"/>
        <v>86.92307692307692</v>
      </c>
      <c r="Q19" s="23"/>
      <c r="AE19" t="s">
        <v>150</v>
      </c>
    </row>
    <row r="20" spans="1:31" x14ac:dyDescent="0.2">
      <c r="A20" s="23"/>
      <c r="B20" s="23"/>
      <c r="C20" s="23"/>
      <c r="D20" s="23"/>
      <c r="E20" s="23"/>
      <c r="F20" s="30"/>
      <c r="G20" s="30"/>
      <c r="H20" s="20"/>
      <c r="I20" s="21"/>
      <c r="J20" s="20">
        <v>7</v>
      </c>
      <c r="K20" s="21"/>
      <c r="L20" s="21">
        <v>99.729729729729726</v>
      </c>
      <c r="M20" s="66">
        <f t="shared" si="2"/>
        <v>100</v>
      </c>
      <c r="N20" s="21"/>
      <c r="O20" s="21">
        <v>146.55483405483403</v>
      </c>
      <c r="P20" s="66">
        <f t="shared" si="3"/>
        <v>100</v>
      </c>
      <c r="Q20" s="23"/>
      <c r="AE20" t="s">
        <v>225</v>
      </c>
    </row>
    <row r="21" spans="1:31" x14ac:dyDescent="0.2">
      <c r="A21" s="23"/>
      <c r="B21" s="23"/>
      <c r="C21" s="23"/>
      <c r="D21" s="23"/>
      <c r="E21" s="23"/>
      <c r="F21" s="20"/>
      <c r="G21" s="20"/>
      <c r="H21" s="20"/>
      <c r="I21" s="21">
        <v>316.96428571428567</v>
      </c>
      <c r="J21" s="65">
        <v>0</v>
      </c>
      <c r="K21" s="21"/>
      <c r="L21" s="66">
        <v>0</v>
      </c>
      <c r="M21" s="66">
        <f>L21/$L$28*100</f>
        <v>0</v>
      </c>
      <c r="N21" s="21"/>
      <c r="O21" s="21">
        <v>0</v>
      </c>
      <c r="P21" s="66">
        <f>O21/$O$28*100</f>
        <v>0</v>
      </c>
      <c r="Q21" s="23"/>
    </row>
    <row r="22" spans="1:31" x14ac:dyDescent="0.2">
      <c r="A22" s="23"/>
      <c r="B22" s="23"/>
      <c r="C22" s="23"/>
      <c r="D22" s="23"/>
      <c r="E22" s="23"/>
      <c r="J22" s="20">
        <v>1</v>
      </c>
      <c r="K22" s="21"/>
      <c r="L22" s="21">
        <v>18.648648648648649</v>
      </c>
      <c r="M22" s="66">
        <f t="shared" ref="M22:M28" si="4">L22/$L$28*100</f>
        <v>18.699186991869922</v>
      </c>
      <c r="N22" s="21"/>
      <c r="O22" s="21">
        <v>2.8183621933621934</v>
      </c>
      <c r="P22" s="66">
        <f t="shared" ref="P22:P27" si="5">O22/$O$28*100</f>
        <v>1.3440860215053763</v>
      </c>
      <c r="Q22" s="23"/>
    </row>
    <row r="23" spans="1:31" x14ac:dyDescent="0.2">
      <c r="A23" s="23"/>
      <c r="B23" s="23"/>
      <c r="C23" s="23"/>
      <c r="D23" s="23"/>
      <c r="E23" s="23"/>
      <c r="J23" s="20">
        <v>2</v>
      </c>
      <c r="K23" s="21"/>
      <c r="L23" s="21">
        <v>30</v>
      </c>
      <c r="M23" s="66">
        <f t="shared" si="4"/>
        <v>30.081300813008134</v>
      </c>
      <c r="N23" s="21"/>
      <c r="O23" s="21">
        <v>4.5093795093795093</v>
      </c>
      <c r="P23" s="66">
        <f t="shared" si="5"/>
        <v>2.150537634408602</v>
      </c>
      <c r="Q23" s="23"/>
    </row>
    <row r="24" spans="1:31" x14ac:dyDescent="0.2">
      <c r="A24" s="23"/>
      <c r="B24" s="23"/>
      <c r="C24" s="23"/>
      <c r="D24" s="23"/>
      <c r="E24" s="23"/>
      <c r="J24" s="20">
        <v>3</v>
      </c>
      <c r="K24" s="21"/>
      <c r="L24" s="21">
        <v>44.594594594594597</v>
      </c>
      <c r="M24" s="66">
        <f t="shared" si="4"/>
        <v>44.715447154471548</v>
      </c>
      <c r="N24" s="21"/>
      <c r="O24" s="21">
        <v>31.565656565656564</v>
      </c>
      <c r="P24" s="66">
        <f t="shared" si="5"/>
        <v>15.053763440860212</v>
      </c>
      <c r="Q24" s="23"/>
    </row>
    <row r="25" spans="1:31" x14ac:dyDescent="0.2">
      <c r="A25" s="23"/>
      <c r="B25" s="23"/>
      <c r="C25" s="23"/>
      <c r="D25" s="23"/>
      <c r="E25" s="23"/>
      <c r="F25" s="30"/>
      <c r="G25" s="30"/>
      <c r="H25" s="20"/>
      <c r="I25" s="21"/>
      <c r="J25" s="20">
        <v>4</v>
      </c>
      <c r="K25" s="21"/>
      <c r="L25" s="21">
        <v>57.567567567567565</v>
      </c>
      <c r="M25" s="66">
        <f t="shared" si="4"/>
        <v>57.72357723577236</v>
      </c>
      <c r="N25" s="21"/>
      <c r="O25" s="21">
        <v>73.277417027417016</v>
      </c>
      <c r="P25" s="66">
        <f t="shared" si="5"/>
        <v>34.946236559139777</v>
      </c>
      <c r="Q25" s="23"/>
    </row>
    <row r="26" spans="1:31" x14ac:dyDescent="0.2">
      <c r="A26" s="23"/>
      <c r="B26" s="23"/>
      <c r="C26" s="23"/>
      <c r="D26" s="23"/>
      <c r="E26" s="23"/>
      <c r="F26" s="20"/>
      <c r="G26" s="20"/>
      <c r="H26" s="20"/>
      <c r="I26" s="21"/>
      <c r="J26" s="20">
        <v>5</v>
      </c>
      <c r="K26" s="21"/>
      <c r="L26" s="21">
        <v>71.351351351351354</v>
      </c>
      <c r="M26" s="66">
        <f t="shared" si="4"/>
        <v>71.544715447154474</v>
      </c>
      <c r="N26" s="21"/>
      <c r="O26" s="21">
        <v>143.17279942279941</v>
      </c>
      <c r="P26" s="66">
        <f t="shared" si="5"/>
        <v>68.27956989247312</v>
      </c>
      <c r="Q26" s="23"/>
    </row>
    <row r="27" spans="1:31" x14ac:dyDescent="0.2">
      <c r="A27" s="23"/>
      <c r="B27" s="23"/>
      <c r="C27" s="23"/>
      <c r="D27" s="23"/>
      <c r="E27" s="23"/>
      <c r="F27" s="20"/>
      <c r="G27" s="20"/>
      <c r="H27" s="20"/>
      <c r="I27" s="21"/>
      <c r="J27" s="20">
        <v>6</v>
      </c>
      <c r="K27" s="21"/>
      <c r="L27" s="21">
        <v>85.945945945945951</v>
      </c>
      <c r="M27" s="66">
        <f t="shared" si="4"/>
        <v>86.178861788617894</v>
      </c>
      <c r="N27" s="21"/>
      <c r="O27" s="21">
        <v>160.08297258297259</v>
      </c>
      <c r="P27" s="66">
        <f t="shared" si="5"/>
        <v>76.344086021505376</v>
      </c>
      <c r="Q27" s="23"/>
    </row>
    <row r="28" spans="1:31" x14ac:dyDescent="0.2">
      <c r="A28" s="23"/>
      <c r="B28" s="23"/>
      <c r="C28" s="23"/>
      <c r="D28" s="23"/>
      <c r="E28" s="23"/>
      <c r="F28" s="20"/>
      <c r="G28" s="20"/>
      <c r="H28" s="20"/>
      <c r="I28" s="21"/>
      <c r="J28" s="20">
        <v>7</v>
      </c>
      <c r="K28" s="21"/>
      <c r="L28" s="21">
        <v>99.729729729729726</v>
      </c>
      <c r="M28" s="66">
        <f t="shared" si="4"/>
        <v>100</v>
      </c>
      <c r="N28" s="21"/>
      <c r="O28" s="21">
        <v>209.6861471861472</v>
      </c>
      <c r="P28" s="66">
        <f>O28/$O$28*100</f>
        <v>100</v>
      </c>
      <c r="Q28" s="23"/>
    </row>
    <row r="29" spans="1:31" x14ac:dyDescent="0.2">
      <c r="A29" s="23"/>
      <c r="B29" s="23"/>
      <c r="C29" s="23"/>
      <c r="D29" s="23" t="s">
        <v>121</v>
      </c>
      <c r="E29" s="23"/>
      <c r="F29" s="30">
        <v>35942</v>
      </c>
      <c r="G29" s="30">
        <f>F29+H29</f>
        <v>36027</v>
      </c>
      <c r="H29" s="20">
        <v>85</v>
      </c>
      <c r="I29" s="21">
        <v>22.321428571428569</v>
      </c>
      <c r="J29" s="65">
        <v>0</v>
      </c>
      <c r="K29" s="21"/>
      <c r="L29" s="21">
        <v>0</v>
      </c>
      <c r="M29" s="66">
        <f>L29/$L$35*100</f>
        <v>0</v>
      </c>
      <c r="N29" s="21"/>
      <c r="O29" s="21">
        <v>0</v>
      </c>
      <c r="P29" s="66">
        <f>O29/$O$35*100</f>
        <v>0</v>
      </c>
      <c r="Q29" s="23"/>
    </row>
    <row r="30" spans="1:31" x14ac:dyDescent="0.2">
      <c r="A30" s="23"/>
      <c r="B30" s="23"/>
      <c r="C30" s="23"/>
      <c r="D30" s="23"/>
      <c r="E30" s="23"/>
      <c r="F30" s="20"/>
      <c r="G30" s="20"/>
      <c r="H30" s="20"/>
      <c r="I30" s="21"/>
      <c r="J30" s="20">
        <v>1</v>
      </c>
      <c r="K30" s="21"/>
      <c r="L30" s="21">
        <v>6.75</v>
      </c>
      <c r="M30" s="66">
        <f t="shared" ref="M30:M35" si="6">L30/$L$35*100</f>
        <v>7.9646017699115053</v>
      </c>
      <c r="N30" s="21"/>
      <c r="O30" s="21">
        <v>1.1273448773448773</v>
      </c>
      <c r="P30" s="66">
        <f t="shared" ref="P30:P35" si="7">O30/$O$35*100</f>
        <v>1.1235955056179776</v>
      </c>
      <c r="Q30" s="23"/>
    </row>
    <row r="31" spans="1:31" x14ac:dyDescent="0.2">
      <c r="A31" s="23"/>
      <c r="B31" s="23"/>
      <c r="C31" s="23"/>
      <c r="D31" s="23"/>
      <c r="E31" s="23"/>
      <c r="F31" s="30"/>
      <c r="G31" s="30"/>
      <c r="H31" s="20"/>
      <c r="I31" s="21"/>
      <c r="J31" s="20">
        <v>2</v>
      </c>
      <c r="K31" s="21"/>
      <c r="L31" s="21">
        <v>15</v>
      </c>
      <c r="M31" s="66">
        <f t="shared" si="6"/>
        <v>17.69911504424779</v>
      </c>
      <c r="N31" s="21"/>
      <c r="O31" s="21">
        <v>2.8183621933621934</v>
      </c>
      <c r="P31" s="66">
        <f t="shared" si="7"/>
        <v>2.8089887640449436</v>
      </c>
      <c r="Q31" s="23"/>
    </row>
    <row r="32" spans="1:31" x14ac:dyDescent="0.2">
      <c r="A32" s="23"/>
      <c r="B32" s="23"/>
      <c r="C32" s="23"/>
      <c r="D32" s="23"/>
      <c r="E32" s="23"/>
      <c r="F32" s="20"/>
      <c r="G32" s="20"/>
      <c r="H32" s="20"/>
      <c r="I32" s="21"/>
      <c r="J32" s="20">
        <v>3</v>
      </c>
      <c r="K32" s="21"/>
      <c r="L32" s="21">
        <v>28.5</v>
      </c>
      <c r="M32" s="66">
        <f t="shared" si="6"/>
        <v>33.628318584070804</v>
      </c>
      <c r="N32" s="21"/>
      <c r="O32" s="21">
        <v>7.891414141414141</v>
      </c>
      <c r="P32" s="66">
        <f t="shared" si="7"/>
        <v>7.8651685393258424</v>
      </c>
      <c r="Q32" s="23"/>
    </row>
    <row r="33" spans="1:24" x14ac:dyDescent="0.2">
      <c r="A33" s="23"/>
      <c r="B33" s="23"/>
      <c r="C33" s="23"/>
      <c r="D33" s="23"/>
      <c r="E33" s="23"/>
      <c r="F33" s="20"/>
      <c r="G33" s="20"/>
      <c r="H33" s="20"/>
      <c r="I33" s="21"/>
      <c r="J33" s="20">
        <v>4</v>
      </c>
      <c r="K33" s="21"/>
      <c r="L33" s="21">
        <v>46.5</v>
      </c>
      <c r="M33" s="66">
        <f t="shared" si="6"/>
        <v>54.867256637168147</v>
      </c>
      <c r="N33" s="21"/>
      <c r="O33" s="21">
        <v>45.093795093795094</v>
      </c>
      <c r="P33" s="66">
        <f t="shared" si="7"/>
        <v>44.943820224719097</v>
      </c>
      <c r="Q33" s="23"/>
    </row>
    <row r="34" spans="1:24" x14ac:dyDescent="0.2">
      <c r="A34" s="23"/>
      <c r="B34" s="23"/>
      <c r="C34" s="23"/>
      <c r="D34" s="23"/>
      <c r="E34" s="23"/>
      <c r="F34" s="20"/>
      <c r="G34" s="20"/>
      <c r="H34" s="20"/>
      <c r="I34" s="21"/>
      <c r="J34" s="20">
        <v>5</v>
      </c>
      <c r="K34" s="21"/>
      <c r="L34" s="21">
        <v>61.499999999999993</v>
      </c>
      <c r="M34" s="66">
        <f t="shared" si="6"/>
        <v>72.56637168141593</v>
      </c>
      <c r="N34" s="21"/>
      <c r="O34" s="21">
        <v>81.168831168831161</v>
      </c>
      <c r="P34" s="66">
        <f t="shared" si="7"/>
        <v>80.898876404494374</v>
      </c>
      <c r="Q34" s="23"/>
    </row>
    <row r="35" spans="1:24" x14ac:dyDescent="0.2">
      <c r="A35" s="23"/>
      <c r="B35" s="23"/>
      <c r="C35" s="23"/>
      <c r="D35" s="23"/>
      <c r="E35" s="23"/>
      <c r="F35" s="30"/>
      <c r="G35" s="30"/>
      <c r="H35" s="20"/>
      <c r="I35" s="21"/>
      <c r="J35" s="20">
        <v>6</v>
      </c>
      <c r="K35" s="21"/>
      <c r="L35" s="21">
        <v>84.749999999999986</v>
      </c>
      <c r="M35" s="66">
        <f t="shared" si="6"/>
        <v>100</v>
      </c>
      <c r="N35" s="21"/>
      <c r="O35" s="21">
        <v>100.33369408369408</v>
      </c>
      <c r="P35" s="66">
        <f t="shared" si="7"/>
        <v>100</v>
      </c>
      <c r="Q35" s="23"/>
    </row>
    <row r="36" spans="1:24" x14ac:dyDescent="0.2">
      <c r="A36" s="23"/>
      <c r="B36" s="23"/>
      <c r="C36" s="23"/>
      <c r="D36" s="23"/>
      <c r="E36" s="23"/>
      <c r="F36" s="20"/>
      <c r="G36" s="20"/>
      <c r="H36" s="20"/>
      <c r="I36" s="21">
        <v>133.92857142857142</v>
      </c>
      <c r="J36" s="65">
        <v>0</v>
      </c>
      <c r="K36" s="21"/>
      <c r="L36" s="21">
        <v>0</v>
      </c>
      <c r="M36" s="66">
        <f>L36/$L$42*100</f>
        <v>0</v>
      </c>
      <c r="N36" s="21"/>
      <c r="O36" s="21">
        <v>0</v>
      </c>
      <c r="P36" s="66">
        <f>O36/$O$42*100</f>
        <v>0</v>
      </c>
      <c r="Q36" s="23"/>
    </row>
    <row r="37" spans="1:24" x14ac:dyDescent="0.2">
      <c r="A37" s="23"/>
      <c r="B37" s="23"/>
      <c r="C37" s="23"/>
      <c r="D37" s="23"/>
      <c r="E37" s="23"/>
      <c r="F37" s="20"/>
      <c r="G37" s="20"/>
      <c r="H37" s="20"/>
      <c r="I37" s="21"/>
      <c r="J37" s="20">
        <v>1</v>
      </c>
      <c r="K37" s="21"/>
      <c r="L37" s="21">
        <v>6.75</v>
      </c>
      <c r="M37" s="66">
        <f t="shared" ref="M37:M42" si="8">L37/$L$42*100</f>
        <v>7.9646017699115053</v>
      </c>
      <c r="N37" s="21"/>
      <c r="O37" s="21">
        <v>1.1273448773448773</v>
      </c>
      <c r="P37" s="66">
        <f t="shared" ref="P37:P42" si="9">O37/$O$42*100</f>
        <v>0.78125</v>
      </c>
      <c r="Q37" s="23"/>
    </row>
    <row r="38" spans="1:24" x14ac:dyDescent="0.2">
      <c r="A38" s="23"/>
      <c r="B38" s="23"/>
      <c r="C38" s="23"/>
      <c r="D38" s="23"/>
      <c r="E38" s="23"/>
      <c r="F38" s="20"/>
      <c r="G38" s="20"/>
      <c r="H38" s="20"/>
      <c r="I38" s="21"/>
      <c r="J38" s="20">
        <v>2</v>
      </c>
      <c r="K38" s="21"/>
      <c r="L38" s="21">
        <v>15</v>
      </c>
      <c r="M38" s="66">
        <f t="shared" si="8"/>
        <v>17.69911504424779</v>
      </c>
      <c r="N38" s="21"/>
      <c r="O38" s="21">
        <v>2.8183621933621934</v>
      </c>
      <c r="P38" s="66">
        <f t="shared" si="9"/>
        <v>1.953125</v>
      </c>
      <c r="Q38" s="23"/>
    </row>
    <row r="39" spans="1:24" x14ac:dyDescent="0.2">
      <c r="A39" s="23"/>
      <c r="B39" s="23"/>
      <c r="C39" s="23"/>
      <c r="D39" s="23"/>
      <c r="E39" s="23"/>
      <c r="F39" s="20"/>
      <c r="G39" s="20"/>
      <c r="H39" s="20"/>
      <c r="I39" s="21"/>
      <c r="J39" s="20">
        <v>3</v>
      </c>
      <c r="K39" s="21"/>
      <c r="L39" s="21">
        <v>28.5</v>
      </c>
      <c r="M39" s="66">
        <f t="shared" si="8"/>
        <v>33.628318584070804</v>
      </c>
      <c r="N39" s="21"/>
      <c r="O39" s="21">
        <v>11.273448773448774</v>
      </c>
      <c r="P39" s="66">
        <f t="shared" si="9"/>
        <v>7.8125</v>
      </c>
      <c r="Q39" s="23"/>
    </row>
    <row r="40" spans="1:24" x14ac:dyDescent="0.2">
      <c r="A40" s="23"/>
      <c r="B40" s="23"/>
      <c r="C40" s="23"/>
      <c r="D40" s="23"/>
      <c r="E40" s="23"/>
      <c r="F40" s="30"/>
      <c r="G40" s="30"/>
      <c r="H40" s="20"/>
      <c r="I40" s="21"/>
      <c r="J40" s="20">
        <v>4</v>
      </c>
      <c r="K40" s="21"/>
      <c r="L40" s="21">
        <v>46.5</v>
      </c>
      <c r="M40" s="66">
        <f t="shared" si="8"/>
        <v>54.867256637168147</v>
      </c>
      <c r="N40" s="21"/>
      <c r="O40" s="21">
        <v>65.386002886002871</v>
      </c>
      <c r="P40" s="66">
        <f t="shared" si="9"/>
        <v>45.312499999999986</v>
      </c>
      <c r="Q40" s="23"/>
    </row>
    <row r="41" spans="1:24" x14ac:dyDescent="0.2">
      <c r="A41" s="23"/>
      <c r="B41" s="23"/>
      <c r="C41" s="23"/>
      <c r="D41" s="23"/>
      <c r="E41" s="23"/>
      <c r="F41" s="20"/>
      <c r="G41" s="20"/>
      <c r="H41" s="20"/>
      <c r="I41" s="21"/>
      <c r="J41" s="20">
        <v>5</v>
      </c>
      <c r="K41" s="21"/>
      <c r="L41" s="21">
        <v>61.499999999999993</v>
      </c>
      <c r="M41" s="66">
        <f t="shared" si="8"/>
        <v>72.56637168141593</v>
      </c>
      <c r="N41" s="21"/>
      <c r="O41" s="21">
        <v>116.11652236652236</v>
      </c>
      <c r="P41" s="66">
        <f t="shared" si="9"/>
        <v>80.46875</v>
      </c>
      <c r="Q41" s="23"/>
    </row>
    <row r="42" spans="1:24" x14ac:dyDescent="0.2">
      <c r="A42" s="23"/>
      <c r="B42" s="23"/>
      <c r="C42" s="23"/>
      <c r="D42" s="23"/>
      <c r="E42" s="23"/>
      <c r="F42" s="20"/>
      <c r="G42" s="20"/>
      <c r="H42" s="20"/>
      <c r="I42" s="21"/>
      <c r="J42" s="20">
        <v>6</v>
      </c>
      <c r="K42" s="21"/>
      <c r="L42" s="21">
        <v>84.749999999999986</v>
      </c>
      <c r="M42" s="66">
        <f t="shared" si="8"/>
        <v>100</v>
      </c>
      <c r="N42" s="21"/>
      <c r="O42" s="21">
        <v>144.3001443001443</v>
      </c>
      <c r="P42" s="66">
        <f t="shared" si="9"/>
        <v>100</v>
      </c>
      <c r="Q42" s="23"/>
    </row>
    <row r="43" spans="1:24" x14ac:dyDescent="0.2">
      <c r="A43" s="23"/>
      <c r="B43" s="23"/>
      <c r="C43" s="23"/>
      <c r="D43" s="23"/>
      <c r="E43" s="23"/>
      <c r="F43" s="20"/>
      <c r="G43" s="20"/>
      <c r="H43" s="20"/>
      <c r="I43" s="21">
        <v>223.21428571428569</v>
      </c>
      <c r="J43" s="65">
        <v>0</v>
      </c>
      <c r="K43" s="21"/>
      <c r="L43" s="21">
        <v>0</v>
      </c>
      <c r="M43" s="66">
        <f>L43/$L$49*100</f>
        <v>0</v>
      </c>
      <c r="N43" s="21"/>
      <c r="O43" s="21">
        <v>0</v>
      </c>
      <c r="P43" s="66">
        <f>O43/$O$49*100</f>
        <v>0</v>
      </c>
      <c r="Q43" s="23"/>
    </row>
    <row r="44" spans="1:24" x14ac:dyDescent="0.2">
      <c r="A44" s="23"/>
      <c r="B44" s="23"/>
      <c r="C44" s="23"/>
      <c r="D44" s="23"/>
      <c r="E44" s="23"/>
      <c r="F44" s="20"/>
      <c r="G44" s="20"/>
      <c r="H44" s="20"/>
      <c r="I44" s="21"/>
      <c r="J44" s="20">
        <v>1</v>
      </c>
      <c r="K44" s="21"/>
      <c r="L44" s="21">
        <v>6.75</v>
      </c>
      <c r="M44" s="66">
        <f t="shared" ref="M44:M49" si="10">L44/$L$49*100</f>
        <v>7.9646017699115053</v>
      </c>
      <c r="N44" s="21"/>
      <c r="O44" s="21">
        <v>1.1273448773448773</v>
      </c>
      <c r="P44" s="66">
        <f t="shared" ref="P44:P49" si="11">O44/$O$49*100</f>
        <v>0.60606060606060608</v>
      </c>
      <c r="S44" s="23"/>
      <c r="U44" s="23"/>
      <c r="W44" s="23"/>
    </row>
    <row r="45" spans="1:24" x14ac:dyDescent="0.2">
      <c r="A45" s="23"/>
      <c r="B45" s="23"/>
      <c r="C45" s="23"/>
      <c r="D45" s="23"/>
      <c r="E45" s="23"/>
      <c r="F45" s="30"/>
      <c r="G45" s="30"/>
      <c r="H45" s="20"/>
      <c r="I45" s="21"/>
      <c r="J45" s="20">
        <v>2</v>
      </c>
      <c r="K45" s="21"/>
      <c r="L45" s="21">
        <v>15</v>
      </c>
      <c r="M45" s="66">
        <f t="shared" si="10"/>
        <v>17.69911504424779</v>
      </c>
      <c r="N45" s="21"/>
      <c r="O45" s="21">
        <v>2.8183621933621934</v>
      </c>
      <c r="P45" s="66">
        <f t="shared" si="11"/>
        <v>1.5151515151515151</v>
      </c>
      <c r="R45" s="11"/>
      <c r="T45" s="11"/>
      <c r="V45" s="11"/>
      <c r="X45" s="11"/>
    </row>
    <row r="46" spans="1:24" x14ac:dyDescent="0.2">
      <c r="A46" s="23"/>
      <c r="B46" s="23"/>
      <c r="C46" s="23"/>
      <c r="D46" s="23"/>
      <c r="E46" s="23"/>
      <c r="F46" s="20"/>
      <c r="G46" s="20"/>
      <c r="H46" s="20"/>
      <c r="I46" s="21"/>
      <c r="J46" s="20">
        <v>3</v>
      </c>
      <c r="K46" s="21"/>
      <c r="L46" s="21">
        <v>28.5</v>
      </c>
      <c r="M46" s="66">
        <f t="shared" si="10"/>
        <v>33.628318584070804</v>
      </c>
      <c r="N46" s="21"/>
      <c r="O46" s="21">
        <v>13.528138528138527</v>
      </c>
      <c r="P46" s="66">
        <f t="shared" si="11"/>
        <v>7.2727272727272725</v>
      </c>
      <c r="R46" s="11"/>
      <c r="T46" s="11"/>
      <c r="V46" s="11"/>
      <c r="X46" s="11"/>
    </row>
    <row r="47" spans="1:24" x14ac:dyDescent="0.2">
      <c r="A47" s="23"/>
      <c r="B47" s="23"/>
      <c r="C47" s="23"/>
      <c r="D47" s="23"/>
      <c r="E47" s="23"/>
      <c r="F47" s="20"/>
      <c r="G47" s="20"/>
      <c r="H47" s="20"/>
      <c r="I47" s="21"/>
      <c r="J47" s="20">
        <v>4</v>
      </c>
      <c r="K47" s="21"/>
      <c r="L47" s="21">
        <v>46.5</v>
      </c>
      <c r="M47" s="66">
        <f t="shared" si="10"/>
        <v>54.867256637168147</v>
      </c>
      <c r="N47" s="21"/>
      <c r="O47" s="21">
        <v>57.494588744588746</v>
      </c>
      <c r="P47" s="66">
        <f t="shared" si="11"/>
        <v>30.909090909090907</v>
      </c>
      <c r="R47" s="11"/>
      <c r="T47" s="11"/>
      <c r="V47" s="11"/>
      <c r="X47" s="11"/>
    </row>
    <row r="48" spans="1:24" x14ac:dyDescent="0.2">
      <c r="A48" s="23"/>
      <c r="B48" s="23"/>
      <c r="C48" s="23"/>
      <c r="D48" s="23"/>
      <c r="E48" s="23"/>
      <c r="F48" s="20"/>
      <c r="G48" s="20"/>
      <c r="H48" s="20"/>
      <c r="I48" s="21"/>
      <c r="J48" s="20">
        <v>5</v>
      </c>
      <c r="K48" s="21"/>
      <c r="L48" s="21">
        <v>61.499999999999993</v>
      </c>
      <c r="M48" s="66">
        <f t="shared" si="10"/>
        <v>72.56637168141593</v>
      </c>
      <c r="N48" s="21"/>
      <c r="O48" s="21">
        <v>136.40873015873015</v>
      </c>
      <c r="P48" s="66">
        <f t="shared" si="11"/>
        <v>73.333333333333329</v>
      </c>
      <c r="Q48" s="23"/>
      <c r="R48" s="11"/>
      <c r="T48" s="11"/>
      <c r="V48" s="11"/>
      <c r="X48" s="11"/>
    </row>
    <row r="49" spans="1:24" x14ac:dyDescent="0.2">
      <c r="A49" s="23"/>
      <c r="B49" s="23"/>
      <c r="C49" s="23"/>
      <c r="D49" s="23"/>
      <c r="E49" s="23"/>
      <c r="F49" s="20"/>
      <c r="G49" s="20"/>
      <c r="H49" s="20"/>
      <c r="I49" s="21"/>
      <c r="J49" s="20">
        <v>6</v>
      </c>
      <c r="K49" s="21"/>
      <c r="L49" s="21">
        <v>84.749999999999986</v>
      </c>
      <c r="M49" s="66">
        <f t="shared" si="10"/>
        <v>100</v>
      </c>
      <c r="N49" s="21"/>
      <c r="O49" s="21">
        <v>186.01190476190476</v>
      </c>
      <c r="P49" s="66">
        <f t="shared" si="11"/>
        <v>100</v>
      </c>
      <c r="Q49" s="17"/>
      <c r="R49" s="11"/>
      <c r="T49" s="11"/>
      <c r="V49" s="11"/>
      <c r="X49" s="11"/>
    </row>
    <row r="50" spans="1:24" x14ac:dyDescent="0.2">
      <c r="A50" s="23" t="s">
        <v>124</v>
      </c>
      <c r="B50" s="55" t="s">
        <v>125</v>
      </c>
      <c r="C50" s="23" t="s">
        <v>126</v>
      </c>
      <c r="D50" s="23"/>
      <c r="E50" s="23"/>
      <c r="F50" s="30"/>
      <c r="G50" s="30"/>
      <c r="H50" s="20">
        <v>90</v>
      </c>
      <c r="I50" s="21"/>
      <c r="J50" s="20">
        <v>0</v>
      </c>
      <c r="K50" s="247" t="s">
        <v>127</v>
      </c>
      <c r="L50" s="21">
        <v>0</v>
      </c>
      <c r="M50" s="21">
        <f>L50/$L$53*100</f>
        <v>0</v>
      </c>
      <c r="N50" s="21" t="s">
        <v>128</v>
      </c>
      <c r="O50" s="21">
        <v>0</v>
      </c>
      <c r="P50" s="21">
        <f>O50/$O$53*100</f>
        <v>0</v>
      </c>
      <c r="Q50" s="17"/>
      <c r="R50" s="11"/>
      <c r="T50" s="11"/>
      <c r="V50" s="11"/>
      <c r="X50" s="11"/>
    </row>
    <row r="51" spans="1:24" x14ac:dyDescent="0.2">
      <c r="A51" s="23"/>
      <c r="B51" s="23"/>
      <c r="C51" s="23"/>
      <c r="D51" s="23"/>
      <c r="E51" s="23"/>
      <c r="F51" s="20"/>
      <c r="G51" s="20"/>
      <c r="H51" s="20"/>
      <c r="I51" s="21"/>
      <c r="J51" s="20">
        <v>1</v>
      </c>
      <c r="K51" s="247"/>
      <c r="L51" s="21">
        <v>30</v>
      </c>
      <c r="M51" s="21">
        <f>L51/$L$53*100</f>
        <v>33.333333333333329</v>
      </c>
      <c r="N51" s="21"/>
      <c r="O51" s="21">
        <v>101</v>
      </c>
      <c r="P51" s="21">
        <f>O51/$O$53*100</f>
        <v>9.1568449682683593</v>
      </c>
      <c r="Q51" s="17"/>
      <c r="R51" s="11"/>
      <c r="T51" s="11"/>
      <c r="V51" s="11"/>
      <c r="X51" s="11"/>
    </row>
    <row r="52" spans="1:24" x14ac:dyDescent="0.2">
      <c r="A52" s="23"/>
      <c r="B52" s="23"/>
      <c r="C52" s="23"/>
      <c r="D52" s="23"/>
      <c r="E52" s="23"/>
      <c r="F52" s="20"/>
      <c r="G52" s="20"/>
      <c r="H52" s="20"/>
      <c r="I52" s="21"/>
      <c r="J52" s="20">
        <v>2</v>
      </c>
      <c r="K52" s="247"/>
      <c r="L52" s="21">
        <v>60</v>
      </c>
      <c r="M52" s="21">
        <f>L52/$L$53*100</f>
        <v>66.666666666666657</v>
      </c>
      <c r="N52" s="21"/>
      <c r="O52" s="21">
        <v>446</v>
      </c>
      <c r="P52" s="21">
        <f>O52/$O$53*100</f>
        <v>40.43517679057117</v>
      </c>
      <c r="Q52" s="23"/>
    </row>
    <row r="53" spans="1:24" ht="33.75" customHeight="1" x14ac:dyDescent="0.2">
      <c r="A53" s="23"/>
      <c r="B53" s="23"/>
      <c r="C53" s="23"/>
      <c r="D53" s="23"/>
      <c r="E53" s="23"/>
      <c r="F53" s="20"/>
      <c r="G53" s="20"/>
      <c r="H53" s="20"/>
      <c r="I53" s="21"/>
      <c r="J53" s="20">
        <v>3</v>
      </c>
      <c r="K53" s="247"/>
      <c r="L53" s="21">
        <v>90</v>
      </c>
      <c r="M53" s="21">
        <f>L53/$L$53*100</f>
        <v>100</v>
      </c>
      <c r="N53" s="21"/>
      <c r="O53" s="21">
        <v>1103</v>
      </c>
      <c r="P53" s="21">
        <f>O53/$O$53*100</f>
        <v>100</v>
      </c>
      <c r="Q53" s="23"/>
      <c r="T53" s="11"/>
      <c r="V53" s="11"/>
      <c r="X53" s="11"/>
    </row>
    <row r="54" spans="1:24" x14ac:dyDescent="0.2">
      <c r="A54" s="23"/>
      <c r="B54" s="23"/>
      <c r="C54" s="23"/>
      <c r="D54" s="23"/>
      <c r="E54" s="23"/>
      <c r="F54" s="20"/>
      <c r="G54" s="20"/>
      <c r="H54" s="20"/>
      <c r="I54" s="21"/>
      <c r="J54" s="20"/>
      <c r="K54" s="21"/>
      <c r="L54" s="21"/>
      <c r="M54" s="21"/>
      <c r="N54" s="21"/>
      <c r="O54" s="21"/>
      <c r="P54" s="21"/>
      <c r="Q54" s="23"/>
      <c r="T54" s="11"/>
      <c r="V54" s="11"/>
      <c r="X54" s="11"/>
    </row>
    <row r="55" spans="1:24" x14ac:dyDescent="0.2">
      <c r="A55" s="23"/>
      <c r="B55" s="23"/>
      <c r="C55" s="23"/>
      <c r="D55" s="23"/>
      <c r="E55" s="23"/>
      <c r="F55" s="30"/>
      <c r="G55" s="30"/>
      <c r="H55" s="20"/>
      <c r="I55" s="21"/>
      <c r="J55" s="20"/>
      <c r="K55" s="21"/>
      <c r="L55" s="21"/>
      <c r="M55" s="21"/>
      <c r="N55" s="21"/>
      <c r="O55" s="21"/>
      <c r="P55" s="21"/>
      <c r="Q55" s="23"/>
      <c r="T55" s="11"/>
      <c r="V55" s="11"/>
      <c r="X55" s="11"/>
    </row>
    <row r="56" spans="1:24" x14ac:dyDescent="0.2">
      <c r="A56" s="23"/>
      <c r="B56" s="23"/>
      <c r="C56" s="23"/>
      <c r="D56" s="23"/>
      <c r="E56" s="23"/>
      <c r="F56" s="20"/>
      <c r="G56" s="20"/>
      <c r="H56" s="20"/>
      <c r="I56" s="21"/>
      <c r="K56" s="21"/>
      <c r="L56" s="21"/>
      <c r="M56" s="21"/>
      <c r="N56" s="21"/>
      <c r="O56" s="21"/>
      <c r="P56" s="21"/>
      <c r="Q56" s="23"/>
      <c r="T56" s="11"/>
      <c r="V56" s="11"/>
      <c r="X56" s="11"/>
    </row>
    <row r="57" spans="1:24" x14ac:dyDescent="0.2">
      <c r="A57" s="23"/>
      <c r="B57" s="23"/>
      <c r="C57" s="23"/>
      <c r="D57" s="23"/>
      <c r="E57" s="23"/>
      <c r="F57" s="20"/>
      <c r="G57" s="20"/>
      <c r="H57" s="20"/>
      <c r="I57" s="21"/>
      <c r="K57" s="21"/>
      <c r="L57" s="21"/>
      <c r="M57" s="21"/>
      <c r="N57" s="21"/>
      <c r="O57" s="21"/>
      <c r="P57" s="21"/>
      <c r="Q57" s="23"/>
      <c r="T57" s="11"/>
      <c r="V57" s="11"/>
      <c r="X57" s="11"/>
    </row>
    <row r="58" spans="1:24" x14ac:dyDescent="0.2">
      <c r="A58" s="23"/>
      <c r="B58" s="23"/>
      <c r="C58" s="23"/>
      <c r="D58" s="23"/>
      <c r="E58" s="23"/>
      <c r="F58" s="20"/>
      <c r="G58" s="20"/>
      <c r="H58" s="20"/>
      <c r="I58" s="21"/>
      <c r="K58" s="21"/>
      <c r="L58" s="21"/>
      <c r="M58" s="21"/>
      <c r="N58" s="21"/>
      <c r="O58" s="21"/>
      <c r="P58" s="21"/>
      <c r="Q58" s="23"/>
      <c r="T58" s="11"/>
      <c r="V58" s="11"/>
      <c r="X58" s="11"/>
    </row>
    <row r="59" spans="1:24" x14ac:dyDescent="0.2">
      <c r="A59" s="23"/>
      <c r="B59" s="23"/>
      <c r="C59" s="23"/>
      <c r="D59" s="23"/>
      <c r="E59" s="23"/>
      <c r="F59" s="20"/>
      <c r="G59" s="20"/>
      <c r="H59" s="20"/>
      <c r="I59" s="21"/>
      <c r="K59" s="21"/>
      <c r="L59" s="21"/>
      <c r="M59" s="21"/>
      <c r="N59" s="21"/>
      <c r="O59" s="21"/>
      <c r="P59" s="21"/>
      <c r="Q59" s="23"/>
      <c r="T59" s="11"/>
      <c r="V59" s="11"/>
      <c r="X59" s="11"/>
    </row>
    <row r="60" spans="1:24" x14ac:dyDescent="0.2">
      <c r="A60" s="23"/>
      <c r="B60" s="23"/>
      <c r="C60" s="23"/>
      <c r="D60" s="23"/>
      <c r="E60" s="23"/>
      <c r="F60" s="30"/>
      <c r="G60" s="30"/>
      <c r="H60" s="20"/>
      <c r="I60" s="21"/>
      <c r="K60" s="21"/>
      <c r="L60" s="21"/>
      <c r="M60" s="21"/>
      <c r="N60" s="21"/>
      <c r="O60" s="21"/>
      <c r="P60" s="21"/>
      <c r="Q60" s="23"/>
    </row>
    <row r="61" spans="1:24" x14ac:dyDescent="0.2">
      <c r="A61" s="23"/>
      <c r="B61" s="23"/>
      <c r="C61" s="23"/>
      <c r="D61" s="23"/>
      <c r="E61" s="23"/>
      <c r="F61" s="20"/>
      <c r="G61" s="20"/>
      <c r="H61" s="20"/>
      <c r="I61" s="21"/>
      <c r="K61" s="21"/>
      <c r="L61" s="21"/>
      <c r="M61" s="21"/>
      <c r="N61" s="21"/>
      <c r="O61" s="21"/>
      <c r="P61" s="21"/>
      <c r="Q61" s="23"/>
    </row>
    <row r="62" spans="1:24" x14ac:dyDescent="0.2">
      <c r="A62" s="23"/>
      <c r="B62" s="23"/>
      <c r="C62" s="23"/>
      <c r="D62" s="23"/>
      <c r="E62" s="23"/>
      <c r="F62" s="20"/>
      <c r="G62" s="20"/>
      <c r="H62" s="20"/>
      <c r="I62" s="21"/>
      <c r="J62" s="20"/>
      <c r="K62" s="21"/>
      <c r="L62" s="21"/>
      <c r="M62" s="21"/>
      <c r="N62" s="21"/>
      <c r="O62" s="21"/>
      <c r="P62" s="21"/>
      <c r="Q62" s="23"/>
    </row>
    <row r="63" spans="1:24" x14ac:dyDescent="0.2">
      <c r="A63" s="23"/>
      <c r="B63" s="23"/>
      <c r="C63" s="23"/>
      <c r="D63" s="23"/>
      <c r="E63" s="23"/>
      <c r="F63" s="20"/>
      <c r="G63" s="20"/>
      <c r="H63" s="20"/>
      <c r="I63" s="21"/>
      <c r="J63" s="20"/>
      <c r="K63" s="21"/>
      <c r="L63" s="21"/>
      <c r="M63" s="21"/>
      <c r="N63" s="21"/>
      <c r="O63" s="21"/>
      <c r="P63" s="21"/>
      <c r="Q63" s="23"/>
    </row>
    <row r="64" spans="1:24" x14ac:dyDescent="0.2">
      <c r="A64" s="23"/>
      <c r="B64" s="23"/>
      <c r="C64" s="23"/>
      <c r="D64" s="23"/>
      <c r="E64" s="23"/>
      <c r="F64" s="20"/>
      <c r="G64" s="20"/>
      <c r="H64" s="20"/>
      <c r="I64" s="21"/>
      <c r="J64" s="20"/>
      <c r="K64" s="21"/>
      <c r="L64" s="21"/>
      <c r="M64" s="21"/>
      <c r="N64" s="21"/>
      <c r="O64" s="21"/>
      <c r="P64" s="21"/>
      <c r="Q64" s="23"/>
    </row>
    <row r="65" spans="1:17" x14ac:dyDescent="0.2">
      <c r="A65" s="23"/>
      <c r="B65" s="23"/>
      <c r="C65" s="23"/>
      <c r="D65" s="17"/>
      <c r="E65" s="17"/>
      <c r="F65" s="30"/>
      <c r="G65" s="30"/>
      <c r="H65" s="20"/>
      <c r="I65" s="21"/>
      <c r="J65" s="20"/>
      <c r="K65" s="21"/>
      <c r="L65" s="21"/>
      <c r="M65" s="21"/>
      <c r="N65" s="21"/>
      <c r="O65" s="20"/>
      <c r="P65" s="21"/>
      <c r="Q65" s="23"/>
    </row>
    <row r="66" spans="1:17" x14ac:dyDescent="0.2">
      <c r="A66" s="23"/>
      <c r="B66" s="23"/>
      <c r="C66" s="23"/>
      <c r="D66" s="17"/>
      <c r="E66" s="17"/>
      <c r="F66" s="20"/>
      <c r="G66" s="20"/>
      <c r="H66" s="20"/>
      <c r="I66" s="21"/>
      <c r="J66" s="20"/>
      <c r="K66" s="21"/>
      <c r="L66" s="21"/>
      <c r="M66" s="21"/>
      <c r="N66" s="21"/>
      <c r="O66" s="21"/>
      <c r="P66" s="21"/>
      <c r="Q66" s="23"/>
    </row>
    <row r="67" spans="1:17" x14ac:dyDescent="0.2">
      <c r="A67" s="23"/>
      <c r="B67" s="23"/>
      <c r="C67" s="23"/>
      <c r="D67" s="17"/>
      <c r="E67" s="17"/>
      <c r="F67" s="20"/>
      <c r="G67" s="20"/>
      <c r="H67" s="20"/>
      <c r="I67" s="21"/>
      <c r="J67" s="20"/>
      <c r="K67" s="21"/>
      <c r="L67" s="21"/>
      <c r="M67" s="21"/>
      <c r="N67" s="21"/>
      <c r="O67" s="21"/>
      <c r="P67" s="21"/>
      <c r="Q67" s="23"/>
    </row>
    <row r="68" spans="1:17" x14ac:dyDescent="0.2">
      <c r="A68" s="23"/>
      <c r="B68" s="23"/>
      <c r="C68" s="23"/>
      <c r="D68" s="17"/>
      <c r="E68" s="17"/>
      <c r="F68" s="20"/>
      <c r="G68" s="20"/>
      <c r="H68" s="20"/>
      <c r="I68" s="21"/>
      <c r="J68" s="20"/>
      <c r="K68" s="21"/>
      <c r="L68" s="21"/>
      <c r="M68" s="21"/>
      <c r="N68" s="21"/>
      <c r="O68" s="21"/>
      <c r="P68" s="21"/>
      <c r="Q68" s="23"/>
    </row>
    <row r="69" spans="1:17" x14ac:dyDescent="0.2">
      <c r="A69" s="23"/>
      <c r="B69" s="23"/>
      <c r="C69" s="23"/>
      <c r="D69" s="17"/>
      <c r="E69" s="17"/>
      <c r="F69" s="20"/>
      <c r="G69" s="20"/>
      <c r="H69" s="20"/>
      <c r="I69" s="21"/>
      <c r="J69" s="20"/>
      <c r="K69" s="21"/>
      <c r="L69" s="21"/>
      <c r="M69" s="21"/>
      <c r="N69" s="21"/>
      <c r="O69" s="21"/>
      <c r="P69" s="21"/>
      <c r="Q69" s="23"/>
    </row>
    <row r="70" spans="1:17" x14ac:dyDescent="0.2">
      <c r="A70" s="23"/>
      <c r="B70" s="23"/>
      <c r="C70" s="23"/>
      <c r="D70" s="17"/>
      <c r="E70" s="17"/>
      <c r="F70" s="20"/>
      <c r="G70" s="20"/>
      <c r="H70" s="20"/>
      <c r="I70" s="21"/>
      <c r="J70" s="20"/>
      <c r="K70" s="21"/>
      <c r="L70" s="21"/>
      <c r="M70" s="21"/>
      <c r="N70" s="21"/>
      <c r="O70" s="21"/>
      <c r="P70" s="21"/>
      <c r="Q70" s="23"/>
    </row>
    <row r="71" spans="1:17" x14ac:dyDescent="0.2">
      <c r="A71" s="23"/>
      <c r="B71" s="23"/>
      <c r="C71" s="23"/>
      <c r="D71" s="17"/>
      <c r="E71" s="17"/>
      <c r="F71" s="20"/>
      <c r="G71" s="20"/>
      <c r="H71" s="20"/>
      <c r="I71" s="21"/>
      <c r="J71" s="20"/>
      <c r="K71" s="21"/>
      <c r="L71" s="21"/>
      <c r="M71" s="21"/>
      <c r="N71" s="21"/>
      <c r="O71" s="21"/>
      <c r="P71" s="21"/>
      <c r="Q71" s="23"/>
    </row>
    <row r="72" spans="1:17" x14ac:dyDescent="0.2">
      <c r="A72" s="23"/>
      <c r="B72" s="23"/>
      <c r="C72" s="23"/>
      <c r="D72" s="23"/>
      <c r="E72" s="23"/>
      <c r="F72" s="30"/>
      <c r="G72" s="30"/>
      <c r="H72" s="20"/>
      <c r="I72" s="21"/>
      <c r="J72" s="20"/>
      <c r="K72" s="21"/>
      <c r="L72" s="21"/>
      <c r="M72" s="21"/>
      <c r="N72" s="21"/>
      <c r="O72" s="20"/>
      <c r="P72" s="21"/>
      <c r="Q72" s="23"/>
    </row>
    <row r="73" spans="1:17" x14ac:dyDescent="0.2">
      <c r="A73" s="23"/>
      <c r="B73" s="23"/>
      <c r="C73" s="23"/>
      <c r="D73" s="23"/>
      <c r="E73" s="23"/>
      <c r="F73" s="20"/>
      <c r="G73" s="20"/>
      <c r="H73" s="20"/>
      <c r="I73" s="21"/>
      <c r="J73" s="20"/>
      <c r="K73" s="21"/>
      <c r="L73" s="21"/>
      <c r="M73" s="21"/>
      <c r="N73" s="21"/>
      <c r="O73" s="21"/>
      <c r="P73" s="21"/>
      <c r="Q73" s="23"/>
    </row>
    <row r="74" spans="1:17" x14ac:dyDescent="0.2">
      <c r="A74" s="23"/>
      <c r="B74" s="23"/>
      <c r="C74" s="23"/>
      <c r="D74" s="23"/>
      <c r="E74" s="23"/>
      <c r="F74" s="20"/>
      <c r="G74" s="20"/>
      <c r="H74" s="20"/>
      <c r="I74" s="21"/>
      <c r="J74" s="20"/>
      <c r="K74" s="21"/>
      <c r="L74" s="21"/>
      <c r="M74" s="21"/>
      <c r="N74" s="21"/>
      <c r="O74" s="21"/>
      <c r="P74" s="21"/>
      <c r="Q74" s="23"/>
    </row>
    <row r="75" spans="1:17" x14ac:dyDescent="0.2">
      <c r="A75" s="23"/>
      <c r="B75" s="23"/>
      <c r="C75" s="23"/>
      <c r="D75" s="23"/>
      <c r="E75" s="23"/>
      <c r="F75" s="20"/>
      <c r="G75" s="20"/>
      <c r="H75" s="20"/>
      <c r="I75" s="21"/>
      <c r="J75" s="20"/>
      <c r="K75" s="21"/>
      <c r="L75" s="21"/>
      <c r="M75" s="21"/>
      <c r="N75" s="21"/>
      <c r="O75" s="21"/>
      <c r="P75" s="21"/>
      <c r="Q75" s="23"/>
    </row>
    <row r="76" spans="1:17" x14ac:dyDescent="0.2">
      <c r="A76" s="23"/>
      <c r="B76" s="23"/>
      <c r="C76" s="23"/>
      <c r="D76" s="23"/>
      <c r="E76" s="23"/>
      <c r="F76" s="20"/>
      <c r="G76" s="20"/>
      <c r="H76" s="20"/>
      <c r="I76" s="21"/>
      <c r="J76" s="20"/>
      <c r="K76" s="21"/>
      <c r="L76" s="21"/>
      <c r="M76" s="21"/>
      <c r="N76" s="21"/>
      <c r="O76" s="21"/>
      <c r="P76" s="21"/>
      <c r="Q76" s="23"/>
    </row>
    <row r="77" spans="1:17" x14ac:dyDescent="0.2">
      <c r="A77" s="23"/>
      <c r="B77" s="23"/>
      <c r="C77" s="23"/>
      <c r="D77" s="23"/>
      <c r="E77" s="23"/>
      <c r="F77" s="20"/>
      <c r="G77" s="20"/>
      <c r="H77" s="20"/>
      <c r="I77" s="21"/>
      <c r="J77" s="20"/>
      <c r="K77" s="21"/>
      <c r="L77" s="21"/>
      <c r="M77" s="21"/>
      <c r="N77" s="21"/>
      <c r="O77" s="21"/>
      <c r="P77" s="21"/>
      <c r="Q77" s="23"/>
    </row>
    <row r="78" spans="1:17" x14ac:dyDescent="0.2">
      <c r="A78" s="23"/>
      <c r="B78" s="23"/>
      <c r="C78" s="23"/>
      <c r="D78" s="23"/>
      <c r="E78" s="23"/>
      <c r="F78" s="20"/>
      <c r="G78" s="20"/>
      <c r="H78" s="20"/>
      <c r="I78" s="21"/>
      <c r="J78" s="20"/>
      <c r="K78" s="21"/>
      <c r="L78" s="21"/>
      <c r="M78" s="21"/>
      <c r="N78" s="21"/>
      <c r="O78" s="21"/>
      <c r="P78" s="21"/>
      <c r="Q78" s="23"/>
    </row>
    <row r="81" spans="1:25" x14ac:dyDescent="0.2">
      <c r="A81" t="s">
        <v>37</v>
      </c>
      <c r="C81" s="232" t="s">
        <v>123</v>
      </c>
      <c r="D81" s="233"/>
      <c r="E81" s="233"/>
      <c r="F81" s="233"/>
      <c r="G81" s="233"/>
      <c r="H81" s="233"/>
      <c r="I81" s="233"/>
      <c r="J81" s="233"/>
      <c r="K81" s="233"/>
      <c r="L81" s="233"/>
      <c r="M81" s="234"/>
      <c r="N81" s="70"/>
    </row>
    <row r="82" spans="1:25" x14ac:dyDescent="0.2">
      <c r="C82" s="235"/>
      <c r="D82" s="236"/>
      <c r="E82" s="236"/>
      <c r="F82" s="236"/>
      <c r="G82" s="236"/>
      <c r="H82" s="236"/>
      <c r="I82" s="236"/>
      <c r="J82" s="236"/>
      <c r="K82" s="236"/>
      <c r="L82" s="236"/>
      <c r="M82" s="237"/>
      <c r="N82" s="70"/>
    </row>
    <row r="83" spans="1:25" x14ac:dyDescent="0.2">
      <c r="C83" s="238"/>
      <c r="D83" s="239"/>
      <c r="E83" s="239"/>
      <c r="F83" s="239"/>
      <c r="G83" s="239"/>
      <c r="H83" s="239"/>
      <c r="I83" s="239"/>
      <c r="J83" s="239"/>
      <c r="K83" s="239"/>
      <c r="L83" s="239"/>
      <c r="M83" s="240"/>
      <c r="N83" s="70"/>
    </row>
    <row r="84" spans="1:25" x14ac:dyDescent="0.2">
      <c r="C84" s="14"/>
      <c r="D84" s="14"/>
      <c r="E84" s="14"/>
      <c r="F84" s="14"/>
      <c r="G84" s="14"/>
      <c r="H84" s="14"/>
      <c r="I84" s="14"/>
      <c r="J84" s="14"/>
      <c r="K84" s="14"/>
      <c r="L84" s="14"/>
    </row>
    <row r="85" spans="1:25" x14ac:dyDescent="0.2">
      <c r="C85" s="232" t="s">
        <v>129</v>
      </c>
      <c r="D85" s="233"/>
      <c r="E85" s="233"/>
      <c r="F85" s="233"/>
      <c r="G85" s="233"/>
      <c r="H85" s="233"/>
      <c r="I85" s="233"/>
      <c r="J85" s="233"/>
      <c r="K85" s="233"/>
      <c r="L85" s="233"/>
      <c r="M85" s="233"/>
      <c r="N85" s="233"/>
      <c r="O85" s="233"/>
      <c r="P85" s="234"/>
    </row>
    <row r="86" spans="1:25" x14ac:dyDescent="0.2">
      <c r="C86" s="235"/>
      <c r="D86" s="236"/>
      <c r="E86" s="236"/>
      <c r="F86" s="236"/>
      <c r="G86" s="236"/>
      <c r="H86" s="236"/>
      <c r="I86" s="236"/>
      <c r="J86" s="236"/>
      <c r="K86" s="236"/>
      <c r="L86" s="236"/>
      <c r="M86" s="236"/>
      <c r="N86" s="236"/>
      <c r="O86" s="236"/>
      <c r="P86" s="237"/>
      <c r="Q86" s="241"/>
      <c r="R86" s="241"/>
      <c r="S86" s="241"/>
      <c r="T86" s="241"/>
      <c r="U86" s="241"/>
      <c r="V86" s="241"/>
      <c r="X86" s="241"/>
      <c r="Y86" s="241"/>
    </row>
    <row r="87" spans="1:25" x14ac:dyDescent="0.2">
      <c r="C87" s="238"/>
      <c r="D87" s="239"/>
      <c r="E87" s="239"/>
      <c r="F87" s="239"/>
      <c r="G87" s="239"/>
      <c r="H87" s="239"/>
      <c r="I87" s="239"/>
      <c r="J87" s="239"/>
      <c r="K87" s="239"/>
      <c r="L87" s="239"/>
      <c r="M87" s="239"/>
      <c r="N87" s="239"/>
      <c r="O87" s="239"/>
      <c r="P87" s="240"/>
      <c r="Q87" s="65"/>
      <c r="R87" s="65"/>
      <c r="U87" s="65"/>
      <c r="V87" s="65"/>
    </row>
    <row r="88" spans="1:25" x14ac:dyDescent="0.2">
      <c r="C88" s="68"/>
      <c r="D88" s="68"/>
      <c r="E88" s="68"/>
      <c r="F88" s="68"/>
      <c r="G88" s="68"/>
      <c r="H88" s="68"/>
      <c r="I88" s="68"/>
      <c r="J88" s="68"/>
      <c r="K88" s="68"/>
      <c r="L88" s="68"/>
      <c r="M88" s="68"/>
      <c r="N88" s="68"/>
      <c r="O88" s="68"/>
      <c r="P88" s="68"/>
      <c r="Q88" s="65"/>
      <c r="R88" s="65"/>
      <c r="U88" s="65"/>
      <c r="V88" s="65"/>
    </row>
    <row r="89" spans="1:25" x14ac:dyDescent="0.2">
      <c r="O89"/>
      <c r="P89" s="11"/>
      <c r="Q89" s="65"/>
      <c r="R89" s="11"/>
      <c r="T89" s="11"/>
      <c r="V89" s="11"/>
    </row>
    <row r="90" spans="1:25" x14ac:dyDescent="0.2">
      <c r="A90" s="1"/>
      <c r="B90" s="1"/>
      <c r="G90" s="65" t="str">
        <f>A50</f>
        <v>Pessarakli and Tucker, 1988</v>
      </c>
      <c r="O90"/>
      <c r="P90" s="11"/>
      <c r="Q90" s="65"/>
      <c r="R90" s="11"/>
      <c r="T90" s="11"/>
      <c r="V90" s="11"/>
    </row>
    <row r="91" spans="1:25" x14ac:dyDescent="0.2">
      <c r="A91" s="1"/>
      <c r="B91" s="1" t="s">
        <v>122</v>
      </c>
      <c r="P91" s="11"/>
      <c r="Q91" s="65"/>
      <c r="R91" s="11"/>
      <c r="T91" s="11"/>
      <c r="V91" s="11"/>
    </row>
    <row r="92" spans="1:25" x14ac:dyDescent="0.2">
      <c r="P92" s="11"/>
      <c r="Q92" s="65"/>
      <c r="R92" s="11"/>
      <c r="T92" s="11"/>
      <c r="V92" s="11"/>
    </row>
    <row r="93" spans="1:25" x14ac:dyDescent="0.2">
      <c r="P93" s="11"/>
      <c r="Q93" s="65"/>
      <c r="R93" s="11"/>
      <c r="T93" s="11"/>
      <c r="V93" s="11"/>
    </row>
    <row r="94" spans="1:25" x14ac:dyDescent="0.2">
      <c r="P94" s="11"/>
      <c r="Q94" s="65"/>
      <c r="R94" s="11"/>
      <c r="T94" s="11"/>
      <c r="V94" s="11"/>
    </row>
  </sheetData>
  <mergeCells count="10">
    <mergeCell ref="K3:M3"/>
    <mergeCell ref="S3:Y10"/>
    <mergeCell ref="C81:M83"/>
    <mergeCell ref="C85:P87"/>
    <mergeCell ref="Q86:R86"/>
    <mergeCell ref="S86:T86"/>
    <mergeCell ref="U86:V86"/>
    <mergeCell ref="X86:Y86"/>
    <mergeCell ref="K5:K8"/>
    <mergeCell ref="K50:K53"/>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L80"/>
  <sheetViews>
    <sheetView topLeftCell="F1" zoomScale="40" zoomScaleNormal="40" zoomScalePageLayoutView="40" workbookViewId="0">
      <selection activeCell="AG89" sqref="AG89"/>
    </sheetView>
  </sheetViews>
  <sheetFormatPr baseColWidth="10" defaultColWidth="8.83203125" defaultRowHeight="15" x14ac:dyDescent="0.2"/>
  <cols>
    <col min="1" max="2" width="20.6640625" customWidth="1"/>
    <col min="3" max="3" width="16.33203125" customWidth="1"/>
    <col min="4" max="4" width="10.1640625" customWidth="1"/>
    <col min="5" max="5" width="13.5" customWidth="1"/>
    <col min="6" max="6" width="13.5" style="9" customWidth="1"/>
    <col min="7" max="7" width="13.33203125" style="9" customWidth="1"/>
    <col min="8" max="8" width="10.1640625" style="9" customWidth="1"/>
    <col min="9" max="9" width="12.33203125" style="10" customWidth="1"/>
    <col min="10" max="10" width="10.1640625" style="9" customWidth="1"/>
    <col min="11" max="12" width="13.5" style="10" customWidth="1"/>
    <col min="13" max="13" width="10.1640625" style="10" customWidth="1"/>
    <col min="14" max="14" width="10.1640625" style="13" customWidth="1"/>
    <col min="15" max="15" width="10.1640625" style="9" customWidth="1"/>
    <col min="16" max="16" width="16.33203125" style="9" customWidth="1"/>
    <col min="17" max="18" width="13.33203125" customWidth="1"/>
    <col min="29" max="29" width="7" customWidth="1"/>
    <col min="30" max="30" width="7.83203125" customWidth="1"/>
    <col min="31" max="31" width="11.33203125" customWidth="1"/>
    <col min="32" max="32" width="13.33203125" customWidth="1"/>
    <col min="33" max="33" width="14.5" customWidth="1"/>
  </cols>
  <sheetData>
    <row r="1" spans="1:36" x14ac:dyDescent="0.2">
      <c r="AE1" t="s">
        <v>160</v>
      </c>
    </row>
    <row r="2" spans="1:36" x14ac:dyDescent="0.2">
      <c r="AF2" s="241" t="s">
        <v>134</v>
      </c>
      <c r="AG2" s="241"/>
    </row>
    <row r="3" spans="1:36" ht="30" x14ac:dyDescent="0.2">
      <c r="A3" s="14" t="s">
        <v>0</v>
      </c>
      <c r="B3" s="14"/>
      <c r="C3" s="14"/>
      <c r="D3" s="14" t="s">
        <v>13</v>
      </c>
      <c r="E3" s="14" t="s">
        <v>28</v>
      </c>
      <c r="F3" s="15" t="s">
        <v>1</v>
      </c>
      <c r="G3" s="15" t="s">
        <v>2</v>
      </c>
      <c r="H3" s="15" t="s">
        <v>4</v>
      </c>
      <c r="I3" s="16" t="s">
        <v>8</v>
      </c>
      <c r="J3" s="15" t="s">
        <v>3</v>
      </c>
      <c r="K3" s="230" t="s">
        <v>20</v>
      </c>
      <c r="L3" s="230"/>
      <c r="M3" s="230"/>
      <c r="N3" s="24"/>
      <c r="O3" s="14" t="s">
        <v>21</v>
      </c>
      <c r="P3" s="14"/>
      <c r="Q3" s="14"/>
      <c r="R3" s="14"/>
      <c r="S3" s="14"/>
      <c r="T3" s="14"/>
      <c r="U3" s="14"/>
      <c r="V3" s="231" t="s">
        <v>145</v>
      </c>
      <c r="W3" s="231"/>
      <c r="X3" s="231"/>
      <c r="Y3" s="231"/>
      <c r="Z3" s="231"/>
      <c r="AA3" s="231"/>
      <c r="AB3" s="231"/>
      <c r="AC3" s="14"/>
      <c r="AE3" t="s">
        <v>5</v>
      </c>
      <c r="AF3" t="s">
        <v>92</v>
      </c>
      <c r="AG3" t="s">
        <v>93</v>
      </c>
      <c r="AI3" s="14" t="s">
        <v>153</v>
      </c>
      <c r="AJ3">
        <v>0.49</v>
      </c>
    </row>
    <row r="4" spans="1:36" x14ac:dyDescent="0.2">
      <c r="A4" s="26"/>
      <c r="B4" s="26" t="s">
        <v>42</v>
      </c>
      <c r="C4" s="26" t="s">
        <v>10</v>
      </c>
      <c r="D4" s="26"/>
      <c r="E4" s="26" t="s">
        <v>27</v>
      </c>
      <c r="F4" s="25"/>
      <c r="G4" s="25"/>
      <c r="H4" s="25" t="s">
        <v>7</v>
      </c>
      <c r="I4" s="27" t="s">
        <v>9</v>
      </c>
      <c r="J4" s="25"/>
      <c r="K4" s="8" t="s">
        <v>55</v>
      </c>
      <c r="L4" s="27" t="s">
        <v>56</v>
      </c>
      <c r="M4" s="27" t="s">
        <v>5</v>
      </c>
      <c r="N4" s="27" t="s">
        <v>55</v>
      </c>
      <c r="O4" s="47" t="s">
        <v>83</v>
      </c>
      <c r="P4" s="25" t="s">
        <v>12</v>
      </c>
      <c r="Q4" s="26" t="s">
        <v>22</v>
      </c>
      <c r="R4" s="57"/>
      <c r="S4" s="14"/>
      <c r="T4" s="14"/>
      <c r="U4" s="14"/>
      <c r="V4" s="231"/>
      <c r="W4" s="231"/>
      <c r="X4" s="231"/>
      <c r="Y4" s="231"/>
      <c r="Z4" s="231"/>
      <c r="AA4" s="231"/>
      <c r="AB4" s="231"/>
      <c r="AC4" s="14"/>
      <c r="AE4">
        <v>0</v>
      </c>
      <c r="AF4" s="11">
        <v>0</v>
      </c>
      <c r="AG4" s="11">
        <v>0</v>
      </c>
    </row>
    <row r="5" spans="1:36" ht="15" customHeight="1" x14ac:dyDescent="0.2">
      <c r="A5" t="s">
        <v>78</v>
      </c>
      <c r="B5" s="45" t="s">
        <v>79</v>
      </c>
      <c r="C5" t="s">
        <v>87</v>
      </c>
      <c r="D5" t="s">
        <v>92</v>
      </c>
      <c r="F5" s="5">
        <v>36360</v>
      </c>
      <c r="G5" s="5">
        <f>F5+H5</f>
        <v>36500</v>
      </c>
      <c r="H5" s="9">
        <v>140</v>
      </c>
      <c r="I5" s="56" t="s">
        <v>81</v>
      </c>
      <c r="J5" s="9">
        <v>0</v>
      </c>
      <c r="K5" s="246" t="s">
        <v>80</v>
      </c>
      <c r="L5" s="10">
        <v>0</v>
      </c>
      <c r="M5" s="13">
        <f>L5/$L$12*100</f>
        <v>0</v>
      </c>
      <c r="N5" s="13" t="s">
        <v>84</v>
      </c>
      <c r="O5" s="10">
        <v>2.2000000000000002</v>
      </c>
      <c r="P5" s="13">
        <f>O5/$O$12*100</f>
        <v>3.3028073862783364E-2</v>
      </c>
      <c r="Q5" t="s">
        <v>82</v>
      </c>
      <c r="V5" s="231"/>
      <c r="W5" s="231"/>
      <c r="X5" s="231"/>
      <c r="Y5" s="231"/>
      <c r="Z5" s="231"/>
      <c r="AA5" s="231"/>
      <c r="AB5" s="231"/>
      <c r="AE5">
        <v>10</v>
      </c>
      <c r="AF5" s="11">
        <v>0.46082949308755766</v>
      </c>
      <c r="AG5" s="11">
        <v>3.2258064516129039</v>
      </c>
    </row>
    <row r="6" spans="1:36" x14ac:dyDescent="0.2">
      <c r="A6" s="23"/>
      <c r="B6" s="23"/>
      <c r="C6" s="23"/>
      <c r="D6" t="s">
        <v>92</v>
      </c>
      <c r="E6" s="23"/>
      <c r="F6" s="20"/>
      <c r="G6" s="20" t="s">
        <v>98</v>
      </c>
      <c r="H6" s="20"/>
      <c r="I6" s="21"/>
      <c r="J6" s="20">
        <v>1</v>
      </c>
      <c r="K6" s="247"/>
      <c r="L6" s="21">
        <v>20</v>
      </c>
      <c r="M6" s="13">
        <f t="shared" ref="M6:M12" si="0">L6/$L$12*100</f>
        <v>14.285714285714285</v>
      </c>
      <c r="O6" s="21">
        <v>21</v>
      </c>
      <c r="P6" s="13">
        <f t="shared" ref="P6:P12" si="1">O6/$O$12*100</f>
        <v>0.31526797778111393</v>
      </c>
      <c r="Q6" s="23"/>
      <c r="R6" s="23"/>
      <c r="V6" s="231"/>
      <c r="W6" s="231"/>
      <c r="X6" s="231"/>
      <c r="Y6" s="231"/>
      <c r="Z6" s="231"/>
      <c r="AA6" s="231"/>
      <c r="AB6" s="231"/>
      <c r="AE6">
        <v>20</v>
      </c>
      <c r="AF6" s="11">
        <v>1.1520737327188941</v>
      </c>
      <c r="AG6" s="11">
        <v>7.3732718894009226</v>
      </c>
    </row>
    <row r="7" spans="1:36" x14ac:dyDescent="0.2">
      <c r="A7" s="23"/>
      <c r="B7" s="23"/>
      <c r="C7" s="23"/>
      <c r="D7" t="s">
        <v>92</v>
      </c>
      <c r="E7" s="23"/>
      <c r="F7" s="20"/>
      <c r="G7" s="20"/>
      <c r="H7" s="20"/>
      <c r="I7" s="21"/>
      <c r="J7" s="20">
        <v>2</v>
      </c>
      <c r="K7" s="48"/>
      <c r="L7" s="21">
        <v>40</v>
      </c>
      <c r="M7" s="13">
        <f t="shared" si="0"/>
        <v>28.571428571428569</v>
      </c>
      <c r="O7" s="21">
        <v>162</v>
      </c>
      <c r="P7" s="13">
        <f t="shared" si="1"/>
        <v>2.4320672571685931</v>
      </c>
      <c r="Q7" s="23" t="s">
        <v>95</v>
      </c>
      <c r="R7" s="23"/>
      <c r="V7" s="231"/>
      <c r="W7" s="231"/>
      <c r="X7" s="231"/>
      <c r="Y7" s="231"/>
      <c r="Z7" s="231"/>
      <c r="AA7" s="231"/>
      <c r="AB7" s="231"/>
      <c r="AE7">
        <v>30</v>
      </c>
      <c r="AF7" s="11">
        <v>2.3041474654377883</v>
      </c>
      <c r="AG7" s="11">
        <v>13.82488479262673</v>
      </c>
    </row>
    <row r="8" spans="1:36" x14ac:dyDescent="0.2">
      <c r="A8" s="23"/>
      <c r="B8" s="23"/>
      <c r="C8" s="23"/>
      <c r="D8" t="s">
        <v>92</v>
      </c>
      <c r="E8" s="23"/>
      <c r="F8" s="20"/>
      <c r="G8" s="20"/>
      <c r="H8" s="20"/>
      <c r="I8" s="21"/>
      <c r="J8" s="20">
        <v>3</v>
      </c>
      <c r="K8" s="48"/>
      <c r="L8" s="21">
        <v>60</v>
      </c>
      <c r="M8" s="13">
        <f t="shared" si="0"/>
        <v>42.857142857142854</v>
      </c>
      <c r="O8" s="21">
        <v>455</v>
      </c>
      <c r="P8" s="13">
        <f t="shared" si="1"/>
        <v>6.8308061852574697</v>
      </c>
      <c r="Q8" s="17" t="s">
        <v>96</v>
      </c>
      <c r="R8" s="23"/>
      <c r="V8" s="231"/>
      <c r="W8" s="231"/>
      <c r="X8" s="231"/>
      <c r="Y8" s="231"/>
      <c r="Z8" s="231"/>
      <c r="AA8" s="231"/>
      <c r="AB8" s="231"/>
      <c r="AE8">
        <v>40</v>
      </c>
      <c r="AF8" s="11">
        <v>4.6082949308755765</v>
      </c>
      <c r="AG8" s="11">
        <v>22.119815668202765</v>
      </c>
    </row>
    <row r="9" spans="1:36" x14ac:dyDescent="0.2">
      <c r="A9" s="23"/>
      <c r="B9" s="23"/>
      <c r="C9" s="29"/>
      <c r="D9" t="s">
        <v>92</v>
      </c>
      <c r="E9" s="23"/>
      <c r="F9" s="20"/>
      <c r="G9" s="20"/>
      <c r="H9" s="20"/>
      <c r="I9" s="21"/>
      <c r="J9" s="20">
        <v>4</v>
      </c>
      <c r="K9" s="48"/>
      <c r="L9" s="21">
        <v>80</v>
      </c>
      <c r="M9" s="13">
        <f t="shared" si="0"/>
        <v>57.142857142857139</v>
      </c>
      <c r="O9" s="21">
        <v>1110</v>
      </c>
      <c r="P9" s="13">
        <f t="shared" si="1"/>
        <v>16.664164539858881</v>
      </c>
      <c r="Q9" s="17" t="s">
        <v>97</v>
      </c>
      <c r="R9" s="23"/>
      <c r="V9" s="231"/>
      <c r="W9" s="231"/>
      <c r="X9" s="231"/>
      <c r="Y9" s="231"/>
      <c r="Z9" s="231"/>
      <c r="AA9" s="231"/>
      <c r="AB9" s="231"/>
      <c r="AE9">
        <v>50</v>
      </c>
      <c r="AF9" s="11">
        <v>9.67741935483871</v>
      </c>
      <c r="AG9" s="11">
        <v>30.875576036866363</v>
      </c>
    </row>
    <row r="10" spans="1:36" x14ac:dyDescent="0.2">
      <c r="A10" s="23"/>
      <c r="B10" s="23"/>
      <c r="C10" s="29"/>
      <c r="D10" t="s">
        <v>92</v>
      </c>
      <c r="E10" s="23"/>
      <c r="F10" s="30"/>
      <c r="G10" s="30"/>
      <c r="H10" s="20"/>
      <c r="I10" s="21"/>
      <c r="J10" s="20">
        <v>5</v>
      </c>
      <c r="K10" s="21"/>
      <c r="L10" s="21">
        <v>100</v>
      </c>
      <c r="M10" s="13">
        <f t="shared" si="0"/>
        <v>71.428571428571431</v>
      </c>
      <c r="O10" s="21">
        <v>2000</v>
      </c>
      <c r="P10" s="13">
        <f t="shared" si="1"/>
        <v>30.025521693439423</v>
      </c>
      <c r="Q10" s="23"/>
      <c r="R10" s="23"/>
      <c r="V10" s="231"/>
      <c r="W10" s="231"/>
      <c r="X10" s="231"/>
      <c r="Y10" s="231"/>
      <c r="Z10" s="231"/>
      <c r="AA10" s="231"/>
      <c r="AB10" s="231"/>
      <c r="AE10">
        <v>60</v>
      </c>
      <c r="AF10" s="11">
        <v>17.511520737327192</v>
      </c>
      <c r="AG10" s="11">
        <v>41.013824884792633</v>
      </c>
    </row>
    <row r="11" spans="1:36" x14ac:dyDescent="0.2">
      <c r="A11" s="17"/>
      <c r="B11" s="17"/>
      <c r="C11" s="49"/>
      <c r="D11" t="s">
        <v>92</v>
      </c>
      <c r="E11" s="17"/>
      <c r="F11" s="50"/>
      <c r="G11" s="50"/>
      <c r="H11" s="50"/>
      <c r="I11" s="51"/>
      <c r="J11" s="50">
        <v>6</v>
      </c>
      <c r="K11" s="51"/>
      <c r="L11" s="51">
        <v>120</v>
      </c>
      <c r="M11" s="52">
        <f t="shared" si="0"/>
        <v>85.714285714285708</v>
      </c>
      <c r="N11" s="52"/>
      <c r="O11" s="51">
        <v>3029</v>
      </c>
      <c r="P11" s="52">
        <f t="shared" si="1"/>
        <v>45.473652604714005</v>
      </c>
      <c r="Q11" s="23"/>
      <c r="R11" s="23"/>
      <c r="AE11">
        <v>70</v>
      </c>
      <c r="AF11" s="11">
        <v>28.110599078341018</v>
      </c>
      <c r="AG11" s="11">
        <v>52.534562211981566</v>
      </c>
    </row>
    <row r="12" spans="1:36" x14ac:dyDescent="0.2">
      <c r="A12" s="22"/>
      <c r="B12" s="22"/>
      <c r="C12" s="22"/>
      <c r="D12" s="2" t="s">
        <v>92</v>
      </c>
      <c r="E12" s="22"/>
      <c r="F12" s="53"/>
      <c r="G12" s="53"/>
      <c r="H12" s="53"/>
      <c r="I12" s="54"/>
      <c r="J12" s="53">
        <v>7</v>
      </c>
      <c r="K12" s="54"/>
      <c r="L12" s="54">
        <v>140</v>
      </c>
      <c r="M12" s="54">
        <f t="shared" si="0"/>
        <v>100</v>
      </c>
      <c r="N12" s="54"/>
      <c r="O12" s="54">
        <v>6661</v>
      </c>
      <c r="P12" s="54">
        <f t="shared" si="1"/>
        <v>100</v>
      </c>
      <c r="Q12" s="2"/>
      <c r="R12" s="23"/>
      <c r="AE12">
        <v>80</v>
      </c>
      <c r="AF12" s="11">
        <v>37.788018433179722</v>
      </c>
      <c r="AG12" s="11">
        <v>64.976958525345623</v>
      </c>
    </row>
    <row r="13" spans="1:36" x14ac:dyDescent="0.2">
      <c r="A13" s="23" t="s">
        <v>85</v>
      </c>
      <c r="B13" s="55" t="s">
        <v>88</v>
      </c>
      <c r="C13" s="23" t="s">
        <v>86</v>
      </c>
      <c r="D13" t="s">
        <v>93</v>
      </c>
      <c r="E13" s="23"/>
      <c r="F13" s="30">
        <v>38918</v>
      </c>
      <c r="G13" s="30">
        <v>39115</v>
      </c>
      <c r="H13" s="20">
        <f>G13-F13</f>
        <v>197</v>
      </c>
      <c r="I13" s="21">
        <v>426</v>
      </c>
      <c r="J13" s="20">
        <v>0</v>
      </c>
      <c r="K13" s="247" t="s">
        <v>80</v>
      </c>
      <c r="L13" s="21">
        <v>0</v>
      </c>
      <c r="M13" s="21">
        <f>L13/$L$19*100</f>
        <v>0</v>
      </c>
      <c r="N13" s="21" t="s">
        <v>6</v>
      </c>
      <c r="O13" s="9">
        <v>0</v>
      </c>
      <c r="P13" s="51">
        <f>O13/$O$19*100</f>
        <v>0</v>
      </c>
      <c r="Q13" s="23" t="s">
        <v>89</v>
      </c>
      <c r="R13" s="23"/>
      <c r="AE13">
        <v>90</v>
      </c>
      <c r="AF13" s="11">
        <v>59.907834101382498</v>
      </c>
      <c r="AG13" s="11">
        <v>80.645161290322591</v>
      </c>
    </row>
    <row r="14" spans="1:36" x14ac:dyDescent="0.2">
      <c r="A14" s="23"/>
      <c r="B14" s="23"/>
      <c r="C14" s="23"/>
      <c r="D14" t="s">
        <v>93</v>
      </c>
      <c r="E14" s="23"/>
      <c r="I14" s="21"/>
      <c r="J14" s="20">
        <v>1</v>
      </c>
      <c r="K14" s="247"/>
      <c r="L14" s="21">
        <v>29.45736434108527</v>
      </c>
      <c r="M14" s="21">
        <f t="shared" ref="M14:M19" si="2">L14/$L$19*100</f>
        <v>14.952976822885924</v>
      </c>
      <c r="N14" s="21"/>
      <c r="O14" s="21">
        <v>8.3612040133779253</v>
      </c>
      <c r="P14" s="51">
        <f t="shared" ref="P14:P19" si="3">O14/$O$19*100</f>
        <v>2.8925619834710745</v>
      </c>
      <c r="Q14" s="23" t="s">
        <v>94</v>
      </c>
      <c r="R14" s="23"/>
      <c r="AE14">
        <v>100</v>
      </c>
      <c r="AF14" s="11">
        <v>100</v>
      </c>
      <c r="AG14" s="11">
        <v>100</v>
      </c>
    </row>
    <row r="15" spans="1:36" x14ac:dyDescent="0.2">
      <c r="A15" s="23"/>
      <c r="B15" s="23"/>
      <c r="C15" s="23"/>
      <c r="D15" t="s">
        <v>93</v>
      </c>
      <c r="E15" s="23"/>
      <c r="F15" s="30"/>
      <c r="G15" s="30"/>
      <c r="H15" s="20"/>
      <c r="I15" s="21"/>
      <c r="J15" s="20">
        <v>2</v>
      </c>
      <c r="K15" s="21"/>
      <c r="L15" s="21">
        <v>47.02842377260982</v>
      </c>
      <c r="M15" s="21">
        <f t="shared" si="2"/>
        <v>23.872296331274022</v>
      </c>
      <c r="N15" s="21"/>
      <c r="O15" s="21">
        <v>35.833731485905389</v>
      </c>
      <c r="P15" s="51">
        <f t="shared" si="3"/>
        <v>12.396694214876032</v>
      </c>
      <c r="Q15" s="23"/>
      <c r="R15" s="23"/>
    </row>
    <row r="16" spans="1:36" x14ac:dyDescent="0.2">
      <c r="A16" s="23"/>
      <c r="B16" s="23"/>
      <c r="C16" s="23"/>
      <c r="D16" t="s">
        <v>93</v>
      </c>
      <c r="E16" s="23"/>
      <c r="F16" s="20"/>
      <c r="G16" s="20"/>
      <c r="H16" s="20"/>
      <c r="I16" s="21"/>
      <c r="J16" s="20">
        <v>3</v>
      </c>
      <c r="K16" s="21"/>
      <c r="L16" s="21">
        <v>67.183462532299743</v>
      </c>
      <c r="M16" s="21">
        <f t="shared" si="2"/>
        <v>34.103280473248596</v>
      </c>
      <c r="N16" s="21"/>
      <c r="O16" s="21">
        <v>78.834209268991856</v>
      </c>
      <c r="P16" s="51">
        <f t="shared" si="3"/>
        <v>27.27272727272727</v>
      </c>
      <c r="Q16" s="23"/>
      <c r="R16" s="23"/>
      <c r="AE16" t="s">
        <v>140</v>
      </c>
    </row>
    <row r="17" spans="1:38" x14ac:dyDescent="0.2">
      <c r="A17" s="23"/>
      <c r="B17" s="23"/>
      <c r="C17" s="23"/>
      <c r="D17" t="s">
        <v>93</v>
      </c>
      <c r="E17" s="23"/>
      <c r="F17" s="20"/>
      <c r="G17" s="20"/>
      <c r="H17" s="20"/>
      <c r="I17" s="21"/>
      <c r="J17" s="20">
        <v>4</v>
      </c>
      <c r="K17" s="21"/>
      <c r="L17" s="21">
        <v>88.888888888888886</v>
      </c>
      <c r="M17" s="21">
        <f t="shared" si="2"/>
        <v>45.121263395375067</v>
      </c>
      <c r="N17" s="21"/>
      <c r="O17" s="21">
        <v>149.3072145246058</v>
      </c>
      <c r="P17" s="51">
        <f t="shared" si="3"/>
        <v>51.652892561983464</v>
      </c>
      <c r="Q17" s="23"/>
      <c r="R17" s="23"/>
      <c r="AE17" t="s">
        <v>141</v>
      </c>
    </row>
    <row r="18" spans="1:38" x14ac:dyDescent="0.2">
      <c r="A18" s="23"/>
      <c r="B18" s="23"/>
      <c r="C18" s="23"/>
      <c r="D18" t="s">
        <v>93</v>
      </c>
      <c r="E18" s="23"/>
      <c r="F18" s="20"/>
      <c r="G18" s="20"/>
      <c r="H18" s="20"/>
      <c r="I18" s="21"/>
      <c r="J18" s="20">
        <v>5</v>
      </c>
      <c r="K18" s="21"/>
      <c r="L18" s="21">
        <v>111.6279069767442</v>
      </c>
      <c r="M18" s="21">
        <f t="shared" si="2"/>
        <v>56.663912170936136</v>
      </c>
      <c r="N18" s="21"/>
      <c r="O18" s="21">
        <v>192.30769230769226</v>
      </c>
      <c r="P18" s="51">
        <f t="shared" si="3"/>
        <v>66.528925619834695</v>
      </c>
      <c r="Q18" s="23"/>
      <c r="R18" s="23"/>
    </row>
    <row r="19" spans="1:38" x14ac:dyDescent="0.2">
      <c r="A19" s="23"/>
      <c r="B19" s="23"/>
      <c r="C19" s="23"/>
      <c r="D19" t="s">
        <v>93</v>
      </c>
      <c r="E19" s="23"/>
      <c r="F19" s="4"/>
      <c r="G19" s="4"/>
      <c r="H19" s="4"/>
      <c r="I19" s="8"/>
      <c r="J19" s="4">
        <v>6</v>
      </c>
      <c r="K19" s="21"/>
      <c r="L19" s="8">
        <v>197</v>
      </c>
      <c r="M19" s="8">
        <f t="shared" si="2"/>
        <v>100</v>
      </c>
      <c r="N19" s="21"/>
      <c r="O19" s="8">
        <v>289.05876731963684</v>
      </c>
      <c r="P19" s="54">
        <f t="shared" si="3"/>
        <v>100</v>
      </c>
      <c r="Q19" s="23"/>
      <c r="R19" s="23"/>
      <c r="AE19" t="s">
        <v>144</v>
      </c>
    </row>
    <row r="20" spans="1:38" x14ac:dyDescent="0.2">
      <c r="A20" s="23"/>
      <c r="B20" s="23"/>
      <c r="C20" s="23"/>
      <c r="D20" t="s">
        <v>93</v>
      </c>
      <c r="E20" s="23"/>
      <c r="F20" s="30">
        <v>38554</v>
      </c>
      <c r="G20" s="30">
        <v>38700</v>
      </c>
      <c r="H20" s="20">
        <f>G20-F20</f>
        <v>146</v>
      </c>
      <c r="I20" s="21">
        <f>275/1.12</f>
        <v>245.53571428571425</v>
      </c>
      <c r="J20" s="20">
        <v>0</v>
      </c>
      <c r="K20" s="21"/>
      <c r="L20" s="21">
        <v>0</v>
      </c>
      <c r="M20" s="21">
        <f>L20/$L$26*100</f>
        <v>0</v>
      </c>
      <c r="N20" s="21"/>
      <c r="O20" s="21">
        <v>0</v>
      </c>
      <c r="P20" s="51">
        <f>O20/$O$26*100</f>
        <v>0</v>
      </c>
      <c r="Q20" s="23" t="s">
        <v>99</v>
      </c>
      <c r="R20" s="23"/>
      <c r="AE20" t="s">
        <v>143</v>
      </c>
    </row>
    <row r="21" spans="1:38" x14ac:dyDescent="0.2">
      <c r="A21" s="23"/>
      <c r="B21" s="23"/>
      <c r="C21" s="23"/>
      <c r="D21" t="s">
        <v>93</v>
      </c>
      <c r="E21" s="23"/>
      <c r="F21" s="20"/>
      <c r="G21" s="20"/>
      <c r="H21" s="20"/>
      <c r="I21" s="21"/>
      <c r="J21" s="20">
        <v>1</v>
      </c>
      <c r="K21" s="21"/>
      <c r="L21" s="21">
        <v>20.3125</v>
      </c>
      <c r="M21" s="21">
        <f t="shared" ref="M21:M26" si="4">L21/$L$26*100</f>
        <v>13.928571428571429</v>
      </c>
      <c r="N21" s="21"/>
      <c r="O21" s="21">
        <v>5.2966101694915251</v>
      </c>
      <c r="P21" s="51">
        <f t="shared" ref="P21:P26" si="5">O21/$O$26*100</f>
        <v>2.2935779816513762</v>
      </c>
      <c r="Q21" s="23"/>
      <c r="R21" s="23"/>
    </row>
    <row r="22" spans="1:38" x14ac:dyDescent="0.2">
      <c r="A22" s="23"/>
      <c r="B22" s="23"/>
      <c r="C22" s="23"/>
      <c r="D22" t="s">
        <v>93</v>
      </c>
      <c r="E22" s="23"/>
      <c r="F22" s="20"/>
      <c r="G22" s="20"/>
      <c r="H22" s="20"/>
      <c r="I22" s="21"/>
      <c r="J22" s="20">
        <v>2</v>
      </c>
      <c r="K22" s="21"/>
      <c r="L22" s="21">
        <v>46.354166666666671</v>
      </c>
      <c r="M22" s="21">
        <f t="shared" si="4"/>
        <v>31.785714285714288</v>
      </c>
      <c r="N22" s="21"/>
      <c r="O22" s="21">
        <v>44.491525423728802</v>
      </c>
      <c r="P22" s="51">
        <f t="shared" si="5"/>
        <v>19.266055045871557</v>
      </c>
      <c r="Q22" s="23"/>
      <c r="R22" s="23"/>
      <c r="V22" s="11"/>
      <c r="X22" s="11"/>
    </row>
    <row r="23" spans="1:38" x14ac:dyDescent="0.2">
      <c r="A23" s="23"/>
      <c r="B23" s="23"/>
      <c r="C23" s="23"/>
      <c r="D23" t="s">
        <v>93</v>
      </c>
      <c r="E23" s="23"/>
      <c r="F23" s="20"/>
      <c r="G23" s="20"/>
      <c r="H23" s="20"/>
      <c r="I23" s="21"/>
      <c r="J23" s="20">
        <v>3</v>
      </c>
      <c r="K23" s="21"/>
      <c r="L23" s="21">
        <v>67.1875</v>
      </c>
      <c r="M23" s="21">
        <f t="shared" si="4"/>
        <v>46.071428571428569</v>
      </c>
      <c r="N23" s="21"/>
      <c r="O23" s="21">
        <v>100.63559322033896</v>
      </c>
      <c r="P23" s="51">
        <f t="shared" si="5"/>
        <v>43.577981651376142</v>
      </c>
      <c r="Q23" s="23"/>
      <c r="R23" s="23"/>
      <c r="V23" s="11"/>
      <c r="X23" s="11"/>
      <c r="AE23" s="82" t="s">
        <v>161</v>
      </c>
      <c r="AF23" s="81"/>
      <c r="AG23" s="81"/>
      <c r="AH23" s="81"/>
      <c r="AI23" s="81"/>
      <c r="AJ23" s="81"/>
      <c r="AK23" s="81"/>
      <c r="AL23" s="81"/>
    </row>
    <row r="24" spans="1:38" x14ac:dyDescent="0.2">
      <c r="A24" s="23"/>
      <c r="B24" s="23"/>
      <c r="C24" s="23"/>
      <c r="D24" s="23" t="s">
        <v>93</v>
      </c>
      <c r="E24" s="23"/>
      <c r="F24" s="20"/>
      <c r="G24" s="20"/>
      <c r="H24" s="20"/>
      <c r="I24" s="21"/>
      <c r="J24" s="20">
        <v>4</v>
      </c>
      <c r="K24" s="21"/>
      <c r="L24" s="21">
        <v>89.583333333333343</v>
      </c>
      <c r="M24" s="21">
        <f t="shared" si="4"/>
        <v>61.428571428571431</v>
      </c>
      <c r="N24" s="21"/>
      <c r="O24" s="21">
        <v>139.83050847457625</v>
      </c>
      <c r="P24" s="51">
        <f t="shared" si="5"/>
        <v>60.550458715596335</v>
      </c>
      <c r="Q24" s="23"/>
      <c r="R24" s="23"/>
      <c r="V24" s="11"/>
      <c r="X24" s="11"/>
      <c r="AE24" s="81"/>
      <c r="AF24" s="81"/>
      <c r="AG24" s="81"/>
      <c r="AH24" s="81"/>
      <c r="AI24" s="81"/>
      <c r="AJ24" s="81"/>
      <c r="AK24" s="81"/>
      <c r="AL24" s="81"/>
    </row>
    <row r="25" spans="1:38" x14ac:dyDescent="0.2">
      <c r="A25" s="23"/>
      <c r="B25" s="23"/>
      <c r="C25" s="23"/>
      <c r="D25" s="23" t="s">
        <v>93</v>
      </c>
      <c r="E25" s="23"/>
      <c r="F25" s="20"/>
      <c r="G25" s="30"/>
      <c r="H25" s="20"/>
      <c r="I25" s="21"/>
      <c r="J25" s="20">
        <v>5</v>
      </c>
      <c r="K25" s="21"/>
      <c r="L25" s="21">
        <v>110.9375</v>
      </c>
      <c r="M25" s="21">
        <f t="shared" si="4"/>
        <v>76.071428571428569</v>
      </c>
      <c r="N25" s="21"/>
      <c r="O25" s="21">
        <v>185.38135593220338</v>
      </c>
      <c r="P25" s="51">
        <f t="shared" si="5"/>
        <v>80.275229357798167</v>
      </c>
      <c r="Q25" s="23"/>
      <c r="R25" s="23"/>
      <c r="V25" s="11"/>
      <c r="X25" s="11"/>
      <c r="AE25" s="81"/>
      <c r="AF25" s="81"/>
      <c r="AG25" s="81"/>
      <c r="AH25" s="81"/>
      <c r="AI25" s="81"/>
      <c r="AJ25" s="81"/>
      <c r="AK25" s="81"/>
      <c r="AL25" s="81"/>
    </row>
    <row r="26" spans="1:38" x14ac:dyDescent="0.2">
      <c r="A26" s="2"/>
      <c r="B26" s="2"/>
      <c r="C26" s="2"/>
      <c r="D26" s="2" t="s">
        <v>93</v>
      </c>
      <c r="E26" s="71"/>
      <c r="F26" s="4"/>
      <c r="G26" s="4"/>
      <c r="H26" s="4"/>
      <c r="I26" s="8"/>
      <c r="J26" s="4">
        <v>6</v>
      </c>
      <c r="K26" s="8"/>
      <c r="L26" s="8">
        <v>145.83333333333334</v>
      </c>
      <c r="M26" s="8">
        <f t="shared" si="4"/>
        <v>100</v>
      </c>
      <c r="N26" s="8"/>
      <c r="O26" s="8">
        <v>230.93220338983048</v>
      </c>
      <c r="P26" s="54">
        <f t="shared" si="5"/>
        <v>100</v>
      </c>
      <c r="Q26" s="23"/>
      <c r="R26" s="23"/>
      <c r="V26" s="11"/>
      <c r="X26" s="11"/>
      <c r="AE26" s="81"/>
      <c r="AF26" s="81"/>
      <c r="AG26" s="81"/>
      <c r="AH26" s="81"/>
      <c r="AI26" s="81"/>
      <c r="AJ26" s="81"/>
      <c r="AK26" s="81"/>
      <c r="AL26" s="81"/>
    </row>
    <row r="27" spans="1:38" x14ac:dyDescent="0.2">
      <c r="A27" s="23" t="s">
        <v>105</v>
      </c>
      <c r="B27" s="55" t="s">
        <v>106</v>
      </c>
      <c r="C27" s="23" t="s">
        <v>86</v>
      </c>
      <c r="D27" s="17" t="s">
        <v>93</v>
      </c>
      <c r="E27" s="43"/>
      <c r="F27" s="30">
        <v>39315</v>
      </c>
      <c r="G27" s="30">
        <v>39470</v>
      </c>
      <c r="H27" s="20">
        <f>G27-F27</f>
        <v>155</v>
      </c>
      <c r="I27" s="21">
        <f>46/1.12</f>
        <v>41.071428571428569</v>
      </c>
      <c r="J27" s="20">
        <v>0</v>
      </c>
      <c r="K27" s="247" t="s">
        <v>80</v>
      </c>
      <c r="L27" s="21">
        <v>0</v>
      </c>
      <c r="M27" s="21">
        <f>L27/$L$31*100</f>
        <v>0</v>
      </c>
      <c r="O27" s="21">
        <v>0</v>
      </c>
      <c r="P27" s="51">
        <f>O27/$O$31*100</f>
        <v>0</v>
      </c>
      <c r="Q27" s="23" t="s">
        <v>109</v>
      </c>
      <c r="R27" s="23" t="s">
        <v>110</v>
      </c>
      <c r="T27">
        <f>56/155</f>
        <v>0.36129032258064514</v>
      </c>
      <c r="U27" t="s">
        <v>142</v>
      </c>
      <c r="V27" s="11"/>
      <c r="X27" s="11"/>
      <c r="AE27" s="81"/>
      <c r="AF27" s="81"/>
      <c r="AG27" s="81"/>
      <c r="AH27" s="81"/>
      <c r="AI27" s="81"/>
      <c r="AJ27" s="81"/>
      <c r="AK27" s="81"/>
      <c r="AL27" s="81"/>
    </row>
    <row r="28" spans="1:38" x14ac:dyDescent="0.2">
      <c r="A28" s="23"/>
      <c r="B28" s="23"/>
      <c r="C28" s="23"/>
      <c r="D28" s="17" t="s">
        <v>93</v>
      </c>
      <c r="E28" s="43"/>
      <c r="F28" s="20"/>
      <c r="G28" s="20"/>
      <c r="H28" s="20"/>
      <c r="I28" s="21"/>
      <c r="J28" s="20">
        <v>1</v>
      </c>
      <c r="K28" s="247"/>
      <c r="L28" s="21">
        <v>56</v>
      </c>
      <c r="M28" s="21">
        <f t="shared" ref="M28:M51" si="6">L28/$L$31*100</f>
        <v>36.129032258064512</v>
      </c>
      <c r="O28" s="19">
        <v>23.124999999999996</v>
      </c>
      <c r="P28" s="51">
        <f>O28/$O$31*100</f>
        <v>16.238244514106583</v>
      </c>
      <c r="Q28" s="23" t="s">
        <v>111</v>
      </c>
      <c r="R28" s="23" t="s">
        <v>112</v>
      </c>
      <c r="T28">
        <f>84/155</f>
        <v>0.54193548387096779</v>
      </c>
      <c r="U28" t="s">
        <v>142</v>
      </c>
      <c r="V28" s="11"/>
      <c r="X28" s="11"/>
      <c r="AE28" s="81"/>
      <c r="AF28" s="81"/>
      <c r="AG28" s="81"/>
      <c r="AH28" s="81"/>
      <c r="AI28" s="81"/>
      <c r="AJ28" s="81"/>
      <c r="AK28" s="81"/>
      <c r="AL28" s="81"/>
    </row>
    <row r="29" spans="1:38" x14ac:dyDescent="0.2">
      <c r="A29" s="23"/>
      <c r="B29" s="23"/>
      <c r="C29" s="23"/>
      <c r="D29" s="17" t="s">
        <v>93</v>
      </c>
      <c r="E29" s="43"/>
      <c r="F29" s="20"/>
      <c r="G29" s="20"/>
      <c r="H29" s="20"/>
      <c r="I29" s="21"/>
      <c r="J29" s="20">
        <v>2</v>
      </c>
      <c r="K29" s="21"/>
      <c r="L29" s="21">
        <v>84</v>
      </c>
      <c r="M29" s="21">
        <f t="shared" si="6"/>
        <v>54.193548387096783</v>
      </c>
      <c r="O29" s="19">
        <v>50.803571428571423</v>
      </c>
      <c r="P29" s="51">
        <f>O29/$O$31*100</f>
        <v>35.673981191222573</v>
      </c>
      <c r="Q29" s="23" t="s">
        <v>113</v>
      </c>
      <c r="R29" s="23" t="s">
        <v>114</v>
      </c>
      <c r="T29">
        <f>113/155</f>
        <v>0.7290322580645161</v>
      </c>
      <c r="U29" t="s">
        <v>142</v>
      </c>
      <c r="V29" s="11"/>
      <c r="X29" s="11"/>
      <c r="AE29" s="81"/>
      <c r="AF29" s="81"/>
      <c r="AG29" s="81"/>
      <c r="AH29" s="81"/>
      <c r="AI29" s="81"/>
      <c r="AJ29" s="81"/>
      <c r="AK29" s="81"/>
      <c r="AL29" s="81"/>
    </row>
    <row r="30" spans="1:38" x14ac:dyDescent="0.2">
      <c r="A30" s="23"/>
      <c r="B30" s="23"/>
      <c r="C30" s="23"/>
      <c r="D30" s="17" t="s">
        <v>93</v>
      </c>
      <c r="E30" s="43"/>
      <c r="F30" s="20"/>
      <c r="G30" s="20"/>
      <c r="H30" s="20"/>
      <c r="I30" s="21"/>
      <c r="J30" s="20">
        <v>3</v>
      </c>
      <c r="K30" s="21"/>
      <c r="L30" s="21">
        <v>113</v>
      </c>
      <c r="M30" s="21">
        <f t="shared" si="6"/>
        <v>72.903225806451616</v>
      </c>
      <c r="O30" s="19">
        <v>58.303571428571423</v>
      </c>
      <c r="P30" s="51">
        <f>O30/$O$31*100</f>
        <v>40.940438871473347</v>
      </c>
      <c r="Q30" s="17" t="s">
        <v>115</v>
      </c>
      <c r="R30" s="17" t="s">
        <v>116</v>
      </c>
      <c r="V30" s="11"/>
      <c r="X30" s="11"/>
      <c r="AE30" s="81"/>
      <c r="AF30" s="81"/>
      <c r="AG30" s="81"/>
      <c r="AH30" s="81"/>
      <c r="AI30" s="81"/>
      <c r="AJ30" s="81"/>
      <c r="AK30" s="81"/>
      <c r="AL30" s="81"/>
    </row>
    <row r="31" spans="1:38" x14ac:dyDescent="0.2">
      <c r="A31" s="23"/>
      <c r="B31" s="23"/>
      <c r="C31" s="23"/>
      <c r="D31" s="17" t="s">
        <v>93</v>
      </c>
      <c r="E31" s="23"/>
      <c r="F31" s="20"/>
      <c r="G31" s="20"/>
      <c r="H31" s="20"/>
      <c r="I31" s="21"/>
      <c r="J31" s="20">
        <v>4</v>
      </c>
      <c r="K31" s="21"/>
      <c r="L31" s="21">
        <v>155</v>
      </c>
      <c r="M31" s="21">
        <f t="shared" si="6"/>
        <v>100</v>
      </c>
      <c r="O31" s="19">
        <v>142.41071428571428</v>
      </c>
      <c r="P31" s="51">
        <f>O31/$O$31*100</f>
        <v>100</v>
      </c>
      <c r="Q31" s="23"/>
      <c r="R31" s="23"/>
      <c r="V31" s="11"/>
      <c r="X31" s="11"/>
      <c r="AE31" s="81"/>
      <c r="AF31" s="81"/>
      <c r="AG31" s="81"/>
      <c r="AH31" s="81"/>
      <c r="AI31" s="81"/>
      <c r="AJ31" s="81"/>
      <c r="AK31" s="81"/>
      <c r="AL31" s="81"/>
    </row>
    <row r="32" spans="1:38" x14ac:dyDescent="0.2">
      <c r="A32" s="23"/>
      <c r="B32" s="23"/>
      <c r="C32" s="23"/>
      <c r="D32" s="17" t="s">
        <v>93</v>
      </c>
      <c r="E32" s="23"/>
      <c r="F32" s="20"/>
      <c r="G32" s="20"/>
      <c r="H32" s="20"/>
      <c r="I32" s="21">
        <f>125/1.12</f>
        <v>111.60714285714285</v>
      </c>
      <c r="J32" s="20">
        <v>0</v>
      </c>
      <c r="K32" s="21"/>
      <c r="L32" s="21">
        <v>0</v>
      </c>
      <c r="M32" s="21">
        <f t="shared" si="6"/>
        <v>0</v>
      </c>
      <c r="O32" s="21">
        <v>0</v>
      </c>
      <c r="P32" s="51">
        <f>O32/$O$36*100</f>
        <v>0</v>
      </c>
      <c r="Q32" s="17" t="s">
        <v>117</v>
      </c>
      <c r="R32" s="23"/>
      <c r="AE32" s="81"/>
      <c r="AF32" s="81"/>
      <c r="AG32" s="81"/>
      <c r="AH32" s="81"/>
      <c r="AI32" s="81"/>
      <c r="AJ32" s="81"/>
      <c r="AK32" s="81"/>
      <c r="AL32" s="81"/>
    </row>
    <row r="33" spans="1:38" x14ac:dyDescent="0.2">
      <c r="A33" s="23"/>
      <c r="B33" s="23"/>
      <c r="C33" s="23"/>
      <c r="D33" s="17" t="s">
        <v>93</v>
      </c>
      <c r="E33" s="23"/>
      <c r="F33" s="20"/>
      <c r="G33" s="20"/>
      <c r="H33" s="20"/>
      <c r="I33" s="21"/>
      <c r="J33" s="20">
        <v>1</v>
      </c>
      <c r="K33" s="21"/>
      <c r="L33" s="21">
        <v>56</v>
      </c>
      <c r="M33" s="21">
        <f t="shared" si="6"/>
        <v>36.129032258064512</v>
      </c>
      <c r="O33" s="19">
        <v>24.821428571428566</v>
      </c>
      <c r="P33" s="51">
        <f>O33/$O$36*100</f>
        <v>16.238317757009344</v>
      </c>
      <c r="Q33" s="23"/>
      <c r="R33" s="23"/>
      <c r="AE33" s="81"/>
      <c r="AF33" s="81"/>
      <c r="AG33" s="81"/>
      <c r="AH33" s="81"/>
      <c r="AI33" s="81"/>
      <c r="AJ33" s="81"/>
      <c r="AK33" s="81"/>
      <c r="AL33" s="81"/>
    </row>
    <row r="34" spans="1:38" x14ac:dyDescent="0.2">
      <c r="A34" s="23"/>
      <c r="B34" s="23"/>
      <c r="C34" s="23"/>
      <c r="D34" s="17" t="s">
        <v>93</v>
      </c>
      <c r="E34" s="23"/>
      <c r="F34" s="20"/>
      <c r="G34" s="20"/>
      <c r="H34" s="20"/>
      <c r="I34" s="21"/>
      <c r="J34" s="20">
        <v>2</v>
      </c>
      <c r="K34" s="21"/>
      <c r="L34" s="21">
        <v>84</v>
      </c>
      <c r="M34" s="21">
        <f t="shared" si="6"/>
        <v>54.193548387096783</v>
      </c>
      <c r="O34" s="19">
        <v>54.999999999999986</v>
      </c>
      <c r="P34" s="51">
        <f>O34/$O$36*100</f>
        <v>35.981308411214954</v>
      </c>
      <c r="Q34" s="23"/>
      <c r="R34" s="23"/>
      <c r="AE34" s="81"/>
      <c r="AF34" s="81"/>
      <c r="AG34" s="81"/>
      <c r="AH34" s="81"/>
      <c r="AI34" s="81"/>
      <c r="AJ34" s="81"/>
      <c r="AK34" s="81"/>
      <c r="AL34" s="81"/>
    </row>
    <row r="35" spans="1:38" x14ac:dyDescent="0.2">
      <c r="A35" s="23"/>
      <c r="B35" s="23"/>
      <c r="C35" s="23"/>
      <c r="D35" s="17" t="s">
        <v>93</v>
      </c>
      <c r="E35" s="23"/>
      <c r="F35" s="20"/>
      <c r="G35" s="20"/>
      <c r="H35" s="20"/>
      <c r="I35" s="21"/>
      <c r="J35" s="20">
        <v>3</v>
      </c>
      <c r="K35" s="21"/>
      <c r="L35" s="21">
        <v>113</v>
      </c>
      <c r="M35" s="21">
        <f t="shared" si="6"/>
        <v>72.903225806451616</v>
      </c>
      <c r="O35" s="19">
        <v>66.160714285714278</v>
      </c>
      <c r="P35" s="51">
        <f>O35/$O$36*100</f>
        <v>43.282710280373834</v>
      </c>
      <c r="Q35" s="23"/>
      <c r="R35" s="23"/>
      <c r="AE35" s="81"/>
      <c r="AF35" s="81"/>
      <c r="AG35" s="81"/>
      <c r="AH35" s="81"/>
      <c r="AI35" s="81"/>
      <c r="AJ35" s="81"/>
      <c r="AK35" s="81"/>
      <c r="AL35" s="81"/>
    </row>
    <row r="36" spans="1:38" x14ac:dyDescent="0.2">
      <c r="A36" s="23"/>
      <c r="B36" s="23"/>
      <c r="C36" s="23"/>
      <c r="D36" s="17" t="s">
        <v>93</v>
      </c>
      <c r="E36" s="23"/>
      <c r="F36" s="20"/>
      <c r="G36" s="20"/>
      <c r="H36" s="20"/>
      <c r="I36" s="21"/>
      <c r="J36" s="20">
        <v>4</v>
      </c>
      <c r="K36" s="21"/>
      <c r="L36" s="21">
        <v>155</v>
      </c>
      <c r="M36" s="21">
        <f t="shared" si="6"/>
        <v>100</v>
      </c>
      <c r="O36" s="19">
        <v>152.85714285714283</v>
      </c>
      <c r="P36" s="51">
        <f>O36/$O$36*100</f>
        <v>100</v>
      </c>
      <c r="Q36" s="23"/>
      <c r="R36" s="23"/>
      <c r="AE36" s="81"/>
      <c r="AF36" s="81"/>
      <c r="AG36" s="81"/>
      <c r="AH36" s="81"/>
      <c r="AI36" s="81"/>
      <c r="AJ36" s="81"/>
      <c r="AK36" s="81"/>
      <c r="AL36" s="81"/>
    </row>
    <row r="37" spans="1:38" x14ac:dyDescent="0.2">
      <c r="A37" s="23"/>
      <c r="B37" s="23"/>
      <c r="C37" s="23"/>
      <c r="D37" s="17" t="s">
        <v>93</v>
      </c>
      <c r="E37" s="23"/>
      <c r="F37" s="20"/>
      <c r="G37" s="20"/>
      <c r="H37" s="20"/>
      <c r="I37" s="21" t="s">
        <v>107</v>
      </c>
      <c r="J37" s="20">
        <v>0</v>
      </c>
      <c r="K37" s="21"/>
      <c r="L37" s="21">
        <v>0</v>
      </c>
      <c r="M37" s="21">
        <f t="shared" si="6"/>
        <v>0</v>
      </c>
      <c r="O37" s="21">
        <v>0</v>
      </c>
      <c r="P37" s="51">
        <f>O37/$O$41*100</f>
        <v>0</v>
      </c>
      <c r="Q37" s="23"/>
      <c r="R37" s="23"/>
      <c r="AE37" s="81"/>
      <c r="AF37" s="81"/>
      <c r="AG37" s="81"/>
      <c r="AH37" s="81"/>
      <c r="AI37" s="81"/>
      <c r="AJ37" s="81"/>
      <c r="AK37" s="81"/>
      <c r="AL37" s="81"/>
    </row>
    <row r="38" spans="1:38" x14ac:dyDescent="0.2">
      <c r="A38" s="23"/>
      <c r="B38" s="23"/>
      <c r="C38" s="23"/>
      <c r="D38" s="17" t="s">
        <v>93</v>
      </c>
      <c r="E38" s="23"/>
      <c r="F38" s="20"/>
      <c r="G38" s="20"/>
      <c r="H38" s="20"/>
      <c r="I38" s="21"/>
      <c r="J38" s="20">
        <v>1</v>
      </c>
      <c r="K38" s="21"/>
      <c r="L38" s="21">
        <v>56</v>
      </c>
      <c r="M38" s="21">
        <f t="shared" si="6"/>
        <v>36.129032258064512</v>
      </c>
      <c r="O38" s="19">
        <v>24.642857142857139</v>
      </c>
      <c r="P38" s="51">
        <f>O38/$O$41*100</f>
        <v>14.480587618048268</v>
      </c>
      <c r="Q38" s="23"/>
      <c r="R38" s="23"/>
      <c r="AE38" s="81"/>
      <c r="AF38" s="81"/>
      <c r="AG38" s="81"/>
      <c r="AH38" s="81"/>
      <c r="AI38" s="81"/>
      <c r="AJ38" s="81"/>
      <c r="AK38" s="81"/>
      <c r="AL38" s="81"/>
    </row>
    <row r="39" spans="1:38" x14ac:dyDescent="0.2">
      <c r="A39" s="23"/>
      <c r="B39" s="23"/>
      <c r="C39" s="23"/>
      <c r="D39" s="17" t="s">
        <v>93</v>
      </c>
      <c r="E39" s="23"/>
      <c r="F39" s="20"/>
      <c r="G39" s="20"/>
      <c r="H39" s="20"/>
      <c r="I39" s="21"/>
      <c r="J39" s="20">
        <v>2</v>
      </c>
      <c r="K39" s="21"/>
      <c r="L39" s="21">
        <v>84</v>
      </c>
      <c r="M39" s="21">
        <f t="shared" si="6"/>
        <v>54.193548387096783</v>
      </c>
      <c r="O39" s="19">
        <v>55.803571428571431</v>
      </c>
      <c r="P39" s="51">
        <f>O39/$O$41*100</f>
        <v>32.791185729275973</v>
      </c>
      <c r="Q39" s="23"/>
      <c r="R39" s="23"/>
      <c r="AE39" s="81"/>
      <c r="AF39" s="81"/>
      <c r="AG39" s="81"/>
      <c r="AH39" s="81"/>
      <c r="AI39" s="81"/>
      <c r="AJ39" s="81"/>
      <c r="AK39" s="81"/>
      <c r="AL39" s="81"/>
    </row>
    <row r="40" spans="1:38" x14ac:dyDescent="0.2">
      <c r="A40" s="23"/>
      <c r="B40" s="23"/>
      <c r="C40" s="23"/>
      <c r="D40" s="17" t="s">
        <v>93</v>
      </c>
      <c r="E40" s="23"/>
      <c r="F40" s="20"/>
      <c r="G40" s="20"/>
      <c r="H40" s="20"/>
      <c r="I40" s="21"/>
      <c r="J40" s="20">
        <v>3</v>
      </c>
      <c r="K40" s="21"/>
      <c r="L40" s="21">
        <v>113</v>
      </c>
      <c r="M40" s="21">
        <f t="shared" si="6"/>
        <v>72.903225806451616</v>
      </c>
      <c r="O40" s="19">
        <v>64.821428571428569</v>
      </c>
      <c r="P40" s="51">
        <f>O40/$O$41*100</f>
        <v>38.090241343126969</v>
      </c>
      <c r="Q40" s="23"/>
      <c r="R40" s="23"/>
      <c r="AB40" s="19"/>
      <c r="AE40" s="81"/>
      <c r="AF40" s="81"/>
      <c r="AG40" s="81"/>
      <c r="AH40" s="81"/>
      <c r="AI40" s="81"/>
      <c r="AJ40" s="81"/>
      <c r="AK40" s="81"/>
      <c r="AL40" s="81"/>
    </row>
    <row r="41" spans="1:38" x14ac:dyDescent="0.2">
      <c r="A41" s="23"/>
      <c r="B41" s="23"/>
      <c r="C41" s="23"/>
      <c r="D41" s="17" t="s">
        <v>93</v>
      </c>
      <c r="E41" s="23"/>
      <c r="F41" s="20"/>
      <c r="G41" s="20"/>
      <c r="H41" s="20"/>
      <c r="I41" s="21"/>
      <c r="J41" s="20">
        <v>4</v>
      </c>
      <c r="K41" s="21"/>
      <c r="L41" s="21">
        <v>155</v>
      </c>
      <c r="M41" s="21">
        <f t="shared" si="6"/>
        <v>100</v>
      </c>
      <c r="O41" s="19">
        <v>170.17857142857142</v>
      </c>
      <c r="P41" s="51">
        <f>O41/$O$41*100</f>
        <v>100</v>
      </c>
      <c r="Q41" s="23"/>
      <c r="R41" s="23"/>
      <c r="AB41" s="19"/>
      <c r="AE41" s="81"/>
      <c r="AF41" s="81"/>
      <c r="AG41" s="81"/>
      <c r="AH41" s="81"/>
      <c r="AI41" s="81"/>
      <c r="AJ41" s="81"/>
      <c r="AK41" s="81"/>
      <c r="AL41" s="81"/>
    </row>
    <row r="42" spans="1:38" x14ac:dyDescent="0.2">
      <c r="A42" s="23"/>
      <c r="B42" s="23"/>
      <c r="C42" s="23"/>
      <c r="D42" s="17" t="s">
        <v>93</v>
      </c>
      <c r="E42" s="23"/>
      <c r="F42" s="20"/>
      <c r="G42" s="20"/>
      <c r="H42" s="20"/>
      <c r="I42" s="21">
        <f>188/1.12</f>
        <v>167.85714285714283</v>
      </c>
      <c r="J42" s="20">
        <v>0</v>
      </c>
      <c r="K42" s="21"/>
      <c r="L42" s="21">
        <v>0</v>
      </c>
      <c r="M42" s="21">
        <f t="shared" si="6"/>
        <v>0</v>
      </c>
      <c r="O42" s="21">
        <v>0</v>
      </c>
      <c r="P42" s="51">
        <f>O42/$O$46*100</f>
        <v>0</v>
      </c>
      <c r="Q42" s="23"/>
      <c r="R42" s="23"/>
      <c r="AB42" s="19"/>
      <c r="AE42" s="81"/>
      <c r="AF42" s="81"/>
      <c r="AG42" s="81"/>
      <c r="AH42" s="81"/>
      <c r="AI42" s="81"/>
      <c r="AJ42" s="81"/>
      <c r="AK42" s="81"/>
      <c r="AL42" s="81"/>
    </row>
    <row r="43" spans="1:38" x14ac:dyDescent="0.2">
      <c r="A43" s="23"/>
      <c r="B43" s="23"/>
      <c r="C43" s="23"/>
      <c r="D43" s="17" t="s">
        <v>93</v>
      </c>
      <c r="E43" s="23"/>
      <c r="F43" s="20"/>
      <c r="G43" s="20"/>
      <c r="H43" s="20"/>
      <c r="I43" s="21"/>
      <c r="J43" s="20">
        <v>1</v>
      </c>
      <c r="K43" s="21"/>
      <c r="L43" s="21">
        <v>56</v>
      </c>
      <c r="M43" s="21">
        <f t="shared" si="6"/>
        <v>36.129032258064512</v>
      </c>
      <c r="O43" s="19">
        <v>24.196428571428569</v>
      </c>
      <c r="P43" s="51">
        <f>O43/$O$46*100</f>
        <v>14.248159831756047</v>
      </c>
      <c r="Q43" s="23"/>
      <c r="R43" s="23"/>
      <c r="AB43" s="19"/>
      <c r="AE43" s="81"/>
      <c r="AF43" s="81"/>
      <c r="AG43" s="81"/>
      <c r="AH43" s="81"/>
      <c r="AI43" s="81"/>
      <c r="AJ43" s="81"/>
      <c r="AK43" s="81"/>
      <c r="AL43" s="81"/>
    </row>
    <row r="44" spans="1:38" x14ac:dyDescent="0.2">
      <c r="A44" s="23"/>
      <c r="B44" s="23"/>
      <c r="C44" s="23"/>
      <c r="D44" s="17" t="s">
        <v>93</v>
      </c>
      <c r="E44" s="23"/>
      <c r="F44" s="20"/>
      <c r="G44" s="20"/>
      <c r="H44" s="20"/>
      <c r="I44" s="21"/>
      <c r="J44" s="20">
        <v>2</v>
      </c>
      <c r="K44" s="21"/>
      <c r="L44" s="21">
        <v>84</v>
      </c>
      <c r="M44" s="21">
        <f t="shared" si="6"/>
        <v>54.193548387096783</v>
      </c>
      <c r="O44" s="19">
        <v>59.821428571428569</v>
      </c>
      <c r="P44" s="51">
        <f>O44/$O$46*100</f>
        <v>35.226077812828606</v>
      </c>
      <c r="Q44" s="23"/>
      <c r="R44" s="23"/>
      <c r="AB44" s="19"/>
      <c r="AE44" s="82" t="s">
        <v>121</v>
      </c>
      <c r="AF44" s="81"/>
      <c r="AG44" s="81"/>
      <c r="AH44" s="81"/>
      <c r="AI44" s="81"/>
      <c r="AJ44" s="81"/>
      <c r="AK44" s="81"/>
      <c r="AL44" s="81"/>
    </row>
    <row r="45" spans="1:38" x14ac:dyDescent="0.2">
      <c r="A45" s="23"/>
      <c r="B45" s="23"/>
      <c r="C45" s="23"/>
      <c r="D45" s="17" t="s">
        <v>93</v>
      </c>
      <c r="E45" s="23"/>
      <c r="F45" s="20"/>
      <c r="G45" s="20"/>
      <c r="H45" s="20"/>
      <c r="I45" s="21"/>
      <c r="J45" s="20">
        <v>3</v>
      </c>
      <c r="K45" s="21"/>
      <c r="L45" s="21">
        <v>113</v>
      </c>
      <c r="M45" s="21">
        <f t="shared" si="6"/>
        <v>72.903225806451616</v>
      </c>
      <c r="O45" s="19">
        <v>66.25</v>
      </c>
      <c r="P45" s="51">
        <f>O45/$O$46*100</f>
        <v>39.01156677181914</v>
      </c>
      <c r="Q45" s="23"/>
      <c r="R45" s="23"/>
      <c r="AE45" s="81"/>
      <c r="AF45" s="81"/>
      <c r="AG45" s="81"/>
      <c r="AH45" s="81"/>
      <c r="AI45" s="81"/>
      <c r="AJ45" s="81"/>
      <c r="AK45" s="81"/>
      <c r="AL45" s="81"/>
    </row>
    <row r="46" spans="1:38" x14ac:dyDescent="0.2">
      <c r="A46" s="23"/>
      <c r="B46" s="23"/>
      <c r="C46" s="23"/>
      <c r="D46" s="17" t="s">
        <v>93</v>
      </c>
      <c r="E46" s="23"/>
      <c r="F46" s="30"/>
      <c r="G46" s="30"/>
      <c r="H46" s="20"/>
      <c r="I46" s="21"/>
      <c r="J46" s="20">
        <v>4</v>
      </c>
      <c r="K46" s="21"/>
      <c r="L46" s="21">
        <v>155</v>
      </c>
      <c r="M46" s="21">
        <f t="shared" si="6"/>
        <v>100</v>
      </c>
      <c r="O46" s="19">
        <v>169.82142857142856</v>
      </c>
      <c r="P46" s="51">
        <f>O46/$O$46*100</f>
        <v>100</v>
      </c>
      <c r="Q46" s="23"/>
      <c r="R46" s="23"/>
      <c r="AE46" s="81"/>
      <c r="AF46" s="81"/>
      <c r="AG46" s="81"/>
      <c r="AH46" s="81"/>
      <c r="AI46" s="81"/>
      <c r="AJ46" s="81"/>
      <c r="AK46" s="81"/>
      <c r="AL46" s="81"/>
    </row>
    <row r="47" spans="1:38" x14ac:dyDescent="0.2">
      <c r="A47" s="23"/>
      <c r="B47" s="23"/>
      <c r="C47" s="23"/>
      <c r="D47" s="17" t="s">
        <v>93</v>
      </c>
      <c r="E47" s="23"/>
      <c r="F47" s="30"/>
      <c r="G47" s="30"/>
      <c r="H47" s="20"/>
      <c r="I47" s="21" t="s">
        <v>108</v>
      </c>
      <c r="J47" s="20">
        <v>0</v>
      </c>
      <c r="K47" s="21"/>
      <c r="L47" s="21">
        <v>0</v>
      </c>
      <c r="M47" s="21">
        <f t="shared" si="6"/>
        <v>0</v>
      </c>
      <c r="O47" s="21">
        <v>0</v>
      </c>
      <c r="P47" s="51">
        <f>O47/$O$51*100</f>
        <v>0</v>
      </c>
      <c r="Q47" s="23"/>
      <c r="R47" s="23"/>
      <c r="X47" s="18"/>
      <c r="Z47" s="18"/>
      <c r="AE47" s="81"/>
      <c r="AF47" s="81"/>
      <c r="AG47" s="81"/>
      <c r="AH47" s="81"/>
      <c r="AI47" s="81"/>
      <c r="AJ47" s="81"/>
      <c r="AK47" s="81"/>
      <c r="AL47" s="81"/>
    </row>
    <row r="48" spans="1:38" x14ac:dyDescent="0.2">
      <c r="A48" s="23"/>
      <c r="B48" s="23"/>
      <c r="C48" s="23"/>
      <c r="D48" s="17" t="s">
        <v>93</v>
      </c>
      <c r="E48" s="23"/>
      <c r="F48" s="30"/>
      <c r="G48" s="30"/>
      <c r="H48" s="20"/>
      <c r="I48" s="21"/>
      <c r="J48" s="20">
        <v>1</v>
      </c>
      <c r="K48" s="21"/>
      <c r="L48" s="21">
        <v>56</v>
      </c>
      <c r="M48" s="21">
        <f t="shared" si="6"/>
        <v>36.129032258064512</v>
      </c>
      <c r="O48" s="19">
        <v>26.696428571428569</v>
      </c>
      <c r="P48" s="51">
        <f>O48/$O$51*100</f>
        <v>14.157196969696969</v>
      </c>
      <c r="Q48" s="23"/>
      <c r="R48" s="23"/>
      <c r="X48" s="18"/>
      <c r="Z48" s="18"/>
      <c r="AE48" s="81"/>
      <c r="AF48" s="81"/>
      <c r="AG48" s="90"/>
      <c r="AH48" s="81"/>
      <c r="AI48" s="81"/>
      <c r="AJ48" s="81"/>
      <c r="AK48" s="81"/>
      <c r="AL48" s="81"/>
    </row>
    <row r="49" spans="1:38" x14ac:dyDescent="0.2">
      <c r="A49" s="23"/>
      <c r="B49" s="23"/>
      <c r="C49" s="23"/>
      <c r="D49" s="17" t="s">
        <v>93</v>
      </c>
      <c r="E49" s="23"/>
      <c r="F49" s="30"/>
      <c r="G49" s="30"/>
      <c r="H49" s="20"/>
      <c r="I49" s="21"/>
      <c r="J49" s="20">
        <v>2</v>
      </c>
      <c r="K49" s="21"/>
      <c r="L49" s="21">
        <v>84</v>
      </c>
      <c r="M49" s="21">
        <f t="shared" si="6"/>
        <v>54.193548387096783</v>
      </c>
      <c r="O49" s="19">
        <v>53.749999999999993</v>
      </c>
      <c r="P49" s="51">
        <f>O49/$O$51*100</f>
        <v>28.503787878787879</v>
      </c>
      <c r="Q49" s="23"/>
      <c r="R49" s="23"/>
      <c r="X49" s="18"/>
      <c r="Z49" s="18"/>
      <c r="AE49" s="81"/>
      <c r="AF49" s="81"/>
      <c r="AG49" s="90"/>
      <c r="AH49" s="81"/>
      <c r="AI49" s="81"/>
      <c r="AJ49" s="81"/>
      <c r="AK49" s="81"/>
      <c r="AL49" s="81"/>
    </row>
    <row r="50" spans="1:38" x14ac:dyDescent="0.2">
      <c r="A50" s="23"/>
      <c r="B50" s="23"/>
      <c r="C50" s="23"/>
      <c r="D50" s="17" t="s">
        <v>93</v>
      </c>
      <c r="E50" s="23"/>
      <c r="F50" s="30"/>
      <c r="G50" s="30"/>
      <c r="H50" s="20"/>
      <c r="I50" s="21"/>
      <c r="J50" s="20">
        <v>3</v>
      </c>
      <c r="K50" s="21"/>
      <c r="L50" s="21">
        <v>113</v>
      </c>
      <c r="M50" s="21">
        <f t="shared" si="6"/>
        <v>72.903225806451616</v>
      </c>
      <c r="O50" s="19">
        <v>67.142857142857139</v>
      </c>
      <c r="P50" s="51">
        <f>O50/$O$51*100</f>
        <v>35.606060606060609</v>
      </c>
      <c r="Q50" s="23"/>
      <c r="R50" s="23"/>
      <c r="X50" s="18"/>
      <c r="Z50" s="18"/>
      <c r="AE50" s="81"/>
      <c r="AF50" s="81"/>
      <c r="AG50" s="90"/>
      <c r="AH50" s="81"/>
      <c r="AI50" s="81"/>
      <c r="AJ50" s="81"/>
      <c r="AK50" s="81"/>
      <c r="AL50" s="81"/>
    </row>
    <row r="51" spans="1:38" x14ac:dyDescent="0.2">
      <c r="A51" s="23"/>
      <c r="B51" s="23"/>
      <c r="C51" s="23"/>
      <c r="D51" s="17" t="s">
        <v>93</v>
      </c>
      <c r="E51" s="23"/>
      <c r="F51" s="30"/>
      <c r="G51" s="30"/>
      <c r="H51" s="20"/>
      <c r="I51" s="21"/>
      <c r="J51" s="20">
        <v>4</v>
      </c>
      <c r="K51" s="21"/>
      <c r="L51" s="21">
        <v>155</v>
      </c>
      <c r="M51" s="21">
        <f t="shared" si="6"/>
        <v>100</v>
      </c>
      <c r="O51" s="19">
        <v>188.57142857142856</v>
      </c>
      <c r="P51" s="51">
        <f>O51/$O$51*100</f>
        <v>100</v>
      </c>
      <c r="Q51" s="23"/>
      <c r="R51" s="23"/>
      <c r="X51" s="18"/>
      <c r="Z51" s="18"/>
      <c r="AE51" s="81"/>
      <c r="AF51" s="81"/>
      <c r="AG51" s="90"/>
      <c r="AH51" s="81"/>
      <c r="AI51" s="81"/>
      <c r="AJ51" s="81"/>
      <c r="AK51" s="81"/>
      <c r="AL51" s="81"/>
    </row>
    <row r="52" spans="1:38" x14ac:dyDescent="0.2">
      <c r="A52" s="23"/>
      <c r="B52" s="23"/>
      <c r="C52" s="23"/>
      <c r="D52" s="23"/>
      <c r="E52" s="23"/>
      <c r="F52" s="30"/>
      <c r="G52" s="30"/>
      <c r="H52" s="20"/>
      <c r="I52" s="21"/>
      <c r="J52" s="20"/>
      <c r="K52" s="21"/>
      <c r="L52" s="21"/>
      <c r="M52" s="21"/>
      <c r="N52" s="21"/>
      <c r="O52" s="21"/>
      <c r="P52" s="21"/>
      <c r="Q52" s="23"/>
      <c r="R52" s="23"/>
      <c r="AE52" s="81"/>
      <c r="AF52" s="81"/>
      <c r="AG52" s="90"/>
      <c r="AH52" s="81"/>
      <c r="AI52" s="81"/>
      <c r="AJ52" s="81"/>
      <c r="AK52" s="81"/>
      <c r="AL52" s="81"/>
    </row>
    <row r="53" spans="1:38" x14ac:dyDescent="0.2">
      <c r="A53" s="23"/>
      <c r="B53" s="23"/>
      <c r="C53" s="23"/>
      <c r="D53" s="23"/>
      <c r="E53" s="23"/>
      <c r="F53" s="30"/>
      <c r="G53" s="30"/>
      <c r="H53" s="20"/>
      <c r="I53" s="21"/>
      <c r="J53" s="20"/>
      <c r="K53" s="21"/>
      <c r="L53" s="21"/>
      <c r="M53" s="21"/>
      <c r="N53" s="21"/>
      <c r="O53" s="21"/>
      <c r="P53" s="21"/>
      <c r="Q53" s="23"/>
      <c r="R53" s="23"/>
      <c r="X53" s="18"/>
      <c r="AE53" s="81"/>
      <c r="AF53" s="81"/>
      <c r="AG53" s="81"/>
      <c r="AH53" s="81"/>
      <c r="AI53" s="81"/>
      <c r="AJ53" s="81"/>
      <c r="AK53" s="81"/>
      <c r="AL53" s="81"/>
    </row>
    <row r="54" spans="1:38" x14ac:dyDescent="0.2">
      <c r="A54" s="23"/>
      <c r="B54" s="23"/>
      <c r="C54" s="23"/>
      <c r="D54" s="23"/>
      <c r="E54" s="23"/>
      <c r="F54" s="30"/>
      <c r="G54" s="30"/>
      <c r="H54" s="20"/>
      <c r="I54" s="21"/>
      <c r="J54" s="20"/>
      <c r="K54" s="21"/>
      <c r="L54" s="21"/>
      <c r="M54" s="21"/>
      <c r="N54" s="21"/>
      <c r="O54" s="21"/>
      <c r="P54" s="21"/>
      <c r="Q54" s="23"/>
      <c r="R54" s="23"/>
      <c r="X54" s="18"/>
      <c r="AE54" s="81"/>
      <c r="AF54" s="81"/>
      <c r="AG54" s="81"/>
      <c r="AH54" s="81"/>
      <c r="AI54" s="81"/>
      <c r="AJ54" s="81"/>
      <c r="AK54" s="81"/>
      <c r="AL54" s="81"/>
    </row>
    <row r="55" spans="1:38" x14ac:dyDescent="0.2">
      <c r="A55" s="23"/>
      <c r="B55" s="23"/>
      <c r="C55" s="23"/>
      <c r="D55" s="23"/>
      <c r="E55" s="23"/>
      <c r="F55" s="30"/>
      <c r="G55" s="30"/>
      <c r="H55" s="20"/>
      <c r="I55" s="21"/>
      <c r="J55" s="20"/>
      <c r="K55" s="21"/>
      <c r="L55" s="21"/>
      <c r="M55" s="21"/>
      <c r="N55" s="21"/>
      <c r="O55" s="21"/>
      <c r="P55" s="21"/>
      <c r="Q55" s="23"/>
      <c r="R55" s="23"/>
      <c r="X55" s="18"/>
      <c r="AE55" s="81"/>
      <c r="AF55" s="81"/>
      <c r="AG55" s="81"/>
      <c r="AH55" s="81"/>
      <c r="AI55" s="81"/>
      <c r="AJ55" s="81"/>
      <c r="AK55" s="81"/>
      <c r="AL55" s="81"/>
    </row>
    <row r="56" spans="1:38" x14ac:dyDescent="0.2">
      <c r="A56" s="23"/>
      <c r="B56" s="23"/>
      <c r="C56" s="23"/>
      <c r="D56" s="23"/>
      <c r="E56" s="23"/>
      <c r="F56" s="30"/>
      <c r="G56" s="30"/>
      <c r="H56" s="20"/>
      <c r="I56" s="21"/>
      <c r="J56" s="20"/>
      <c r="K56" s="21"/>
      <c r="L56" s="21"/>
      <c r="M56" s="21"/>
      <c r="N56" s="21"/>
      <c r="O56" s="21"/>
      <c r="P56" s="21"/>
      <c r="Q56" s="23"/>
      <c r="R56" s="23"/>
      <c r="X56" s="18"/>
      <c r="AE56" s="81"/>
      <c r="AF56" s="81"/>
      <c r="AG56" s="81"/>
      <c r="AH56" s="81"/>
      <c r="AI56" s="81"/>
      <c r="AJ56" s="81"/>
      <c r="AK56" s="81"/>
      <c r="AL56" s="81"/>
    </row>
    <row r="57" spans="1:38" x14ac:dyDescent="0.2">
      <c r="A57" s="23"/>
      <c r="B57" s="23"/>
      <c r="C57" s="23"/>
      <c r="D57" s="23"/>
      <c r="E57" s="23"/>
      <c r="F57" s="30"/>
      <c r="G57" s="30"/>
      <c r="H57" s="20"/>
      <c r="I57" s="21"/>
      <c r="J57" s="20"/>
      <c r="K57" s="21"/>
      <c r="L57" s="21"/>
      <c r="M57" s="21"/>
      <c r="N57" s="21"/>
      <c r="O57" s="21"/>
      <c r="P57" s="21"/>
      <c r="Q57" s="23"/>
      <c r="R57" s="23"/>
      <c r="X57" s="18"/>
      <c r="AE57" s="81"/>
      <c r="AF57" s="81"/>
      <c r="AG57" s="81"/>
      <c r="AH57" s="81"/>
      <c r="AI57" s="81"/>
      <c r="AJ57" s="81"/>
      <c r="AK57" s="81"/>
      <c r="AL57" s="81"/>
    </row>
    <row r="58" spans="1:38" x14ac:dyDescent="0.2">
      <c r="A58" s="23"/>
      <c r="B58" s="23"/>
      <c r="C58" s="23"/>
      <c r="D58" s="23"/>
      <c r="E58" s="23"/>
      <c r="F58" s="30"/>
      <c r="G58" s="30"/>
      <c r="H58" s="20"/>
      <c r="I58" s="21"/>
      <c r="J58" s="20"/>
      <c r="K58" s="21"/>
      <c r="L58" s="21"/>
      <c r="M58" s="21"/>
      <c r="N58" s="21"/>
      <c r="O58" s="21"/>
      <c r="P58" s="21"/>
      <c r="Q58" s="23"/>
      <c r="R58" s="23"/>
      <c r="Z58" s="19"/>
      <c r="AE58" s="81"/>
      <c r="AF58" s="81"/>
      <c r="AG58" s="81"/>
      <c r="AH58" s="81"/>
      <c r="AI58" s="81"/>
      <c r="AJ58" s="81"/>
      <c r="AK58" s="81"/>
      <c r="AL58" s="81"/>
    </row>
    <row r="59" spans="1:38" x14ac:dyDescent="0.2">
      <c r="A59" s="23"/>
      <c r="B59" s="23"/>
      <c r="C59" s="23"/>
      <c r="D59" s="23"/>
      <c r="E59" s="23"/>
      <c r="F59" s="30"/>
      <c r="G59" s="30"/>
      <c r="H59" s="20"/>
      <c r="I59" s="21"/>
      <c r="J59" s="20"/>
      <c r="K59" s="21"/>
      <c r="L59" s="21"/>
      <c r="M59" s="21"/>
      <c r="N59" s="21"/>
      <c r="O59" s="21"/>
      <c r="P59" s="21"/>
      <c r="Q59" s="23"/>
      <c r="R59" s="23"/>
      <c r="X59" s="18"/>
      <c r="AE59" s="81"/>
      <c r="AF59" s="81"/>
      <c r="AG59" s="81"/>
      <c r="AH59" s="81"/>
      <c r="AI59" s="81"/>
      <c r="AJ59" s="81"/>
      <c r="AK59" s="81"/>
      <c r="AL59" s="81"/>
    </row>
    <row r="60" spans="1:38" x14ac:dyDescent="0.2">
      <c r="A60" s="23"/>
      <c r="B60" s="23"/>
      <c r="C60" s="23"/>
      <c r="D60" s="23"/>
      <c r="E60" s="23"/>
      <c r="F60" s="30"/>
      <c r="G60" s="30"/>
      <c r="H60" s="20"/>
      <c r="I60" s="21"/>
      <c r="J60" s="20"/>
      <c r="K60" s="21"/>
      <c r="L60" s="21"/>
      <c r="M60" s="21"/>
      <c r="N60" s="21"/>
      <c r="O60" s="21"/>
      <c r="P60" s="21"/>
      <c r="Q60" s="23"/>
      <c r="R60" s="23"/>
      <c r="X60" s="18"/>
      <c r="AE60" s="81"/>
      <c r="AF60" s="81"/>
      <c r="AG60" s="81"/>
      <c r="AH60" s="81"/>
      <c r="AI60" s="81"/>
      <c r="AJ60" s="81"/>
      <c r="AK60" s="81"/>
      <c r="AL60" s="81"/>
    </row>
    <row r="61" spans="1:38" x14ac:dyDescent="0.2">
      <c r="A61" s="23"/>
      <c r="B61" s="23"/>
      <c r="C61" s="23"/>
      <c r="D61" s="23"/>
      <c r="E61" s="23"/>
      <c r="F61" s="30"/>
      <c r="G61" s="30"/>
      <c r="H61" s="20"/>
      <c r="I61" s="21"/>
      <c r="J61" s="20"/>
      <c r="K61" s="21"/>
      <c r="L61" s="21"/>
      <c r="M61" s="21"/>
      <c r="N61" s="21"/>
      <c r="O61" s="21"/>
      <c r="P61" s="21"/>
      <c r="Q61" s="23"/>
      <c r="R61" s="23"/>
      <c r="X61" s="18"/>
      <c r="AE61" s="81"/>
      <c r="AF61" s="81"/>
      <c r="AG61" s="81"/>
      <c r="AH61" s="81"/>
      <c r="AI61" s="81"/>
      <c r="AJ61" s="81"/>
      <c r="AK61" s="81"/>
      <c r="AL61" s="81"/>
    </row>
    <row r="62" spans="1:38" x14ac:dyDescent="0.2">
      <c r="A62" s="23"/>
      <c r="B62" s="23"/>
      <c r="C62" s="23"/>
      <c r="D62" s="23"/>
      <c r="E62" s="23"/>
      <c r="F62" s="20"/>
      <c r="G62" s="20"/>
      <c r="H62" s="20"/>
      <c r="I62" s="21"/>
      <c r="J62" s="20"/>
      <c r="K62" s="21"/>
      <c r="L62" s="21"/>
      <c r="M62" s="21"/>
      <c r="N62"/>
      <c r="O62"/>
      <c r="P62"/>
      <c r="X62" s="18"/>
      <c r="AE62" s="81"/>
      <c r="AF62" s="81"/>
      <c r="AG62" s="81"/>
      <c r="AH62" s="81"/>
      <c r="AI62" s="81"/>
      <c r="AJ62" s="81"/>
      <c r="AK62" s="81"/>
      <c r="AL62" s="81"/>
    </row>
    <row r="63" spans="1:38" ht="15" customHeight="1" x14ac:dyDescent="0.2">
      <c r="A63" t="s">
        <v>37</v>
      </c>
      <c r="C63" s="232" t="s">
        <v>102</v>
      </c>
      <c r="D63" s="233"/>
      <c r="E63" s="233"/>
      <c r="F63" s="233"/>
      <c r="G63" s="233"/>
      <c r="H63" s="233"/>
      <c r="I63" s="233"/>
      <c r="J63" s="233"/>
      <c r="K63" s="233"/>
      <c r="L63" s="233"/>
      <c r="M63" s="234"/>
      <c r="N63" s="63"/>
      <c r="O63" s="232" t="s">
        <v>118</v>
      </c>
      <c r="P63" s="233"/>
      <c r="Q63" s="233"/>
      <c r="R63" s="233"/>
      <c r="S63" s="233"/>
      <c r="T63" s="233"/>
      <c r="U63" s="233"/>
      <c r="V63" s="233"/>
      <c r="W63" s="233"/>
      <c r="X63" s="233"/>
      <c r="Y63" s="234"/>
      <c r="AE63" s="81"/>
      <c r="AF63" s="81"/>
      <c r="AG63" s="81"/>
      <c r="AH63" s="81"/>
      <c r="AI63" s="81"/>
      <c r="AJ63" s="81"/>
      <c r="AK63" s="81"/>
      <c r="AL63" s="81"/>
    </row>
    <row r="64" spans="1:38" x14ac:dyDescent="0.2">
      <c r="C64" s="235"/>
      <c r="D64" s="236"/>
      <c r="E64" s="236"/>
      <c r="F64" s="236"/>
      <c r="G64" s="236"/>
      <c r="H64" s="236"/>
      <c r="I64" s="236"/>
      <c r="J64" s="236"/>
      <c r="K64" s="236"/>
      <c r="L64" s="236"/>
      <c r="M64" s="237"/>
      <c r="N64" s="63"/>
      <c r="O64" s="235"/>
      <c r="P64" s="236"/>
      <c r="Q64" s="236"/>
      <c r="R64" s="236"/>
      <c r="S64" s="236"/>
      <c r="T64" s="236"/>
      <c r="U64" s="236"/>
      <c r="V64" s="236"/>
      <c r="W64" s="236"/>
      <c r="X64" s="236"/>
      <c r="Y64" s="237"/>
      <c r="Z64" s="19"/>
      <c r="AE64" s="81"/>
      <c r="AF64" s="81"/>
      <c r="AG64" s="81"/>
      <c r="AH64" s="81"/>
      <c r="AI64" s="81"/>
      <c r="AJ64" s="81"/>
      <c r="AK64" s="81"/>
      <c r="AL64" s="81"/>
    </row>
    <row r="65" spans="1:28" x14ac:dyDescent="0.2">
      <c r="C65" s="238"/>
      <c r="D65" s="239"/>
      <c r="E65" s="239"/>
      <c r="F65" s="239"/>
      <c r="G65" s="239"/>
      <c r="H65" s="239"/>
      <c r="I65" s="239"/>
      <c r="J65" s="239"/>
      <c r="K65" s="239"/>
      <c r="L65" s="239"/>
      <c r="M65" s="240"/>
      <c r="N65" s="63"/>
      <c r="O65" s="238"/>
      <c r="P65" s="239"/>
      <c r="Q65" s="239"/>
      <c r="R65" s="239"/>
      <c r="S65" s="239"/>
      <c r="T65" s="239"/>
      <c r="U65" s="239"/>
      <c r="V65" s="239"/>
      <c r="W65" s="239"/>
      <c r="X65" s="239"/>
      <c r="Y65" s="240"/>
    </row>
    <row r="66" spans="1:28" x14ac:dyDescent="0.2">
      <c r="C66" s="14"/>
      <c r="D66" s="14"/>
      <c r="E66" s="14"/>
      <c r="F66" s="14"/>
      <c r="G66" s="14"/>
      <c r="H66" s="14"/>
      <c r="I66" s="14"/>
      <c r="J66" s="14"/>
      <c r="K66" s="14"/>
      <c r="L66" s="14"/>
      <c r="M66" s="62"/>
      <c r="N66" s="62"/>
      <c r="O66" s="61"/>
      <c r="P66" s="61"/>
      <c r="X66" s="18"/>
    </row>
    <row r="67" spans="1:28" x14ac:dyDescent="0.2">
      <c r="C67" s="232" t="s">
        <v>103</v>
      </c>
      <c r="D67" s="233"/>
      <c r="E67" s="233"/>
      <c r="F67" s="233"/>
      <c r="G67" s="233"/>
      <c r="H67" s="233"/>
      <c r="I67" s="233"/>
      <c r="J67" s="233"/>
      <c r="K67" s="233"/>
      <c r="L67" s="233"/>
      <c r="M67" s="233"/>
      <c r="N67" s="233"/>
      <c r="O67" s="233"/>
      <c r="P67" s="234"/>
      <c r="X67" s="18"/>
    </row>
    <row r="68" spans="1:28" x14ac:dyDescent="0.2">
      <c r="A68" s="72"/>
      <c r="C68" s="235"/>
      <c r="D68" s="236"/>
      <c r="E68" s="236"/>
      <c r="F68" s="236"/>
      <c r="G68" s="236"/>
      <c r="H68" s="236"/>
      <c r="I68" s="236"/>
      <c r="J68" s="236"/>
      <c r="K68" s="236"/>
      <c r="L68" s="236"/>
      <c r="M68" s="236"/>
      <c r="N68" s="236"/>
      <c r="O68" s="236"/>
      <c r="P68" s="237"/>
      <c r="Q68" s="241"/>
      <c r="R68" s="241"/>
      <c r="S68" s="241"/>
      <c r="T68" s="12"/>
      <c r="U68" s="12"/>
      <c r="V68" s="73"/>
      <c r="W68" s="73"/>
      <c r="X68" s="18"/>
      <c r="Y68" s="73"/>
      <c r="AA68" s="241"/>
      <c r="AB68" s="241"/>
    </row>
    <row r="69" spans="1:28" x14ac:dyDescent="0.2">
      <c r="C69" s="238"/>
      <c r="D69" s="239"/>
      <c r="E69" s="239"/>
      <c r="F69" s="239"/>
      <c r="G69" s="239"/>
      <c r="H69" s="239"/>
      <c r="I69" s="239"/>
      <c r="J69" s="239"/>
      <c r="K69" s="239"/>
      <c r="L69" s="239"/>
      <c r="M69" s="239"/>
      <c r="N69" s="239"/>
      <c r="O69" s="239"/>
      <c r="P69" s="240"/>
      <c r="Q69" s="9"/>
      <c r="R69" s="12"/>
      <c r="S69" s="9"/>
      <c r="T69" s="12"/>
      <c r="U69" s="12"/>
      <c r="W69" s="73"/>
      <c r="X69" s="18"/>
      <c r="Y69" s="9"/>
    </row>
    <row r="70" spans="1:28" x14ac:dyDescent="0.2">
      <c r="C70" s="28"/>
      <c r="D70" s="28"/>
      <c r="E70" s="28"/>
      <c r="F70" s="28"/>
      <c r="G70" s="28"/>
      <c r="H70" s="28"/>
      <c r="I70" s="28"/>
      <c r="J70" s="28"/>
      <c r="K70" s="28"/>
      <c r="L70" s="28"/>
      <c r="M70" s="28"/>
      <c r="N70" s="28"/>
      <c r="O70" s="28"/>
      <c r="P70" s="28"/>
      <c r="Q70" s="9"/>
      <c r="R70" s="12"/>
      <c r="S70" s="9"/>
      <c r="T70" s="12"/>
      <c r="U70" s="12"/>
      <c r="X70" s="9"/>
      <c r="Y70" s="9"/>
    </row>
    <row r="71" spans="1:28" x14ac:dyDescent="0.2">
      <c r="C71" s="232" t="s">
        <v>534</v>
      </c>
      <c r="D71" s="233"/>
      <c r="E71" s="233"/>
      <c r="F71" s="233"/>
      <c r="G71" s="233"/>
      <c r="H71" s="233"/>
      <c r="I71" s="233"/>
      <c r="J71" s="233"/>
      <c r="K71" s="233"/>
      <c r="L71" s="233"/>
      <c r="M71" s="233"/>
      <c r="N71" s="233"/>
      <c r="O71" s="233"/>
      <c r="P71" s="234"/>
      <c r="X71" s="18"/>
    </row>
    <row r="72" spans="1:28" x14ac:dyDescent="0.2">
      <c r="A72" s="72"/>
      <c r="C72" s="235"/>
      <c r="D72" s="236"/>
      <c r="E72" s="236"/>
      <c r="F72" s="236"/>
      <c r="G72" s="236"/>
      <c r="H72" s="236"/>
      <c r="I72" s="236"/>
      <c r="J72" s="236"/>
      <c r="K72" s="236"/>
      <c r="L72" s="236"/>
      <c r="M72" s="236"/>
      <c r="N72" s="236"/>
      <c r="O72" s="236"/>
      <c r="P72" s="237"/>
      <c r="Q72" s="241"/>
      <c r="R72" s="241"/>
      <c r="S72" s="241"/>
      <c r="T72" s="214"/>
      <c r="U72" s="214"/>
      <c r="V72" s="73"/>
      <c r="W72" s="73"/>
      <c r="X72" s="18"/>
      <c r="Y72" s="73"/>
      <c r="AA72" s="241"/>
      <c r="AB72" s="241"/>
    </row>
    <row r="73" spans="1:28" x14ac:dyDescent="0.2">
      <c r="C73" s="238"/>
      <c r="D73" s="239"/>
      <c r="E73" s="239"/>
      <c r="F73" s="239"/>
      <c r="G73" s="239"/>
      <c r="H73" s="239"/>
      <c r="I73" s="239"/>
      <c r="J73" s="239"/>
      <c r="K73" s="239"/>
      <c r="L73" s="239"/>
      <c r="M73" s="239"/>
      <c r="N73" s="239"/>
      <c r="O73" s="239"/>
      <c r="P73" s="240"/>
      <c r="Q73" s="214"/>
      <c r="R73" s="214"/>
      <c r="S73" s="214"/>
      <c r="T73" s="214"/>
      <c r="U73" s="214"/>
      <c r="W73" s="73"/>
      <c r="X73" s="18"/>
      <c r="Y73" s="214"/>
    </row>
    <row r="74" spans="1:28" x14ac:dyDescent="0.2">
      <c r="C74" s="215"/>
      <c r="D74" s="215"/>
      <c r="E74" s="215"/>
      <c r="F74" s="215"/>
      <c r="G74" s="215"/>
      <c r="H74" s="215"/>
      <c r="I74" s="215"/>
      <c r="J74" s="215"/>
      <c r="K74" s="215"/>
      <c r="L74" s="215"/>
      <c r="M74" s="215"/>
      <c r="N74" s="215"/>
      <c r="O74" s="215"/>
      <c r="P74" s="215"/>
      <c r="Q74" s="214"/>
      <c r="R74" s="214"/>
      <c r="S74" s="214"/>
      <c r="T74" s="214"/>
      <c r="U74" s="214"/>
      <c r="X74" s="214"/>
      <c r="Y74" s="214"/>
    </row>
    <row r="75" spans="1:28" x14ac:dyDescent="0.2">
      <c r="B75" s="46" t="s">
        <v>78</v>
      </c>
      <c r="O75"/>
      <c r="P75" s="11"/>
      <c r="Q75" s="9"/>
      <c r="R75" s="12"/>
      <c r="S75" s="11"/>
      <c r="T75" s="11"/>
      <c r="U75" s="11"/>
      <c r="W75" s="11"/>
      <c r="Y75" s="11"/>
    </row>
    <row r="76" spans="1:28" x14ac:dyDescent="0.2">
      <c r="A76" s="1"/>
      <c r="B76" s="1"/>
      <c r="O76"/>
      <c r="P76" s="11"/>
      <c r="Q76" s="9"/>
      <c r="R76" s="12"/>
      <c r="S76" s="11"/>
      <c r="T76" s="11"/>
      <c r="U76" s="11"/>
      <c r="W76" s="11"/>
      <c r="Y76" s="11"/>
    </row>
    <row r="77" spans="1:28" x14ac:dyDescent="0.2">
      <c r="A77" s="1"/>
      <c r="B77" s="1"/>
      <c r="M77" t="s">
        <v>85</v>
      </c>
      <c r="N77"/>
      <c r="O77" t="s">
        <v>90</v>
      </c>
      <c r="P77"/>
      <c r="S77" t="s">
        <v>85</v>
      </c>
      <c r="V77" t="s">
        <v>91</v>
      </c>
      <c r="Y77" s="11"/>
      <c r="AA77" t="s">
        <v>105</v>
      </c>
    </row>
    <row r="78" spans="1:28" x14ac:dyDescent="0.2">
      <c r="P78" s="11"/>
      <c r="Q78" s="9"/>
      <c r="R78" s="12"/>
      <c r="S78" s="11"/>
      <c r="T78" s="11"/>
      <c r="U78" s="11"/>
      <c r="W78" s="11"/>
      <c r="Y78" s="11"/>
    </row>
    <row r="79" spans="1:28" x14ac:dyDescent="0.2">
      <c r="P79" s="11"/>
      <c r="Q79" s="9"/>
      <c r="R79" s="12"/>
      <c r="S79" s="11"/>
      <c r="T79" s="11"/>
      <c r="U79" s="11"/>
      <c r="W79" s="11"/>
      <c r="Y79" s="11"/>
    </row>
    <row r="80" spans="1:28" x14ac:dyDescent="0.2">
      <c r="P80" s="11"/>
      <c r="Q80" s="9"/>
      <c r="R80" s="12"/>
      <c r="S80" s="11"/>
      <c r="T80" s="11"/>
      <c r="U80" s="11"/>
      <c r="W80" s="11"/>
      <c r="Y80" s="11"/>
    </row>
  </sheetData>
  <mergeCells count="14">
    <mergeCell ref="C71:P73"/>
    <mergeCell ref="Q72:S72"/>
    <mergeCell ref="AA72:AB72"/>
    <mergeCell ref="AF2:AG2"/>
    <mergeCell ref="K3:M3"/>
    <mergeCell ref="V3:AB10"/>
    <mergeCell ref="C63:M65"/>
    <mergeCell ref="C67:P69"/>
    <mergeCell ref="Q68:S68"/>
    <mergeCell ref="AA68:AB68"/>
    <mergeCell ref="K5:K6"/>
    <mergeCell ref="K13:K14"/>
    <mergeCell ref="K27:K28"/>
    <mergeCell ref="O63:Y65"/>
  </mergeCells>
  <pageMargins left="0.7" right="0.7" top="0.75" bottom="0.75" header="0.3" footer="0.3"/>
  <drawing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L73"/>
  <sheetViews>
    <sheetView topLeftCell="S10" zoomScale="55" zoomScaleNormal="55" zoomScalePageLayoutView="55" workbookViewId="0">
      <selection activeCell="AH66" sqref="AH66"/>
    </sheetView>
  </sheetViews>
  <sheetFormatPr baseColWidth="10" defaultColWidth="8.83203125" defaultRowHeight="15" x14ac:dyDescent="0.2"/>
  <cols>
    <col min="1" max="2" width="20.6640625" customWidth="1"/>
    <col min="3" max="3" width="18" customWidth="1"/>
    <col min="4" max="4" width="10.1640625" customWidth="1"/>
    <col min="5" max="5" width="13.5" customWidth="1"/>
    <col min="6" max="6" width="13.5" style="9" customWidth="1"/>
    <col min="7" max="7" width="11.6640625" style="9" customWidth="1"/>
    <col min="8" max="8" width="10.1640625" style="9" customWidth="1"/>
    <col min="9" max="9" width="12.33203125" style="10" customWidth="1"/>
    <col min="10" max="10" width="17.33203125" style="9" customWidth="1"/>
    <col min="11" max="12" width="13.5" style="10" customWidth="1"/>
    <col min="13" max="13" width="10.1640625" style="10" customWidth="1"/>
    <col min="14" max="14" width="10.1640625" style="13" customWidth="1"/>
    <col min="15" max="15" width="10.1640625" style="9" customWidth="1"/>
    <col min="16" max="16" width="16.33203125" style="9" customWidth="1"/>
    <col min="17" max="17" width="23.5" customWidth="1"/>
    <col min="18" max="18" width="17.5" customWidth="1"/>
    <col min="31" max="31" width="18.1640625" customWidth="1"/>
    <col min="32" max="33" width="18.6640625" customWidth="1"/>
  </cols>
  <sheetData>
    <row r="1" spans="1:36" x14ac:dyDescent="0.2">
      <c r="AE1" t="s">
        <v>159</v>
      </c>
    </row>
    <row r="2" spans="1:36" x14ac:dyDescent="0.2">
      <c r="AF2" s="241" t="s">
        <v>134</v>
      </c>
      <c r="AG2" s="241"/>
    </row>
    <row r="3" spans="1:36" ht="30" customHeight="1" x14ac:dyDescent="0.2">
      <c r="A3" s="14" t="s">
        <v>0</v>
      </c>
      <c r="B3" s="14"/>
      <c r="C3" s="14"/>
      <c r="D3" s="14" t="s">
        <v>13</v>
      </c>
      <c r="E3" s="14" t="s">
        <v>28</v>
      </c>
      <c r="F3" s="15" t="s">
        <v>1</v>
      </c>
      <c r="G3" s="15" t="s">
        <v>2</v>
      </c>
      <c r="H3" s="15" t="s">
        <v>4</v>
      </c>
      <c r="I3" s="16" t="s">
        <v>8</v>
      </c>
      <c r="J3" s="15" t="s">
        <v>3</v>
      </c>
      <c r="K3" s="230" t="s">
        <v>20</v>
      </c>
      <c r="L3" s="230"/>
      <c r="M3" s="230"/>
      <c r="N3" s="24"/>
      <c r="O3" s="14" t="s">
        <v>21</v>
      </c>
      <c r="P3" s="14"/>
      <c r="Q3" s="14"/>
      <c r="T3" s="35"/>
      <c r="U3" s="35"/>
      <c r="V3" s="35"/>
      <c r="W3" s="35"/>
      <c r="X3" s="35"/>
      <c r="Y3" s="35"/>
      <c r="Z3" s="14"/>
      <c r="AE3" t="s">
        <v>5</v>
      </c>
      <c r="AF3" t="s">
        <v>135</v>
      </c>
      <c r="AG3" t="s">
        <v>65</v>
      </c>
      <c r="AI3" s="14" t="s">
        <v>153</v>
      </c>
      <c r="AJ3">
        <v>0.37</v>
      </c>
    </row>
    <row r="4" spans="1:36" x14ac:dyDescent="0.2">
      <c r="A4" s="26"/>
      <c r="B4" s="26" t="s">
        <v>42</v>
      </c>
      <c r="C4" s="26" t="s">
        <v>10</v>
      </c>
      <c r="D4" s="26"/>
      <c r="E4" s="26" t="s">
        <v>27</v>
      </c>
      <c r="F4" s="25"/>
      <c r="G4" s="25"/>
      <c r="H4" s="25" t="s">
        <v>7</v>
      </c>
      <c r="I4" s="27" t="s">
        <v>9</v>
      </c>
      <c r="J4" s="25"/>
      <c r="K4" s="8" t="s">
        <v>55</v>
      </c>
      <c r="L4" s="27" t="s">
        <v>56</v>
      </c>
      <c r="M4" s="27" t="s">
        <v>5</v>
      </c>
      <c r="N4" s="27" t="s">
        <v>55</v>
      </c>
      <c r="O4" s="25" t="s">
        <v>83</v>
      </c>
      <c r="P4" s="25" t="s">
        <v>12</v>
      </c>
      <c r="Q4" s="26" t="s">
        <v>22</v>
      </c>
      <c r="R4" s="35" t="s">
        <v>41</v>
      </c>
      <c r="S4" s="35"/>
      <c r="T4" s="35"/>
      <c r="U4" s="35"/>
      <c r="V4" s="35"/>
      <c r="W4" s="35"/>
      <c r="X4" s="35"/>
      <c r="Y4" s="35"/>
      <c r="Z4" s="14"/>
      <c r="AE4">
        <v>0</v>
      </c>
      <c r="AF4">
        <v>0</v>
      </c>
      <c r="AG4">
        <v>0</v>
      </c>
    </row>
    <row r="5" spans="1:36" x14ac:dyDescent="0.2">
      <c r="A5" t="s">
        <v>45</v>
      </c>
      <c r="B5">
        <v>300</v>
      </c>
      <c r="C5" t="s">
        <v>66</v>
      </c>
      <c r="D5" t="s">
        <v>60</v>
      </c>
      <c r="E5" s="41">
        <v>8.6910626319493325</v>
      </c>
      <c r="F5" s="30">
        <v>38449</v>
      </c>
      <c r="G5" s="5"/>
      <c r="I5" s="10">
        <f>200/1.12</f>
        <v>178.57142857142856</v>
      </c>
      <c r="J5" s="9" t="s">
        <v>74</v>
      </c>
      <c r="K5" s="246" t="s">
        <v>73</v>
      </c>
      <c r="L5" s="10">
        <v>0</v>
      </c>
      <c r="M5" s="10">
        <f>L5/L$9*100</f>
        <v>0</v>
      </c>
      <c r="N5" s="13" t="s">
        <v>6</v>
      </c>
      <c r="O5" s="10">
        <v>0</v>
      </c>
      <c r="P5" s="10">
        <f>O5/O$9*100</f>
        <v>0</v>
      </c>
      <c r="R5" s="9"/>
      <c r="S5" s="23" t="s">
        <v>69</v>
      </c>
      <c r="T5" s="20"/>
      <c r="U5" s="21"/>
      <c r="V5" s="35"/>
      <c r="W5" s="35"/>
      <c r="X5" s="35"/>
      <c r="Y5" s="35"/>
      <c r="AE5">
        <v>10</v>
      </c>
      <c r="AF5" s="11">
        <v>0.16207455429497569</v>
      </c>
      <c r="AG5" s="11">
        <v>0.32414910858995138</v>
      </c>
    </row>
    <row r="6" spans="1:36" x14ac:dyDescent="0.2">
      <c r="A6" s="23"/>
      <c r="J6" s="9" t="s">
        <v>61</v>
      </c>
      <c r="K6" s="250"/>
      <c r="L6" s="21">
        <v>766</v>
      </c>
      <c r="M6" s="10">
        <f>L6/L$9*100</f>
        <v>50.295469468154948</v>
      </c>
      <c r="O6" s="21">
        <v>29.464285714285712</v>
      </c>
      <c r="P6" s="10">
        <f>O6/O$9*100</f>
        <v>16.176470588235293</v>
      </c>
      <c r="R6" s="9" t="s">
        <v>72</v>
      </c>
      <c r="S6" t="s">
        <v>71</v>
      </c>
      <c r="T6" s="20" t="s">
        <v>68</v>
      </c>
      <c r="U6" s="21"/>
      <c r="V6" s="35"/>
      <c r="W6" s="35"/>
      <c r="X6" s="35"/>
      <c r="Y6" s="35"/>
      <c r="AE6">
        <v>20</v>
      </c>
      <c r="AF6" s="11">
        <v>0.32414910858995138</v>
      </c>
      <c r="AG6" s="11">
        <v>1.7828200972447326</v>
      </c>
    </row>
    <row r="7" spans="1:36" x14ac:dyDescent="0.2">
      <c r="A7" s="23"/>
      <c r="J7" s="9" t="s">
        <v>62</v>
      </c>
      <c r="K7" s="250"/>
      <c r="L7" s="21">
        <v>980</v>
      </c>
      <c r="M7" s="10">
        <f>L7/L$9*100</f>
        <v>64.346684175968477</v>
      </c>
      <c r="O7" s="21">
        <v>46.428571428571423</v>
      </c>
      <c r="P7" s="10">
        <f>O7/O$9*100</f>
        <v>25.490196078431371</v>
      </c>
      <c r="R7" s="37" t="s">
        <v>61</v>
      </c>
      <c r="S7">
        <v>530</v>
      </c>
      <c r="T7" s="20">
        <v>141</v>
      </c>
      <c r="U7" s="38" t="s">
        <v>70</v>
      </c>
      <c r="V7" s="35"/>
      <c r="W7" s="35"/>
      <c r="X7" s="35"/>
      <c r="Y7" s="35"/>
      <c r="AE7">
        <v>30</v>
      </c>
      <c r="AF7" s="11">
        <v>0.4051863857374392</v>
      </c>
      <c r="AG7" s="11">
        <v>5.6726094003241485</v>
      </c>
    </row>
    <row r="8" spans="1:36" x14ac:dyDescent="0.2">
      <c r="A8" s="23"/>
      <c r="D8" s="23"/>
      <c r="E8" s="23"/>
      <c r="F8" s="30"/>
      <c r="G8" s="20"/>
      <c r="H8" s="20"/>
      <c r="J8" s="9" t="s">
        <v>63</v>
      </c>
      <c r="K8" s="250"/>
      <c r="L8" s="21">
        <v>1166</v>
      </c>
      <c r="M8" s="10">
        <f>L8/L$9*100</f>
        <v>76.559422193040049</v>
      </c>
      <c r="O8" s="21">
        <v>74.999999999999986</v>
      </c>
      <c r="P8" s="10">
        <f>O8/O$9*100</f>
        <v>41.17647058823529</v>
      </c>
      <c r="R8" s="37" t="s">
        <v>62</v>
      </c>
      <c r="S8">
        <v>750</v>
      </c>
      <c r="T8" s="20">
        <v>170</v>
      </c>
      <c r="U8" s="21"/>
      <c r="V8" s="35"/>
      <c r="W8" s="35"/>
      <c r="X8" s="35"/>
      <c r="Y8" s="35"/>
      <c r="AE8">
        <v>40</v>
      </c>
      <c r="AF8" s="11">
        <v>3.2414910858995136</v>
      </c>
      <c r="AG8" s="11">
        <v>21.393841166936792</v>
      </c>
    </row>
    <row r="9" spans="1:36" x14ac:dyDescent="0.2">
      <c r="A9" s="23"/>
      <c r="D9" s="23"/>
      <c r="E9" s="23"/>
      <c r="F9" s="30"/>
      <c r="G9" s="20"/>
      <c r="H9" s="20"/>
      <c r="J9" s="9" t="s">
        <v>64</v>
      </c>
      <c r="K9" s="21"/>
      <c r="L9" s="21">
        <v>1523</v>
      </c>
      <c r="M9" s="10">
        <f>L9/L$9*100</f>
        <v>100</v>
      </c>
      <c r="O9" s="21">
        <v>182.14285714285714</v>
      </c>
      <c r="P9" s="10">
        <f>O9/O$9*100</f>
        <v>100</v>
      </c>
      <c r="R9" s="37" t="s">
        <v>63</v>
      </c>
      <c r="S9">
        <v>1006</v>
      </c>
      <c r="T9" s="20">
        <v>145</v>
      </c>
      <c r="U9" s="37" t="s">
        <v>67</v>
      </c>
      <c r="V9" s="35"/>
      <c r="W9" s="35"/>
      <c r="X9" s="35"/>
      <c r="Y9" s="35"/>
      <c r="AE9">
        <v>50</v>
      </c>
      <c r="AF9" s="11">
        <v>11.18314424635332</v>
      </c>
      <c r="AG9" s="11">
        <v>39.222042139384115</v>
      </c>
    </row>
    <row r="10" spans="1:36" x14ac:dyDescent="0.2">
      <c r="A10" s="23"/>
      <c r="B10">
        <v>451</v>
      </c>
      <c r="C10" t="s">
        <v>46</v>
      </c>
      <c r="E10" s="19">
        <v>11.84402332361516</v>
      </c>
      <c r="F10" s="5">
        <v>37696</v>
      </c>
      <c r="G10" s="20"/>
      <c r="H10" s="20"/>
      <c r="I10" s="21">
        <f>365/1.12</f>
        <v>325.89285714285711</v>
      </c>
      <c r="J10" s="9" t="s">
        <v>74</v>
      </c>
      <c r="K10" s="21"/>
      <c r="L10" s="21">
        <v>0</v>
      </c>
      <c r="M10" s="10">
        <f t="shared" ref="M10:M15" si="0">L10/L$15*100</f>
        <v>0</v>
      </c>
      <c r="O10" s="9">
        <v>0</v>
      </c>
      <c r="P10" s="21">
        <f t="shared" ref="P10:P15" si="1">O10/O$14*100</f>
        <v>0</v>
      </c>
      <c r="R10" s="37" t="s">
        <v>64</v>
      </c>
      <c r="S10">
        <v>1329</v>
      </c>
      <c r="T10" s="20">
        <v>120</v>
      </c>
      <c r="U10" s="21"/>
      <c r="V10" s="35"/>
      <c r="W10" s="35"/>
      <c r="X10" s="35"/>
      <c r="Y10" s="35"/>
      <c r="AE10">
        <v>60</v>
      </c>
      <c r="AF10" s="11">
        <v>26.580226904376008</v>
      </c>
      <c r="AG10" s="11">
        <v>58.022690437601291</v>
      </c>
    </row>
    <row r="11" spans="1:36" x14ac:dyDescent="0.2">
      <c r="A11" s="23"/>
      <c r="E11" s="42" t="s">
        <v>76</v>
      </c>
      <c r="J11" s="9" t="s">
        <v>61</v>
      </c>
      <c r="K11" s="21"/>
      <c r="L11" s="21">
        <v>483</v>
      </c>
      <c r="M11" s="10">
        <f t="shared" si="0"/>
        <v>26.7590027700831</v>
      </c>
      <c r="O11" s="21">
        <v>16.964285714285712</v>
      </c>
      <c r="P11" s="21">
        <f t="shared" si="1"/>
        <v>9.1346153846153832</v>
      </c>
      <c r="R11" s="37" t="s">
        <v>65</v>
      </c>
      <c r="S11">
        <v>1798</v>
      </c>
      <c r="T11" s="20">
        <v>58</v>
      </c>
      <c r="U11" s="38" t="s">
        <v>75</v>
      </c>
      <c r="V11" s="35"/>
      <c r="W11" s="35"/>
      <c r="X11" s="35"/>
      <c r="Y11" s="35"/>
      <c r="AE11">
        <v>70</v>
      </c>
      <c r="AF11" s="11">
        <v>45.218800648298213</v>
      </c>
      <c r="AG11" s="11">
        <v>77.957860615883291</v>
      </c>
    </row>
    <row r="12" spans="1:36" x14ac:dyDescent="0.2">
      <c r="A12" s="23"/>
      <c r="J12" s="9" t="s">
        <v>62</v>
      </c>
      <c r="K12" s="21"/>
      <c r="L12" s="21">
        <v>844</v>
      </c>
      <c r="M12" s="10">
        <f t="shared" si="0"/>
        <v>46.7590027700831</v>
      </c>
      <c r="O12" s="21">
        <v>93.749999999999986</v>
      </c>
      <c r="P12" s="21">
        <f t="shared" si="1"/>
        <v>50.480769230769226</v>
      </c>
      <c r="U12" s="35"/>
      <c r="V12" s="35"/>
      <c r="W12" s="35"/>
      <c r="X12" s="35"/>
      <c r="Y12" s="35"/>
      <c r="AE12">
        <v>80</v>
      </c>
      <c r="AF12" s="11">
        <v>63.04700162074554</v>
      </c>
      <c r="AG12" s="11">
        <v>94.813614262560762</v>
      </c>
    </row>
    <row r="13" spans="1:36" x14ac:dyDescent="0.2">
      <c r="A13" s="23"/>
      <c r="J13" s="9" t="s">
        <v>63</v>
      </c>
      <c r="K13" s="21"/>
      <c r="L13" s="21">
        <v>1153</v>
      </c>
      <c r="M13" s="10">
        <f t="shared" si="0"/>
        <v>63.878116343490312</v>
      </c>
      <c r="O13" s="21">
        <v>112.49999999999999</v>
      </c>
      <c r="P13" s="21">
        <f t="shared" si="1"/>
        <v>60.576923076923073</v>
      </c>
      <c r="R13" s="37" t="s">
        <v>101</v>
      </c>
      <c r="U13" s="35"/>
      <c r="V13" s="35"/>
      <c r="W13" s="35"/>
      <c r="X13" s="35"/>
      <c r="Y13" s="35"/>
      <c r="AE13">
        <v>90</v>
      </c>
      <c r="AF13" s="11">
        <v>82.171799027552666</v>
      </c>
      <c r="AG13" s="11">
        <v>99.999999999999986</v>
      </c>
    </row>
    <row r="14" spans="1:36" x14ac:dyDescent="0.2">
      <c r="A14" s="23"/>
      <c r="J14" s="9" t="s">
        <v>64</v>
      </c>
      <c r="K14" s="21"/>
      <c r="L14" s="21">
        <v>1353</v>
      </c>
      <c r="M14" s="10">
        <f t="shared" si="0"/>
        <v>74.958448753462605</v>
      </c>
      <c r="O14" s="21">
        <v>185.71428571428569</v>
      </c>
      <c r="P14" s="21">
        <f t="shared" si="1"/>
        <v>100</v>
      </c>
      <c r="U14" s="35"/>
      <c r="V14" s="35"/>
      <c r="W14" s="35"/>
      <c r="X14" s="35"/>
      <c r="Y14" s="35"/>
      <c r="AE14">
        <v>100</v>
      </c>
      <c r="AF14" s="11">
        <v>99.999999999999986</v>
      </c>
      <c r="AG14" s="11">
        <v>99.999999999999986</v>
      </c>
    </row>
    <row r="15" spans="1:36" x14ac:dyDescent="0.2">
      <c r="A15" s="23"/>
      <c r="J15" s="39" t="s">
        <v>65</v>
      </c>
      <c r="K15" s="40"/>
      <c r="L15" s="40">
        <v>1805</v>
      </c>
      <c r="M15" s="10">
        <f t="shared" si="0"/>
        <v>100</v>
      </c>
      <c r="O15" s="40">
        <v>180.35714285714283</v>
      </c>
      <c r="P15" s="40">
        <f t="shared" si="1"/>
        <v>97.115384615384613</v>
      </c>
    </row>
    <row r="16" spans="1:36" x14ac:dyDescent="0.2">
      <c r="A16" s="23"/>
      <c r="B16" t="s">
        <v>51</v>
      </c>
      <c r="C16" t="s">
        <v>46</v>
      </c>
      <c r="D16" s="23"/>
      <c r="E16" s="41">
        <v>7.6291454081632644</v>
      </c>
      <c r="F16" s="30">
        <v>38467</v>
      </c>
      <c r="G16" s="30"/>
      <c r="H16" s="20"/>
      <c r="I16" s="21">
        <f>365/1.12</f>
        <v>325.89285714285711</v>
      </c>
      <c r="J16" s="9" t="s">
        <v>74</v>
      </c>
      <c r="K16" s="21"/>
      <c r="L16" s="21">
        <v>0</v>
      </c>
      <c r="M16" s="10">
        <f>L16/L$20*100</f>
        <v>0</v>
      </c>
      <c r="O16" s="21">
        <v>0</v>
      </c>
      <c r="P16" s="21">
        <f>O16/O$20*100</f>
        <v>0</v>
      </c>
      <c r="Q16" s="9"/>
      <c r="S16" s="20"/>
      <c r="T16" s="21"/>
    </row>
    <row r="17" spans="1:31" x14ac:dyDescent="0.2">
      <c r="A17" s="23"/>
      <c r="J17" s="9" t="s">
        <v>61</v>
      </c>
      <c r="K17" s="21"/>
      <c r="L17" s="21">
        <v>459</v>
      </c>
      <c r="M17" s="10">
        <f>L17/L$20*100</f>
        <v>37.840065952184666</v>
      </c>
      <c r="O17" s="21">
        <v>2.2321428571428568</v>
      </c>
      <c r="P17" s="21">
        <f>O17/O$20*100</f>
        <v>1.0822510822510822</v>
      </c>
      <c r="S17" s="20"/>
      <c r="T17" s="21"/>
      <c r="AE17" t="s">
        <v>136</v>
      </c>
    </row>
    <row r="18" spans="1:31" x14ac:dyDescent="0.2">
      <c r="A18" s="23"/>
      <c r="J18" s="9" t="s">
        <v>62</v>
      </c>
      <c r="K18" s="21"/>
      <c r="L18" s="21">
        <v>615</v>
      </c>
      <c r="M18" s="10">
        <f>L18/L$20*100</f>
        <v>50.700741962077487</v>
      </c>
      <c r="O18" s="21">
        <v>20.535714285714285</v>
      </c>
      <c r="P18" s="21">
        <f>O18/O$20*100</f>
        <v>9.9567099567099575</v>
      </c>
      <c r="Q18" s="23"/>
      <c r="AE18" t="s">
        <v>137</v>
      </c>
    </row>
    <row r="19" spans="1:31" x14ac:dyDescent="0.2">
      <c r="A19" s="23"/>
      <c r="J19" s="9" t="s">
        <v>63</v>
      </c>
      <c r="K19" s="21"/>
      <c r="L19" s="21">
        <v>798</v>
      </c>
      <c r="M19" s="10">
        <f>L19/L$20*100</f>
        <v>65.787304204451772</v>
      </c>
      <c r="O19" s="21">
        <v>75.892857142857139</v>
      </c>
      <c r="P19" s="21">
        <f>O19/O$20*100</f>
        <v>36.796536796536799</v>
      </c>
      <c r="Q19" s="23"/>
      <c r="AE19" s="38" t="s">
        <v>75</v>
      </c>
    </row>
    <row r="20" spans="1:31" x14ac:dyDescent="0.2">
      <c r="A20" s="23"/>
      <c r="J20" s="9" t="s">
        <v>64</v>
      </c>
      <c r="K20" s="21"/>
      <c r="L20" s="21">
        <v>1213</v>
      </c>
      <c r="M20" s="10">
        <f>L20/L$20*100</f>
        <v>100</v>
      </c>
      <c r="O20" s="21">
        <v>206.24999999999997</v>
      </c>
      <c r="P20" s="21">
        <f>O20/O$20*100</f>
        <v>100</v>
      </c>
      <c r="Q20" s="23"/>
    </row>
    <row r="21" spans="1:31" x14ac:dyDescent="0.2">
      <c r="A21" s="23"/>
      <c r="B21" t="s">
        <v>48</v>
      </c>
      <c r="C21" t="s">
        <v>46</v>
      </c>
      <c r="D21" s="23"/>
      <c r="E21" s="29">
        <v>11.178307529908514</v>
      </c>
      <c r="F21" s="20" t="s">
        <v>57</v>
      </c>
      <c r="G21" s="20"/>
      <c r="H21" s="20"/>
      <c r="I21" s="21">
        <f>365/1.12</f>
        <v>325.89285714285711</v>
      </c>
      <c r="J21" s="9" t="s">
        <v>74</v>
      </c>
      <c r="K21" s="21"/>
      <c r="L21" s="21">
        <v>0</v>
      </c>
      <c r="M21" s="10">
        <f>L21/L$25*100</f>
        <v>0</v>
      </c>
      <c r="O21" s="21">
        <v>0</v>
      </c>
      <c r="P21" s="21">
        <f>O21/O$25*100</f>
        <v>0</v>
      </c>
      <c r="Q21" s="23"/>
      <c r="AE21" t="s">
        <v>154</v>
      </c>
    </row>
    <row r="22" spans="1:31" x14ac:dyDescent="0.2">
      <c r="A22" s="23"/>
      <c r="J22" s="9" t="s">
        <v>61</v>
      </c>
      <c r="K22" s="21"/>
      <c r="L22" s="21">
        <v>523</v>
      </c>
      <c r="M22" s="10">
        <f>L22/L$25*100</f>
        <v>39.531368102796677</v>
      </c>
      <c r="O22" s="21">
        <v>13.392857142857142</v>
      </c>
      <c r="P22" s="21">
        <f>O22/O$25*100</f>
        <v>6.7873303167420822</v>
      </c>
      <c r="Q22" s="23"/>
    </row>
    <row r="23" spans="1:31" x14ac:dyDescent="0.2">
      <c r="A23" s="23"/>
      <c r="J23" s="9" t="s">
        <v>62</v>
      </c>
      <c r="K23" s="21"/>
      <c r="L23" s="21">
        <v>737</v>
      </c>
      <c r="M23" s="10">
        <f>L23/L$25*100</f>
        <v>55.706727135298564</v>
      </c>
      <c r="O23" s="21">
        <v>51.785714285714278</v>
      </c>
      <c r="P23" s="21">
        <f>O23/O$25*100</f>
        <v>26.244343891402711</v>
      </c>
      <c r="Q23" s="23"/>
    </row>
    <row r="24" spans="1:31" x14ac:dyDescent="0.2">
      <c r="A24" s="23"/>
      <c r="J24" s="9" t="s">
        <v>63</v>
      </c>
      <c r="K24" s="21"/>
      <c r="L24" s="21">
        <v>985</v>
      </c>
      <c r="M24" s="10">
        <f>L24/L$25*100</f>
        <v>74.452003023431587</v>
      </c>
      <c r="O24" s="21">
        <v>76.785714285714278</v>
      </c>
      <c r="P24" s="21">
        <f>O24/O$25*100</f>
        <v>38.914027149321271</v>
      </c>
      <c r="Q24" s="23"/>
    </row>
    <row r="25" spans="1:31" x14ac:dyDescent="0.2">
      <c r="A25" s="23"/>
      <c r="J25" s="9" t="s">
        <v>64</v>
      </c>
      <c r="K25" s="21"/>
      <c r="L25" s="21">
        <v>1323</v>
      </c>
      <c r="M25" s="10">
        <f>L25/L$25*100</f>
        <v>100</v>
      </c>
      <c r="O25" s="21">
        <v>197.32142857142856</v>
      </c>
      <c r="P25" s="21">
        <f>O25/O$25*100</f>
        <v>100</v>
      </c>
      <c r="Q25" s="23"/>
    </row>
    <row r="26" spans="1:31" x14ac:dyDescent="0.2">
      <c r="A26" s="23"/>
      <c r="B26" t="s">
        <v>50</v>
      </c>
      <c r="C26" t="s">
        <v>46</v>
      </c>
      <c r="D26" s="23"/>
      <c r="E26" s="41">
        <v>5.7773109243697478</v>
      </c>
      <c r="F26" s="30">
        <v>38467</v>
      </c>
      <c r="G26" s="20"/>
      <c r="H26" s="20"/>
      <c r="I26" s="21">
        <f>365/1.12</f>
        <v>325.89285714285711</v>
      </c>
      <c r="J26" s="9" t="s">
        <v>74</v>
      </c>
      <c r="K26" s="21"/>
      <c r="L26" s="21">
        <v>0</v>
      </c>
      <c r="M26" s="10">
        <f>L26/L$30*100</f>
        <v>0</v>
      </c>
      <c r="O26" s="21">
        <v>0</v>
      </c>
      <c r="P26" s="21">
        <f>O26/O$30*100</f>
        <v>0</v>
      </c>
      <c r="Q26" s="23"/>
    </row>
    <row r="27" spans="1:31" x14ac:dyDescent="0.2">
      <c r="A27" s="23"/>
      <c r="J27" s="9" t="s">
        <v>61</v>
      </c>
      <c r="K27" s="21"/>
      <c r="L27" s="21">
        <v>459</v>
      </c>
      <c r="M27" s="10">
        <f>L27/L$30*100</f>
        <v>40.691489361702125</v>
      </c>
      <c r="O27" s="21">
        <v>1.2499999999999998</v>
      </c>
      <c r="P27" s="21">
        <f>O27/O$30*100</f>
        <v>0.63636363636363624</v>
      </c>
      <c r="Q27" s="23"/>
    </row>
    <row r="28" spans="1:31" x14ac:dyDescent="0.2">
      <c r="A28" s="23"/>
      <c r="J28" s="9" t="s">
        <v>62</v>
      </c>
      <c r="K28" s="21"/>
      <c r="L28" s="21">
        <v>615</v>
      </c>
      <c r="M28" s="10">
        <f>L28/L$30*100</f>
        <v>54.521276595744681</v>
      </c>
      <c r="O28" s="21">
        <v>32.142857142857139</v>
      </c>
      <c r="P28" s="21">
        <f>O28/O$30*100</f>
        <v>16.363636363636363</v>
      </c>
      <c r="Q28" s="23"/>
    </row>
    <row r="29" spans="1:31" x14ac:dyDescent="0.2">
      <c r="A29" s="23"/>
      <c r="J29" s="9" t="s">
        <v>63</v>
      </c>
      <c r="K29" s="21"/>
      <c r="L29" s="21">
        <v>798</v>
      </c>
      <c r="M29" s="10">
        <f>L29/L$30*100</f>
        <v>70.744680851063833</v>
      </c>
      <c r="O29" s="21">
        <v>101.78571428571428</v>
      </c>
      <c r="P29" s="21">
        <f>O29/O$30*100</f>
        <v>51.81818181818182</v>
      </c>
      <c r="Q29" s="23"/>
    </row>
    <row r="30" spans="1:31" x14ac:dyDescent="0.2">
      <c r="A30" s="23"/>
      <c r="J30" s="9" t="s">
        <v>64</v>
      </c>
      <c r="K30" s="21"/>
      <c r="L30" s="21">
        <v>1128</v>
      </c>
      <c r="M30" s="10">
        <f>L30/L$30*100</f>
        <v>100</v>
      </c>
      <c r="O30" s="21">
        <v>196.42857142857142</v>
      </c>
      <c r="P30" s="21">
        <f>O30/O$30*100</f>
        <v>100</v>
      </c>
      <c r="Q30" s="23"/>
    </row>
    <row r="31" spans="1:31" x14ac:dyDescent="0.2">
      <c r="A31" s="23"/>
      <c r="B31" t="s">
        <v>49</v>
      </c>
      <c r="C31" t="s">
        <v>46</v>
      </c>
      <c r="D31" s="23"/>
      <c r="E31" s="41">
        <v>3.5370879120879115</v>
      </c>
      <c r="F31" s="20" t="s">
        <v>59</v>
      </c>
      <c r="G31" s="20"/>
      <c r="H31" s="20"/>
      <c r="I31" s="21">
        <f>365/1.12</f>
        <v>325.89285714285711</v>
      </c>
      <c r="J31" s="9" t="s">
        <v>74</v>
      </c>
      <c r="K31" s="21"/>
      <c r="L31" s="21">
        <v>0</v>
      </c>
      <c r="M31" s="10">
        <f>L31/L$35*100</f>
        <v>0</v>
      </c>
      <c r="O31" s="21">
        <v>0</v>
      </c>
      <c r="P31" s="21">
        <f>O31/O$35*100</f>
        <v>0</v>
      </c>
      <c r="Q31" s="23"/>
    </row>
    <row r="32" spans="1:31" x14ac:dyDescent="0.2">
      <c r="A32" s="23"/>
      <c r="J32" s="9" t="s">
        <v>61</v>
      </c>
      <c r="K32" s="21"/>
      <c r="L32" s="21">
        <v>498</v>
      </c>
      <c r="M32" s="10">
        <f>L32/L$35*100</f>
        <v>39.64968152866242</v>
      </c>
      <c r="O32" s="21">
        <v>0.89285714285714279</v>
      </c>
      <c r="P32" s="21">
        <f>O32/O$35*100</f>
        <v>0.48543689320388345</v>
      </c>
      <c r="Q32" s="23"/>
    </row>
    <row r="33" spans="1:38" x14ac:dyDescent="0.2">
      <c r="A33" s="23"/>
      <c r="J33" s="9" t="s">
        <v>62</v>
      </c>
      <c r="K33" s="21"/>
      <c r="L33" s="21">
        <v>661</v>
      </c>
      <c r="M33" s="10">
        <f>L33/L$35*100</f>
        <v>52.627388535031848</v>
      </c>
      <c r="O33" s="21">
        <v>4.5535714285714279</v>
      </c>
      <c r="P33" s="21">
        <f>O33/O$35*100</f>
        <v>2.4757281553398056</v>
      </c>
      <c r="Q33" s="23"/>
    </row>
    <row r="34" spans="1:38" x14ac:dyDescent="0.2">
      <c r="A34" s="23"/>
      <c r="J34" s="9" t="s">
        <v>63</v>
      </c>
      <c r="K34" s="21"/>
      <c r="L34" s="21">
        <v>926</v>
      </c>
      <c r="M34" s="10">
        <f>L34/L$35*100</f>
        <v>73.726114649681534</v>
      </c>
      <c r="O34" s="21">
        <v>112.49999999999999</v>
      </c>
      <c r="P34" s="21">
        <f>O34/O$35*100</f>
        <v>61.165048543689316</v>
      </c>
      <c r="Q34" s="23"/>
    </row>
    <row r="35" spans="1:38" x14ac:dyDescent="0.2">
      <c r="A35" s="23"/>
      <c r="J35" s="9" t="s">
        <v>64</v>
      </c>
      <c r="K35" s="21"/>
      <c r="L35" s="21">
        <v>1256</v>
      </c>
      <c r="M35" s="10">
        <f>L35/L$35*100</f>
        <v>100</v>
      </c>
      <c r="O35" s="21">
        <v>183.92857142857142</v>
      </c>
      <c r="P35" s="21">
        <f>O35/O$35*100</f>
        <v>100</v>
      </c>
      <c r="Q35" s="23"/>
    </row>
    <row r="36" spans="1:38" x14ac:dyDescent="0.2">
      <c r="A36" s="23"/>
      <c r="B36" t="s">
        <v>52</v>
      </c>
      <c r="C36" t="s">
        <v>46</v>
      </c>
      <c r="D36" s="23"/>
      <c r="E36" s="41">
        <v>4.1941776710684273</v>
      </c>
      <c r="F36" s="30">
        <v>38425</v>
      </c>
      <c r="G36" s="20"/>
      <c r="H36" s="20"/>
      <c r="I36" s="21">
        <f>365/1.12</f>
        <v>325.89285714285711</v>
      </c>
      <c r="J36" s="9" t="s">
        <v>74</v>
      </c>
      <c r="K36" s="21"/>
      <c r="L36" s="21">
        <v>0</v>
      </c>
      <c r="M36" s="10">
        <f>L36/L$40*100</f>
        <v>0</v>
      </c>
      <c r="O36" s="21">
        <v>0</v>
      </c>
      <c r="P36" s="21">
        <f>O36/O$40*100</f>
        <v>0</v>
      </c>
      <c r="Q36" s="23"/>
    </row>
    <row r="37" spans="1:38" x14ac:dyDescent="0.2">
      <c r="A37" s="23"/>
      <c r="J37" s="9" t="s">
        <v>61</v>
      </c>
      <c r="K37" s="21"/>
      <c r="L37" s="21">
        <v>422</v>
      </c>
      <c r="M37" s="10">
        <f>L37/L$40*100</f>
        <v>33.922829581993568</v>
      </c>
      <c r="O37" s="21">
        <v>2.9464285714285712</v>
      </c>
      <c r="P37" s="21">
        <f>O37/O$40*100</f>
        <v>1.9186046511627908</v>
      </c>
      <c r="Q37" s="23"/>
    </row>
    <row r="38" spans="1:38" x14ac:dyDescent="0.2">
      <c r="A38" s="23"/>
      <c r="J38" s="9" t="s">
        <v>62</v>
      </c>
      <c r="K38" s="21"/>
      <c r="L38" s="21">
        <v>574</v>
      </c>
      <c r="M38" s="10">
        <f>L38/L$40*100</f>
        <v>46.141479099678456</v>
      </c>
      <c r="O38" s="21">
        <v>10.714285714285714</v>
      </c>
      <c r="P38" s="21">
        <f>O38/O$40*100</f>
        <v>6.9767441860465116</v>
      </c>
      <c r="Q38" s="23"/>
      <c r="AH38" s="241"/>
      <c r="AI38" s="241"/>
      <c r="AJ38" s="241"/>
      <c r="AK38" s="241"/>
    </row>
    <row r="39" spans="1:38" x14ac:dyDescent="0.2">
      <c r="A39" s="23"/>
      <c r="J39" s="9" t="s">
        <v>63</v>
      </c>
      <c r="K39" s="21"/>
      <c r="L39" s="21">
        <v>913</v>
      </c>
      <c r="M39" s="10">
        <f>L39/L$40*100</f>
        <v>73.39228295819936</v>
      </c>
      <c r="O39" s="21">
        <v>88.392857142857139</v>
      </c>
      <c r="P39" s="21">
        <f>O39/O$40*100</f>
        <v>57.558139534883722</v>
      </c>
      <c r="Q39" s="23"/>
    </row>
    <row r="40" spans="1:38" x14ac:dyDescent="0.2">
      <c r="A40" s="23"/>
      <c r="B40" s="23"/>
      <c r="C40" s="23"/>
      <c r="F40"/>
      <c r="G40"/>
      <c r="H40" s="20"/>
      <c r="I40" s="21"/>
      <c r="J40" s="9" t="s">
        <v>64</v>
      </c>
      <c r="K40" s="21"/>
      <c r="L40" s="21">
        <v>1244</v>
      </c>
      <c r="M40" s="10">
        <f>L40/L$40*100</f>
        <v>100</v>
      </c>
      <c r="O40" s="21">
        <v>153.57142857142856</v>
      </c>
      <c r="P40" s="21">
        <f>O40/O$40*100</f>
        <v>100</v>
      </c>
      <c r="Q40" s="23"/>
    </row>
    <row r="41" spans="1:38" x14ac:dyDescent="0.2">
      <c r="A41" s="23"/>
      <c r="B41" t="s">
        <v>53</v>
      </c>
      <c r="C41" t="s">
        <v>66</v>
      </c>
      <c r="D41" s="23"/>
      <c r="E41" s="41">
        <v>6.0882835276967935</v>
      </c>
      <c r="F41" s="30">
        <v>38449</v>
      </c>
      <c r="G41" s="20"/>
      <c r="H41" s="20"/>
      <c r="I41" s="10">
        <f>200/1.12</f>
        <v>178.57142857142856</v>
      </c>
      <c r="J41" s="9" t="s">
        <v>74</v>
      </c>
      <c r="K41" s="21"/>
      <c r="L41" s="21">
        <v>0</v>
      </c>
      <c r="M41" s="10">
        <f>L41/L$45*100</f>
        <v>0</v>
      </c>
      <c r="O41" s="21">
        <v>0</v>
      </c>
      <c r="P41" s="21">
        <f>O41/O$45*100</f>
        <v>0</v>
      </c>
      <c r="Q41" s="23"/>
      <c r="AI41" s="11"/>
      <c r="AK41" s="11"/>
    </row>
    <row r="42" spans="1:38" x14ac:dyDescent="0.2">
      <c r="A42" s="23"/>
      <c r="J42" s="9" t="s">
        <v>61</v>
      </c>
      <c r="K42" s="21"/>
      <c r="L42" s="21">
        <v>766</v>
      </c>
      <c r="M42" s="10">
        <f>L42/L$45*100</f>
        <v>50.295469468154948</v>
      </c>
      <c r="O42" s="21">
        <v>23.214285714285712</v>
      </c>
      <c r="P42" s="21">
        <f>O42/O$45*100</f>
        <v>13.13131313131313</v>
      </c>
      <c r="Q42" s="23"/>
      <c r="AD42" s="81"/>
      <c r="AE42" s="81" t="s">
        <v>155</v>
      </c>
      <c r="AF42" s="81"/>
      <c r="AG42" s="81"/>
      <c r="AH42" s="81"/>
      <c r="AI42" s="83"/>
      <c r="AJ42" s="81"/>
      <c r="AK42" s="83"/>
      <c r="AL42" s="81"/>
    </row>
    <row r="43" spans="1:38" x14ac:dyDescent="0.2">
      <c r="A43" s="23"/>
      <c r="J43" s="9" t="s">
        <v>62</v>
      </c>
      <c r="K43" s="21"/>
      <c r="L43" s="21">
        <v>980</v>
      </c>
      <c r="M43" s="10">
        <f>L43/L$45*100</f>
        <v>64.346684175968477</v>
      </c>
      <c r="O43" s="21">
        <v>71.428571428571416</v>
      </c>
      <c r="P43" s="21">
        <f>O43/O$45*100</f>
        <v>40.404040404040401</v>
      </c>
      <c r="Q43" s="23"/>
      <c r="AD43" s="81"/>
      <c r="AE43" s="81"/>
      <c r="AF43" s="81"/>
      <c r="AG43" s="81"/>
      <c r="AH43" s="81"/>
      <c r="AI43" s="83"/>
      <c r="AJ43" s="81"/>
      <c r="AK43" s="83"/>
      <c r="AL43" s="81"/>
    </row>
    <row r="44" spans="1:38" x14ac:dyDescent="0.2">
      <c r="A44" s="23"/>
      <c r="B44" s="23"/>
      <c r="C44" s="23"/>
      <c r="D44" s="23"/>
      <c r="E44" s="23"/>
      <c r="F44" s="20"/>
      <c r="G44" s="20"/>
      <c r="H44" s="20"/>
      <c r="I44" s="21"/>
      <c r="J44" s="9" t="s">
        <v>63</v>
      </c>
      <c r="K44" s="21"/>
      <c r="L44" s="21">
        <v>1166</v>
      </c>
      <c r="M44" s="10">
        <f>L44/L$45*100</f>
        <v>76.559422193040049</v>
      </c>
      <c r="O44" s="21">
        <v>99.107142857142847</v>
      </c>
      <c r="P44" s="21">
        <f>O44/O$45*100</f>
        <v>56.060606060606055</v>
      </c>
      <c r="Q44" s="23"/>
      <c r="AD44" s="81"/>
      <c r="AE44" s="81"/>
      <c r="AF44" s="81"/>
      <c r="AG44" s="81"/>
      <c r="AH44" s="81"/>
      <c r="AI44" s="83"/>
      <c r="AJ44" s="81"/>
      <c r="AK44" s="83"/>
      <c r="AL44" s="81"/>
    </row>
    <row r="45" spans="1:38" x14ac:dyDescent="0.2">
      <c r="A45" s="23"/>
      <c r="B45" s="23"/>
      <c r="C45" s="23"/>
      <c r="D45" s="23"/>
      <c r="E45" s="23"/>
      <c r="F45" s="20"/>
      <c r="G45" s="20"/>
      <c r="H45" s="20"/>
      <c r="I45" s="21"/>
      <c r="J45" s="9" t="s">
        <v>64</v>
      </c>
      <c r="K45" s="21"/>
      <c r="L45" s="21">
        <v>1523</v>
      </c>
      <c r="M45" s="10">
        <f>L45/L$45*100</f>
        <v>100</v>
      </c>
      <c r="O45" s="21">
        <v>176.78571428571428</v>
      </c>
      <c r="P45" s="21">
        <f>O45/O$45*100</f>
        <v>100</v>
      </c>
      <c r="Q45" s="23"/>
      <c r="AD45" s="81"/>
      <c r="AE45" s="81"/>
      <c r="AF45" s="81"/>
      <c r="AG45" s="81"/>
      <c r="AH45" s="81"/>
      <c r="AI45" s="83"/>
      <c r="AJ45" s="81"/>
      <c r="AK45" s="83"/>
      <c r="AL45" s="81"/>
    </row>
    <row r="46" spans="1:38" x14ac:dyDescent="0.2">
      <c r="A46" s="23"/>
      <c r="B46" t="s">
        <v>47</v>
      </c>
      <c r="C46" t="s">
        <v>46</v>
      </c>
      <c r="D46" s="23"/>
      <c r="E46" s="29">
        <v>11.84402332361516</v>
      </c>
      <c r="F46" s="20" t="s">
        <v>58</v>
      </c>
      <c r="G46" s="20"/>
      <c r="H46" s="20"/>
      <c r="I46" s="21">
        <f>365/1.12</f>
        <v>325.89285714285711</v>
      </c>
      <c r="J46" s="9" t="s">
        <v>74</v>
      </c>
      <c r="K46" s="21"/>
      <c r="L46" s="21">
        <v>0</v>
      </c>
      <c r="M46" s="10">
        <f t="shared" ref="M46:M51" si="2">L46/L$51*100</f>
        <v>0</v>
      </c>
      <c r="O46" s="21">
        <v>0</v>
      </c>
      <c r="P46" s="21">
        <f t="shared" ref="P46:P51" si="3">O46/O$51*100</f>
        <v>0</v>
      </c>
      <c r="Q46" s="23"/>
      <c r="AD46" s="81"/>
      <c r="AE46" s="81"/>
      <c r="AF46" s="81"/>
      <c r="AG46" s="81"/>
      <c r="AH46" s="81"/>
      <c r="AI46" s="83"/>
      <c r="AJ46" s="81"/>
      <c r="AK46" s="83"/>
      <c r="AL46" s="81"/>
    </row>
    <row r="47" spans="1:38" x14ac:dyDescent="0.2">
      <c r="A47" s="23"/>
      <c r="E47" s="44" t="s">
        <v>77</v>
      </c>
      <c r="J47" s="9" t="s">
        <v>61</v>
      </c>
      <c r="K47" s="21"/>
      <c r="L47" s="21">
        <v>440</v>
      </c>
      <c r="M47" s="10">
        <f t="shared" si="2"/>
        <v>24.636058230683091</v>
      </c>
      <c r="O47" s="21">
        <v>3.4821428571428568</v>
      </c>
      <c r="P47" s="21">
        <f t="shared" si="3"/>
        <v>1.7030567685589519</v>
      </c>
      <c r="Q47" s="23"/>
      <c r="AD47" s="81"/>
      <c r="AE47" s="81"/>
      <c r="AF47" s="81"/>
      <c r="AG47" s="81"/>
      <c r="AH47" s="81"/>
      <c r="AI47" s="83"/>
      <c r="AJ47" s="81"/>
      <c r="AK47" s="83"/>
      <c r="AL47" s="81"/>
    </row>
    <row r="48" spans="1:38" x14ac:dyDescent="0.2">
      <c r="A48" s="23"/>
      <c r="D48" s="23"/>
      <c r="E48" s="23"/>
      <c r="F48" s="30"/>
      <c r="G48" s="20"/>
      <c r="H48" s="20"/>
      <c r="J48" s="9" t="s">
        <v>62</v>
      </c>
      <c r="K48" s="21"/>
      <c r="L48" s="21">
        <v>690</v>
      </c>
      <c r="M48" s="10">
        <f t="shared" si="2"/>
        <v>38.633818589025751</v>
      </c>
      <c r="O48" s="21">
        <v>7.5</v>
      </c>
      <c r="P48" s="21">
        <f t="shared" si="3"/>
        <v>3.6681222707423586</v>
      </c>
      <c r="Q48" s="23"/>
      <c r="AD48" s="81"/>
      <c r="AE48" s="81"/>
      <c r="AF48" s="81"/>
      <c r="AG48" s="81"/>
      <c r="AH48" s="81"/>
      <c r="AI48" s="83"/>
      <c r="AJ48" s="81"/>
      <c r="AK48" s="83"/>
      <c r="AL48" s="81"/>
    </row>
    <row r="49" spans="1:38" x14ac:dyDescent="0.2">
      <c r="A49" s="23"/>
      <c r="D49" s="23"/>
      <c r="E49" s="23"/>
      <c r="F49" s="30"/>
      <c r="G49" s="20"/>
      <c r="H49" s="20"/>
      <c r="J49" s="9" t="s">
        <v>63</v>
      </c>
      <c r="K49" s="21"/>
      <c r="L49" s="21">
        <v>997</v>
      </c>
      <c r="M49" s="10">
        <f t="shared" si="2"/>
        <v>55.823068309070543</v>
      </c>
      <c r="O49" s="21">
        <v>83.928571428571416</v>
      </c>
      <c r="P49" s="21">
        <f t="shared" si="3"/>
        <v>41.048034934497814</v>
      </c>
      <c r="Q49" s="23"/>
      <c r="AD49" s="81"/>
      <c r="AE49" s="81"/>
      <c r="AF49" s="81"/>
      <c r="AG49" s="81"/>
      <c r="AH49" s="81"/>
      <c r="AI49" s="81"/>
      <c r="AJ49" s="81"/>
      <c r="AK49" s="81"/>
      <c r="AL49" s="81"/>
    </row>
    <row r="50" spans="1:38" x14ac:dyDescent="0.2">
      <c r="A50" s="23"/>
      <c r="D50" s="23"/>
      <c r="E50" s="23"/>
      <c r="F50" s="30"/>
      <c r="G50" s="20"/>
      <c r="H50" s="20"/>
      <c r="J50" s="9" t="s">
        <v>64</v>
      </c>
      <c r="K50" s="21"/>
      <c r="L50" s="21">
        <v>1271</v>
      </c>
      <c r="M50" s="10">
        <f t="shared" si="2"/>
        <v>71.164613661814116</v>
      </c>
      <c r="O50" s="21">
        <v>137.5</v>
      </c>
      <c r="P50" s="21">
        <f t="shared" si="3"/>
        <v>67.248908296943227</v>
      </c>
      <c r="Q50" s="23"/>
      <c r="AD50" s="81"/>
      <c r="AE50" s="81"/>
      <c r="AF50" s="81"/>
      <c r="AG50" s="81"/>
      <c r="AH50" s="81"/>
      <c r="AI50" s="81"/>
      <c r="AJ50" s="81"/>
      <c r="AK50" s="81"/>
      <c r="AL50" s="81"/>
    </row>
    <row r="51" spans="1:38" x14ac:dyDescent="0.2">
      <c r="A51" s="23"/>
      <c r="D51" s="23"/>
      <c r="E51" s="23"/>
      <c r="F51" s="30"/>
      <c r="G51" s="20"/>
      <c r="H51" s="20"/>
      <c r="J51" s="39" t="s">
        <v>65</v>
      </c>
      <c r="K51" s="40"/>
      <c r="L51" s="40">
        <v>1786</v>
      </c>
      <c r="M51" s="10">
        <f t="shared" si="2"/>
        <v>100</v>
      </c>
      <c r="O51" s="40">
        <v>204.46428571428569</v>
      </c>
      <c r="P51" s="40">
        <f t="shared" si="3"/>
        <v>100</v>
      </c>
      <c r="Q51" s="23"/>
      <c r="AD51" s="81"/>
      <c r="AE51" s="81"/>
      <c r="AF51" s="81"/>
      <c r="AG51" s="81"/>
      <c r="AH51" s="81"/>
      <c r="AI51" s="81"/>
      <c r="AJ51" s="81"/>
      <c r="AK51" s="81"/>
      <c r="AL51" s="81"/>
    </row>
    <row r="52" spans="1:38" x14ac:dyDescent="0.2">
      <c r="A52" s="23"/>
      <c r="B52" t="s">
        <v>54</v>
      </c>
      <c r="C52" t="s">
        <v>66</v>
      </c>
      <c r="D52" s="23"/>
      <c r="E52" s="41">
        <v>3.4040178571428568</v>
      </c>
      <c r="F52" s="30">
        <v>38449</v>
      </c>
      <c r="G52" s="20"/>
      <c r="H52" s="20"/>
      <c r="I52" s="10">
        <f>200/1.12</f>
        <v>178.57142857142856</v>
      </c>
      <c r="J52" s="9" t="s">
        <v>74</v>
      </c>
      <c r="K52" s="21"/>
      <c r="L52" s="21">
        <v>0</v>
      </c>
      <c r="M52" s="10">
        <f>L52/L$56*100</f>
        <v>0</v>
      </c>
      <c r="O52" s="21">
        <v>0</v>
      </c>
      <c r="P52" s="21">
        <f>O52/O$56*100</f>
        <v>0</v>
      </c>
      <c r="Q52" s="23"/>
      <c r="AD52" s="81"/>
      <c r="AE52" s="81"/>
      <c r="AF52" s="81"/>
      <c r="AG52" s="81"/>
      <c r="AH52" s="81"/>
      <c r="AI52" s="81"/>
      <c r="AJ52" s="81"/>
      <c r="AK52" s="81"/>
      <c r="AL52" s="81"/>
    </row>
    <row r="53" spans="1:38" x14ac:dyDescent="0.2">
      <c r="A53" s="23"/>
      <c r="D53" s="23"/>
      <c r="E53" s="23"/>
      <c r="F53" s="30"/>
      <c r="G53" s="20"/>
      <c r="H53" s="20"/>
      <c r="J53" s="9" t="s">
        <v>61</v>
      </c>
      <c r="K53" s="21"/>
      <c r="L53" s="21">
        <v>766</v>
      </c>
      <c r="M53" s="10">
        <f>L53/L$56*100</f>
        <v>50.295469468154948</v>
      </c>
      <c r="O53" s="21">
        <v>13.392857142857142</v>
      </c>
      <c r="P53" s="21">
        <f>O53/O$56*100</f>
        <v>12.295081967213116</v>
      </c>
      <c r="Q53" s="23"/>
      <c r="AD53" s="81"/>
      <c r="AE53" s="81"/>
      <c r="AF53" s="81"/>
      <c r="AG53" s="81"/>
      <c r="AH53" s="81"/>
      <c r="AI53" s="81"/>
      <c r="AJ53" s="81"/>
      <c r="AK53" s="81"/>
      <c r="AL53" s="81"/>
    </row>
    <row r="54" spans="1:38" x14ac:dyDescent="0.2">
      <c r="A54" s="23"/>
      <c r="D54" s="23"/>
      <c r="E54" s="23"/>
      <c r="F54" s="30"/>
      <c r="G54" s="20"/>
      <c r="H54" s="20"/>
      <c r="J54" s="9" t="s">
        <v>62</v>
      </c>
      <c r="K54" s="21"/>
      <c r="L54" s="21">
        <v>980</v>
      </c>
      <c r="M54" s="10">
        <f>L54/L$56*100</f>
        <v>64.346684175968477</v>
      </c>
      <c r="O54" s="21">
        <v>42.857142857142854</v>
      </c>
      <c r="P54" s="21">
        <f>O54/O$56*100</f>
        <v>39.344262295081968</v>
      </c>
      <c r="Q54" s="23"/>
      <c r="AD54" s="81"/>
      <c r="AE54" s="81"/>
      <c r="AF54" s="81"/>
      <c r="AG54" s="81"/>
      <c r="AH54" s="81"/>
      <c r="AI54" s="81"/>
      <c r="AJ54" s="81"/>
      <c r="AK54" s="81"/>
      <c r="AL54" s="81"/>
    </row>
    <row r="55" spans="1:38" x14ac:dyDescent="0.2">
      <c r="A55" s="23"/>
      <c r="D55" s="23"/>
      <c r="E55" s="23"/>
      <c r="F55" s="30"/>
      <c r="G55" s="20"/>
      <c r="H55" s="20"/>
      <c r="J55" s="9" t="s">
        <v>63</v>
      </c>
      <c r="K55" s="21"/>
      <c r="L55" s="21">
        <v>1166</v>
      </c>
      <c r="M55" s="10">
        <f>L55/L$56*100</f>
        <v>76.559422193040049</v>
      </c>
      <c r="O55" s="21">
        <v>44.642857142857139</v>
      </c>
      <c r="P55" s="21">
        <f>O55/O$56*100</f>
        <v>40.983606557377051</v>
      </c>
      <c r="Q55" s="23"/>
      <c r="AD55" s="81"/>
      <c r="AE55" s="81"/>
      <c r="AF55" s="81"/>
      <c r="AG55" s="81"/>
      <c r="AH55" s="81"/>
      <c r="AI55" s="81"/>
      <c r="AJ55" s="81"/>
      <c r="AK55" s="81"/>
      <c r="AL55" s="81"/>
    </row>
    <row r="56" spans="1:38" x14ac:dyDescent="0.2">
      <c r="A56" s="23"/>
      <c r="D56" s="23"/>
      <c r="E56" s="23"/>
      <c r="F56" s="30"/>
      <c r="G56" s="20"/>
      <c r="H56" s="20"/>
      <c r="J56" s="9" t="s">
        <v>64</v>
      </c>
      <c r="K56" s="21"/>
      <c r="L56" s="21">
        <v>1523</v>
      </c>
      <c r="M56" s="10">
        <f>L56/L$56*100</f>
        <v>100</v>
      </c>
      <c r="O56" s="21">
        <v>108.92857142857142</v>
      </c>
      <c r="P56" s="21">
        <f>O56/O$56*100</f>
        <v>100</v>
      </c>
      <c r="Q56" s="23"/>
      <c r="AD56" s="81"/>
      <c r="AE56" s="81"/>
      <c r="AF56" s="81"/>
      <c r="AG56" s="81"/>
      <c r="AH56" s="81"/>
      <c r="AI56" s="81"/>
      <c r="AJ56" s="81"/>
      <c r="AK56" s="81"/>
      <c r="AL56" s="81"/>
    </row>
    <row r="57" spans="1:38" x14ac:dyDescent="0.2">
      <c r="A57" s="23"/>
      <c r="D57" s="23"/>
      <c r="E57" s="23"/>
      <c r="F57" s="30"/>
      <c r="G57" s="20"/>
      <c r="H57" s="20"/>
      <c r="J57" s="20"/>
      <c r="K57" s="21"/>
      <c r="L57" s="21"/>
      <c r="M57" s="21"/>
      <c r="N57" s="21"/>
      <c r="O57" s="21"/>
      <c r="P57" s="21"/>
      <c r="Q57" s="23"/>
      <c r="AD57" s="81"/>
      <c r="AE57" s="81"/>
      <c r="AF57" s="81"/>
      <c r="AG57" s="81"/>
      <c r="AH57" s="81"/>
      <c r="AI57" s="81"/>
      <c r="AJ57" s="81"/>
      <c r="AK57" s="81"/>
      <c r="AL57" s="81"/>
    </row>
    <row r="58" spans="1:38" x14ac:dyDescent="0.2">
      <c r="B58" s="11"/>
      <c r="C58" s="11"/>
      <c r="D58" s="19"/>
      <c r="F58"/>
      <c r="G58"/>
      <c r="H58"/>
      <c r="I58"/>
      <c r="J58"/>
      <c r="K58"/>
      <c r="L58"/>
      <c r="M58"/>
      <c r="N58"/>
      <c r="O58"/>
      <c r="P58"/>
      <c r="AD58" s="81"/>
      <c r="AE58" s="81"/>
      <c r="AF58" s="81"/>
      <c r="AG58" s="81"/>
      <c r="AH58" s="81"/>
      <c r="AI58" s="81"/>
      <c r="AJ58" s="81"/>
      <c r="AK58" s="81"/>
      <c r="AL58" s="81"/>
    </row>
    <row r="59" spans="1:38" x14ac:dyDescent="0.2">
      <c r="B59" s="11"/>
      <c r="C59" s="11"/>
      <c r="D59" s="18"/>
      <c r="F59"/>
      <c r="G59"/>
      <c r="H59"/>
      <c r="I59"/>
      <c r="J59"/>
      <c r="K59"/>
      <c r="L59"/>
      <c r="M59"/>
      <c r="N59"/>
      <c r="O59"/>
      <c r="P59"/>
      <c r="AD59" s="81"/>
      <c r="AE59" s="81"/>
      <c r="AF59" s="81"/>
      <c r="AG59" s="81"/>
      <c r="AH59" s="81"/>
      <c r="AI59" s="81"/>
      <c r="AJ59" s="81"/>
      <c r="AK59" s="81"/>
      <c r="AL59" s="81"/>
    </row>
    <row r="60" spans="1:38" x14ac:dyDescent="0.2">
      <c r="A60" t="s">
        <v>37</v>
      </c>
      <c r="C60" s="232" t="s">
        <v>100</v>
      </c>
      <c r="D60" s="233"/>
      <c r="E60" s="233"/>
      <c r="F60" s="233"/>
      <c r="G60" s="233"/>
      <c r="H60" s="233"/>
      <c r="I60" s="233"/>
      <c r="J60" s="233"/>
      <c r="K60" s="233"/>
      <c r="L60" s="234"/>
      <c r="M60" s="9"/>
      <c r="N60" s="12"/>
      <c r="AD60" s="81"/>
      <c r="AE60" s="81"/>
      <c r="AF60" s="81"/>
      <c r="AG60" s="81"/>
      <c r="AH60" s="81"/>
      <c r="AI60" s="81"/>
      <c r="AJ60" s="81"/>
      <c r="AK60" s="81"/>
      <c r="AL60" s="81"/>
    </row>
    <row r="61" spans="1:38" x14ac:dyDescent="0.2">
      <c r="C61" s="235"/>
      <c r="D61" s="236"/>
      <c r="E61" s="236"/>
      <c r="F61" s="236"/>
      <c r="G61" s="236"/>
      <c r="H61" s="236"/>
      <c r="I61" s="236"/>
      <c r="J61" s="236"/>
      <c r="K61" s="236"/>
      <c r="L61" s="237"/>
      <c r="M61" s="9"/>
      <c r="N61" s="12"/>
      <c r="AD61" s="81"/>
      <c r="AE61" s="81"/>
      <c r="AF61" s="81"/>
      <c r="AG61" s="81"/>
      <c r="AH61" s="81"/>
      <c r="AI61" s="81"/>
      <c r="AJ61" s="81"/>
      <c r="AK61" s="81"/>
      <c r="AL61" s="81"/>
    </row>
    <row r="62" spans="1:38" x14ac:dyDescent="0.2">
      <c r="C62" s="238"/>
      <c r="D62" s="239"/>
      <c r="E62" s="239"/>
      <c r="F62" s="239"/>
      <c r="G62" s="239"/>
      <c r="H62" s="239"/>
      <c r="I62" s="239"/>
      <c r="J62" s="239"/>
      <c r="K62" s="239"/>
      <c r="L62" s="240"/>
      <c r="M62" s="9"/>
      <c r="N62" s="12"/>
      <c r="AD62" s="81"/>
      <c r="AE62" s="81"/>
      <c r="AF62" s="81"/>
      <c r="AG62" s="81"/>
      <c r="AH62" s="81"/>
      <c r="AI62" s="81"/>
      <c r="AJ62" s="81"/>
      <c r="AK62" s="81"/>
      <c r="AL62" s="81"/>
    </row>
    <row r="63" spans="1:38" x14ac:dyDescent="0.2">
      <c r="C63" s="14"/>
      <c r="D63" s="14"/>
      <c r="E63" s="14"/>
      <c r="F63" s="14"/>
      <c r="G63" s="14"/>
      <c r="H63" s="14"/>
      <c r="I63" s="14"/>
      <c r="J63" s="14"/>
      <c r="K63" s="14"/>
      <c r="L63" s="14"/>
      <c r="AD63" s="81"/>
      <c r="AE63" s="81"/>
      <c r="AF63" s="81"/>
      <c r="AG63" s="81"/>
      <c r="AH63" s="81"/>
      <c r="AI63" s="81"/>
      <c r="AJ63" s="81"/>
      <c r="AK63" s="81"/>
      <c r="AL63" s="81"/>
    </row>
    <row r="64" spans="1:38" x14ac:dyDescent="0.2">
      <c r="C64" s="232"/>
      <c r="D64" s="233"/>
      <c r="E64" s="233"/>
      <c r="F64" s="233"/>
      <c r="G64" s="233"/>
      <c r="H64" s="233"/>
      <c r="I64" s="233"/>
      <c r="J64" s="233"/>
      <c r="K64" s="233"/>
      <c r="L64" s="233"/>
      <c r="M64" s="233"/>
      <c r="N64" s="233"/>
      <c r="O64" s="234"/>
      <c r="P64"/>
    </row>
    <row r="65" spans="1:25" x14ac:dyDescent="0.2">
      <c r="C65" s="235"/>
      <c r="D65" s="236"/>
      <c r="E65" s="236"/>
      <c r="F65" s="236"/>
      <c r="G65" s="236"/>
      <c r="H65" s="236"/>
      <c r="I65" s="236"/>
      <c r="J65" s="236"/>
      <c r="K65" s="236"/>
      <c r="L65" s="236"/>
      <c r="M65" s="236"/>
      <c r="N65" s="236"/>
      <c r="O65" s="237"/>
      <c r="Q65" s="241"/>
      <c r="R65" s="241"/>
      <c r="S65" s="241"/>
      <c r="T65" s="241"/>
      <c r="U65" s="241"/>
      <c r="V65" s="241"/>
      <c r="X65" s="241"/>
      <c r="Y65" s="241"/>
    </row>
    <row r="66" spans="1:25" x14ac:dyDescent="0.2">
      <c r="C66" s="238"/>
      <c r="D66" s="239"/>
      <c r="E66" s="239"/>
      <c r="F66" s="239"/>
      <c r="G66" s="239"/>
      <c r="H66" s="239"/>
      <c r="I66" s="239"/>
      <c r="J66" s="239"/>
      <c r="K66" s="239"/>
      <c r="L66" s="239"/>
      <c r="M66" s="239"/>
      <c r="N66" s="239"/>
      <c r="O66" s="240"/>
      <c r="Q66" s="9"/>
      <c r="R66" s="9"/>
      <c r="U66" s="9"/>
      <c r="V66" s="9"/>
    </row>
    <row r="67" spans="1:25" x14ac:dyDescent="0.2">
      <c r="C67" s="28"/>
      <c r="D67" s="28"/>
      <c r="E67" s="28"/>
      <c r="F67" s="28"/>
      <c r="G67" s="28"/>
      <c r="H67" s="28"/>
      <c r="I67" s="28"/>
      <c r="J67" s="28"/>
      <c r="K67" s="28"/>
      <c r="L67" s="28"/>
      <c r="M67" s="28"/>
      <c r="N67" s="28"/>
      <c r="O67" s="28"/>
      <c r="P67" s="28"/>
      <c r="Q67" s="9"/>
      <c r="R67" s="9"/>
      <c r="U67" s="9"/>
      <c r="V67" s="9"/>
    </row>
    <row r="68" spans="1:25" x14ac:dyDescent="0.2">
      <c r="O68"/>
      <c r="P68" s="11"/>
      <c r="Q68" s="9"/>
      <c r="R68" s="11"/>
      <c r="T68" s="11"/>
      <c r="V68" s="11"/>
    </row>
    <row r="69" spans="1:25" x14ac:dyDescent="0.2">
      <c r="A69" s="1"/>
      <c r="B69" s="1"/>
      <c r="O69"/>
      <c r="P69" s="11"/>
      <c r="Q69" s="9"/>
      <c r="R69" s="11"/>
      <c r="T69" s="11"/>
      <c r="V69" s="11"/>
    </row>
    <row r="70" spans="1:25" x14ac:dyDescent="0.2">
      <c r="A70" s="1"/>
      <c r="B70" s="1"/>
      <c r="P70" s="11"/>
      <c r="Q70" s="9"/>
      <c r="R70" s="11"/>
      <c r="T70" s="11"/>
      <c r="V70" s="11"/>
    </row>
    <row r="71" spans="1:25" x14ac:dyDescent="0.2">
      <c r="P71" s="11"/>
      <c r="Q71" s="9"/>
      <c r="R71" s="11"/>
      <c r="T71" s="11"/>
      <c r="V71" s="11"/>
    </row>
    <row r="72" spans="1:25" x14ac:dyDescent="0.2">
      <c r="P72" s="11"/>
      <c r="Q72" s="9"/>
      <c r="R72" s="11"/>
      <c r="T72" s="11"/>
      <c r="V72" s="11"/>
    </row>
    <row r="73" spans="1:25" x14ac:dyDescent="0.2">
      <c r="P73" s="11"/>
      <c r="Q73" s="9"/>
      <c r="R73" s="11"/>
      <c r="T73" s="11"/>
      <c r="V73" s="11"/>
    </row>
  </sheetData>
  <mergeCells count="11">
    <mergeCell ref="AH38:AI38"/>
    <mergeCell ref="AJ38:AK38"/>
    <mergeCell ref="AF2:AG2"/>
    <mergeCell ref="X65:Y65"/>
    <mergeCell ref="C60:L62"/>
    <mergeCell ref="C64:O66"/>
    <mergeCell ref="K3:M3"/>
    <mergeCell ref="K5:K8"/>
    <mergeCell ref="Q65:R65"/>
    <mergeCell ref="S65:T65"/>
    <mergeCell ref="U65:V65"/>
  </mergeCells>
  <pageMargins left="0.7" right="0.7" top="0.75" bottom="0.75" header="0.3" footer="0.3"/>
  <drawing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G94"/>
  <sheetViews>
    <sheetView topLeftCell="N1" zoomScale="70" zoomScaleNormal="70" zoomScalePageLayoutView="70" workbookViewId="0">
      <selection activeCell="W38" sqref="W38"/>
    </sheetView>
  </sheetViews>
  <sheetFormatPr baseColWidth="10" defaultColWidth="8.83203125" defaultRowHeight="15" x14ac:dyDescent="0.2"/>
  <cols>
    <col min="1" max="2" width="20.6640625" customWidth="1"/>
    <col min="3" max="3" width="16.33203125" customWidth="1"/>
    <col min="4" max="4" width="10.1640625" customWidth="1"/>
    <col min="5" max="5" width="13.5" customWidth="1"/>
    <col min="6" max="6" width="13.5" style="113" customWidth="1"/>
    <col min="7" max="7" width="11.6640625" style="113" customWidth="1"/>
    <col min="8" max="8" width="10.1640625" style="113" customWidth="1"/>
    <col min="9" max="9" width="12.33203125" style="117" customWidth="1"/>
    <col min="10" max="10" width="10.1640625" style="113" customWidth="1"/>
    <col min="11" max="12" width="13.5" style="117" customWidth="1"/>
    <col min="13" max="14" width="10.1640625" style="117" customWidth="1"/>
    <col min="15" max="15" width="10.1640625" style="113" customWidth="1"/>
    <col min="16" max="16" width="16.33203125" style="113" customWidth="1"/>
    <col min="17" max="17" width="7" customWidth="1"/>
  </cols>
  <sheetData>
    <row r="2" spans="1:33" x14ac:dyDescent="0.2">
      <c r="AF2" s="241"/>
      <c r="AG2" s="241"/>
    </row>
    <row r="3" spans="1:33" ht="30" x14ac:dyDescent="0.2">
      <c r="A3" s="14" t="s">
        <v>0</v>
      </c>
      <c r="B3" s="14"/>
      <c r="C3" s="14"/>
      <c r="D3" s="14" t="s">
        <v>13</v>
      </c>
      <c r="E3" s="14" t="s">
        <v>28</v>
      </c>
      <c r="F3" s="116" t="s">
        <v>1</v>
      </c>
      <c r="G3" s="116" t="s">
        <v>2</v>
      </c>
      <c r="H3" s="116" t="s">
        <v>4</v>
      </c>
      <c r="I3" s="114" t="s">
        <v>8</v>
      </c>
      <c r="J3" s="116" t="s">
        <v>3</v>
      </c>
      <c r="K3" s="230" t="s">
        <v>20</v>
      </c>
      <c r="L3" s="230"/>
      <c r="M3" s="230"/>
      <c r="N3" s="114"/>
      <c r="O3" s="14" t="s">
        <v>21</v>
      </c>
      <c r="P3" s="14"/>
      <c r="Q3" s="14"/>
      <c r="R3" s="14"/>
      <c r="S3" s="231" t="s">
        <v>41</v>
      </c>
      <c r="T3" s="231"/>
      <c r="U3" s="231"/>
      <c r="V3" s="231"/>
      <c r="W3" s="231"/>
      <c r="X3" s="231"/>
      <c r="Y3" s="231"/>
      <c r="Z3" s="14"/>
    </row>
    <row r="4" spans="1:33" x14ac:dyDescent="0.2">
      <c r="A4" s="26"/>
      <c r="B4" s="26" t="s">
        <v>42</v>
      </c>
      <c r="C4" s="26" t="s">
        <v>10</v>
      </c>
      <c r="D4" s="26"/>
      <c r="E4" s="26" t="s">
        <v>27</v>
      </c>
      <c r="F4" s="25"/>
      <c r="G4" s="25"/>
      <c r="H4" s="25" t="s">
        <v>7</v>
      </c>
      <c r="I4" s="27" t="s">
        <v>9</v>
      </c>
      <c r="J4" s="25"/>
      <c r="K4" s="8" t="s">
        <v>55</v>
      </c>
      <c r="L4" s="27" t="s">
        <v>56</v>
      </c>
      <c r="M4" s="27" t="s">
        <v>5</v>
      </c>
      <c r="N4" s="27" t="s">
        <v>55</v>
      </c>
      <c r="O4" s="25" t="s">
        <v>120</v>
      </c>
      <c r="P4" s="25" t="s">
        <v>12</v>
      </c>
      <c r="Q4" s="26" t="s">
        <v>22</v>
      </c>
      <c r="R4" s="14"/>
      <c r="S4" s="231"/>
      <c r="T4" s="231"/>
      <c r="U4" s="231"/>
      <c r="V4" s="231"/>
      <c r="W4" s="231"/>
      <c r="X4" s="231"/>
      <c r="Y4" s="231"/>
      <c r="Z4" s="14"/>
    </row>
    <row r="5" spans="1:33" x14ac:dyDescent="0.2">
      <c r="A5" t="s">
        <v>283</v>
      </c>
      <c r="C5" t="s">
        <v>271</v>
      </c>
      <c r="D5" t="s">
        <v>270</v>
      </c>
      <c r="E5">
        <v>29</v>
      </c>
      <c r="F5" s="5">
        <v>19633</v>
      </c>
      <c r="G5" s="5">
        <v>19906</v>
      </c>
      <c r="H5" s="113">
        <f>G5-F5</f>
        <v>273</v>
      </c>
      <c r="I5" s="117">
        <v>320</v>
      </c>
      <c r="K5" s="117" t="s">
        <v>272</v>
      </c>
      <c r="L5" s="113">
        <v>0</v>
      </c>
      <c r="M5" s="117">
        <f>L5/$L$14*100</f>
        <v>0</v>
      </c>
      <c r="N5" s="117" t="s">
        <v>273</v>
      </c>
      <c r="O5" s="117">
        <v>0</v>
      </c>
      <c r="P5" s="117">
        <f>O5/$O$12*100</f>
        <v>0</v>
      </c>
      <c r="S5" s="231"/>
      <c r="T5" s="231"/>
      <c r="U5" s="231"/>
      <c r="V5" s="231"/>
      <c r="W5" s="231"/>
      <c r="X5" s="231"/>
      <c r="Y5" s="231"/>
      <c r="AF5" s="11"/>
      <c r="AG5" s="11"/>
    </row>
    <row r="6" spans="1:33" x14ac:dyDescent="0.2">
      <c r="A6" s="23"/>
      <c r="B6" s="23"/>
      <c r="C6" s="23"/>
      <c r="D6" s="23"/>
      <c r="E6" s="23"/>
      <c r="F6" s="30">
        <f>F$5+L6</f>
        <v>19716.346153846152</v>
      </c>
      <c r="G6" s="20"/>
      <c r="H6" s="20"/>
      <c r="I6" s="21"/>
      <c r="K6" s="21"/>
      <c r="L6" s="21">
        <v>83.34615384615384</v>
      </c>
      <c r="M6" s="117">
        <f t="shared" ref="M6:M14" si="0">L6/$L$14*100</f>
        <v>31.121642969984197</v>
      </c>
      <c r="N6" s="21"/>
      <c r="O6" s="21">
        <v>76.507276507276515</v>
      </c>
      <c r="P6" s="117">
        <f t="shared" ref="P6:P14" si="1">O6/$O$12*100</f>
        <v>19.700214132762316</v>
      </c>
      <c r="Q6" s="23" t="s">
        <v>280</v>
      </c>
      <c r="S6" s="231"/>
      <c r="T6" s="231"/>
      <c r="U6" s="231"/>
      <c r="V6" s="231"/>
      <c r="W6" s="231"/>
      <c r="X6" s="231"/>
      <c r="Y6" s="231"/>
      <c r="AF6" s="11"/>
      <c r="AG6" s="11"/>
    </row>
    <row r="7" spans="1:33" x14ac:dyDescent="0.2">
      <c r="A7" s="23"/>
      <c r="B7" s="23"/>
      <c r="C7" s="23"/>
      <c r="D7" s="23"/>
      <c r="E7" s="23"/>
      <c r="F7" s="30">
        <f t="shared" ref="F7:F14" si="2">F$5+L7</f>
        <v>19758.23076923077</v>
      </c>
      <c r="G7" s="20"/>
      <c r="H7" s="20"/>
      <c r="I7" s="21"/>
      <c r="K7" s="21"/>
      <c r="L7" s="21">
        <v>125.23076923076923</v>
      </c>
      <c r="M7" s="117">
        <f t="shared" si="0"/>
        <v>46.76145339652448</v>
      </c>
      <c r="N7" s="21"/>
      <c r="O7" s="21">
        <v>161.33056133056132</v>
      </c>
      <c r="P7" s="117">
        <f t="shared" si="1"/>
        <v>41.541755888650961</v>
      </c>
      <c r="Q7" s="23"/>
      <c r="S7" s="231"/>
      <c r="T7" s="231"/>
      <c r="U7" s="231"/>
      <c r="V7" s="231"/>
      <c r="W7" s="231"/>
      <c r="X7" s="231"/>
      <c r="Y7" s="231"/>
      <c r="AF7" s="11"/>
      <c r="AG7" s="11"/>
    </row>
    <row r="8" spans="1:33" x14ac:dyDescent="0.2">
      <c r="A8" s="23"/>
      <c r="B8" s="23"/>
      <c r="C8" s="23"/>
      <c r="D8" s="23"/>
      <c r="E8" s="23"/>
      <c r="F8" s="30">
        <f t="shared" si="2"/>
        <v>19789.115384615383</v>
      </c>
      <c r="G8" s="20"/>
      <c r="H8" s="20"/>
      <c r="I8" s="21"/>
      <c r="K8" s="21"/>
      <c r="L8" s="21">
        <v>156.11538461538461</v>
      </c>
      <c r="M8" s="117">
        <f t="shared" si="0"/>
        <v>58.293838862559234</v>
      </c>
      <c r="N8" s="21"/>
      <c r="O8" s="21">
        <v>264.44906444906445</v>
      </c>
      <c r="P8" s="117">
        <f t="shared" si="1"/>
        <v>68.094218415417558</v>
      </c>
      <c r="Q8" s="23"/>
      <c r="S8" s="231"/>
      <c r="T8" s="231"/>
      <c r="U8" s="231"/>
      <c r="V8" s="231"/>
      <c r="W8" s="231"/>
      <c r="X8" s="231"/>
      <c r="Y8" s="231"/>
      <c r="AF8" s="11"/>
      <c r="AG8" s="11"/>
    </row>
    <row r="9" spans="1:33" x14ac:dyDescent="0.2">
      <c r="A9" s="23"/>
      <c r="B9" s="23"/>
      <c r="C9" s="29"/>
      <c r="D9" s="23"/>
      <c r="E9" s="23"/>
      <c r="F9" s="30">
        <f t="shared" si="2"/>
        <v>19808.153846153848</v>
      </c>
      <c r="G9" s="20"/>
      <c r="H9" s="20"/>
      <c r="I9" s="21"/>
      <c r="K9" s="21"/>
      <c r="L9" s="21">
        <v>175.15384615384613</v>
      </c>
      <c r="M9" s="117">
        <f t="shared" si="0"/>
        <v>65.402843601895725</v>
      </c>
      <c r="N9" s="21"/>
      <c r="O9" s="21">
        <v>325.15592515592516</v>
      </c>
      <c r="P9" s="117">
        <f t="shared" si="1"/>
        <v>83.725910064239827</v>
      </c>
      <c r="Q9" s="23"/>
      <c r="S9" s="231"/>
      <c r="T9" s="231"/>
      <c r="U9" s="231"/>
      <c r="V9" s="231"/>
      <c r="W9" s="231"/>
      <c r="X9" s="231"/>
      <c r="Y9" s="231"/>
      <c r="AF9" s="11"/>
      <c r="AG9" s="11"/>
    </row>
    <row r="10" spans="1:33" x14ac:dyDescent="0.2">
      <c r="A10" s="23"/>
      <c r="B10" s="23"/>
      <c r="C10" s="29"/>
      <c r="D10" s="23"/>
      <c r="E10" s="23"/>
      <c r="F10" s="30">
        <f t="shared" si="2"/>
        <v>19828.038461538461</v>
      </c>
      <c r="G10" s="30"/>
      <c r="H10" s="20"/>
      <c r="I10" s="21"/>
      <c r="K10" s="21"/>
      <c r="L10" s="21">
        <v>195.03846153846155</v>
      </c>
      <c r="M10" s="117">
        <f t="shared" si="0"/>
        <v>72.827804107424967</v>
      </c>
      <c r="N10" s="21"/>
      <c r="O10" s="21">
        <v>341.7879417879418</v>
      </c>
      <c r="P10" s="117">
        <f t="shared" si="1"/>
        <v>88.0085653104925</v>
      </c>
      <c r="Q10" s="23"/>
      <c r="S10" s="231"/>
      <c r="T10" s="231"/>
      <c r="U10" s="231"/>
      <c r="V10" s="231"/>
      <c r="W10" s="231"/>
      <c r="X10" s="231"/>
      <c r="Y10" s="231"/>
      <c r="AF10" s="11"/>
      <c r="AG10" s="11"/>
    </row>
    <row r="11" spans="1:33" x14ac:dyDescent="0.2">
      <c r="A11" s="23"/>
      <c r="B11" s="23"/>
      <c r="C11" s="29"/>
      <c r="D11" s="23"/>
      <c r="E11" s="23"/>
      <c r="F11" s="30">
        <f t="shared" si="2"/>
        <v>19842.423076923078</v>
      </c>
      <c r="G11" s="20"/>
      <c r="H11" s="20"/>
      <c r="I11" s="21"/>
      <c r="K11" s="21"/>
      <c r="L11" s="21">
        <v>209.42307692307693</v>
      </c>
      <c r="M11" s="117">
        <f t="shared" si="0"/>
        <v>78.199052132701425</v>
      </c>
      <c r="N11" s="21"/>
      <c r="O11" s="21">
        <v>358.41995841995839</v>
      </c>
      <c r="P11" s="117">
        <f t="shared" si="1"/>
        <v>92.291220556745174</v>
      </c>
      <c r="Q11" s="23"/>
      <c r="AF11" s="11"/>
      <c r="AG11" s="11"/>
    </row>
    <row r="12" spans="1:33" x14ac:dyDescent="0.2">
      <c r="A12" s="23"/>
      <c r="B12" s="23"/>
      <c r="C12" s="23"/>
      <c r="D12" s="23"/>
      <c r="E12" s="23"/>
      <c r="F12" s="30">
        <f t="shared" si="2"/>
        <v>19863.576923076922</v>
      </c>
      <c r="G12" s="20"/>
      <c r="H12" s="20"/>
      <c r="I12" s="21"/>
      <c r="K12" s="21"/>
      <c r="L12" s="21">
        <v>230.57692307692307</v>
      </c>
      <c r="M12" s="117">
        <f t="shared" si="0"/>
        <v>86.097946287519747</v>
      </c>
      <c r="N12" s="21"/>
      <c r="O12" s="21">
        <v>388.35758835758838</v>
      </c>
      <c r="P12" s="117">
        <f t="shared" si="1"/>
        <v>100</v>
      </c>
      <c r="Q12" s="23" t="s">
        <v>279</v>
      </c>
      <c r="AF12" s="11"/>
      <c r="AG12" s="11"/>
    </row>
    <row r="13" spans="1:33" x14ac:dyDescent="0.2">
      <c r="A13" s="23"/>
      <c r="B13" s="23"/>
      <c r="C13" s="23"/>
      <c r="D13" s="23"/>
      <c r="E13" s="23"/>
      <c r="F13" s="30">
        <f t="shared" si="2"/>
        <v>19883.461538461539</v>
      </c>
      <c r="G13" s="20"/>
      <c r="H13" s="20"/>
      <c r="I13" s="21"/>
      <c r="K13" s="21"/>
      <c r="L13" s="21">
        <v>250.46153846153845</v>
      </c>
      <c r="M13" s="117">
        <f t="shared" si="0"/>
        <v>93.522906793048961</v>
      </c>
      <c r="N13" s="21"/>
      <c r="O13" s="21">
        <v>368.39916839916839</v>
      </c>
      <c r="P13" s="117">
        <f t="shared" si="1"/>
        <v>94.860813704496778</v>
      </c>
      <c r="Q13" s="23"/>
      <c r="AF13" s="11"/>
      <c r="AG13" s="11"/>
    </row>
    <row r="14" spans="1:33" x14ac:dyDescent="0.2">
      <c r="A14" s="23"/>
      <c r="B14" s="23"/>
      <c r="C14" s="23"/>
      <c r="D14" s="23"/>
      <c r="E14" s="23"/>
      <c r="F14" s="30">
        <f t="shared" si="2"/>
        <v>19900.807692307691</v>
      </c>
      <c r="G14" s="20"/>
      <c r="H14" s="20"/>
      <c r="I14" s="21"/>
      <c r="K14" s="21"/>
      <c r="L14" s="21">
        <v>267.80769230769232</v>
      </c>
      <c r="M14" s="117">
        <f t="shared" si="0"/>
        <v>100</v>
      </c>
      <c r="N14" s="21"/>
      <c r="O14" s="21">
        <v>332.64033264033264</v>
      </c>
      <c r="P14" s="117">
        <f t="shared" si="1"/>
        <v>85.653104925053526</v>
      </c>
      <c r="Q14" s="23"/>
      <c r="AF14" s="11"/>
      <c r="AG14" s="11"/>
    </row>
    <row r="15" spans="1:33" x14ac:dyDescent="0.2">
      <c r="A15" s="23"/>
      <c r="B15" s="23"/>
      <c r="C15" s="23"/>
      <c r="D15" s="23"/>
      <c r="E15" s="23"/>
      <c r="F15" s="30"/>
      <c r="G15" s="30"/>
      <c r="H15" s="20"/>
      <c r="I15" s="21"/>
      <c r="J15" s="20"/>
      <c r="K15" s="21"/>
      <c r="L15" s="21"/>
      <c r="M15" s="21"/>
      <c r="N15" s="21"/>
      <c r="O15" s="21"/>
      <c r="P15" s="21"/>
      <c r="Q15" s="23"/>
    </row>
    <row r="16" spans="1:33" x14ac:dyDescent="0.2">
      <c r="A16" s="23"/>
      <c r="B16" s="23"/>
      <c r="C16" s="23"/>
      <c r="D16" s="23"/>
      <c r="E16" s="23"/>
      <c r="F16" s="20"/>
      <c r="G16" s="20"/>
      <c r="H16" s="20"/>
      <c r="I16" s="21"/>
      <c r="J16" s="20"/>
      <c r="K16" s="21"/>
      <c r="L16" s="21"/>
      <c r="M16" s="21"/>
      <c r="N16" s="21"/>
      <c r="O16" s="21"/>
      <c r="P16" s="21"/>
      <c r="Q16" s="23"/>
    </row>
    <row r="17" spans="1:22" x14ac:dyDescent="0.2">
      <c r="A17" s="23"/>
      <c r="B17" s="23"/>
      <c r="C17" s="23"/>
      <c r="D17" s="23"/>
      <c r="E17" s="23"/>
      <c r="F17" s="20"/>
      <c r="G17" s="20"/>
      <c r="H17" s="20"/>
      <c r="I17" s="21"/>
      <c r="J17" s="20"/>
      <c r="K17" s="21"/>
      <c r="L17" s="21"/>
      <c r="M17" s="21"/>
      <c r="N17" s="21"/>
      <c r="O17" s="21"/>
      <c r="P17" s="21"/>
      <c r="Q17" s="23"/>
    </row>
    <row r="18" spans="1:22" x14ac:dyDescent="0.2">
      <c r="A18" s="23"/>
      <c r="B18" s="23"/>
      <c r="C18" s="23"/>
      <c r="D18" s="23"/>
      <c r="E18" s="23"/>
      <c r="F18" s="20"/>
      <c r="G18" s="20"/>
      <c r="H18" s="20"/>
      <c r="I18" s="21"/>
      <c r="J18" s="20"/>
      <c r="K18" s="21"/>
      <c r="L18" s="21"/>
      <c r="M18" s="21"/>
      <c r="N18" s="21"/>
      <c r="O18" s="21"/>
      <c r="P18" s="21"/>
      <c r="Q18" s="23"/>
    </row>
    <row r="19" spans="1:22" x14ac:dyDescent="0.2">
      <c r="A19" s="23"/>
      <c r="B19" s="23"/>
      <c r="C19" s="23"/>
      <c r="D19" s="23"/>
      <c r="E19" s="23"/>
      <c r="F19" s="20"/>
      <c r="G19" s="20"/>
      <c r="H19" s="20"/>
      <c r="I19" s="21"/>
      <c r="J19" s="20"/>
      <c r="K19" s="21"/>
      <c r="L19" s="21"/>
      <c r="M19" s="21"/>
      <c r="N19" s="21"/>
      <c r="O19" s="21"/>
      <c r="P19" s="21"/>
      <c r="Q19" s="23"/>
    </row>
    <row r="20" spans="1:22" x14ac:dyDescent="0.2">
      <c r="A20" s="23"/>
      <c r="B20" s="23"/>
      <c r="C20" s="23"/>
      <c r="D20" s="23"/>
      <c r="E20" s="23"/>
      <c r="F20" s="30"/>
      <c r="G20" s="30"/>
      <c r="H20" s="20"/>
      <c r="I20" s="21"/>
      <c r="J20" s="20"/>
      <c r="K20" s="21"/>
      <c r="L20" s="21"/>
      <c r="M20" s="21"/>
      <c r="N20" s="21"/>
      <c r="O20" s="21"/>
      <c r="P20" s="21"/>
      <c r="Q20" s="23"/>
    </row>
    <row r="21" spans="1:22" x14ac:dyDescent="0.2">
      <c r="A21" s="23"/>
      <c r="B21" s="23"/>
      <c r="C21" s="23"/>
      <c r="D21" s="23"/>
      <c r="E21" s="23"/>
      <c r="F21" s="20"/>
      <c r="G21" s="20"/>
      <c r="H21" s="20"/>
      <c r="I21" s="21"/>
      <c r="J21" s="20"/>
      <c r="K21" s="21"/>
      <c r="L21" s="21"/>
      <c r="M21" s="21"/>
      <c r="N21" s="21"/>
      <c r="O21" s="21"/>
      <c r="P21" s="21"/>
      <c r="Q21" s="23"/>
    </row>
    <row r="22" spans="1:22" x14ac:dyDescent="0.2">
      <c r="A22" s="23"/>
      <c r="B22" s="23"/>
      <c r="C22" s="23"/>
      <c r="D22" s="23"/>
      <c r="E22" s="23"/>
      <c r="F22" s="20"/>
      <c r="G22" s="20"/>
      <c r="H22" s="20"/>
      <c r="I22" s="21"/>
      <c r="J22" s="20"/>
      <c r="K22" s="21"/>
      <c r="L22" s="21"/>
      <c r="M22" s="21"/>
      <c r="N22" s="21"/>
      <c r="O22" s="21"/>
      <c r="P22" s="21"/>
      <c r="Q22" s="23"/>
    </row>
    <row r="23" spans="1:22" x14ac:dyDescent="0.2">
      <c r="A23" s="23"/>
      <c r="B23" s="23"/>
      <c r="C23" s="23"/>
      <c r="D23" s="23"/>
      <c r="E23" s="23"/>
      <c r="F23" s="20"/>
      <c r="G23" s="20"/>
      <c r="H23" s="20"/>
      <c r="I23" s="21"/>
      <c r="J23" s="20"/>
      <c r="K23" s="21"/>
      <c r="L23" s="21"/>
      <c r="M23" s="21"/>
      <c r="N23" s="21"/>
      <c r="O23" s="21"/>
      <c r="P23" s="21"/>
      <c r="Q23" s="23"/>
    </row>
    <row r="24" spans="1:22" x14ac:dyDescent="0.2">
      <c r="A24" s="23"/>
      <c r="B24" s="23"/>
      <c r="C24" s="23"/>
      <c r="D24" s="23"/>
      <c r="E24" s="23"/>
      <c r="F24" s="20"/>
      <c r="G24" s="20"/>
      <c r="H24" s="20"/>
      <c r="I24" s="21"/>
      <c r="J24" s="20"/>
      <c r="K24" s="21"/>
      <c r="L24" s="21"/>
      <c r="M24" s="21"/>
      <c r="N24" s="21"/>
      <c r="O24" s="21"/>
      <c r="P24" s="21"/>
      <c r="Q24" s="23"/>
    </row>
    <row r="25" spans="1:22" x14ac:dyDescent="0.2">
      <c r="A25" s="23"/>
      <c r="B25" s="23"/>
      <c r="C25" s="23"/>
      <c r="D25" s="23"/>
      <c r="E25" s="23"/>
      <c r="F25" s="30"/>
      <c r="G25" s="30"/>
      <c r="H25" s="20"/>
      <c r="I25" s="21"/>
      <c r="J25" s="20"/>
      <c r="K25" s="21"/>
      <c r="L25" s="21"/>
      <c r="M25" s="21"/>
      <c r="N25" s="21"/>
      <c r="O25" s="21"/>
      <c r="P25" s="21"/>
      <c r="Q25" s="23"/>
    </row>
    <row r="26" spans="1:22" x14ac:dyDescent="0.2">
      <c r="A26" s="23"/>
      <c r="B26" s="23"/>
      <c r="C26" s="23"/>
      <c r="D26" s="23"/>
      <c r="E26" s="23"/>
      <c r="F26" s="20"/>
      <c r="G26" s="20"/>
      <c r="H26" s="20"/>
      <c r="I26" s="21"/>
      <c r="J26" s="20"/>
      <c r="K26" s="21"/>
      <c r="L26" s="21"/>
      <c r="M26" s="21"/>
      <c r="N26" s="21"/>
      <c r="O26" s="21"/>
      <c r="P26" s="21"/>
      <c r="Q26" s="23"/>
    </row>
    <row r="27" spans="1:22" x14ac:dyDescent="0.2">
      <c r="A27" s="23"/>
      <c r="B27" s="23"/>
      <c r="C27" s="23"/>
      <c r="D27" s="23"/>
      <c r="E27" s="23"/>
      <c r="F27" s="20"/>
      <c r="G27" s="20"/>
      <c r="H27" s="20"/>
      <c r="I27" s="21"/>
      <c r="J27" s="20"/>
      <c r="K27" s="21"/>
      <c r="L27" s="21"/>
      <c r="M27" s="21"/>
      <c r="N27" s="21"/>
      <c r="O27" s="21"/>
      <c r="P27" s="21"/>
      <c r="Q27" s="23"/>
      <c r="S27" s="11"/>
      <c r="V27" s="11"/>
    </row>
    <row r="28" spans="1:22" x14ac:dyDescent="0.2">
      <c r="A28" s="23"/>
      <c r="B28" s="23"/>
      <c r="C28" s="23"/>
      <c r="D28" s="23"/>
      <c r="E28" s="23"/>
      <c r="F28" s="20"/>
      <c r="G28" s="20"/>
      <c r="H28" s="20"/>
      <c r="I28" s="21"/>
      <c r="J28" s="20"/>
      <c r="K28" s="21"/>
      <c r="L28" s="21"/>
      <c r="M28" s="21"/>
      <c r="N28" s="21"/>
      <c r="O28" s="21"/>
      <c r="P28" s="21"/>
      <c r="Q28" s="23"/>
      <c r="S28" s="11"/>
      <c r="V28" s="11"/>
    </row>
    <row r="29" spans="1:22" x14ac:dyDescent="0.2">
      <c r="A29" s="23"/>
      <c r="B29" s="23"/>
      <c r="C29" s="23"/>
      <c r="D29" s="23"/>
      <c r="E29" s="23"/>
      <c r="F29" s="20"/>
      <c r="G29" s="20"/>
      <c r="H29" s="20"/>
      <c r="I29" s="21"/>
      <c r="J29" s="20"/>
      <c r="K29" s="21"/>
      <c r="L29" s="21"/>
      <c r="M29" s="21"/>
      <c r="N29" s="21"/>
      <c r="O29" s="21"/>
      <c r="P29" s="21"/>
      <c r="Q29" s="23"/>
      <c r="S29" s="11"/>
      <c r="V29" s="11"/>
    </row>
    <row r="30" spans="1:22" x14ac:dyDescent="0.2">
      <c r="A30" s="23"/>
      <c r="B30" s="23"/>
      <c r="C30" s="23"/>
      <c r="D30" s="23"/>
      <c r="E30" s="23"/>
      <c r="F30" s="30"/>
      <c r="G30" s="30"/>
      <c r="H30" s="20"/>
      <c r="I30" s="21"/>
      <c r="J30" s="20"/>
      <c r="K30" s="21"/>
      <c r="L30" s="21"/>
      <c r="M30" s="21"/>
      <c r="N30" s="21"/>
      <c r="O30" s="21"/>
      <c r="P30" s="21"/>
      <c r="Q30" s="23"/>
      <c r="S30" s="11"/>
      <c r="V30" s="11"/>
    </row>
    <row r="31" spans="1:22" x14ac:dyDescent="0.2">
      <c r="A31" s="23"/>
      <c r="B31" s="23"/>
      <c r="C31" s="23"/>
      <c r="D31" s="23"/>
      <c r="E31" s="23"/>
      <c r="F31" s="20"/>
      <c r="G31" s="20"/>
      <c r="H31" s="20"/>
      <c r="I31" s="21"/>
      <c r="J31" s="20"/>
      <c r="K31" s="21"/>
      <c r="L31" s="21"/>
      <c r="M31" s="21"/>
      <c r="N31" s="21"/>
      <c r="O31" s="21"/>
      <c r="P31" s="21"/>
      <c r="Q31" s="23"/>
      <c r="S31" s="11"/>
      <c r="V31" s="11"/>
    </row>
    <row r="32" spans="1:22" x14ac:dyDescent="0.2">
      <c r="A32" s="23"/>
      <c r="B32" s="23"/>
      <c r="C32" s="23"/>
      <c r="D32" s="23"/>
      <c r="E32" s="23"/>
      <c r="F32" s="20"/>
      <c r="G32" s="20"/>
      <c r="H32" s="20"/>
      <c r="I32" s="21"/>
      <c r="J32" s="20"/>
      <c r="K32" s="21"/>
      <c r="L32" s="21"/>
      <c r="M32" s="21"/>
      <c r="N32" s="21"/>
      <c r="O32" s="21"/>
      <c r="P32" s="21"/>
      <c r="Q32" s="23"/>
      <c r="S32" s="11"/>
      <c r="V32" s="11"/>
    </row>
    <row r="33" spans="1:22" x14ac:dyDescent="0.2">
      <c r="A33" s="23"/>
      <c r="B33" s="23"/>
      <c r="C33" s="23"/>
      <c r="D33" s="23"/>
      <c r="E33" s="23"/>
      <c r="F33" s="20"/>
      <c r="G33" s="20"/>
      <c r="H33" s="20"/>
      <c r="I33" s="21"/>
      <c r="J33" s="20"/>
      <c r="K33" s="21"/>
      <c r="L33" s="21"/>
      <c r="M33" s="21"/>
      <c r="N33" s="21"/>
      <c r="O33" s="21"/>
      <c r="P33" s="21"/>
      <c r="Q33" s="23"/>
      <c r="S33" s="11"/>
      <c r="V33" s="11"/>
    </row>
    <row r="34" spans="1:22" x14ac:dyDescent="0.2">
      <c r="A34" s="23"/>
      <c r="B34" s="23"/>
      <c r="C34" s="23"/>
      <c r="D34" s="23"/>
      <c r="E34" s="23"/>
      <c r="F34" s="20"/>
      <c r="G34" s="20"/>
      <c r="H34" s="20"/>
      <c r="I34" s="21"/>
      <c r="J34" s="20"/>
      <c r="K34" s="21"/>
      <c r="L34" s="21"/>
      <c r="M34" s="21"/>
      <c r="N34" s="21"/>
      <c r="O34" s="21"/>
      <c r="P34" s="21"/>
      <c r="Q34" s="23"/>
      <c r="S34" s="11"/>
      <c r="V34" s="11"/>
    </row>
    <row r="35" spans="1:22" x14ac:dyDescent="0.2">
      <c r="A35" s="23"/>
      <c r="B35" s="23"/>
      <c r="C35" s="23"/>
      <c r="D35" s="23"/>
      <c r="E35" s="23"/>
      <c r="F35" s="30"/>
      <c r="G35" s="30"/>
      <c r="H35" s="20"/>
      <c r="I35" s="21"/>
      <c r="J35" s="20"/>
      <c r="K35" s="21"/>
      <c r="L35" s="21"/>
      <c r="M35" s="21"/>
      <c r="N35" s="21"/>
      <c r="O35" s="21"/>
      <c r="P35" s="21"/>
      <c r="Q35" s="23"/>
      <c r="S35" s="11"/>
      <c r="V35" s="11"/>
    </row>
    <row r="36" spans="1:22" x14ac:dyDescent="0.2">
      <c r="A36" s="23"/>
      <c r="B36" s="23"/>
      <c r="C36" s="23"/>
      <c r="D36" s="23"/>
      <c r="E36" s="23"/>
      <c r="F36" s="20"/>
      <c r="G36" s="20"/>
      <c r="H36" s="20"/>
      <c r="I36" s="21"/>
      <c r="J36" s="20"/>
      <c r="K36" s="21"/>
      <c r="L36" s="21"/>
      <c r="M36" s="21"/>
      <c r="N36" s="21"/>
      <c r="O36" s="21"/>
      <c r="P36" s="21"/>
      <c r="Q36" s="23"/>
    </row>
    <row r="37" spans="1:22" x14ac:dyDescent="0.2">
      <c r="A37" s="23"/>
      <c r="B37" s="23"/>
      <c r="C37" s="23"/>
      <c r="D37" s="23"/>
      <c r="E37" s="23"/>
      <c r="F37" s="20"/>
      <c r="G37" s="20"/>
      <c r="H37" s="20"/>
      <c r="I37" s="21"/>
      <c r="J37" s="20"/>
      <c r="K37" s="21"/>
      <c r="L37" s="21"/>
      <c r="M37" s="21"/>
      <c r="N37" s="21"/>
      <c r="O37" s="21"/>
      <c r="P37" s="21"/>
      <c r="Q37" s="23"/>
    </row>
    <row r="38" spans="1:22" x14ac:dyDescent="0.2">
      <c r="A38" s="23"/>
      <c r="B38" s="23"/>
      <c r="C38" s="23"/>
      <c r="D38" s="23"/>
      <c r="E38" s="23"/>
      <c r="F38" s="20"/>
      <c r="G38" s="20"/>
      <c r="H38" s="20"/>
      <c r="I38" s="21"/>
      <c r="J38" s="20"/>
      <c r="K38" s="21"/>
      <c r="L38" s="21"/>
      <c r="M38" s="21"/>
      <c r="N38" s="21"/>
      <c r="O38" s="21"/>
      <c r="P38" s="21"/>
      <c r="Q38" s="23"/>
    </row>
    <row r="39" spans="1:22" x14ac:dyDescent="0.2">
      <c r="A39" s="23"/>
      <c r="B39" s="23"/>
      <c r="C39" s="23"/>
      <c r="D39" s="23"/>
      <c r="E39" s="23"/>
      <c r="F39" s="20"/>
      <c r="G39" s="20"/>
      <c r="H39" s="20"/>
      <c r="I39" s="21"/>
      <c r="J39" s="20"/>
      <c r="K39" s="21"/>
      <c r="L39" s="21"/>
      <c r="M39" s="21"/>
      <c r="N39" s="21"/>
      <c r="O39" s="21"/>
      <c r="P39" s="21"/>
      <c r="Q39" s="23"/>
    </row>
    <row r="40" spans="1:22" x14ac:dyDescent="0.2">
      <c r="A40" s="23"/>
      <c r="B40" s="23"/>
      <c r="C40" s="23"/>
      <c r="D40" s="23"/>
      <c r="E40" s="23"/>
      <c r="F40" s="30"/>
      <c r="G40" s="30"/>
      <c r="H40" s="20"/>
      <c r="I40" s="21"/>
      <c r="J40" s="20"/>
      <c r="K40" s="21"/>
      <c r="L40" s="21"/>
      <c r="M40" s="21"/>
      <c r="N40" s="21"/>
      <c r="O40" s="21"/>
      <c r="P40" s="21"/>
      <c r="Q40" s="23"/>
    </row>
    <row r="41" spans="1:22" x14ac:dyDescent="0.2">
      <c r="A41" s="23"/>
      <c r="B41" s="23"/>
      <c r="C41" s="23"/>
      <c r="D41" s="23"/>
      <c r="E41" s="23"/>
      <c r="F41" s="20"/>
      <c r="G41" s="20"/>
      <c r="H41" s="20"/>
      <c r="I41" s="21"/>
      <c r="J41" s="20"/>
      <c r="K41" s="21"/>
      <c r="L41" s="21"/>
      <c r="M41" s="21"/>
      <c r="N41" s="21"/>
      <c r="O41" s="21"/>
      <c r="P41" s="21"/>
      <c r="Q41" s="23"/>
    </row>
    <row r="42" spans="1:22" x14ac:dyDescent="0.2">
      <c r="A42" s="23"/>
      <c r="B42" s="23"/>
      <c r="C42" s="23"/>
      <c r="D42" s="23"/>
      <c r="E42" s="23"/>
      <c r="F42" s="20"/>
      <c r="G42" s="20"/>
      <c r="H42" s="20"/>
      <c r="I42" s="21"/>
      <c r="J42" s="20"/>
      <c r="K42" s="21"/>
      <c r="L42" s="21"/>
      <c r="M42" s="21"/>
      <c r="N42" s="21"/>
      <c r="O42" s="21"/>
      <c r="P42" s="21"/>
      <c r="Q42" s="23"/>
    </row>
    <row r="43" spans="1:22" x14ac:dyDescent="0.2">
      <c r="A43" s="23"/>
      <c r="B43" s="23"/>
      <c r="C43" s="23"/>
      <c r="D43" s="23"/>
      <c r="E43" s="23"/>
      <c r="F43" s="20"/>
      <c r="G43" s="20"/>
      <c r="H43" s="20"/>
      <c r="I43" s="21"/>
      <c r="J43" s="20"/>
      <c r="K43" s="21"/>
      <c r="L43" s="21"/>
      <c r="M43" s="21"/>
      <c r="N43" s="21"/>
      <c r="O43" s="21"/>
      <c r="P43" s="21"/>
      <c r="Q43" s="23"/>
    </row>
    <row r="44" spans="1:22" x14ac:dyDescent="0.2">
      <c r="A44" s="23"/>
      <c r="B44" s="23"/>
      <c r="C44" s="23"/>
      <c r="D44" s="23"/>
      <c r="E44" s="23"/>
      <c r="F44" s="20"/>
      <c r="G44" s="20"/>
      <c r="H44" s="20"/>
      <c r="I44" s="21"/>
      <c r="J44" s="20"/>
      <c r="K44" s="21"/>
      <c r="L44" s="21"/>
      <c r="M44" s="21"/>
      <c r="N44" s="21"/>
      <c r="O44" s="21"/>
      <c r="P44" s="21"/>
      <c r="Q44" s="23"/>
    </row>
    <row r="45" spans="1:22" x14ac:dyDescent="0.2">
      <c r="A45" s="23"/>
      <c r="B45" s="23"/>
      <c r="C45" s="23"/>
      <c r="D45" s="23"/>
      <c r="E45" s="23"/>
      <c r="F45" s="30"/>
      <c r="G45" s="30"/>
      <c r="H45" s="20"/>
      <c r="I45" s="21"/>
      <c r="J45" s="20"/>
      <c r="K45" s="21"/>
      <c r="L45" s="21"/>
      <c r="M45" s="21"/>
      <c r="N45" s="21"/>
      <c r="O45" s="21"/>
      <c r="P45" s="21"/>
      <c r="Q45" s="23"/>
    </row>
    <row r="46" spans="1:22" x14ac:dyDescent="0.2">
      <c r="A46" s="23"/>
      <c r="B46" s="23"/>
      <c r="C46" s="23"/>
      <c r="D46" s="23"/>
      <c r="E46" s="23"/>
      <c r="F46" s="20"/>
      <c r="G46" s="20"/>
      <c r="H46" s="20"/>
      <c r="I46" s="21"/>
      <c r="J46" s="20"/>
      <c r="K46" s="21"/>
      <c r="L46" s="21"/>
      <c r="M46" s="21"/>
      <c r="N46" s="21"/>
      <c r="O46" s="21"/>
      <c r="P46" s="21"/>
      <c r="Q46" s="23"/>
    </row>
    <row r="47" spans="1:22" x14ac:dyDescent="0.2">
      <c r="A47" s="23"/>
      <c r="B47" s="23"/>
      <c r="C47" s="23"/>
      <c r="D47" s="23"/>
      <c r="E47" s="23"/>
      <c r="F47" s="20"/>
      <c r="G47" s="20"/>
      <c r="H47" s="20"/>
      <c r="I47" s="21"/>
      <c r="J47" s="20"/>
      <c r="K47" s="21"/>
      <c r="L47" s="21"/>
      <c r="M47" s="21"/>
      <c r="N47" s="21"/>
      <c r="O47" s="21"/>
      <c r="P47" s="21"/>
      <c r="Q47" s="23"/>
    </row>
    <row r="48" spans="1:22" x14ac:dyDescent="0.2">
      <c r="A48" s="23"/>
      <c r="B48" s="23"/>
      <c r="C48" s="23"/>
      <c r="D48" s="23"/>
      <c r="E48" s="23"/>
      <c r="F48" s="20"/>
      <c r="G48" s="20"/>
      <c r="H48" s="20"/>
      <c r="I48" s="21"/>
      <c r="J48" s="20"/>
      <c r="K48" s="21"/>
      <c r="L48" s="21"/>
      <c r="M48" s="21"/>
      <c r="N48" s="21"/>
      <c r="O48" s="21"/>
      <c r="P48" s="21"/>
      <c r="Q48" s="23"/>
    </row>
    <row r="49" spans="1:17" x14ac:dyDescent="0.2">
      <c r="A49" s="23"/>
      <c r="B49" s="23"/>
      <c r="C49" s="23"/>
      <c r="D49" s="23"/>
      <c r="E49" s="23"/>
      <c r="F49" s="20"/>
      <c r="G49" s="20"/>
      <c r="H49" s="20"/>
      <c r="I49" s="21"/>
      <c r="J49" s="20"/>
      <c r="K49" s="21"/>
      <c r="L49" s="21"/>
      <c r="M49" s="21"/>
      <c r="N49" s="21"/>
      <c r="O49" s="21"/>
      <c r="P49" s="21"/>
      <c r="Q49" s="23"/>
    </row>
    <row r="50" spans="1:17" x14ac:dyDescent="0.2">
      <c r="A50" s="23"/>
      <c r="B50" s="23"/>
      <c r="C50" s="23"/>
      <c r="D50" s="23"/>
      <c r="E50" s="23"/>
      <c r="F50" s="30"/>
      <c r="G50" s="30"/>
      <c r="H50" s="20"/>
      <c r="I50" s="21"/>
      <c r="J50" s="20"/>
      <c r="K50" s="21"/>
      <c r="L50" s="21"/>
      <c r="M50" s="21"/>
      <c r="N50" s="21"/>
      <c r="O50" s="21"/>
      <c r="P50" s="21"/>
      <c r="Q50" s="23"/>
    </row>
    <row r="51" spans="1:17" x14ac:dyDescent="0.2">
      <c r="A51" s="23"/>
      <c r="B51" s="23"/>
      <c r="C51" s="23"/>
      <c r="D51" s="23"/>
      <c r="E51" s="23"/>
      <c r="F51" s="20"/>
      <c r="G51" s="20"/>
      <c r="H51" s="20"/>
      <c r="I51" s="21"/>
      <c r="J51" s="20"/>
      <c r="K51" s="21"/>
      <c r="L51" s="21"/>
      <c r="M51" s="21"/>
      <c r="N51" s="21"/>
      <c r="O51" s="21"/>
      <c r="P51" s="21"/>
      <c r="Q51" s="23"/>
    </row>
    <row r="52" spans="1:17" x14ac:dyDescent="0.2">
      <c r="A52" s="23"/>
      <c r="B52" s="23"/>
      <c r="C52" s="23"/>
      <c r="D52" s="23"/>
      <c r="E52" s="23"/>
      <c r="F52" s="20"/>
      <c r="G52" s="20"/>
      <c r="H52" s="20"/>
      <c r="I52" s="21"/>
      <c r="J52" s="20"/>
      <c r="K52" s="21"/>
      <c r="L52" s="21"/>
      <c r="M52" s="21"/>
      <c r="N52" s="21"/>
      <c r="O52" s="21"/>
      <c r="P52" s="21"/>
      <c r="Q52" s="23"/>
    </row>
    <row r="53" spans="1:17" x14ac:dyDescent="0.2">
      <c r="A53" s="23"/>
      <c r="B53" s="23"/>
      <c r="C53" s="23"/>
      <c r="D53" s="23"/>
      <c r="E53" s="23"/>
      <c r="F53" s="20"/>
      <c r="G53" s="20"/>
      <c r="H53" s="20"/>
      <c r="I53" s="21"/>
      <c r="J53" s="20"/>
      <c r="K53" s="21"/>
      <c r="L53" s="21"/>
      <c r="M53" s="21"/>
      <c r="N53" s="21"/>
      <c r="O53" s="21"/>
      <c r="P53" s="21"/>
      <c r="Q53" s="23"/>
    </row>
    <row r="54" spans="1:17" x14ac:dyDescent="0.2">
      <c r="A54" s="23"/>
      <c r="B54" s="23"/>
      <c r="C54" s="23"/>
      <c r="D54" s="23"/>
      <c r="E54" s="23"/>
      <c r="F54" s="20"/>
      <c r="G54" s="20"/>
      <c r="H54" s="20"/>
      <c r="I54" s="21"/>
      <c r="J54" s="20"/>
      <c r="K54" s="21"/>
      <c r="L54" s="21"/>
      <c r="M54" s="21"/>
      <c r="N54" s="21"/>
      <c r="O54" s="21"/>
      <c r="P54" s="21"/>
      <c r="Q54" s="23"/>
    </row>
    <row r="55" spans="1:17" x14ac:dyDescent="0.2">
      <c r="A55" s="23"/>
      <c r="B55" s="23"/>
      <c r="C55" s="23"/>
      <c r="D55" s="23"/>
      <c r="E55" s="23"/>
      <c r="F55" s="30"/>
      <c r="G55" s="30"/>
      <c r="H55" s="20"/>
      <c r="I55" s="21"/>
      <c r="J55" s="20"/>
      <c r="K55" s="21"/>
      <c r="L55" s="21"/>
      <c r="M55" s="21"/>
      <c r="N55" s="21"/>
      <c r="O55" s="21"/>
      <c r="P55" s="21"/>
      <c r="Q55" s="23"/>
    </row>
    <row r="56" spans="1:17" x14ac:dyDescent="0.2">
      <c r="A56" s="23"/>
      <c r="B56" s="23"/>
      <c r="C56" s="23"/>
      <c r="D56" s="23"/>
      <c r="E56" s="23"/>
      <c r="F56" s="20"/>
      <c r="G56" s="20"/>
      <c r="H56" s="20"/>
      <c r="I56" s="21"/>
      <c r="J56" s="20"/>
      <c r="K56" s="21"/>
      <c r="L56" s="21"/>
      <c r="M56" s="21"/>
      <c r="N56" s="21"/>
      <c r="O56" s="21"/>
      <c r="P56" s="21"/>
      <c r="Q56" s="23"/>
    </row>
    <row r="57" spans="1:17" x14ac:dyDescent="0.2">
      <c r="A57" s="23"/>
      <c r="B57" s="23"/>
      <c r="C57" s="23"/>
      <c r="D57" s="23"/>
      <c r="E57" s="23"/>
      <c r="F57" s="20"/>
      <c r="G57" s="20"/>
      <c r="H57" s="20"/>
      <c r="I57" s="21"/>
      <c r="J57" s="20"/>
      <c r="K57" s="21"/>
      <c r="L57" s="21"/>
      <c r="M57" s="21"/>
      <c r="N57" s="21"/>
      <c r="O57" s="21"/>
      <c r="P57" s="21"/>
      <c r="Q57" s="23"/>
    </row>
    <row r="58" spans="1:17" x14ac:dyDescent="0.2">
      <c r="A58" s="23"/>
      <c r="B58" s="23"/>
      <c r="C58" s="23"/>
      <c r="D58" s="23"/>
      <c r="E58" s="23"/>
      <c r="F58" s="20"/>
      <c r="G58" s="20"/>
      <c r="H58" s="20"/>
      <c r="I58" s="21"/>
      <c r="J58" s="20"/>
      <c r="K58" s="21"/>
      <c r="L58" s="21"/>
      <c r="M58" s="21"/>
      <c r="N58" s="21"/>
      <c r="O58" s="21"/>
      <c r="P58" s="21"/>
      <c r="Q58" s="23"/>
    </row>
    <row r="59" spans="1:17" x14ac:dyDescent="0.2">
      <c r="A59" s="23"/>
      <c r="B59" s="23"/>
      <c r="C59" s="23"/>
      <c r="D59" s="23"/>
      <c r="E59" s="23"/>
      <c r="F59" s="20"/>
      <c r="G59" s="20"/>
      <c r="H59" s="20"/>
      <c r="I59" s="21"/>
      <c r="J59" s="20"/>
      <c r="K59" s="21"/>
      <c r="L59" s="21"/>
      <c r="M59" s="21"/>
      <c r="N59" s="21"/>
      <c r="O59" s="21"/>
      <c r="P59" s="21"/>
      <c r="Q59" s="23"/>
    </row>
    <row r="60" spans="1:17" x14ac:dyDescent="0.2">
      <c r="A60" s="23"/>
      <c r="B60" s="23"/>
      <c r="C60" s="23"/>
      <c r="D60" s="23"/>
      <c r="E60" s="23"/>
      <c r="F60" s="30"/>
      <c r="G60" s="30"/>
      <c r="H60" s="20"/>
      <c r="I60" s="21"/>
      <c r="J60" s="20"/>
      <c r="K60" s="21"/>
      <c r="L60" s="21"/>
      <c r="M60" s="21"/>
      <c r="N60" s="21"/>
      <c r="O60" s="21"/>
      <c r="P60" s="21"/>
      <c r="Q60" s="23"/>
    </row>
    <row r="61" spans="1:17" x14ac:dyDescent="0.2">
      <c r="A61" s="23"/>
      <c r="B61" s="23"/>
      <c r="C61" s="23"/>
      <c r="D61" s="23"/>
      <c r="E61" s="23"/>
      <c r="F61" s="20"/>
      <c r="G61" s="20"/>
      <c r="H61" s="20"/>
      <c r="I61" s="21"/>
      <c r="J61" s="20"/>
      <c r="K61" s="21"/>
      <c r="L61" s="21"/>
      <c r="M61" s="21"/>
      <c r="N61" s="21"/>
      <c r="O61" s="21"/>
      <c r="P61" s="21"/>
      <c r="Q61" s="23"/>
    </row>
    <row r="62" spans="1:17" x14ac:dyDescent="0.2">
      <c r="A62" s="23"/>
      <c r="B62" s="23"/>
      <c r="C62" s="23"/>
      <c r="D62" s="23"/>
      <c r="E62" s="23"/>
      <c r="F62" s="20"/>
      <c r="G62" s="20"/>
      <c r="H62" s="20"/>
      <c r="I62" s="21"/>
      <c r="J62" s="20"/>
      <c r="K62" s="21"/>
      <c r="L62" s="21"/>
      <c r="M62" s="21"/>
      <c r="N62" s="21"/>
      <c r="O62" s="21"/>
      <c r="P62" s="21"/>
      <c r="Q62" s="23"/>
    </row>
    <row r="63" spans="1:17" x14ac:dyDescent="0.2">
      <c r="A63" s="23"/>
      <c r="B63" s="23"/>
      <c r="C63" s="23"/>
      <c r="D63" s="23"/>
      <c r="E63" s="23"/>
      <c r="F63" s="20"/>
      <c r="G63" s="20"/>
      <c r="H63" s="20"/>
      <c r="I63" s="21"/>
      <c r="J63" s="20"/>
      <c r="K63" s="21"/>
      <c r="L63" s="21"/>
      <c r="M63" s="21"/>
      <c r="N63" s="21"/>
      <c r="O63" s="21"/>
      <c r="P63" s="21"/>
      <c r="Q63" s="23"/>
    </row>
    <row r="64" spans="1:17" x14ac:dyDescent="0.2">
      <c r="A64" s="23"/>
      <c r="B64" s="23"/>
      <c r="C64" s="23"/>
      <c r="D64" s="23"/>
      <c r="E64" s="23"/>
      <c r="F64" s="20"/>
      <c r="G64" s="20"/>
      <c r="H64" s="20"/>
      <c r="I64" s="21"/>
      <c r="J64" s="20"/>
      <c r="K64" s="21"/>
      <c r="L64" s="21"/>
      <c r="M64" s="21"/>
      <c r="N64" s="21"/>
      <c r="O64" s="21"/>
      <c r="P64" s="21"/>
      <c r="Q64" s="23"/>
    </row>
    <row r="65" spans="1:17" x14ac:dyDescent="0.2">
      <c r="A65" s="23"/>
      <c r="B65" s="23"/>
      <c r="C65" s="23"/>
      <c r="D65" s="17"/>
      <c r="E65" s="17"/>
      <c r="F65" s="30"/>
      <c r="G65" s="30"/>
      <c r="H65" s="20"/>
      <c r="I65" s="21"/>
      <c r="J65" s="20"/>
      <c r="K65" s="21"/>
      <c r="L65" s="21"/>
      <c r="M65" s="21"/>
      <c r="N65" s="21"/>
      <c r="O65" s="20"/>
      <c r="P65" s="21"/>
      <c r="Q65" s="23"/>
    </row>
    <row r="66" spans="1:17" x14ac:dyDescent="0.2">
      <c r="A66" s="23"/>
      <c r="B66" s="23"/>
      <c r="C66" s="23"/>
      <c r="D66" s="17"/>
      <c r="E66" s="17"/>
      <c r="F66" s="20"/>
      <c r="G66" s="20"/>
      <c r="H66" s="20"/>
      <c r="I66" s="21"/>
      <c r="J66" s="20"/>
      <c r="K66" s="21"/>
      <c r="L66" s="21"/>
      <c r="M66" s="21"/>
      <c r="N66" s="21"/>
      <c r="O66" s="21"/>
      <c r="P66" s="21"/>
      <c r="Q66" s="23"/>
    </row>
    <row r="67" spans="1:17" x14ac:dyDescent="0.2">
      <c r="A67" s="23"/>
      <c r="B67" s="23"/>
      <c r="C67" s="23"/>
      <c r="D67" s="17"/>
      <c r="E67" s="17"/>
      <c r="F67" s="20"/>
      <c r="G67" s="20"/>
      <c r="H67" s="20"/>
      <c r="I67" s="21"/>
      <c r="J67" s="20"/>
      <c r="K67" s="21"/>
      <c r="L67" s="21"/>
      <c r="M67" s="21"/>
      <c r="N67" s="21"/>
      <c r="O67" s="21"/>
      <c r="P67" s="21"/>
      <c r="Q67" s="23"/>
    </row>
    <row r="68" spans="1:17" x14ac:dyDescent="0.2">
      <c r="A68" s="23"/>
      <c r="B68" s="23"/>
      <c r="C68" s="23"/>
      <c r="D68" s="17"/>
      <c r="E68" s="17"/>
      <c r="F68" s="20"/>
      <c r="G68" s="20"/>
      <c r="H68" s="20"/>
      <c r="I68" s="21"/>
      <c r="J68" s="20"/>
      <c r="K68" s="21"/>
      <c r="L68" s="21"/>
      <c r="M68" s="21"/>
      <c r="N68" s="21"/>
      <c r="O68" s="21"/>
      <c r="P68" s="21"/>
      <c r="Q68" s="23"/>
    </row>
    <row r="69" spans="1:17" x14ac:dyDescent="0.2">
      <c r="A69" s="23"/>
      <c r="B69" s="23"/>
      <c r="C69" s="23"/>
      <c r="D69" s="17"/>
      <c r="E69" s="17"/>
      <c r="F69" s="20"/>
      <c r="G69" s="20"/>
      <c r="H69" s="20"/>
      <c r="I69" s="21"/>
      <c r="J69" s="20"/>
      <c r="K69" s="21"/>
      <c r="L69" s="21"/>
      <c r="M69" s="21"/>
      <c r="N69" s="21"/>
      <c r="O69" s="21"/>
      <c r="P69" s="21"/>
      <c r="Q69" s="23"/>
    </row>
    <row r="70" spans="1:17" x14ac:dyDescent="0.2">
      <c r="A70" s="23"/>
      <c r="B70" s="23"/>
      <c r="C70" s="23"/>
      <c r="D70" s="17"/>
      <c r="E70" s="17"/>
      <c r="F70" s="20"/>
      <c r="G70" s="20"/>
      <c r="H70" s="20"/>
      <c r="I70" s="21"/>
      <c r="J70" s="20"/>
      <c r="K70" s="21"/>
      <c r="L70" s="21"/>
      <c r="M70" s="21"/>
      <c r="N70" s="21"/>
      <c r="O70" s="21"/>
      <c r="P70" s="21"/>
      <c r="Q70" s="23"/>
    </row>
    <row r="71" spans="1:17" x14ac:dyDescent="0.2">
      <c r="A71" s="23"/>
      <c r="B71" s="23"/>
      <c r="C71" s="23"/>
      <c r="D71" s="17"/>
      <c r="E71" s="17"/>
      <c r="F71" s="20"/>
      <c r="G71" s="20"/>
      <c r="H71" s="20"/>
      <c r="I71" s="21"/>
      <c r="J71" s="20"/>
      <c r="K71" s="21"/>
      <c r="L71" s="21"/>
      <c r="M71" s="21"/>
      <c r="N71" s="21"/>
      <c r="O71" s="21"/>
      <c r="P71" s="21"/>
      <c r="Q71" s="23"/>
    </row>
    <row r="72" spans="1:17" x14ac:dyDescent="0.2">
      <c r="A72" s="23"/>
      <c r="B72" s="23"/>
      <c r="C72" s="23"/>
      <c r="D72" s="23"/>
      <c r="E72" s="23"/>
      <c r="F72" s="30"/>
      <c r="G72" s="30"/>
      <c r="H72" s="20"/>
      <c r="I72" s="21"/>
      <c r="J72" s="20"/>
      <c r="K72" s="21"/>
      <c r="L72" s="21"/>
      <c r="M72" s="21"/>
      <c r="N72" s="21"/>
      <c r="O72" s="20"/>
      <c r="P72" s="21"/>
      <c r="Q72" s="23"/>
    </row>
    <row r="73" spans="1:17" x14ac:dyDescent="0.2">
      <c r="A73" s="23"/>
      <c r="B73" s="23"/>
      <c r="C73" s="23"/>
      <c r="D73" s="23"/>
      <c r="E73" s="23"/>
      <c r="F73" s="20"/>
      <c r="G73" s="20"/>
      <c r="H73" s="20"/>
      <c r="I73" s="21"/>
      <c r="J73" s="20"/>
      <c r="K73" s="21"/>
      <c r="L73" s="21"/>
      <c r="M73" s="21"/>
      <c r="N73" s="21"/>
      <c r="O73" s="21"/>
      <c r="P73" s="21"/>
      <c r="Q73" s="23"/>
    </row>
    <row r="74" spans="1:17" x14ac:dyDescent="0.2">
      <c r="A74" s="23"/>
      <c r="B74" s="23"/>
      <c r="C74" s="23"/>
      <c r="D74" s="23"/>
      <c r="E74" s="23"/>
      <c r="F74" s="20"/>
      <c r="G74" s="20"/>
      <c r="H74" s="20"/>
      <c r="I74" s="21"/>
      <c r="J74" s="20"/>
      <c r="K74" s="21"/>
      <c r="L74" s="21"/>
      <c r="M74" s="21"/>
      <c r="N74" s="21"/>
      <c r="O74" s="21"/>
      <c r="P74" s="21"/>
      <c r="Q74" s="23"/>
    </row>
    <row r="75" spans="1:17" x14ac:dyDescent="0.2">
      <c r="A75" s="23"/>
      <c r="B75" s="23"/>
      <c r="C75" s="23"/>
      <c r="D75" s="23"/>
      <c r="E75" s="23"/>
      <c r="F75" s="20"/>
      <c r="G75" s="20"/>
      <c r="H75" s="20"/>
      <c r="I75" s="21"/>
      <c r="J75" s="20"/>
      <c r="K75" s="21"/>
      <c r="L75" s="21"/>
      <c r="M75" s="21"/>
      <c r="N75" s="21"/>
      <c r="O75" s="21"/>
      <c r="P75" s="21"/>
      <c r="Q75" s="23"/>
    </row>
    <row r="76" spans="1:17" x14ac:dyDescent="0.2">
      <c r="A76" s="23"/>
      <c r="B76" s="23"/>
      <c r="C76" s="23"/>
      <c r="D76" s="23"/>
      <c r="E76" s="23"/>
      <c r="F76" s="20"/>
      <c r="G76" s="20"/>
      <c r="H76" s="20"/>
      <c r="I76" s="21"/>
      <c r="J76" s="20"/>
      <c r="K76" s="21"/>
      <c r="L76" s="21"/>
      <c r="M76" s="21"/>
      <c r="N76" s="21"/>
      <c r="O76" s="21"/>
      <c r="P76" s="21"/>
      <c r="Q76" s="23"/>
    </row>
    <row r="77" spans="1:17" x14ac:dyDescent="0.2">
      <c r="A77" s="23"/>
      <c r="B77" s="23"/>
      <c r="C77" s="23"/>
      <c r="D77" s="23"/>
      <c r="E77" s="23"/>
      <c r="F77" s="20"/>
      <c r="G77" s="20"/>
      <c r="H77" s="20"/>
      <c r="I77" s="21"/>
      <c r="J77" s="20"/>
      <c r="K77" s="21"/>
      <c r="L77" s="21"/>
      <c r="M77" s="21"/>
      <c r="N77" s="21"/>
      <c r="O77" s="21"/>
      <c r="P77" s="21"/>
      <c r="Q77" s="23"/>
    </row>
    <row r="78" spans="1:17" x14ac:dyDescent="0.2">
      <c r="A78" s="23"/>
      <c r="B78" s="23"/>
      <c r="C78" s="23"/>
      <c r="D78" s="23"/>
      <c r="E78" s="23"/>
      <c r="F78" s="20"/>
      <c r="G78" s="20"/>
      <c r="H78" s="20"/>
      <c r="I78" s="21"/>
      <c r="J78" s="20"/>
      <c r="K78" s="21"/>
      <c r="L78" s="21"/>
      <c r="M78" s="21"/>
      <c r="N78" s="21"/>
      <c r="O78" s="21"/>
      <c r="P78" s="21"/>
      <c r="Q78" s="23"/>
    </row>
    <row r="81" spans="1:25" x14ac:dyDescent="0.2">
      <c r="A81" t="s">
        <v>37</v>
      </c>
      <c r="C81" s="232" t="s">
        <v>281</v>
      </c>
      <c r="D81" s="233"/>
      <c r="E81" s="233"/>
      <c r="F81" s="233"/>
      <c r="G81" s="233"/>
      <c r="H81" s="233"/>
      <c r="I81" s="233"/>
      <c r="J81" s="233"/>
      <c r="K81" s="233"/>
      <c r="L81" s="233"/>
      <c r="M81" s="234"/>
      <c r="N81" s="118"/>
    </row>
    <row r="82" spans="1:25" x14ac:dyDescent="0.2">
      <c r="C82" s="235"/>
      <c r="D82" s="236"/>
      <c r="E82" s="236"/>
      <c r="F82" s="236"/>
      <c r="G82" s="236"/>
      <c r="H82" s="236"/>
      <c r="I82" s="236"/>
      <c r="J82" s="236"/>
      <c r="K82" s="236"/>
      <c r="L82" s="236"/>
      <c r="M82" s="237"/>
      <c r="N82" s="118"/>
    </row>
    <row r="83" spans="1:25" x14ac:dyDescent="0.2">
      <c r="C83" s="238"/>
      <c r="D83" s="239"/>
      <c r="E83" s="239"/>
      <c r="F83" s="239"/>
      <c r="G83" s="239"/>
      <c r="H83" s="239"/>
      <c r="I83" s="239"/>
      <c r="J83" s="239"/>
      <c r="K83" s="239"/>
      <c r="L83" s="239"/>
      <c r="M83" s="240"/>
      <c r="N83" s="118"/>
    </row>
    <row r="84" spans="1:25" x14ac:dyDescent="0.2">
      <c r="C84" s="14"/>
      <c r="D84" s="14"/>
      <c r="E84" s="14"/>
      <c r="F84" s="14"/>
      <c r="G84" s="14"/>
      <c r="H84" s="14"/>
      <c r="I84" s="14"/>
      <c r="J84" s="14"/>
      <c r="K84" s="14"/>
      <c r="L84" s="14"/>
    </row>
    <row r="85" spans="1:25" x14ac:dyDescent="0.2">
      <c r="C85" s="232"/>
      <c r="D85" s="233"/>
      <c r="E85" s="233"/>
      <c r="F85" s="233"/>
      <c r="G85" s="233"/>
      <c r="H85" s="233"/>
      <c r="I85" s="233"/>
      <c r="J85" s="233"/>
      <c r="K85" s="233"/>
      <c r="L85" s="233"/>
      <c r="M85" s="233"/>
      <c r="N85" s="233"/>
      <c r="O85" s="233"/>
      <c r="P85" s="234"/>
    </row>
    <row r="86" spans="1:25" x14ac:dyDescent="0.2">
      <c r="C86" s="235"/>
      <c r="D86" s="236"/>
      <c r="E86" s="236"/>
      <c r="F86" s="236"/>
      <c r="G86" s="236"/>
      <c r="H86" s="236"/>
      <c r="I86" s="236"/>
      <c r="J86" s="236"/>
      <c r="K86" s="236"/>
      <c r="L86" s="236"/>
      <c r="M86" s="236"/>
      <c r="N86" s="236"/>
      <c r="O86" s="236"/>
      <c r="P86" s="237"/>
      <c r="Q86" s="241"/>
      <c r="R86" s="241"/>
      <c r="S86" s="241"/>
      <c r="T86" s="241"/>
      <c r="U86" s="241"/>
      <c r="V86" s="241"/>
      <c r="X86" s="241"/>
      <c r="Y86" s="241"/>
    </row>
    <row r="87" spans="1:25" x14ac:dyDescent="0.2">
      <c r="C87" s="238"/>
      <c r="D87" s="239"/>
      <c r="E87" s="239"/>
      <c r="F87" s="239"/>
      <c r="G87" s="239"/>
      <c r="H87" s="239"/>
      <c r="I87" s="239"/>
      <c r="J87" s="239"/>
      <c r="K87" s="239"/>
      <c r="L87" s="239"/>
      <c r="M87" s="239"/>
      <c r="N87" s="239"/>
      <c r="O87" s="239"/>
      <c r="P87" s="240"/>
      <c r="Q87" s="113"/>
      <c r="R87" s="113"/>
      <c r="U87" s="113"/>
      <c r="V87" s="113"/>
    </row>
    <row r="88" spans="1:25" x14ac:dyDescent="0.2">
      <c r="C88" s="115"/>
      <c r="D88" s="115"/>
      <c r="E88" s="115"/>
      <c r="F88" s="115"/>
      <c r="G88" s="115"/>
      <c r="H88" s="115"/>
      <c r="I88" s="115"/>
      <c r="J88" s="115"/>
      <c r="K88" s="115"/>
      <c r="L88" s="115"/>
      <c r="M88" s="115"/>
      <c r="N88" s="115"/>
      <c r="O88" s="115"/>
      <c r="P88" s="115"/>
      <c r="Q88" s="113"/>
      <c r="R88" s="113"/>
      <c r="U88" s="113"/>
      <c r="V88" s="113"/>
    </row>
    <row r="89" spans="1:25" x14ac:dyDescent="0.2">
      <c r="O89"/>
      <c r="P89" s="11"/>
      <c r="Q89" s="113"/>
      <c r="R89" s="11"/>
      <c r="T89" s="11"/>
      <c r="V89" s="11"/>
    </row>
    <row r="90" spans="1:25" x14ac:dyDescent="0.2">
      <c r="A90" s="1"/>
      <c r="B90" s="1"/>
      <c r="O90"/>
      <c r="P90" s="11"/>
      <c r="Q90" s="113"/>
      <c r="R90" s="11"/>
      <c r="T90" s="11"/>
      <c r="V90" s="11"/>
    </row>
    <row r="91" spans="1:25" x14ac:dyDescent="0.2">
      <c r="A91" s="1"/>
      <c r="B91" s="1"/>
      <c r="P91" s="11"/>
      <c r="Q91" s="113"/>
      <c r="R91" s="11"/>
      <c r="T91" s="11"/>
      <c r="V91" s="11"/>
    </row>
    <row r="92" spans="1:25" x14ac:dyDescent="0.2">
      <c r="P92" s="11"/>
      <c r="Q92" s="113"/>
      <c r="R92" s="11"/>
      <c r="T92" s="11"/>
      <c r="V92" s="11"/>
    </row>
    <row r="93" spans="1:25" x14ac:dyDescent="0.2">
      <c r="P93" s="11"/>
      <c r="Q93" s="113"/>
      <c r="R93" s="11"/>
      <c r="T93" s="11"/>
      <c r="V93" s="11"/>
    </row>
    <row r="94" spans="1:25" x14ac:dyDescent="0.2">
      <c r="P94" s="11"/>
      <c r="Q94" s="113"/>
      <c r="R94" s="11"/>
      <c r="T94" s="11"/>
      <c r="V94" s="11"/>
    </row>
  </sheetData>
  <mergeCells count="9">
    <mergeCell ref="AF2:AG2"/>
    <mergeCell ref="K3:M3"/>
    <mergeCell ref="S3:Y10"/>
    <mergeCell ref="C81:M83"/>
    <mergeCell ref="C85:P87"/>
    <mergeCell ref="Q86:R86"/>
    <mergeCell ref="S86:T86"/>
    <mergeCell ref="U86:V86"/>
    <mergeCell ref="X86:Y86"/>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AI244"/>
  <sheetViews>
    <sheetView topLeftCell="V22" workbookViewId="0">
      <selection activeCell="Q30" sqref="Q30"/>
    </sheetView>
  </sheetViews>
  <sheetFormatPr baseColWidth="10" defaultColWidth="8.83203125" defaultRowHeight="15" x14ac:dyDescent="0.2"/>
  <cols>
    <col min="1" max="1" width="25.1640625" customWidth="1"/>
    <col min="2" max="2" width="20.6640625" customWidth="1"/>
    <col min="3" max="3" width="16.33203125" customWidth="1"/>
    <col min="4" max="4" width="10.1640625" customWidth="1"/>
    <col min="5" max="5" width="13.5" customWidth="1"/>
    <col min="6" max="6" width="13.5" style="74" customWidth="1"/>
    <col min="7" max="7" width="11.6640625" style="74" customWidth="1"/>
    <col min="8" max="8" width="10.1640625" style="74" customWidth="1"/>
    <col min="9" max="9" width="12.33203125" style="75" customWidth="1"/>
    <col min="10" max="10" width="10.1640625" style="74" customWidth="1"/>
    <col min="11" max="12" width="13.5" style="75" customWidth="1"/>
    <col min="13" max="14" width="10.1640625" style="75" customWidth="1"/>
    <col min="15" max="15" width="10.1640625" style="74" customWidth="1"/>
    <col min="16" max="16" width="16.33203125" style="74" customWidth="1"/>
    <col min="17" max="17" width="21.1640625" customWidth="1"/>
    <col min="18" max="19" width="10.5" bestFit="1" customWidth="1"/>
    <col min="20" max="21" width="9.33203125" bestFit="1" customWidth="1"/>
    <col min="22" max="24" width="10.5" bestFit="1" customWidth="1"/>
  </cols>
  <sheetData>
    <row r="2" spans="1:35" x14ac:dyDescent="0.2">
      <c r="AE2" t="s">
        <v>149</v>
      </c>
      <c r="AG2" s="73"/>
    </row>
    <row r="3" spans="1:35" ht="30" x14ac:dyDescent="0.2">
      <c r="A3" s="14" t="s">
        <v>0</v>
      </c>
      <c r="B3" s="14"/>
      <c r="C3" s="14"/>
      <c r="D3" s="14" t="s">
        <v>13</v>
      </c>
      <c r="E3" s="14" t="s">
        <v>28</v>
      </c>
      <c r="F3" s="78" t="s">
        <v>1</v>
      </c>
      <c r="G3" s="78" t="s">
        <v>2</v>
      </c>
      <c r="H3" s="78" t="s">
        <v>4</v>
      </c>
      <c r="I3" s="76" t="s">
        <v>8</v>
      </c>
      <c r="J3" s="78" t="s">
        <v>3</v>
      </c>
      <c r="K3" s="230" t="s">
        <v>20</v>
      </c>
      <c r="L3" s="230"/>
      <c r="M3" s="230"/>
      <c r="N3" s="76"/>
      <c r="O3" s="14" t="s">
        <v>21</v>
      </c>
      <c r="P3" s="14"/>
      <c r="Q3" s="14"/>
      <c r="R3" s="14"/>
      <c r="S3" s="231" t="s">
        <v>218</v>
      </c>
      <c r="T3" s="231"/>
      <c r="U3" s="231"/>
      <c r="V3" s="231"/>
      <c r="W3" s="231"/>
      <c r="X3" s="231"/>
      <c r="Y3" s="231"/>
      <c r="Z3" s="14"/>
      <c r="AE3" t="s">
        <v>5</v>
      </c>
      <c r="AF3" s="73" t="s">
        <v>134</v>
      </c>
      <c r="AI3" s="14" t="s">
        <v>153</v>
      </c>
    </row>
    <row r="4" spans="1:35" x14ac:dyDescent="0.2">
      <c r="A4" s="26"/>
      <c r="B4" s="26" t="s">
        <v>42</v>
      </c>
      <c r="C4" s="26" t="s">
        <v>10</v>
      </c>
      <c r="D4" s="26"/>
      <c r="E4" s="26" t="s">
        <v>27</v>
      </c>
      <c r="F4" s="25"/>
      <c r="G4" s="25"/>
      <c r="H4" s="25" t="s">
        <v>7</v>
      </c>
      <c r="I4" s="27" t="s">
        <v>9</v>
      </c>
      <c r="J4" s="25"/>
      <c r="K4" s="8" t="s">
        <v>55</v>
      </c>
      <c r="L4" s="27" t="s">
        <v>56</v>
      </c>
      <c r="M4" s="27" t="s">
        <v>5</v>
      </c>
      <c r="N4" s="27" t="s">
        <v>55</v>
      </c>
      <c r="O4" s="25" t="s">
        <v>120</v>
      </c>
      <c r="P4" s="25" t="s">
        <v>12</v>
      </c>
      <c r="Q4" s="26" t="s">
        <v>22</v>
      </c>
      <c r="R4" s="14"/>
      <c r="S4" s="231"/>
      <c r="T4" s="231"/>
      <c r="U4" s="231"/>
      <c r="V4" s="231"/>
      <c r="W4" s="231"/>
      <c r="X4" s="231"/>
      <c r="Y4" s="231"/>
      <c r="Z4" s="14"/>
      <c r="AE4">
        <v>0</v>
      </c>
      <c r="AF4" s="11">
        <v>0</v>
      </c>
      <c r="AG4" s="11"/>
    </row>
    <row r="5" spans="1:35" x14ac:dyDescent="0.2">
      <c r="A5" t="s">
        <v>201</v>
      </c>
      <c r="B5" s="45" t="s">
        <v>202</v>
      </c>
      <c r="C5" t="s">
        <v>204</v>
      </c>
      <c r="D5" t="s">
        <v>14</v>
      </c>
      <c r="F5" s="5">
        <v>34755</v>
      </c>
      <c r="G5" s="5">
        <f>F5+L12</f>
        <v>34857.61363636364</v>
      </c>
      <c r="H5" s="91">
        <f>L12</f>
        <v>102.61363636363636</v>
      </c>
      <c r="I5" s="75">
        <v>0</v>
      </c>
      <c r="J5" s="74">
        <v>0</v>
      </c>
      <c r="K5" s="251" t="s">
        <v>19</v>
      </c>
      <c r="L5" s="75">
        <v>0</v>
      </c>
      <c r="M5" s="75">
        <f>L5/L$12*100</f>
        <v>0</v>
      </c>
      <c r="N5" s="75" t="s">
        <v>206</v>
      </c>
      <c r="O5" s="75">
        <v>0</v>
      </c>
      <c r="P5" s="91">
        <f>O5/O$10*100</f>
        <v>0</v>
      </c>
      <c r="Q5" t="s">
        <v>219</v>
      </c>
      <c r="S5" s="231"/>
      <c r="T5" s="231"/>
      <c r="U5" s="231"/>
      <c r="V5" s="231"/>
      <c r="W5" s="231"/>
      <c r="X5" s="231"/>
      <c r="Y5" s="231"/>
      <c r="AE5">
        <v>10</v>
      </c>
      <c r="AF5" s="11">
        <v>1.5957446808510638</v>
      </c>
      <c r="AG5" s="11"/>
    </row>
    <row r="6" spans="1:35" x14ac:dyDescent="0.2">
      <c r="A6" s="23"/>
      <c r="J6" s="20">
        <v>1</v>
      </c>
      <c r="K6" s="252"/>
      <c r="L6" s="21">
        <v>13.295454545454547</v>
      </c>
      <c r="M6" s="91">
        <f t="shared" ref="M6:M35" si="0">L6/L$12*100</f>
        <v>12.956810631229237</v>
      </c>
      <c r="N6" s="21"/>
      <c r="O6" s="21">
        <v>1.6759776536312851</v>
      </c>
      <c r="P6" s="91">
        <f t="shared" ref="P6:P12" si="1">O6/O$10*100</f>
        <v>5.7142857142857144</v>
      </c>
      <c r="Q6" s="23"/>
      <c r="S6" s="231"/>
      <c r="T6" s="231"/>
      <c r="U6" s="231"/>
      <c r="V6" s="231"/>
      <c r="W6" s="231"/>
      <c r="X6" s="231"/>
      <c r="Y6" s="231"/>
      <c r="AE6">
        <v>20</v>
      </c>
      <c r="AF6" s="11">
        <v>2.6595744680851068</v>
      </c>
      <c r="AG6" s="11"/>
    </row>
    <row r="7" spans="1:35" x14ac:dyDescent="0.2">
      <c r="A7" s="23"/>
      <c r="J7" s="20">
        <v>2</v>
      </c>
      <c r="K7" s="252"/>
      <c r="L7" s="21">
        <v>25.56818181818182</v>
      </c>
      <c r="M7" s="91">
        <f t="shared" si="0"/>
        <v>24.916943521594686</v>
      </c>
      <c r="N7" s="21"/>
      <c r="O7" s="21">
        <v>2.5139664804469275</v>
      </c>
      <c r="P7" s="91">
        <f t="shared" si="1"/>
        <v>8.5714285714285712</v>
      </c>
      <c r="Q7" s="23"/>
      <c r="S7" s="231"/>
      <c r="T7" s="231"/>
      <c r="U7" s="231"/>
      <c r="V7" s="231"/>
      <c r="W7" s="231"/>
      <c r="X7" s="231"/>
      <c r="Y7" s="231"/>
      <c r="AE7">
        <v>30</v>
      </c>
      <c r="AF7" s="11">
        <v>4.255319148936171</v>
      </c>
      <c r="AG7" s="11"/>
    </row>
    <row r="8" spans="1:35" x14ac:dyDescent="0.2">
      <c r="A8" s="23"/>
      <c r="J8" s="20">
        <v>3</v>
      </c>
      <c r="K8" s="252"/>
      <c r="L8" s="21">
        <v>45.681818181818187</v>
      </c>
      <c r="M8" s="91">
        <f t="shared" si="0"/>
        <v>44.518272425249179</v>
      </c>
      <c r="N8" s="21"/>
      <c r="O8" s="21">
        <v>9.2178770949720672</v>
      </c>
      <c r="P8" s="91">
        <f t="shared" si="1"/>
        <v>31.428571428571427</v>
      </c>
      <c r="Q8" s="23"/>
      <c r="S8" s="231"/>
      <c r="T8" s="231"/>
      <c r="U8" s="231"/>
      <c r="V8" s="231"/>
      <c r="W8" s="231"/>
      <c r="X8" s="231"/>
      <c r="Y8" s="231"/>
      <c r="AE8">
        <v>40</v>
      </c>
      <c r="AF8" s="11">
        <v>18</v>
      </c>
      <c r="AG8" s="11"/>
    </row>
    <row r="9" spans="1:35" x14ac:dyDescent="0.2">
      <c r="A9" s="23"/>
      <c r="J9" s="20">
        <v>4</v>
      </c>
      <c r="K9" s="21"/>
      <c r="L9" s="21">
        <v>59.659090909090914</v>
      </c>
      <c r="M9" s="91">
        <f t="shared" si="0"/>
        <v>58.139534883720934</v>
      </c>
      <c r="N9" s="21"/>
      <c r="O9" s="21">
        <v>24.30167597765363</v>
      </c>
      <c r="P9" s="91">
        <f t="shared" si="1"/>
        <v>82.857142857142847</v>
      </c>
      <c r="Q9" s="23"/>
      <c r="S9" s="231"/>
      <c r="T9" s="231"/>
      <c r="U9" s="231"/>
      <c r="V9" s="231"/>
      <c r="W9" s="231"/>
      <c r="X9" s="231"/>
      <c r="Y9" s="231"/>
      <c r="AE9">
        <v>50</v>
      </c>
      <c r="AF9" s="11">
        <v>36</v>
      </c>
      <c r="AG9" s="11"/>
    </row>
    <row r="10" spans="1:35" x14ac:dyDescent="0.2">
      <c r="A10" s="23"/>
      <c r="J10" s="20">
        <v>5</v>
      </c>
      <c r="K10" s="21"/>
      <c r="L10" s="21">
        <v>73.63636363636364</v>
      </c>
      <c r="M10" s="91">
        <f t="shared" si="0"/>
        <v>71.760797342192689</v>
      </c>
      <c r="N10" s="21"/>
      <c r="O10" s="21">
        <v>29.329608938547487</v>
      </c>
      <c r="P10" s="91">
        <f t="shared" si="1"/>
        <v>100</v>
      </c>
      <c r="Q10" s="23"/>
      <c r="S10" s="231"/>
      <c r="T10" s="231"/>
      <c r="U10" s="231"/>
      <c r="V10" s="231"/>
      <c r="W10" s="231"/>
      <c r="X10" s="231"/>
      <c r="Y10" s="231"/>
      <c r="AE10">
        <v>60</v>
      </c>
      <c r="AF10" s="11">
        <v>55</v>
      </c>
      <c r="AG10" s="11"/>
    </row>
    <row r="11" spans="1:35" x14ac:dyDescent="0.2">
      <c r="A11" s="23"/>
      <c r="J11" s="20">
        <v>6</v>
      </c>
      <c r="K11" s="21"/>
      <c r="L11" s="21">
        <v>87.954545454545467</v>
      </c>
      <c r="M11" s="91">
        <f t="shared" si="0"/>
        <v>85.714285714285737</v>
      </c>
      <c r="N11" s="21"/>
      <c r="O11" s="21">
        <v>26.815642458100562</v>
      </c>
      <c r="P11" s="91">
        <f t="shared" si="1"/>
        <v>91.428571428571431</v>
      </c>
      <c r="Q11" s="23"/>
      <c r="AE11">
        <v>70</v>
      </c>
      <c r="AF11" s="11">
        <v>71.276595744680861</v>
      </c>
      <c r="AG11" s="11"/>
    </row>
    <row r="12" spans="1:35" x14ac:dyDescent="0.2">
      <c r="A12" s="23"/>
      <c r="J12" s="20">
        <v>7</v>
      </c>
      <c r="K12" s="21"/>
      <c r="L12" s="21">
        <v>102.61363636363636</v>
      </c>
      <c r="M12" s="91">
        <f t="shared" si="0"/>
        <v>100</v>
      </c>
      <c r="N12" s="21"/>
      <c r="O12" s="21">
        <v>23.463687150837991</v>
      </c>
      <c r="P12" s="91">
        <f t="shared" si="1"/>
        <v>80</v>
      </c>
      <c r="Q12" s="23"/>
      <c r="AE12">
        <v>80</v>
      </c>
      <c r="AF12" s="11">
        <v>87.234042553191486</v>
      </c>
      <c r="AG12" s="11"/>
    </row>
    <row r="13" spans="1:35" x14ac:dyDescent="0.2">
      <c r="A13" s="23"/>
      <c r="I13" s="91">
        <v>89.285714285714278</v>
      </c>
      <c r="J13" s="92">
        <v>0</v>
      </c>
      <c r="K13" s="21"/>
      <c r="L13" s="91">
        <v>0</v>
      </c>
      <c r="M13" s="91">
        <f>L13/L$12*100</f>
        <v>0</v>
      </c>
      <c r="N13" s="21"/>
      <c r="O13" s="21">
        <v>0</v>
      </c>
      <c r="P13" s="91">
        <f>O13/O$18*100</f>
        <v>0</v>
      </c>
      <c r="Q13" s="23"/>
      <c r="AE13">
        <v>90</v>
      </c>
      <c r="AF13" s="11">
        <v>95.744680851063833</v>
      </c>
      <c r="AG13" s="11"/>
    </row>
    <row r="14" spans="1:35" x14ac:dyDescent="0.2">
      <c r="A14" s="23"/>
      <c r="B14" s="23"/>
      <c r="C14" s="23"/>
      <c r="D14" s="23"/>
      <c r="E14" s="23"/>
      <c r="F14" s="20"/>
      <c r="G14" s="20"/>
      <c r="H14" s="20"/>
      <c r="I14" s="21"/>
      <c r="J14" s="20">
        <v>1</v>
      </c>
      <c r="K14" s="21"/>
      <c r="L14" s="21">
        <v>13.295454545454547</v>
      </c>
      <c r="M14" s="91">
        <f t="shared" si="0"/>
        <v>12.956810631229237</v>
      </c>
      <c r="N14" s="21"/>
      <c r="O14" s="21">
        <v>1.6759776536312851</v>
      </c>
      <c r="P14" s="91">
        <f t="shared" ref="P14:P20" si="2">O14/O$18*100</f>
        <v>1.5151515151515151</v>
      </c>
      <c r="Q14" s="23"/>
      <c r="AE14">
        <v>100</v>
      </c>
      <c r="AF14" s="11">
        <v>100</v>
      </c>
      <c r="AG14" s="11"/>
    </row>
    <row r="15" spans="1:35" x14ac:dyDescent="0.2">
      <c r="A15" s="23"/>
      <c r="B15" s="23"/>
      <c r="C15" s="94"/>
      <c r="D15" s="94"/>
      <c r="E15" s="23"/>
      <c r="F15" s="30"/>
      <c r="G15" s="30"/>
      <c r="H15" s="20"/>
      <c r="I15" s="21"/>
      <c r="J15" s="20">
        <v>2</v>
      </c>
      <c r="K15" s="21"/>
      <c r="L15" s="21">
        <v>25.56818181818182</v>
      </c>
      <c r="M15" s="91">
        <f t="shared" si="0"/>
        <v>24.916943521594686</v>
      </c>
      <c r="N15" s="21"/>
      <c r="O15" s="21">
        <v>2.5139664804469275</v>
      </c>
      <c r="P15" s="91">
        <f t="shared" si="2"/>
        <v>2.2727272727272725</v>
      </c>
      <c r="Q15" s="23"/>
    </row>
    <row r="16" spans="1:35" x14ac:dyDescent="0.2">
      <c r="A16" s="23"/>
      <c r="B16" s="23"/>
      <c r="C16" s="23"/>
      <c r="D16" s="23"/>
      <c r="E16" s="23"/>
      <c r="F16" s="20"/>
      <c r="G16" s="20"/>
      <c r="H16" s="20"/>
      <c r="I16" s="21"/>
      <c r="J16" s="20">
        <v>3</v>
      </c>
      <c r="K16" s="21"/>
      <c r="L16" s="21">
        <v>45.681818181818187</v>
      </c>
      <c r="M16" s="91">
        <f t="shared" si="0"/>
        <v>44.518272425249179</v>
      </c>
      <c r="N16" s="21"/>
      <c r="O16" s="21">
        <v>30.16759776536313</v>
      </c>
      <c r="P16" s="91">
        <f t="shared" si="2"/>
        <v>27.27272727272727</v>
      </c>
      <c r="Q16" s="23"/>
      <c r="AE16" t="s">
        <v>256</v>
      </c>
    </row>
    <row r="17" spans="1:31" x14ac:dyDescent="0.2">
      <c r="A17" s="23"/>
      <c r="B17" s="23"/>
      <c r="C17" s="23"/>
      <c r="D17" s="23"/>
      <c r="E17" s="23"/>
      <c r="F17" s="20"/>
      <c r="G17" s="20"/>
      <c r="H17" s="20"/>
      <c r="I17" s="21"/>
      <c r="J17" s="20">
        <v>4</v>
      </c>
      <c r="K17" s="21"/>
      <c r="L17" s="21">
        <v>59.659090909090914</v>
      </c>
      <c r="M17" s="91">
        <f t="shared" si="0"/>
        <v>58.139534883720934</v>
      </c>
      <c r="N17" s="21"/>
      <c r="O17" s="21">
        <v>69.55307262569832</v>
      </c>
      <c r="P17" s="91">
        <f t="shared" si="2"/>
        <v>62.878787878787868</v>
      </c>
      <c r="Q17" s="23"/>
      <c r="AE17" t="s">
        <v>220</v>
      </c>
    </row>
    <row r="18" spans="1:31" x14ac:dyDescent="0.2">
      <c r="A18" s="23"/>
      <c r="B18" s="23"/>
      <c r="C18" s="23"/>
      <c r="D18" s="23"/>
      <c r="E18" s="23"/>
      <c r="F18" s="20"/>
      <c r="G18" s="20"/>
      <c r="H18" s="20"/>
      <c r="I18" s="21"/>
      <c r="J18" s="20">
        <v>5</v>
      </c>
      <c r="K18" s="21"/>
      <c r="L18" s="21">
        <v>73.63636363636364</v>
      </c>
      <c r="M18" s="91">
        <f t="shared" si="0"/>
        <v>71.760797342192689</v>
      </c>
      <c r="N18" s="21"/>
      <c r="O18" s="21">
        <v>110.61452513966482</v>
      </c>
      <c r="P18" s="91">
        <f t="shared" si="2"/>
        <v>100</v>
      </c>
      <c r="Q18" s="23"/>
      <c r="AE18" t="s">
        <v>221</v>
      </c>
    </row>
    <row r="19" spans="1:31" x14ac:dyDescent="0.2">
      <c r="A19" s="23"/>
      <c r="B19" s="23"/>
      <c r="C19" s="23"/>
      <c r="D19" s="23"/>
      <c r="E19" s="23"/>
      <c r="F19" s="20"/>
      <c r="G19" s="20"/>
      <c r="H19" s="20"/>
      <c r="I19" s="21"/>
      <c r="J19" s="20">
        <v>6</v>
      </c>
      <c r="K19" s="21"/>
      <c r="L19" s="21">
        <v>87.954545454545467</v>
      </c>
      <c r="M19" s="91">
        <f t="shared" si="0"/>
        <v>85.714285714285737</v>
      </c>
      <c r="N19" s="21"/>
      <c r="O19" s="21">
        <v>105.58659217877096</v>
      </c>
      <c r="P19" s="91">
        <f t="shared" si="2"/>
        <v>95.454545454545453</v>
      </c>
      <c r="Q19" s="23"/>
      <c r="AE19" t="s">
        <v>224</v>
      </c>
    </row>
    <row r="20" spans="1:31" x14ac:dyDescent="0.2">
      <c r="A20" s="23"/>
      <c r="B20" s="23"/>
      <c r="C20" s="23"/>
      <c r="D20" s="23"/>
      <c r="E20" s="23"/>
      <c r="F20" s="30"/>
      <c r="G20" s="30"/>
      <c r="H20" s="20"/>
      <c r="I20" s="21"/>
      <c r="J20" s="20">
        <v>7</v>
      </c>
      <c r="K20" s="21"/>
      <c r="L20" s="21">
        <v>102.61363636363636</v>
      </c>
      <c r="M20" s="91">
        <f t="shared" si="0"/>
        <v>100</v>
      </c>
      <c r="N20" s="21"/>
      <c r="O20" s="21">
        <v>104.74860335195531</v>
      </c>
      <c r="P20" s="91">
        <f t="shared" si="2"/>
        <v>94.696969696969688</v>
      </c>
      <c r="Q20" s="23"/>
      <c r="AE20" t="s">
        <v>222</v>
      </c>
    </row>
    <row r="21" spans="1:31" x14ac:dyDescent="0.2">
      <c r="A21" s="23"/>
      <c r="B21" s="23"/>
      <c r="C21" s="23"/>
      <c r="D21" s="23"/>
      <c r="E21" s="23"/>
      <c r="F21" s="20"/>
      <c r="G21" s="20"/>
      <c r="H21" s="20"/>
      <c r="I21" s="91">
        <v>178.57142857142856</v>
      </c>
      <c r="J21" s="92">
        <v>0</v>
      </c>
      <c r="K21" s="21"/>
      <c r="L21" s="91">
        <v>0</v>
      </c>
      <c r="M21" s="91">
        <f>L21/L$12*100</f>
        <v>0</v>
      </c>
      <c r="N21" s="21"/>
      <c r="O21" s="21">
        <v>0</v>
      </c>
      <c r="P21" s="91">
        <f>O21/O$27*100</f>
        <v>0</v>
      </c>
      <c r="Q21" s="23"/>
    </row>
    <row r="22" spans="1:31" x14ac:dyDescent="0.2">
      <c r="A22" s="23"/>
      <c r="B22" s="23"/>
      <c r="C22" s="23"/>
      <c r="D22" s="23"/>
      <c r="E22" s="23"/>
      <c r="F22" s="20"/>
      <c r="G22" s="20"/>
      <c r="H22" s="20"/>
      <c r="I22" s="21"/>
      <c r="J22" s="20">
        <v>1</v>
      </c>
      <c r="K22" s="21"/>
      <c r="L22" s="21">
        <v>13.295454545454547</v>
      </c>
      <c r="M22" s="91">
        <f t="shared" si="0"/>
        <v>12.956810631229237</v>
      </c>
      <c r="N22" s="21"/>
      <c r="O22" s="21">
        <v>1.6759776536312851</v>
      </c>
      <c r="P22" s="91">
        <f t="shared" ref="P22:P28" si="3">O22/O$27*100</f>
        <v>1.1299435028248588</v>
      </c>
      <c r="Q22" s="23"/>
      <c r="V22" s="241"/>
      <c r="W22" s="241"/>
      <c r="X22" s="241"/>
      <c r="Y22" s="241"/>
      <c r="AD22" s="73"/>
      <c r="AE22" s="73"/>
    </row>
    <row r="23" spans="1:31" x14ac:dyDescent="0.2">
      <c r="A23" s="23"/>
      <c r="B23" s="23"/>
      <c r="C23" s="23"/>
      <c r="D23" s="23"/>
      <c r="E23" s="23"/>
      <c r="F23" s="20"/>
      <c r="G23" s="20"/>
      <c r="H23" s="20"/>
      <c r="I23" s="21"/>
      <c r="J23" s="20">
        <v>2</v>
      </c>
      <c r="K23" s="21"/>
      <c r="L23" s="21">
        <v>25.56818181818182</v>
      </c>
      <c r="M23" s="91">
        <f t="shared" si="0"/>
        <v>24.916943521594686</v>
      </c>
      <c r="N23" s="21"/>
      <c r="O23" s="21">
        <v>2.5139664804469275</v>
      </c>
      <c r="P23" s="91">
        <f t="shared" si="3"/>
        <v>1.6949152542372881</v>
      </c>
      <c r="Q23" s="23"/>
      <c r="AB23" s="73"/>
    </row>
    <row r="24" spans="1:31" x14ac:dyDescent="0.2">
      <c r="A24" s="23"/>
      <c r="B24" s="23"/>
      <c r="C24" s="23"/>
      <c r="D24" s="23"/>
      <c r="E24" s="23"/>
      <c r="F24" s="20"/>
      <c r="G24" s="20"/>
      <c r="H24" s="20"/>
      <c r="I24" s="21"/>
      <c r="J24" s="20">
        <v>3</v>
      </c>
      <c r="K24" s="21"/>
      <c r="L24" s="21">
        <v>45.681818181818187</v>
      </c>
      <c r="M24" s="91">
        <f t="shared" si="0"/>
        <v>44.518272425249179</v>
      </c>
      <c r="N24" s="21"/>
      <c r="O24" s="21">
        <v>47.765363128491622</v>
      </c>
      <c r="P24" s="91">
        <f t="shared" si="3"/>
        <v>32.20338983050847</v>
      </c>
      <c r="Q24" s="23"/>
      <c r="AB24" s="73"/>
    </row>
    <row r="25" spans="1:31" x14ac:dyDescent="0.2">
      <c r="A25" s="23"/>
      <c r="B25" s="23"/>
      <c r="C25" s="23"/>
      <c r="D25" s="23"/>
      <c r="E25" s="23"/>
      <c r="F25" s="30"/>
      <c r="G25" s="30"/>
      <c r="H25" s="20"/>
      <c r="I25" s="21"/>
      <c r="J25" s="20">
        <v>4</v>
      </c>
      <c r="K25" s="21"/>
      <c r="L25" s="21">
        <v>59.659090909090914</v>
      </c>
      <c r="M25" s="91">
        <f t="shared" si="0"/>
        <v>58.139534883720934</v>
      </c>
      <c r="N25" s="21"/>
      <c r="O25" s="21">
        <v>93.016759776536333</v>
      </c>
      <c r="P25" s="91">
        <f t="shared" si="3"/>
        <v>62.711864406779661</v>
      </c>
      <c r="Q25" s="23"/>
    </row>
    <row r="26" spans="1:31" x14ac:dyDescent="0.2">
      <c r="A26" s="23"/>
      <c r="B26" s="23"/>
      <c r="C26" s="23"/>
      <c r="D26" s="23"/>
      <c r="E26" s="23"/>
      <c r="F26" s="20"/>
      <c r="G26" s="20"/>
      <c r="H26" s="20"/>
      <c r="I26" s="21"/>
      <c r="J26" s="20">
        <v>5</v>
      </c>
      <c r="K26" s="21"/>
      <c r="L26" s="21">
        <v>73.63636363636364</v>
      </c>
      <c r="M26" s="91">
        <f t="shared" si="0"/>
        <v>71.760797342192689</v>
      </c>
      <c r="N26" s="21"/>
      <c r="O26" s="21">
        <v>129.8882681564246</v>
      </c>
      <c r="P26" s="91">
        <f t="shared" si="3"/>
        <v>87.570621468926561</v>
      </c>
      <c r="Q26" s="23"/>
    </row>
    <row r="27" spans="1:31" x14ac:dyDescent="0.2">
      <c r="A27" s="23"/>
      <c r="B27" s="23"/>
      <c r="C27" s="23"/>
      <c r="D27" s="23"/>
      <c r="E27" s="23"/>
      <c r="F27" s="20"/>
      <c r="G27" s="20"/>
      <c r="H27" s="20"/>
      <c r="I27" s="21"/>
      <c r="J27" s="20">
        <v>6</v>
      </c>
      <c r="K27" s="21"/>
      <c r="L27" s="21">
        <v>87.954545454545467</v>
      </c>
      <c r="M27" s="91">
        <f t="shared" si="0"/>
        <v>85.714285714285737</v>
      </c>
      <c r="N27" s="21"/>
      <c r="O27" s="21">
        <v>148.32402234636874</v>
      </c>
      <c r="P27" s="91">
        <f t="shared" si="3"/>
        <v>100</v>
      </c>
      <c r="Q27" s="23"/>
    </row>
    <row r="28" spans="1:31" x14ac:dyDescent="0.2">
      <c r="A28" s="23"/>
      <c r="B28" s="23"/>
      <c r="C28" s="23"/>
      <c r="D28" s="23"/>
      <c r="E28" s="20"/>
      <c r="F28" s="20"/>
      <c r="G28" s="20"/>
      <c r="J28" s="20">
        <v>7</v>
      </c>
      <c r="K28" s="21"/>
      <c r="L28" s="21">
        <v>102.61363636363636</v>
      </c>
      <c r="M28" s="91">
        <f t="shared" si="0"/>
        <v>100</v>
      </c>
      <c r="N28" s="21"/>
      <c r="O28" s="21">
        <v>120.67039106145252</v>
      </c>
      <c r="P28" s="91">
        <f t="shared" si="3"/>
        <v>81.355932203389827</v>
      </c>
      <c r="Q28" s="23"/>
    </row>
    <row r="29" spans="1:31" x14ac:dyDescent="0.2">
      <c r="A29" s="23"/>
      <c r="B29" s="23"/>
      <c r="C29" s="23"/>
      <c r="D29" s="23"/>
      <c r="E29" s="20"/>
      <c r="F29" s="20"/>
      <c r="G29" s="20"/>
      <c r="I29" s="91">
        <v>267.85714285714283</v>
      </c>
      <c r="J29" s="20">
        <v>0</v>
      </c>
      <c r="K29" s="21"/>
      <c r="L29" s="91">
        <v>0</v>
      </c>
      <c r="M29" s="91">
        <f>L29/L$12*100</f>
        <v>0</v>
      </c>
      <c r="N29" s="21"/>
      <c r="O29" s="21">
        <v>0</v>
      </c>
      <c r="P29" s="91">
        <f>O29/O$36*100</f>
        <v>0</v>
      </c>
      <c r="Q29" s="23"/>
    </row>
    <row r="30" spans="1:31" x14ac:dyDescent="0.2">
      <c r="A30" s="23"/>
      <c r="B30" s="23"/>
      <c r="C30" s="23"/>
      <c r="D30" s="23"/>
      <c r="E30" s="20"/>
      <c r="F30" s="20"/>
      <c r="G30" s="20"/>
      <c r="I30" s="21"/>
      <c r="J30" s="20">
        <v>1</v>
      </c>
      <c r="K30" s="21"/>
      <c r="L30" s="21">
        <v>13.295454545454547</v>
      </c>
      <c r="M30" s="91">
        <f t="shared" si="0"/>
        <v>12.956810631229237</v>
      </c>
      <c r="N30" s="21"/>
      <c r="O30" s="21">
        <v>1.6759776536312851</v>
      </c>
      <c r="P30" s="91">
        <f t="shared" ref="P30:P36" si="4">O30/O$36*100</f>
        <v>0.79681274900398424</v>
      </c>
      <c r="Q30" s="23"/>
    </row>
    <row r="31" spans="1:31" x14ac:dyDescent="0.2">
      <c r="A31" s="23"/>
      <c r="B31" s="29"/>
      <c r="C31" s="23"/>
      <c r="D31" s="23"/>
      <c r="E31" s="20"/>
      <c r="F31" s="20"/>
      <c r="G31" s="20"/>
      <c r="I31" s="21"/>
      <c r="J31" s="20">
        <v>2</v>
      </c>
      <c r="K31" s="21"/>
      <c r="L31" s="21">
        <v>25.56818181818182</v>
      </c>
      <c r="M31" s="91">
        <f t="shared" si="0"/>
        <v>24.916943521594686</v>
      </c>
      <c r="N31" s="21"/>
      <c r="O31" s="21">
        <v>2.5139664804469275</v>
      </c>
      <c r="P31" s="91">
        <f t="shared" si="4"/>
        <v>1.1952191235059761</v>
      </c>
      <c r="Q31" s="23"/>
      <c r="T31">
        <f>880/40</f>
        <v>22</v>
      </c>
    </row>
    <row r="32" spans="1:31" x14ac:dyDescent="0.2">
      <c r="I32" s="21"/>
      <c r="J32" s="20">
        <v>3</v>
      </c>
      <c r="K32" s="21"/>
      <c r="L32" s="21">
        <v>45.681818181818187</v>
      </c>
      <c r="M32" s="91">
        <f t="shared" si="0"/>
        <v>44.518272425249179</v>
      </c>
      <c r="N32" s="21"/>
      <c r="O32" s="21">
        <v>58.659217877094974</v>
      </c>
      <c r="P32" s="91">
        <f t="shared" si="4"/>
        <v>27.888446215139446</v>
      </c>
      <c r="Q32" s="23"/>
    </row>
    <row r="33" spans="1:17" x14ac:dyDescent="0.2">
      <c r="A33" s="23"/>
      <c r="B33" s="29"/>
      <c r="C33" s="23"/>
      <c r="D33" s="23"/>
      <c r="E33" s="20"/>
      <c r="F33" s="20"/>
      <c r="G33" s="20"/>
      <c r="I33" s="21"/>
      <c r="J33" s="20">
        <v>4</v>
      </c>
      <c r="K33" s="21"/>
      <c r="L33" s="21">
        <v>59.659090909090914</v>
      </c>
      <c r="M33" s="91">
        <f t="shared" si="0"/>
        <v>58.139534883720934</v>
      </c>
      <c r="N33" s="21"/>
      <c r="O33" s="21">
        <v>111.45251396648047</v>
      </c>
      <c r="P33" s="91">
        <f t="shared" si="4"/>
        <v>52.988047808764946</v>
      </c>
      <c r="Q33" s="23"/>
    </row>
    <row r="34" spans="1:17" x14ac:dyDescent="0.2">
      <c r="A34" s="23"/>
      <c r="F34" s="30"/>
      <c r="G34" s="20"/>
      <c r="I34" s="21"/>
      <c r="J34" s="20">
        <v>5</v>
      </c>
      <c r="K34" s="21"/>
      <c r="L34" s="21">
        <v>73.63636363636364</v>
      </c>
      <c r="M34" s="91">
        <f t="shared" si="0"/>
        <v>71.760797342192689</v>
      </c>
      <c r="N34" s="21"/>
      <c r="O34" s="21">
        <v>158.37988826815644</v>
      </c>
      <c r="P34" s="91">
        <f t="shared" si="4"/>
        <v>75.298804780876509</v>
      </c>
      <c r="Q34" s="23"/>
    </row>
    <row r="35" spans="1:17" x14ac:dyDescent="0.2">
      <c r="A35" s="23"/>
      <c r="B35" s="23"/>
      <c r="C35" s="23"/>
      <c r="D35" s="23"/>
      <c r="E35" s="20"/>
      <c r="F35" s="20"/>
      <c r="G35" s="20"/>
      <c r="I35" s="21"/>
      <c r="J35" s="20">
        <v>6</v>
      </c>
      <c r="K35" s="21"/>
      <c r="L35" s="21">
        <v>87.954545454545467</v>
      </c>
      <c r="M35" s="91">
        <f t="shared" si="0"/>
        <v>85.714285714285737</v>
      </c>
      <c r="N35" s="21"/>
      <c r="O35" s="21">
        <v>201.95530726256985</v>
      </c>
      <c r="P35" s="91">
        <f t="shared" si="4"/>
        <v>96.01593625498009</v>
      </c>
      <c r="Q35" s="23"/>
    </row>
    <row r="36" spans="1:17" x14ac:dyDescent="0.2">
      <c r="A36" s="23"/>
      <c r="B36" s="23"/>
      <c r="C36" s="23"/>
      <c r="D36" s="23"/>
      <c r="E36" s="23"/>
      <c r="F36" s="20"/>
      <c r="G36" s="20"/>
      <c r="H36" s="20"/>
      <c r="I36" s="21"/>
      <c r="J36" s="20">
        <v>7</v>
      </c>
      <c r="K36" s="21"/>
      <c r="L36" s="21">
        <v>102.61363636363636</v>
      </c>
      <c r="M36" s="91">
        <f>L36/L$12*100</f>
        <v>100</v>
      </c>
      <c r="N36" s="21"/>
      <c r="O36" s="21">
        <v>210.33519553072625</v>
      </c>
      <c r="P36" s="91">
        <f t="shared" si="4"/>
        <v>100</v>
      </c>
      <c r="Q36" s="23"/>
    </row>
    <row r="37" spans="1:17" x14ac:dyDescent="0.2">
      <c r="B37" s="55" t="s">
        <v>203</v>
      </c>
      <c r="C37" s="29" t="s">
        <v>205</v>
      </c>
      <c r="D37" s="23" t="s">
        <v>216</v>
      </c>
      <c r="F37" s="30">
        <v>34899</v>
      </c>
      <c r="G37" s="30">
        <f>F37+H37</f>
        <v>34983</v>
      </c>
      <c r="H37" s="20">
        <v>84</v>
      </c>
      <c r="I37" s="21">
        <v>0</v>
      </c>
      <c r="J37" s="20">
        <v>0</v>
      </c>
      <c r="K37" s="21"/>
      <c r="L37" s="21">
        <v>0</v>
      </c>
      <c r="M37" s="91">
        <f>L37/L$41*100</f>
        <v>0</v>
      </c>
      <c r="N37" s="21"/>
      <c r="O37" s="21">
        <v>0</v>
      </c>
      <c r="P37" s="91">
        <f>O37/O$41*100</f>
        <v>0</v>
      </c>
      <c r="Q37" s="23"/>
    </row>
    <row r="38" spans="1:17" x14ac:dyDescent="0.2">
      <c r="A38" s="23"/>
      <c r="B38" s="23"/>
      <c r="C38" s="23"/>
      <c r="D38" s="23"/>
      <c r="E38" s="23"/>
      <c r="F38" s="20"/>
      <c r="G38" s="20"/>
      <c r="H38" s="20"/>
      <c r="I38" s="21"/>
      <c r="J38" s="20">
        <v>1</v>
      </c>
      <c r="K38" s="21"/>
      <c r="L38" s="21">
        <v>23.478260869565215</v>
      </c>
      <c r="M38" s="91">
        <f t="shared" ref="M38:M61" si="5">L38/L$41*100</f>
        <v>27.86377708978328</v>
      </c>
      <c r="N38" s="21"/>
      <c r="O38" s="21">
        <v>4.5454545454545459</v>
      </c>
      <c r="P38" s="91">
        <f>O38/O$41*100</f>
        <v>8.7912087912087902</v>
      </c>
      <c r="Q38" s="23"/>
    </row>
    <row r="39" spans="1:17" x14ac:dyDescent="0.2">
      <c r="A39" s="23"/>
      <c r="B39" s="23"/>
      <c r="C39" s="23"/>
      <c r="D39" s="23"/>
      <c r="E39" s="23"/>
      <c r="F39" s="20"/>
      <c r="G39" s="20"/>
      <c r="H39" s="20"/>
      <c r="I39" s="21"/>
      <c r="J39" s="20">
        <v>2</v>
      </c>
      <c r="K39" s="21"/>
      <c r="L39" s="21">
        <v>43.565217391304344</v>
      </c>
      <c r="M39" s="91">
        <f t="shared" si="5"/>
        <v>51.702786377708975</v>
      </c>
      <c r="N39" s="21"/>
      <c r="O39" s="21">
        <v>21.022727272727273</v>
      </c>
      <c r="P39" s="91">
        <f>O39/O$41*100</f>
        <v>40.659340659340657</v>
      </c>
      <c r="Q39" s="23"/>
    </row>
    <row r="40" spans="1:17" x14ac:dyDescent="0.2">
      <c r="A40" s="23"/>
      <c r="B40" s="23"/>
      <c r="C40" s="23"/>
      <c r="D40" s="23"/>
      <c r="E40" s="23"/>
      <c r="F40" s="30"/>
      <c r="G40" s="30"/>
      <c r="H40" s="20"/>
      <c r="I40" s="21"/>
      <c r="J40" s="20">
        <v>3</v>
      </c>
      <c r="K40" s="21"/>
      <c r="L40" s="21">
        <v>63.130434782608688</v>
      </c>
      <c r="M40" s="91">
        <f t="shared" si="5"/>
        <v>74.922600619195038</v>
      </c>
      <c r="N40" s="21"/>
      <c r="O40" s="21">
        <v>25.56818181818182</v>
      </c>
      <c r="P40" s="91">
        <f>O40/O$41*100</f>
        <v>49.450549450549445</v>
      </c>
      <c r="Q40" s="23"/>
    </row>
    <row r="41" spans="1:17" x14ac:dyDescent="0.2">
      <c r="A41" s="23"/>
      <c r="B41" s="23"/>
      <c r="C41" s="23"/>
      <c r="D41" s="23"/>
      <c r="E41" s="23"/>
      <c r="F41" s="20"/>
      <c r="G41" s="20"/>
      <c r="H41" s="20"/>
      <c r="I41" s="21"/>
      <c r="J41" s="20">
        <v>4</v>
      </c>
      <c r="K41" s="21"/>
      <c r="L41" s="21">
        <v>84.260869565217391</v>
      </c>
      <c r="M41" s="91">
        <f t="shared" si="5"/>
        <v>100</v>
      </c>
      <c r="N41" s="21"/>
      <c r="O41" s="21">
        <v>51.70454545454546</v>
      </c>
      <c r="P41" s="91">
        <f>O41/O$41*100</f>
        <v>100</v>
      </c>
      <c r="Q41" s="23"/>
    </row>
    <row r="42" spans="1:17" x14ac:dyDescent="0.2">
      <c r="A42" s="23"/>
      <c r="B42" s="23"/>
      <c r="C42" s="23"/>
      <c r="D42" s="23"/>
      <c r="E42" s="23"/>
      <c r="F42" s="20"/>
      <c r="G42" s="20"/>
      <c r="H42" s="20"/>
      <c r="I42" s="21">
        <v>58.928571428571423</v>
      </c>
      <c r="J42" s="20">
        <v>0</v>
      </c>
      <c r="K42" s="21"/>
      <c r="L42" s="21">
        <v>0</v>
      </c>
      <c r="M42" s="91">
        <f>L42/L$41*100</f>
        <v>0</v>
      </c>
      <c r="N42" s="21"/>
      <c r="O42" s="21">
        <v>0</v>
      </c>
      <c r="P42" s="91">
        <f>O42/O$46*100</f>
        <v>0</v>
      </c>
      <c r="Q42" s="23"/>
    </row>
    <row r="43" spans="1:17" x14ac:dyDescent="0.2">
      <c r="A43" s="23"/>
      <c r="B43" s="23"/>
      <c r="C43" s="23"/>
      <c r="D43" s="23"/>
      <c r="E43" s="23"/>
      <c r="F43" s="20"/>
      <c r="G43" s="20"/>
      <c r="H43" s="20"/>
      <c r="J43" s="20">
        <v>1</v>
      </c>
      <c r="K43" s="21"/>
      <c r="L43" s="21">
        <v>23.478260869565215</v>
      </c>
      <c r="M43" s="91">
        <f t="shared" si="5"/>
        <v>27.86377708978328</v>
      </c>
      <c r="N43" s="21"/>
      <c r="O43" s="21">
        <v>4.5454545454545459</v>
      </c>
      <c r="P43" s="91">
        <f>O43/O$46*100</f>
        <v>5.1948051948051948</v>
      </c>
      <c r="Q43" s="23"/>
    </row>
    <row r="44" spans="1:17" x14ac:dyDescent="0.2">
      <c r="A44" s="23"/>
      <c r="B44" s="23"/>
      <c r="C44" s="23"/>
      <c r="D44" s="23"/>
      <c r="E44" s="23"/>
      <c r="F44" s="20"/>
      <c r="G44" s="20"/>
      <c r="H44" s="20"/>
      <c r="J44" s="20">
        <v>2</v>
      </c>
      <c r="K44" s="21"/>
      <c r="L44" s="21">
        <v>43.565217391304344</v>
      </c>
      <c r="M44" s="91">
        <f t="shared" si="5"/>
        <v>51.702786377708975</v>
      </c>
      <c r="N44" s="21"/>
      <c r="O44" s="21">
        <v>27.84090909090909</v>
      </c>
      <c r="P44" s="91">
        <f>O44/O$46*100</f>
        <v>31.818181818181817</v>
      </c>
      <c r="Q44" s="23"/>
    </row>
    <row r="45" spans="1:17" x14ac:dyDescent="0.2">
      <c r="A45" s="23"/>
      <c r="B45" s="23"/>
      <c r="C45" s="23"/>
      <c r="D45" s="23"/>
      <c r="E45" s="23"/>
      <c r="F45" s="30"/>
      <c r="G45" s="30"/>
      <c r="H45" s="20"/>
      <c r="J45" s="20">
        <v>3</v>
      </c>
      <c r="K45" s="21"/>
      <c r="L45" s="21">
        <v>63.130434782608688</v>
      </c>
      <c r="M45" s="91">
        <f t="shared" si="5"/>
        <v>74.922600619195038</v>
      </c>
      <c r="N45" s="21"/>
      <c r="O45" s="21">
        <v>52.272727272727273</v>
      </c>
      <c r="P45" s="91">
        <f>O45/O$46*100</f>
        <v>59.740259740259738</v>
      </c>
      <c r="Q45" s="23"/>
    </row>
    <row r="46" spans="1:17" x14ac:dyDescent="0.2">
      <c r="A46" s="23"/>
      <c r="B46" s="23"/>
      <c r="C46" s="23"/>
      <c r="D46" s="23"/>
      <c r="E46" s="23"/>
      <c r="F46" s="20"/>
      <c r="G46" s="20"/>
      <c r="H46" s="20"/>
      <c r="I46" s="21"/>
      <c r="J46" s="20">
        <v>4</v>
      </c>
      <c r="K46" s="21"/>
      <c r="L46" s="21">
        <v>84.260869565217391</v>
      </c>
      <c r="M46" s="91">
        <f t="shared" si="5"/>
        <v>100</v>
      </c>
      <c r="N46" s="21"/>
      <c r="O46" s="21">
        <v>87.5</v>
      </c>
      <c r="P46" s="91">
        <f>O46/O$46*100</f>
        <v>100</v>
      </c>
      <c r="Q46" s="23"/>
    </row>
    <row r="47" spans="1:17" x14ac:dyDescent="0.2">
      <c r="A47" s="23"/>
      <c r="B47" s="23"/>
      <c r="C47" s="23"/>
      <c r="D47" s="23"/>
      <c r="E47" s="23"/>
      <c r="F47" s="20"/>
      <c r="G47" s="20"/>
      <c r="H47" s="20"/>
      <c r="I47" s="21">
        <v>118.74999999999999</v>
      </c>
      <c r="J47" s="20">
        <v>0</v>
      </c>
      <c r="K47" s="21"/>
      <c r="L47" s="21">
        <v>0</v>
      </c>
      <c r="M47" s="91">
        <f>L47/L$41*100</f>
        <v>0</v>
      </c>
      <c r="N47" s="21"/>
      <c r="O47" s="21">
        <v>0</v>
      </c>
      <c r="P47" s="91">
        <f>O47/O$51*100</f>
        <v>0</v>
      </c>
      <c r="Q47" s="23"/>
    </row>
    <row r="48" spans="1:17" x14ac:dyDescent="0.2">
      <c r="A48" s="23"/>
      <c r="B48" s="23"/>
      <c r="C48" s="23"/>
      <c r="D48" s="23"/>
      <c r="E48" s="23"/>
      <c r="F48" s="20"/>
      <c r="G48" s="20"/>
      <c r="H48" s="20"/>
      <c r="J48" s="20">
        <v>1</v>
      </c>
      <c r="K48" s="21"/>
      <c r="L48" s="21">
        <v>23.478260869565215</v>
      </c>
      <c r="M48" s="91">
        <f t="shared" si="5"/>
        <v>27.86377708978328</v>
      </c>
      <c r="N48" s="21"/>
      <c r="O48" s="21">
        <v>4.5454545454545459</v>
      </c>
      <c r="P48" s="91">
        <f>O48/O$51*100</f>
        <v>4.2105263157894743</v>
      </c>
      <c r="Q48" s="23"/>
    </row>
    <row r="49" spans="1:19" x14ac:dyDescent="0.2">
      <c r="A49" s="23"/>
      <c r="B49" s="23"/>
      <c r="C49" s="23"/>
      <c r="D49" s="23"/>
      <c r="E49" s="23"/>
      <c r="F49" s="20"/>
      <c r="G49" s="20"/>
      <c r="H49" s="20"/>
      <c r="J49" s="20">
        <v>2</v>
      </c>
      <c r="K49" s="21"/>
      <c r="L49" s="21">
        <v>43.565217391304344</v>
      </c>
      <c r="M49" s="91">
        <f t="shared" si="5"/>
        <v>51.702786377708975</v>
      </c>
      <c r="N49" s="21"/>
      <c r="O49" s="21">
        <v>35.227272727272727</v>
      </c>
      <c r="P49" s="91">
        <f>O49/O$51*100</f>
        <v>32.631578947368425</v>
      </c>
      <c r="Q49" s="23"/>
    </row>
    <row r="50" spans="1:19" x14ac:dyDescent="0.2">
      <c r="A50" s="23"/>
      <c r="B50" s="23"/>
      <c r="C50" s="23"/>
      <c r="D50" s="23"/>
      <c r="E50" s="23"/>
      <c r="F50" s="30"/>
      <c r="G50" s="30"/>
      <c r="H50" s="20"/>
      <c r="I50" s="21"/>
      <c r="J50" s="20">
        <v>3</v>
      </c>
      <c r="K50" s="21"/>
      <c r="L50" s="21">
        <v>63.130434782608688</v>
      </c>
      <c r="M50" s="91">
        <f t="shared" si="5"/>
        <v>74.922600619195038</v>
      </c>
      <c r="N50" s="21"/>
      <c r="O50" s="21">
        <v>57.95454545454546</v>
      </c>
      <c r="P50" s="91">
        <f>O50/O$51*100</f>
        <v>53.684210526315802</v>
      </c>
      <c r="Q50" s="23"/>
    </row>
    <row r="51" spans="1:19" x14ac:dyDescent="0.2">
      <c r="A51" s="23"/>
      <c r="B51" s="23"/>
      <c r="C51" s="23"/>
      <c r="D51" s="23"/>
      <c r="E51" s="23"/>
      <c r="F51" s="20"/>
      <c r="G51" s="20"/>
      <c r="H51" s="20"/>
      <c r="I51" s="21"/>
      <c r="J51" s="20">
        <v>4</v>
      </c>
      <c r="K51" s="21"/>
      <c r="L51" s="21">
        <v>84.260869565217391</v>
      </c>
      <c r="M51" s="91">
        <f t="shared" si="5"/>
        <v>100</v>
      </c>
      <c r="N51" s="21"/>
      <c r="O51" s="21">
        <v>107.95454545454545</v>
      </c>
      <c r="P51" s="91">
        <f>O51/O$51*100</f>
        <v>100</v>
      </c>
      <c r="Q51" s="23"/>
    </row>
    <row r="52" spans="1:19" x14ac:dyDescent="0.2">
      <c r="A52" s="23"/>
      <c r="B52" s="23"/>
      <c r="C52" s="23"/>
      <c r="D52" s="23"/>
      <c r="E52" s="23"/>
      <c r="F52" s="20"/>
      <c r="G52" s="20"/>
      <c r="H52" s="20"/>
      <c r="I52" s="21">
        <v>178.57142857142856</v>
      </c>
      <c r="J52" s="20">
        <v>0</v>
      </c>
      <c r="K52" s="21"/>
      <c r="L52" s="21">
        <v>0</v>
      </c>
      <c r="M52" s="91">
        <f>L52/L$41*100</f>
        <v>0</v>
      </c>
      <c r="N52" s="21"/>
      <c r="O52" s="21">
        <v>0</v>
      </c>
      <c r="P52" s="91">
        <f>O52/O$56*100</f>
        <v>0</v>
      </c>
      <c r="Q52" s="23"/>
    </row>
    <row r="53" spans="1:19" x14ac:dyDescent="0.2">
      <c r="A53" s="23"/>
      <c r="B53" s="23"/>
      <c r="C53" s="23"/>
      <c r="D53" s="23"/>
      <c r="E53" s="23"/>
      <c r="F53" s="20"/>
      <c r="G53" s="20"/>
      <c r="H53" s="20"/>
      <c r="J53" s="20">
        <v>1</v>
      </c>
      <c r="K53" s="21"/>
      <c r="L53" s="21">
        <v>23.478260869565215</v>
      </c>
      <c r="M53" s="91">
        <f t="shared" si="5"/>
        <v>27.86377708978328</v>
      </c>
      <c r="N53" s="21"/>
      <c r="O53" s="21">
        <v>4.5454545454545459</v>
      </c>
      <c r="P53" s="91">
        <f>O53/O$56*100</f>
        <v>3.0303030303030307</v>
      </c>
      <c r="Q53" s="23"/>
    </row>
    <row r="54" spans="1:19" x14ac:dyDescent="0.2">
      <c r="A54" s="23"/>
      <c r="B54" s="23"/>
      <c r="C54" s="23"/>
      <c r="D54" s="23"/>
      <c r="E54" s="23"/>
      <c r="F54" s="20"/>
      <c r="G54" s="20"/>
      <c r="H54" s="20"/>
      <c r="I54" s="21"/>
      <c r="J54" s="20">
        <v>2</v>
      </c>
      <c r="K54" s="21"/>
      <c r="L54" s="21">
        <v>43.565217391304344</v>
      </c>
      <c r="M54" s="91">
        <f t="shared" si="5"/>
        <v>51.702786377708975</v>
      </c>
      <c r="N54" s="21"/>
      <c r="O54" s="21">
        <v>35.227272727272727</v>
      </c>
      <c r="P54" s="91">
        <f>O54/O$56*100</f>
        <v>23.484848484848484</v>
      </c>
      <c r="Q54" s="23"/>
    </row>
    <row r="55" spans="1:19" x14ac:dyDescent="0.2">
      <c r="A55" s="23"/>
      <c r="B55" s="23"/>
      <c r="C55" s="23"/>
      <c r="D55" s="23"/>
      <c r="E55" s="23"/>
      <c r="F55" s="30"/>
      <c r="G55" s="30"/>
      <c r="H55" s="20"/>
      <c r="I55" s="21"/>
      <c r="J55" s="20">
        <v>3</v>
      </c>
      <c r="K55" s="21"/>
      <c r="L55" s="21">
        <v>63.130434782608688</v>
      </c>
      <c r="M55" s="91">
        <f t="shared" si="5"/>
        <v>74.922600619195038</v>
      </c>
      <c r="N55" s="21"/>
      <c r="O55" s="21">
        <v>73.863636363636374</v>
      </c>
      <c r="P55" s="91">
        <f>O55/O$56*100</f>
        <v>49.242424242424249</v>
      </c>
      <c r="Q55" s="23"/>
    </row>
    <row r="56" spans="1:19" x14ac:dyDescent="0.2">
      <c r="A56" s="23"/>
      <c r="B56" s="23"/>
      <c r="C56" s="23"/>
      <c r="D56" s="23"/>
      <c r="E56" s="23"/>
      <c r="F56" s="20"/>
      <c r="G56" s="20"/>
      <c r="H56" s="20"/>
      <c r="I56" s="21"/>
      <c r="J56" s="20">
        <v>4</v>
      </c>
      <c r="K56" s="21"/>
      <c r="L56" s="21">
        <v>84.260869565217391</v>
      </c>
      <c r="M56" s="91">
        <f t="shared" si="5"/>
        <v>100</v>
      </c>
      <c r="N56" s="21"/>
      <c r="O56" s="21">
        <v>150</v>
      </c>
      <c r="P56" s="91">
        <f>O56/O$56*100</f>
        <v>100</v>
      </c>
      <c r="Q56" s="23"/>
    </row>
    <row r="57" spans="1:19" x14ac:dyDescent="0.2">
      <c r="A57" s="23"/>
      <c r="B57" s="23"/>
      <c r="C57" s="23"/>
      <c r="D57" s="23"/>
      <c r="E57" s="23"/>
      <c r="F57" s="20"/>
      <c r="G57" s="20"/>
      <c r="H57" s="20"/>
      <c r="I57" s="21">
        <v>237.49999999999997</v>
      </c>
      <c r="J57" s="20">
        <v>0</v>
      </c>
      <c r="K57" s="21"/>
      <c r="L57" s="21">
        <v>0</v>
      </c>
      <c r="M57" s="91">
        <f>L57/L$41*100</f>
        <v>0</v>
      </c>
      <c r="N57" s="21"/>
      <c r="O57" s="21">
        <v>0</v>
      </c>
      <c r="P57" s="91">
        <f>O57/O$61*100</f>
        <v>0</v>
      </c>
      <c r="Q57" s="23"/>
    </row>
    <row r="58" spans="1:19" x14ac:dyDescent="0.2">
      <c r="A58" s="23"/>
      <c r="B58" s="23"/>
      <c r="C58" s="23"/>
      <c r="D58" s="23"/>
      <c r="E58" s="23"/>
      <c r="F58" s="20"/>
      <c r="G58" s="20"/>
      <c r="H58" s="20"/>
      <c r="I58" s="21"/>
      <c r="J58" s="20">
        <v>1</v>
      </c>
      <c r="K58" s="21"/>
      <c r="L58" s="21">
        <v>23.478260869565215</v>
      </c>
      <c r="M58" s="21">
        <f t="shared" si="5"/>
        <v>27.86377708978328</v>
      </c>
      <c r="N58" s="21"/>
      <c r="O58" s="21">
        <v>4.5454545454545459</v>
      </c>
      <c r="P58" s="21">
        <f>O58/O$61*100</f>
        <v>3.2520325203252036</v>
      </c>
      <c r="Q58" s="23"/>
      <c r="R58" s="23"/>
    </row>
    <row r="59" spans="1:19" x14ac:dyDescent="0.2">
      <c r="A59" s="23"/>
      <c r="B59" s="23"/>
      <c r="C59" s="23"/>
      <c r="D59" s="23"/>
      <c r="E59" s="23"/>
      <c r="F59" s="20"/>
      <c r="G59" s="20"/>
      <c r="H59" s="20"/>
      <c r="I59" s="21"/>
      <c r="J59" s="20">
        <v>2</v>
      </c>
      <c r="K59" s="21"/>
      <c r="L59" s="21">
        <v>43.565217391304344</v>
      </c>
      <c r="M59" s="21">
        <f t="shared" si="5"/>
        <v>51.702786377708975</v>
      </c>
      <c r="N59" s="21"/>
      <c r="O59" s="21">
        <v>35.227272727272727</v>
      </c>
      <c r="P59" s="21">
        <f>O59/O$61*100</f>
        <v>25.203252032520325</v>
      </c>
      <c r="Q59" s="23"/>
      <c r="R59" s="23"/>
    </row>
    <row r="60" spans="1:19" x14ac:dyDescent="0.2">
      <c r="A60" s="23"/>
      <c r="B60" s="23"/>
      <c r="C60" s="23"/>
      <c r="D60" s="23"/>
      <c r="E60" s="23"/>
      <c r="F60" s="30"/>
      <c r="G60" s="30"/>
      <c r="H60" s="20"/>
      <c r="I60" s="21"/>
      <c r="J60" s="20">
        <v>3</v>
      </c>
      <c r="K60" s="21"/>
      <c r="L60" s="21">
        <v>63.130434782608688</v>
      </c>
      <c r="M60" s="21">
        <f t="shared" si="5"/>
        <v>74.922600619195038</v>
      </c>
      <c r="N60" s="21"/>
      <c r="O60" s="21">
        <v>63.636363636363647</v>
      </c>
      <c r="P60" s="21">
        <f>O60/O$61*100</f>
        <v>45.528455284552848</v>
      </c>
      <c r="Q60" s="23"/>
      <c r="R60" s="23"/>
    </row>
    <row r="61" spans="1:19" x14ac:dyDescent="0.2">
      <c r="A61" s="23"/>
      <c r="B61" s="23"/>
      <c r="C61" s="23"/>
      <c r="D61" s="23"/>
      <c r="E61" s="23"/>
      <c r="F61" s="20"/>
      <c r="G61" s="20"/>
      <c r="H61" s="20"/>
      <c r="I61" s="21"/>
      <c r="J61" s="20">
        <v>4</v>
      </c>
      <c r="K61" s="21"/>
      <c r="L61" s="21">
        <v>84.260869565217391</v>
      </c>
      <c r="M61" s="21">
        <f t="shared" si="5"/>
        <v>100</v>
      </c>
      <c r="N61" s="21"/>
      <c r="O61" s="21">
        <v>139.77272727272728</v>
      </c>
      <c r="P61" s="21">
        <f>O61/O$61*100</f>
        <v>100</v>
      </c>
      <c r="Q61" s="23"/>
      <c r="R61" s="23"/>
      <c r="S61" s="23"/>
    </row>
    <row r="62" spans="1:19" x14ac:dyDescent="0.2">
      <c r="A62" t="s">
        <v>260</v>
      </c>
      <c r="B62" s="55" t="s">
        <v>261</v>
      </c>
      <c r="C62" s="23" t="s">
        <v>262</v>
      </c>
      <c r="D62" s="23" t="s">
        <v>14</v>
      </c>
      <c r="E62" s="23"/>
      <c r="F62" s="30">
        <v>38817</v>
      </c>
      <c r="G62" s="20"/>
      <c r="H62" s="20"/>
      <c r="I62" s="21">
        <f>176/2</f>
        <v>88</v>
      </c>
      <c r="J62" s="20">
        <v>0</v>
      </c>
      <c r="K62" s="21"/>
      <c r="L62" s="21">
        <v>0</v>
      </c>
      <c r="M62" s="21">
        <f>L62/L$69*100</f>
        <v>0</v>
      </c>
      <c r="N62" s="21"/>
      <c r="O62" s="21">
        <v>0</v>
      </c>
      <c r="P62" s="21">
        <f>O62/O$69*100</f>
        <v>0</v>
      </c>
      <c r="Q62" s="112" t="s">
        <v>263</v>
      </c>
      <c r="R62" s="23"/>
    </row>
    <row r="63" spans="1:19" x14ac:dyDescent="0.2">
      <c r="A63" s="23"/>
      <c r="B63" s="23"/>
      <c r="C63" s="23"/>
      <c r="D63" s="23"/>
      <c r="E63" s="23"/>
      <c r="F63" s="20"/>
      <c r="G63" s="20"/>
      <c r="H63" s="20"/>
      <c r="I63" s="21"/>
      <c r="J63" s="20">
        <v>1</v>
      </c>
      <c r="K63" s="21"/>
      <c r="L63" s="21">
        <v>6.6453674121405761</v>
      </c>
      <c r="M63" s="21">
        <f t="shared" ref="M63:M85" si="6">L63/L$69*100</f>
        <v>7.8078078078078095</v>
      </c>
      <c r="N63" s="21"/>
      <c r="O63" s="21">
        <v>0.56818181818181823</v>
      </c>
      <c r="P63" s="21">
        <f t="shared" ref="P63:P69" si="7">O63/O$69*100</f>
        <v>0.53533190578158474</v>
      </c>
      <c r="Q63" s="23"/>
      <c r="R63" s="23"/>
    </row>
    <row r="64" spans="1:19" x14ac:dyDescent="0.2">
      <c r="A64" s="23"/>
      <c r="B64" s="23"/>
      <c r="C64" s="23"/>
      <c r="D64" s="23"/>
      <c r="E64" s="23"/>
      <c r="F64" s="20"/>
      <c r="G64" s="20"/>
      <c r="H64" s="20"/>
      <c r="I64" s="21"/>
      <c r="J64" s="20">
        <v>2</v>
      </c>
      <c r="K64" s="21"/>
      <c r="L64" s="21">
        <v>20.830670926517573</v>
      </c>
      <c r="M64" s="21">
        <f t="shared" si="6"/>
        <v>24.474474474474476</v>
      </c>
      <c r="N64" s="21"/>
      <c r="O64" s="21">
        <v>4.5454545454545459</v>
      </c>
      <c r="P64" s="21">
        <f t="shared" si="7"/>
        <v>4.2826552462526779</v>
      </c>
      <c r="Q64" s="23"/>
      <c r="R64" s="23"/>
    </row>
    <row r="65" spans="1:33" x14ac:dyDescent="0.2">
      <c r="A65" s="23"/>
      <c r="B65" s="23"/>
      <c r="C65" s="23"/>
      <c r="D65" s="23"/>
      <c r="E65" s="23"/>
      <c r="F65" s="20"/>
      <c r="G65" s="20"/>
      <c r="H65" s="20"/>
      <c r="I65" s="21"/>
      <c r="J65" s="20">
        <v>3</v>
      </c>
      <c r="K65" s="21"/>
      <c r="L65" s="21">
        <v>34.632587859424923</v>
      </c>
      <c r="M65" s="21">
        <f t="shared" si="6"/>
        <v>40.690690690690694</v>
      </c>
      <c r="N65" s="21"/>
      <c r="O65" s="21">
        <v>32.727272727272727</v>
      </c>
      <c r="P65" s="21">
        <f t="shared" si="7"/>
        <v>30.83511777301927</v>
      </c>
      <c r="Q65" s="23"/>
      <c r="R65" s="23"/>
    </row>
    <row r="66" spans="1:33" x14ac:dyDescent="0.2">
      <c r="A66" s="23"/>
      <c r="B66" s="23"/>
      <c r="C66" s="23"/>
      <c r="D66" s="23"/>
      <c r="E66" s="23"/>
      <c r="F66" s="20"/>
      <c r="G66" s="20"/>
      <c r="H66" s="20"/>
      <c r="I66" s="21"/>
      <c r="J66" s="20">
        <v>4</v>
      </c>
      <c r="K66" s="21"/>
      <c r="L66" s="21">
        <v>48.178913738019176</v>
      </c>
      <c r="M66" s="21">
        <f t="shared" si="6"/>
        <v>56.606606606606611</v>
      </c>
      <c r="N66" s="21"/>
      <c r="O66" s="21">
        <v>58.409090909090907</v>
      </c>
      <c r="P66" s="21">
        <f t="shared" si="7"/>
        <v>55.0321199143469</v>
      </c>
      <c r="Q66" s="23"/>
      <c r="R66" s="23"/>
    </row>
    <row r="67" spans="1:33" x14ac:dyDescent="0.2">
      <c r="A67" s="23"/>
      <c r="B67" s="23"/>
      <c r="C67" s="23"/>
      <c r="D67" s="23"/>
      <c r="E67" s="23"/>
      <c r="F67" s="20"/>
      <c r="G67" s="20"/>
      <c r="H67" s="20"/>
      <c r="I67" s="21"/>
      <c r="J67" s="20">
        <v>5</v>
      </c>
      <c r="K67" s="21"/>
      <c r="L67" s="21">
        <v>62.108626198083073</v>
      </c>
      <c r="M67" s="21">
        <f t="shared" si="6"/>
        <v>72.972972972972983</v>
      </c>
      <c r="N67" s="21"/>
      <c r="O67" s="21">
        <v>70.909090909090907</v>
      </c>
      <c r="P67" s="21">
        <f t="shared" si="7"/>
        <v>66.809421841541763</v>
      </c>
      <c r="Q67" s="23"/>
      <c r="R67" s="23"/>
    </row>
    <row r="68" spans="1:33" x14ac:dyDescent="0.2">
      <c r="A68" s="23"/>
      <c r="B68" s="23"/>
      <c r="C68" s="23"/>
      <c r="D68" s="23"/>
      <c r="E68" s="23"/>
      <c r="F68" s="20"/>
      <c r="G68" s="20"/>
      <c r="H68" s="20"/>
      <c r="I68" s="21"/>
      <c r="J68" s="20">
        <v>6</v>
      </c>
      <c r="K68" s="21"/>
      <c r="L68" s="21">
        <v>75.910543130990419</v>
      </c>
      <c r="M68" s="21">
        <f t="shared" si="6"/>
        <v>89.189189189189193</v>
      </c>
      <c r="N68" s="21"/>
      <c r="O68" s="21">
        <v>90.681818181818187</v>
      </c>
      <c r="P68" s="21">
        <f t="shared" si="7"/>
        <v>85.43897216274091</v>
      </c>
      <c r="Q68" s="23"/>
      <c r="R68" s="23"/>
    </row>
    <row r="69" spans="1:33" x14ac:dyDescent="0.2">
      <c r="A69" s="23"/>
      <c r="B69" s="23"/>
      <c r="C69" s="23"/>
      <c r="D69" s="23"/>
      <c r="E69" s="23"/>
      <c r="F69" s="20"/>
      <c r="G69" s="20"/>
      <c r="H69" s="20"/>
      <c r="J69" s="20">
        <v>7</v>
      </c>
      <c r="K69" s="21"/>
      <c r="L69" s="21">
        <v>85.111821086261983</v>
      </c>
      <c r="M69" s="21">
        <f t="shared" si="6"/>
        <v>100</v>
      </c>
      <c r="N69" s="21"/>
      <c r="O69" s="21">
        <v>106.13636363636363</v>
      </c>
      <c r="P69" s="21">
        <f t="shared" si="7"/>
        <v>100</v>
      </c>
      <c r="Q69" s="23"/>
      <c r="R69" s="23"/>
    </row>
    <row r="70" spans="1:33" x14ac:dyDescent="0.2">
      <c r="A70" s="23"/>
      <c r="B70" s="23"/>
      <c r="C70" s="23"/>
      <c r="D70" s="23"/>
      <c r="E70" s="23"/>
      <c r="F70" s="20"/>
      <c r="G70" s="20"/>
      <c r="H70" s="20"/>
      <c r="I70" s="21">
        <f>220/1.12</f>
        <v>196.42857142857142</v>
      </c>
      <c r="J70" s="20">
        <v>0</v>
      </c>
      <c r="K70" s="21"/>
      <c r="L70" s="21">
        <v>0</v>
      </c>
      <c r="M70" s="21">
        <f t="shared" si="6"/>
        <v>0</v>
      </c>
      <c r="N70" s="21"/>
      <c r="O70" s="21">
        <v>0</v>
      </c>
      <c r="P70" s="21">
        <f>O70/O$77*100</f>
        <v>0</v>
      </c>
      <c r="Q70" s="23"/>
      <c r="R70" s="23"/>
    </row>
    <row r="71" spans="1:33" x14ac:dyDescent="0.2">
      <c r="A71" s="23"/>
      <c r="B71" s="23"/>
      <c r="C71" s="23"/>
      <c r="D71" s="23"/>
      <c r="E71" s="23"/>
      <c r="F71" s="20"/>
      <c r="G71" s="20"/>
      <c r="H71" s="20"/>
      <c r="I71" s="21"/>
      <c r="J71" s="20">
        <v>1</v>
      </c>
      <c r="K71" s="21"/>
      <c r="L71" s="21">
        <v>6.6453674121405761</v>
      </c>
      <c r="M71" s="21">
        <f t="shared" si="6"/>
        <v>7.8078078078078095</v>
      </c>
      <c r="N71" s="21"/>
      <c r="O71" s="21">
        <v>0.56818181818181823</v>
      </c>
      <c r="P71" s="21">
        <f t="shared" ref="P71:P77" si="8">O71/O$77*100</f>
        <v>0.46040515653775332</v>
      </c>
      <c r="Q71" s="23"/>
      <c r="R71" s="23"/>
    </row>
    <row r="72" spans="1:33" x14ac:dyDescent="0.2">
      <c r="A72" s="23"/>
      <c r="B72" s="23"/>
      <c r="C72" s="23"/>
      <c r="D72" s="23"/>
      <c r="E72" s="23"/>
      <c r="F72" s="20"/>
      <c r="G72" s="20"/>
      <c r="H72" s="20"/>
      <c r="I72" s="21"/>
      <c r="J72" s="20">
        <v>2</v>
      </c>
      <c r="K72" s="21"/>
      <c r="L72" s="21">
        <v>20.830670926517573</v>
      </c>
      <c r="M72" s="21">
        <f t="shared" si="6"/>
        <v>24.474474474474476</v>
      </c>
      <c r="N72" s="21"/>
      <c r="O72" s="21">
        <v>5.6818181818181817</v>
      </c>
      <c r="P72" s="21">
        <f t="shared" si="8"/>
        <v>4.6040515653775334</v>
      </c>
      <c r="Q72" s="23"/>
      <c r="R72" s="23"/>
      <c r="AB72" s="241"/>
      <c r="AC72" s="241"/>
      <c r="AD72" s="241"/>
      <c r="AE72" s="241"/>
      <c r="AF72" s="241"/>
      <c r="AG72" s="241"/>
    </row>
    <row r="73" spans="1:33" x14ac:dyDescent="0.2">
      <c r="A73" s="23"/>
      <c r="B73" s="23"/>
      <c r="C73" s="23"/>
      <c r="D73" s="23"/>
      <c r="E73" s="23"/>
      <c r="F73" s="20"/>
      <c r="G73" s="20"/>
      <c r="H73" s="20"/>
      <c r="I73" s="21"/>
      <c r="J73" s="20">
        <v>3</v>
      </c>
      <c r="K73" s="21"/>
      <c r="L73" s="21">
        <v>34.632587859424923</v>
      </c>
      <c r="M73" s="21">
        <f t="shared" si="6"/>
        <v>40.690690690690694</v>
      </c>
      <c r="N73" s="21"/>
      <c r="O73" s="21">
        <v>34.090909090909093</v>
      </c>
      <c r="P73" s="21">
        <f t="shared" si="8"/>
        <v>27.6243093922652</v>
      </c>
      <c r="Q73" s="23"/>
      <c r="R73" s="23"/>
    </row>
    <row r="74" spans="1:33" x14ac:dyDescent="0.2">
      <c r="A74" s="23"/>
      <c r="B74" s="23"/>
      <c r="C74" s="23"/>
      <c r="D74" s="23"/>
      <c r="E74" s="23"/>
      <c r="F74" s="20"/>
      <c r="G74" s="20"/>
      <c r="H74" s="20"/>
      <c r="I74" s="21"/>
      <c r="J74" s="20">
        <v>4</v>
      </c>
      <c r="K74" s="21"/>
      <c r="L74" s="21">
        <v>48.178913738019176</v>
      </c>
      <c r="M74" s="21">
        <f t="shared" si="6"/>
        <v>56.606606606606611</v>
      </c>
      <c r="N74" s="21"/>
      <c r="O74" s="21">
        <v>65.454545454545453</v>
      </c>
      <c r="P74" s="21">
        <f t="shared" si="8"/>
        <v>53.038674033149178</v>
      </c>
      <c r="Q74" s="23"/>
      <c r="R74" s="23"/>
    </row>
    <row r="75" spans="1:33" x14ac:dyDescent="0.2">
      <c r="A75" s="23"/>
      <c r="B75" s="23"/>
      <c r="C75" s="23"/>
      <c r="D75" s="23"/>
      <c r="E75" s="23"/>
      <c r="F75" s="20"/>
      <c r="G75" s="20"/>
      <c r="H75" s="20"/>
      <c r="I75" s="21"/>
      <c r="J75" s="20">
        <v>5</v>
      </c>
      <c r="K75" s="21"/>
      <c r="L75" s="21">
        <v>62.108626198083073</v>
      </c>
      <c r="M75" s="21">
        <f t="shared" si="6"/>
        <v>72.972972972972983</v>
      </c>
      <c r="N75" s="21"/>
      <c r="O75" s="21">
        <v>85.909090909090907</v>
      </c>
      <c r="P75" s="21">
        <f t="shared" si="8"/>
        <v>69.613259668508292</v>
      </c>
      <c r="Q75" s="23"/>
      <c r="R75" s="23"/>
    </row>
    <row r="76" spans="1:33" x14ac:dyDescent="0.2">
      <c r="A76" s="23"/>
      <c r="B76" s="23"/>
      <c r="C76" s="23"/>
      <c r="D76" s="23"/>
      <c r="E76" s="23"/>
      <c r="F76" s="20"/>
      <c r="G76" s="20"/>
      <c r="H76" s="20"/>
      <c r="J76" s="20">
        <v>6</v>
      </c>
      <c r="K76" s="21"/>
      <c r="L76" s="21">
        <v>75.910543130990419</v>
      </c>
      <c r="M76" s="21">
        <f t="shared" si="6"/>
        <v>89.189189189189193</v>
      </c>
      <c r="N76" s="21"/>
      <c r="O76" s="21">
        <v>100.68181818181817</v>
      </c>
      <c r="P76" s="21">
        <f t="shared" si="8"/>
        <v>81.583793738489874</v>
      </c>
      <c r="Q76" s="23"/>
      <c r="R76" s="23"/>
    </row>
    <row r="77" spans="1:33" x14ac:dyDescent="0.2">
      <c r="A77" s="23"/>
      <c r="B77" s="23"/>
      <c r="C77" s="23"/>
      <c r="D77" s="23"/>
      <c r="E77" s="23"/>
      <c r="F77" s="20"/>
      <c r="G77" s="20"/>
      <c r="H77" s="20"/>
      <c r="I77" s="21"/>
      <c r="J77" s="20">
        <v>7</v>
      </c>
      <c r="K77" s="21"/>
      <c r="L77" s="21">
        <v>85.111821086261983</v>
      </c>
      <c r="M77" s="21">
        <f t="shared" si="6"/>
        <v>100</v>
      </c>
      <c r="N77" s="21"/>
      <c r="O77" s="21">
        <v>123.40909090909089</v>
      </c>
      <c r="P77" s="21">
        <f t="shared" si="8"/>
        <v>100</v>
      </c>
      <c r="Q77" s="23"/>
      <c r="R77" s="23"/>
    </row>
    <row r="78" spans="1:33" x14ac:dyDescent="0.2">
      <c r="A78" s="23"/>
      <c r="B78" s="23"/>
      <c r="C78" s="23"/>
      <c r="D78" s="23"/>
      <c r="E78" s="23"/>
      <c r="F78" s="20"/>
      <c r="G78" s="20"/>
      <c r="H78" s="20"/>
      <c r="I78" s="21">
        <f>330/1.12</f>
        <v>294.64285714285711</v>
      </c>
      <c r="J78" s="20">
        <v>0</v>
      </c>
      <c r="K78" s="21"/>
      <c r="L78" s="21">
        <v>0</v>
      </c>
      <c r="M78" s="21">
        <f t="shared" si="6"/>
        <v>0</v>
      </c>
      <c r="N78" s="21"/>
      <c r="O78" s="21">
        <v>0</v>
      </c>
      <c r="P78" s="21">
        <f>O78/O$85*100</f>
        <v>0</v>
      </c>
      <c r="Q78" s="23"/>
      <c r="R78" s="23"/>
    </row>
    <row r="79" spans="1:33" x14ac:dyDescent="0.2">
      <c r="A79" s="23"/>
      <c r="B79" s="23"/>
      <c r="C79" s="23"/>
      <c r="D79" s="23"/>
      <c r="E79" s="23"/>
      <c r="F79" s="20"/>
      <c r="G79" s="20"/>
      <c r="H79" s="20"/>
      <c r="I79" s="21"/>
      <c r="J79" s="20">
        <v>1</v>
      </c>
      <c r="K79" s="21"/>
      <c r="L79" s="21">
        <v>6.6453674121405761</v>
      </c>
      <c r="M79" s="21">
        <f t="shared" si="6"/>
        <v>7.8078078078078095</v>
      </c>
      <c r="N79" s="21"/>
      <c r="O79" s="21">
        <v>0.56818181818181823</v>
      </c>
      <c r="P79" s="21">
        <f t="shared" ref="P79:P85" si="9">O79/O$85*100</f>
        <v>0.41050903119868637</v>
      </c>
      <c r="Q79" s="23"/>
      <c r="R79" s="23"/>
    </row>
    <row r="80" spans="1:33" x14ac:dyDescent="0.2">
      <c r="A80" s="23"/>
      <c r="B80" s="23"/>
      <c r="C80" s="23"/>
      <c r="D80" s="23"/>
      <c r="E80" s="23"/>
      <c r="F80" s="20"/>
      <c r="G80" s="20"/>
      <c r="H80" s="20"/>
      <c r="I80" s="21"/>
      <c r="J80" s="20">
        <v>2</v>
      </c>
      <c r="K80" s="21"/>
      <c r="L80" s="21">
        <v>20.830670926517573</v>
      </c>
      <c r="M80" s="21">
        <f t="shared" si="6"/>
        <v>24.474474474474476</v>
      </c>
      <c r="N80" s="21"/>
      <c r="O80" s="21">
        <v>5.6818181818181817</v>
      </c>
      <c r="P80" s="21">
        <f t="shared" si="9"/>
        <v>4.1050903119868636</v>
      </c>
      <c r="Q80" s="23"/>
      <c r="R80" s="23"/>
    </row>
    <row r="81" spans="1:18" x14ac:dyDescent="0.2">
      <c r="A81" s="23"/>
      <c r="B81" s="23"/>
      <c r="C81" s="23"/>
      <c r="D81" s="23"/>
      <c r="E81" s="23"/>
      <c r="F81" s="20"/>
      <c r="G81" s="20"/>
      <c r="H81" s="20"/>
      <c r="I81" s="21"/>
      <c r="J81" s="20">
        <v>3</v>
      </c>
      <c r="K81" s="21"/>
      <c r="L81" s="21">
        <v>34.632587859424923</v>
      </c>
      <c r="M81" s="21">
        <f t="shared" si="6"/>
        <v>40.690690690690694</v>
      </c>
      <c r="N81" s="21"/>
      <c r="O81" s="21">
        <v>40.227272727272727</v>
      </c>
      <c r="P81" s="21">
        <f t="shared" si="9"/>
        <v>29.064039408866993</v>
      </c>
      <c r="Q81" s="23"/>
      <c r="R81" s="23"/>
    </row>
    <row r="82" spans="1:18" x14ac:dyDescent="0.2">
      <c r="A82" s="23"/>
      <c r="B82" s="23"/>
      <c r="C82" s="23"/>
      <c r="D82" s="23"/>
      <c r="E82" s="23"/>
      <c r="F82" s="20"/>
      <c r="G82" s="20"/>
      <c r="H82" s="20"/>
      <c r="I82" s="21"/>
      <c r="J82" s="20">
        <v>4</v>
      </c>
      <c r="K82" s="21"/>
      <c r="L82" s="21">
        <v>48.178913738019176</v>
      </c>
      <c r="M82" s="21">
        <f t="shared" si="6"/>
        <v>56.606606606606611</v>
      </c>
      <c r="N82" s="21"/>
      <c r="O82" s="21">
        <v>77.954545454545453</v>
      </c>
      <c r="P82" s="21">
        <f t="shared" si="9"/>
        <v>56.321839080459768</v>
      </c>
      <c r="Q82" s="23"/>
      <c r="R82" s="23"/>
    </row>
    <row r="83" spans="1:18" x14ac:dyDescent="0.2">
      <c r="A83" s="23"/>
      <c r="B83" s="23"/>
      <c r="C83" s="23"/>
      <c r="D83" s="23"/>
      <c r="E83" s="23"/>
      <c r="F83" s="20"/>
      <c r="G83" s="20"/>
      <c r="H83" s="20"/>
      <c r="I83" s="21"/>
      <c r="J83" s="20">
        <v>5</v>
      </c>
      <c r="K83" s="21"/>
      <c r="L83" s="21">
        <v>62.108626198083073</v>
      </c>
      <c r="M83" s="21">
        <f t="shared" si="6"/>
        <v>72.972972972972983</v>
      </c>
      <c r="N83" s="21"/>
      <c r="O83" s="21">
        <v>92.72727272727272</v>
      </c>
      <c r="P83" s="21">
        <f t="shared" si="9"/>
        <v>66.995073891625609</v>
      </c>
      <c r="Q83" s="23"/>
      <c r="R83" s="23"/>
    </row>
    <row r="84" spans="1:18" x14ac:dyDescent="0.2">
      <c r="A84" s="23"/>
      <c r="B84" s="23"/>
      <c r="C84" s="23"/>
      <c r="D84" s="23"/>
      <c r="E84" s="23"/>
      <c r="F84" s="20"/>
      <c r="G84" s="20"/>
      <c r="H84" s="20"/>
      <c r="I84" s="21"/>
      <c r="J84" s="20">
        <v>6</v>
      </c>
      <c r="K84" s="21"/>
      <c r="L84" s="21">
        <v>75.910543130990419</v>
      </c>
      <c r="M84" s="21">
        <f t="shared" si="6"/>
        <v>89.189189189189193</v>
      </c>
      <c r="N84" s="21"/>
      <c r="O84" s="21">
        <v>122.72727272727273</v>
      </c>
      <c r="P84" s="21">
        <f t="shared" si="9"/>
        <v>88.669950738916256</v>
      </c>
      <c r="Q84" s="23"/>
      <c r="R84" s="23"/>
    </row>
    <row r="85" spans="1:18" x14ac:dyDescent="0.2">
      <c r="A85" s="23"/>
      <c r="B85" s="23"/>
      <c r="C85" s="23"/>
      <c r="D85" s="23"/>
      <c r="E85" s="23"/>
      <c r="F85" s="20"/>
      <c r="G85" s="20"/>
      <c r="H85" s="20"/>
      <c r="I85" s="21"/>
      <c r="J85" s="20">
        <v>7</v>
      </c>
      <c r="K85" s="21"/>
      <c r="L85" s="21">
        <v>85.111821086261983</v>
      </c>
      <c r="M85" s="21">
        <f t="shared" si="6"/>
        <v>100</v>
      </c>
      <c r="N85" s="21"/>
      <c r="O85" s="21">
        <v>138.40909090909091</v>
      </c>
      <c r="P85" s="21">
        <f t="shared" si="9"/>
        <v>100</v>
      </c>
      <c r="Q85" s="23"/>
      <c r="R85" s="23"/>
    </row>
    <row r="86" spans="1:18" x14ac:dyDescent="0.2">
      <c r="A86" s="23" t="s">
        <v>207</v>
      </c>
      <c r="B86" s="23">
        <v>852</v>
      </c>
      <c r="C86" s="23" t="s">
        <v>208</v>
      </c>
      <c r="D86" s="17" t="s">
        <v>14</v>
      </c>
      <c r="E86" s="23"/>
      <c r="F86" s="30">
        <v>38032</v>
      </c>
      <c r="G86" s="30">
        <v>38148</v>
      </c>
      <c r="H86" s="20">
        <f>G86-F86</f>
        <v>116</v>
      </c>
      <c r="I86" s="21">
        <f>260/1.12</f>
        <v>232.14285714285711</v>
      </c>
      <c r="J86" s="20">
        <v>0</v>
      </c>
      <c r="K86" s="21"/>
      <c r="L86" s="21">
        <v>0</v>
      </c>
      <c r="M86" s="91">
        <f t="shared" ref="M86:M91" si="10">L86/L$91*100</f>
        <v>0</v>
      </c>
      <c r="N86" s="21"/>
      <c r="O86" s="21">
        <v>0</v>
      </c>
      <c r="P86" s="91">
        <f t="shared" ref="P86:P91" si="11">O86/O$91*100</f>
        <v>0</v>
      </c>
      <c r="Q86" s="94">
        <v>38114</v>
      </c>
      <c r="R86" t="s">
        <v>213</v>
      </c>
    </row>
    <row r="87" spans="1:18" x14ac:dyDescent="0.2">
      <c r="A87" s="23"/>
      <c r="B87" s="23"/>
      <c r="C87" s="23"/>
      <c r="D87" s="17"/>
      <c r="E87" s="23"/>
      <c r="F87" s="30"/>
      <c r="G87" s="30"/>
      <c r="H87" s="20"/>
      <c r="I87" s="21"/>
      <c r="J87" s="20">
        <v>1</v>
      </c>
      <c r="K87" s="21"/>
      <c r="L87" s="21">
        <v>46.163265306122454</v>
      </c>
      <c r="M87" s="91">
        <f t="shared" si="10"/>
        <v>39.795918367346943</v>
      </c>
      <c r="N87" s="21"/>
      <c r="O87" s="21">
        <v>16.042780748663098</v>
      </c>
      <c r="P87" s="91">
        <f t="shared" si="11"/>
        <v>4.777070063694266</v>
      </c>
      <c r="Q87" s="23">
        <f>Q86-F86</f>
        <v>82</v>
      </c>
      <c r="R87" t="s">
        <v>214</v>
      </c>
    </row>
    <row r="88" spans="1:18" x14ac:dyDescent="0.2">
      <c r="A88" s="23"/>
      <c r="B88" s="23"/>
      <c r="C88" s="23"/>
      <c r="D88" s="17"/>
      <c r="E88" s="23"/>
      <c r="F88" s="30"/>
      <c r="G88" s="30"/>
      <c r="H88" s="20"/>
      <c r="I88" s="21"/>
      <c r="J88" s="20">
        <v>2</v>
      </c>
      <c r="K88" s="21"/>
      <c r="L88" s="21">
        <v>63.91836734693878</v>
      </c>
      <c r="M88" s="91">
        <f t="shared" si="10"/>
        <v>55.102040816326536</v>
      </c>
      <c r="N88" s="21"/>
      <c r="O88" s="21">
        <v>109.09090909090908</v>
      </c>
      <c r="P88" s="91">
        <f t="shared" si="11"/>
        <v>32.484076433121018</v>
      </c>
      <c r="Q88" s="23">
        <f>Q87/L91</f>
        <v>0.7068965517241379</v>
      </c>
      <c r="R88" t="s">
        <v>5</v>
      </c>
    </row>
    <row r="89" spans="1:18" x14ac:dyDescent="0.2">
      <c r="A89" s="23"/>
      <c r="B89" s="23"/>
      <c r="C89" s="23"/>
      <c r="D89" s="17"/>
      <c r="E89" s="23"/>
      <c r="F89" s="30"/>
      <c r="G89" s="30"/>
      <c r="H89" s="20"/>
      <c r="I89" s="21"/>
      <c r="J89" s="20">
        <v>3</v>
      </c>
      <c r="K89" s="21"/>
      <c r="L89" s="21">
        <v>73.387755102040813</v>
      </c>
      <c r="M89" s="91">
        <f t="shared" si="10"/>
        <v>63.265306122448969</v>
      </c>
      <c r="N89" s="21"/>
      <c r="O89" s="21">
        <v>208.5561497326203</v>
      </c>
      <c r="P89" s="91">
        <f t="shared" si="11"/>
        <v>62.101910828025474</v>
      </c>
      <c r="Q89" s="23"/>
    </row>
    <row r="90" spans="1:18" x14ac:dyDescent="0.2">
      <c r="A90" s="23"/>
      <c r="B90" s="23"/>
      <c r="C90" s="23"/>
      <c r="D90" s="17"/>
      <c r="E90" s="23"/>
      <c r="F90" s="30"/>
      <c r="G90" s="30"/>
      <c r="H90" s="20"/>
      <c r="I90" s="21"/>
      <c r="J90" s="20">
        <v>4</v>
      </c>
      <c r="K90" s="21"/>
      <c r="L90" s="21">
        <v>89.959183673469397</v>
      </c>
      <c r="M90" s="91">
        <f t="shared" si="10"/>
        <v>77.551020408163268</v>
      </c>
      <c r="N90" s="21"/>
      <c r="O90" s="21">
        <v>302.67379679144381</v>
      </c>
      <c r="P90" s="91">
        <f t="shared" si="11"/>
        <v>90.127388535031841</v>
      </c>
      <c r="Q90" s="23"/>
    </row>
    <row r="91" spans="1:18" x14ac:dyDescent="0.2">
      <c r="A91" s="23"/>
      <c r="B91" s="23"/>
      <c r="C91" s="23"/>
      <c r="D91" s="17"/>
      <c r="E91" s="23"/>
      <c r="F91" s="30"/>
      <c r="G91" s="30"/>
      <c r="H91" s="20"/>
      <c r="I91" s="21"/>
      <c r="J91" s="20">
        <v>5</v>
      </c>
      <c r="K91" s="21"/>
      <c r="L91" s="21">
        <v>116</v>
      </c>
      <c r="M91" s="91">
        <f t="shared" si="10"/>
        <v>100</v>
      </c>
      <c r="N91" s="21"/>
      <c r="O91" s="21">
        <v>335.82887700534758</v>
      </c>
      <c r="P91" s="91">
        <f t="shared" si="11"/>
        <v>100</v>
      </c>
      <c r="Q91" s="23"/>
    </row>
    <row r="92" spans="1:18" x14ac:dyDescent="0.2">
      <c r="A92" s="23"/>
      <c r="B92" s="23" t="s">
        <v>209</v>
      </c>
      <c r="C92" s="23" t="s">
        <v>208</v>
      </c>
      <c r="D92" s="17" t="s">
        <v>14</v>
      </c>
      <c r="E92" s="23"/>
      <c r="F92" s="30">
        <v>38389</v>
      </c>
      <c r="G92" s="30">
        <v>38514</v>
      </c>
      <c r="H92" s="20">
        <f>G92-F92</f>
        <v>125</v>
      </c>
      <c r="I92" s="21">
        <f>316/1.12</f>
        <v>282.14285714285711</v>
      </c>
      <c r="J92" s="20">
        <v>0</v>
      </c>
      <c r="K92" s="21"/>
      <c r="L92" s="75">
        <v>0</v>
      </c>
      <c r="M92" s="91">
        <f t="shared" ref="M92:M97" si="12">L92/L$97*100</f>
        <v>0</v>
      </c>
      <c r="N92" s="21"/>
      <c r="O92" s="21">
        <v>0</v>
      </c>
      <c r="P92" s="91">
        <f t="shared" ref="P92:P97" si="13">O92/O$97*100</f>
        <v>0</v>
      </c>
      <c r="Q92" s="94">
        <v>38478</v>
      </c>
      <c r="R92" t="s">
        <v>213</v>
      </c>
    </row>
    <row r="93" spans="1:18" x14ac:dyDescent="0.2">
      <c r="A93" s="23"/>
      <c r="B93" s="23"/>
      <c r="C93" s="23"/>
      <c r="D93" s="17"/>
      <c r="E93" s="23"/>
      <c r="F93" s="30"/>
      <c r="G93" s="30"/>
      <c r="H93" s="20"/>
      <c r="I93" s="21"/>
      <c r="J93" s="20">
        <v>1</v>
      </c>
      <c r="K93" s="21"/>
      <c r="L93" s="75">
        <v>56.074766355140184</v>
      </c>
      <c r="M93" s="91">
        <f t="shared" si="12"/>
        <v>44.859813084112147</v>
      </c>
      <c r="N93" s="21"/>
      <c r="O93" s="21">
        <v>45.98930481283422</v>
      </c>
      <c r="P93" s="91">
        <f t="shared" si="13"/>
        <v>17.40890688259109</v>
      </c>
      <c r="Q93" s="23">
        <f>Q92-F92</f>
        <v>89</v>
      </c>
      <c r="R93" t="s">
        <v>214</v>
      </c>
    </row>
    <row r="94" spans="1:18" x14ac:dyDescent="0.2">
      <c r="A94" s="23"/>
      <c r="B94" s="23"/>
      <c r="C94" s="23"/>
      <c r="D94" s="17"/>
      <c r="E94" s="23"/>
      <c r="F94" s="30"/>
      <c r="G94" s="30"/>
      <c r="H94" s="20"/>
      <c r="I94" s="21"/>
      <c r="J94" s="20">
        <v>2</v>
      </c>
      <c r="K94" s="21"/>
      <c r="L94" s="21">
        <v>70.09345794392523</v>
      </c>
      <c r="M94" s="91">
        <f t="shared" si="12"/>
        <v>56.074766355140184</v>
      </c>
      <c r="N94" s="21"/>
      <c r="O94" s="21">
        <v>85.561497326203209</v>
      </c>
      <c r="P94" s="91">
        <f t="shared" si="13"/>
        <v>32.388663967611336</v>
      </c>
      <c r="Q94" s="23">
        <f>Q93/L97</f>
        <v>0.71199999999999997</v>
      </c>
      <c r="R94" t="s">
        <v>5</v>
      </c>
    </row>
    <row r="95" spans="1:18" x14ac:dyDescent="0.2">
      <c r="A95" s="23"/>
      <c r="B95" s="23"/>
      <c r="C95" s="23"/>
      <c r="D95" s="17"/>
      <c r="E95" s="23"/>
      <c r="F95" s="30"/>
      <c r="G95" s="30"/>
      <c r="H95" s="20"/>
      <c r="I95" s="21"/>
      <c r="J95" s="20">
        <v>3</v>
      </c>
      <c r="K95" s="21"/>
      <c r="L95" s="21">
        <v>80.607476635514018</v>
      </c>
      <c r="M95" s="91">
        <f t="shared" si="12"/>
        <v>64.485981308411212</v>
      </c>
      <c r="N95" s="21"/>
      <c r="O95" s="21">
        <v>162.56684491978609</v>
      </c>
      <c r="P95" s="91">
        <f t="shared" si="13"/>
        <v>61.538461538461533</v>
      </c>
      <c r="Q95" s="23"/>
    </row>
    <row r="96" spans="1:18" x14ac:dyDescent="0.2">
      <c r="A96" s="23"/>
      <c r="B96" s="23"/>
      <c r="C96" s="23"/>
      <c r="D96" s="17"/>
      <c r="E96" s="23"/>
      <c r="F96" s="30"/>
      <c r="G96" s="30"/>
      <c r="H96" s="20"/>
      <c r="I96" s="21"/>
      <c r="J96" s="20">
        <v>4</v>
      </c>
      <c r="K96" s="21"/>
      <c r="L96" s="21">
        <v>88.785046728971963</v>
      </c>
      <c r="M96" s="91">
        <f t="shared" si="12"/>
        <v>71.028037383177562</v>
      </c>
      <c r="N96" s="21"/>
      <c r="O96" s="21">
        <v>202.13903743315504</v>
      </c>
      <c r="P96" s="91">
        <f t="shared" si="13"/>
        <v>76.518218623481758</v>
      </c>
      <c r="Q96" s="23"/>
    </row>
    <row r="97" spans="1:18" x14ac:dyDescent="0.2">
      <c r="A97" s="23"/>
      <c r="B97" s="23"/>
      <c r="C97" s="23"/>
      <c r="D97" s="17"/>
      <c r="E97" s="23"/>
      <c r="F97" s="30"/>
      <c r="G97" s="30"/>
      <c r="H97" s="20"/>
      <c r="I97" s="21"/>
      <c r="J97" s="20">
        <v>5</v>
      </c>
      <c r="K97" s="21"/>
      <c r="L97" s="21">
        <v>125</v>
      </c>
      <c r="M97" s="91">
        <f t="shared" si="12"/>
        <v>100</v>
      </c>
      <c r="N97" s="21"/>
      <c r="O97" s="21">
        <v>264.17112299465242</v>
      </c>
      <c r="P97" s="91">
        <f t="shared" si="13"/>
        <v>100</v>
      </c>
      <c r="Q97" s="23"/>
    </row>
    <row r="98" spans="1:18" x14ac:dyDescent="0.2">
      <c r="A98" s="23"/>
      <c r="B98" s="23" t="s">
        <v>211</v>
      </c>
      <c r="C98" s="23" t="s">
        <v>208</v>
      </c>
      <c r="D98" s="17" t="s">
        <v>14</v>
      </c>
      <c r="E98" s="23"/>
      <c r="F98" s="30">
        <v>38758</v>
      </c>
      <c r="G98" s="30">
        <v>38887</v>
      </c>
      <c r="H98" s="20">
        <f>G98-F98</f>
        <v>129</v>
      </c>
      <c r="I98" s="21">
        <f>162/1.12</f>
        <v>144.64285714285714</v>
      </c>
      <c r="J98" s="20">
        <v>0</v>
      </c>
      <c r="K98" s="21"/>
      <c r="L98" s="75">
        <v>0</v>
      </c>
      <c r="M98" s="91">
        <f>L98/L$104*100</f>
        <v>0</v>
      </c>
      <c r="O98" s="91">
        <v>0</v>
      </c>
      <c r="P98" s="91">
        <f>O98/O$104*100</f>
        <v>0</v>
      </c>
      <c r="Q98" s="94">
        <v>38834</v>
      </c>
      <c r="R98" t="s">
        <v>213</v>
      </c>
    </row>
    <row r="99" spans="1:18" x14ac:dyDescent="0.2">
      <c r="A99" s="23"/>
      <c r="B99" s="23"/>
      <c r="C99" s="23"/>
      <c r="D99" s="17"/>
      <c r="E99" s="23"/>
      <c r="F99" s="30"/>
      <c r="G99" s="30"/>
      <c r="H99" s="20"/>
      <c r="I99" s="21"/>
      <c r="J99" s="20">
        <v>1</v>
      </c>
      <c r="K99" s="21"/>
      <c r="L99" s="75">
        <v>41.408450704225352</v>
      </c>
      <c r="M99" s="91">
        <f t="shared" ref="M99:M104" si="14">L99/L$104*100</f>
        <v>33.333333333333329</v>
      </c>
      <c r="O99" s="91">
        <v>11.76470588235294</v>
      </c>
      <c r="P99" s="91">
        <f t="shared" ref="P99:P104" si="15">O99/O$104*100</f>
        <v>3.8869257950530041</v>
      </c>
      <c r="Q99" s="23">
        <f>Q98-F98</f>
        <v>76</v>
      </c>
      <c r="R99" t="s">
        <v>214</v>
      </c>
    </row>
    <row r="100" spans="1:18" x14ac:dyDescent="0.2">
      <c r="A100" s="23"/>
      <c r="B100" s="23"/>
      <c r="C100" s="23"/>
      <c r="D100" s="17"/>
      <c r="E100" s="23"/>
      <c r="F100" s="30"/>
      <c r="G100" s="30"/>
      <c r="H100" s="20"/>
      <c r="I100" s="21"/>
      <c r="J100" s="20">
        <v>2</v>
      </c>
      <c r="K100" s="21"/>
      <c r="L100" s="21">
        <v>55.605633802816904</v>
      </c>
      <c r="M100" s="91">
        <f t="shared" si="14"/>
        <v>44.761904761904766</v>
      </c>
      <c r="N100" s="21"/>
      <c r="O100" s="21">
        <v>51.336898395721917</v>
      </c>
      <c r="P100" s="91">
        <f t="shared" si="15"/>
        <v>16.96113074204947</v>
      </c>
      <c r="Q100" s="23">
        <f>Q99/L104</f>
        <v>0.61179138321995463</v>
      </c>
      <c r="R100" t="s">
        <v>5</v>
      </c>
    </row>
    <row r="101" spans="1:18" x14ac:dyDescent="0.2">
      <c r="A101" s="23"/>
      <c r="B101" s="23"/>
      <c r="C101" s="23"/>
      <c r="D101" s="17"/>
      <c r="E101" s="23"/>
      <c r="F101" s="30"/>
      <c r="G101" s="30"/>
      <c r="H101" s="20"/>
      <c r="I101" s="21"/>
      <c r="J101" s="20">
        <v>3</v>
      </c>
      <c r="K101" s="21"/>
      <c r="L101" s="21">
        <v>62.70422535211268</v>
      </c>
      <c r="M101" s="91">
        <f t="shared" si="14"/>
        <v>50.476190476190474</v>
      </c>
      <c r="N101" s="21"/>
      <c r="O101" s="21">
        <v>97.326203208556137</v>
      </c>
      <c r="P101" s="91">
        <f t="shared" si="15"/>
        <v>32.155477031802121</v>
      </c>
      <c r="Q101" s="23"/>
    </row>
    <row r="102" spans="1:18" x14ac:dyDescent="0.2">
      <c r="A102" s="23"/>
      <c r="B102" s="23"/>
      <c r="C102" s="23"/>
      <c r="D102" s="17"/>
      <c r="E102" s="23"/>
      <c r="F102" s="30"/>
      <c r="G102" s="30"/>
      <c r="H102" s="20"/>
      <c r="I102" s="21"/>
      <c r="J102" s="20">
        <v>4</v>
      </c>
      <c r="K102" s="21"/>
      <c r="L102" s="21">
        <v>75.718309859154928</v>
      </c>
      <c r="M102" s="91">
        <f t="shared" si="14"/>
        <v>60.952380952380949</v>
      </c>
      <c r="N102" s="21"/>
      <c r="O102" s="21">
        <v>188.23529411764704</v>
      </c>
      <c r="P102" s="91">
        <f t="shared" si="15"/>
        <v>62.190812720848065</v>
      </c>
      <c r="Q102" s="23"/>
    </row>
    <row r="103" spans="1:18" x14ac:dyDescent="0.2">
      <c r="A103" s="23"/>
      <c r="B103" s="23"/>
      <c r="C103" s="23"/>
      <c r="D103" s="17"/>
      <c r="E103" s="23"/>
      <c r="F103" s="30"/>
      <c r="G103" s="30"/>
      <c r="H103" s="20"/>
      <c r="I103" s="21"/>
      <c r="J103" s="20">
        <v>5</v>
      </c>
      <c r="K103" s="21"/>
      <c r="L103" s="21">
        <v>85.183098591549296</v>
      </c>
      <c r="M103" s="91">
        <f t="shared" si="14"/>
        <v>68.571428571428569</v>
      </c>
      <c r="N103" s="21"/>
      <c r="O103" s="21">
        <v>229.94652406417109</v>
      </c>
      <c r="P103" s="91">
        <f t="shared" si="15"/>
        <v>75.971731448763251</v>
      </c>
      <c r="Q103" s="23"/>
    </row>
    <row r="104" spans="1:18" x14ac:dyDescent="0.2">
      <c r="J104" s="74">
        <v>6</v>
      </c>
      <c r="L104" s="21">
        <v>124.22535211267606</v>
      </c>
      <c r="M104" s="91">
        <f t="shared" si="14"/>
        <v>100</v>
      </c>
      <c r="O104" s="91">
        <v>302.67379679144381</v>
      </c>
      <c r="P104" s="91">
        <f t="shared" si="15"/>
        <v>100</v>
      </c>
    </row>
    <row r="105" spans="1:18" x14ac:dyDescent="0.2">
      <c r="A105" s="23"/>
      <c r="B105" s="23" t="s">
        <v>212</v>
      </c>
      <c r="C105" s="23" t="s">
        <v>208</v>
      </c>
      <c r="D105" s="17" t="s">
        <v>14</v>
      </c>
      <c r="E105" s="23"/>
      <c r="F105" s="30">
        <v>39120</v>
      </c>
      <c r="G105" s="30">
        <v>39251</v>
      </c>
      <c r="H105" s="20">
        <f>G105-F105</f>
        <v>131</v>
      </c>
      <c r="I105" s="21">
        <f>154/1.12</f>
        <v>137.5</v>
      </c>
      <c r="J105" s="20">
        <v>0</v>
      </c>
      <c r="K105" s="21"/>
      <c r="L105" s="75">
        <v>0</v>
      </c>
      <c r="M105" s="91">
        <f>L105/L$111*100</f>
        <v>0</v>
      </c>
      <c r="O105" s="75">
        <v>0</v>
      </c>
      <c r="P105" s="91">
        <f>O105/O$111*100</f>
        <v>0</v>
      </c>
      <c r="Q105" s="94">
        <v>39194</v>
      </c>
      <c r="R105" t="s">
        <v>213</v>
      </c>
    </row>
    <row r="106" spans="1:18" x14ac:dyDescent="0.2">
      <c r="A106" s="23"/>
      <c r="B106" s="23"/>
      <c r="C106" s="23"/>
      <c r="D106" s="17"/>
      <c r="E106" s="23"/>
      <c r="F106" s="30"/>
      <c r="G106" s="30"/>
      <c r="H106" s="20"/>
      <c r="I106" s="21"/>
      <c r="J106" s="20">
        <v>1</v>
      </c>
      <c r="K106" s="21"/>
      <c r="L106" s="21">
        <v>42.482758620689651</v>
      </c>
      <c r="M106" s="91">
        <f t="shared" ref="M106:M111" si="16">L106/L$111*100</f>
        <v>33.018867924528294</v>
      </c>
      <c r="N106" s="21"/>
      <c r="O106" s="21">
        <v>16.042780748663098</v>
      </c>
      <c r="P106" s="91">
        <f t="shared" ref="P106:P111" si="17">O106/O$111*100</f>
        <v>4.7923322683706067</v>
      </c>
      <c r="Q106" s="23">
        <f>Q105-F105</f>
        <v>74</v>
      </c>
      <c r="R106" t="s">
        <v>214</v>
      </c>
    </row>
    <row r="107" spans="1:18" x14ac:dyDescent="0.2">
      <c r="A107" s="23"/>
      <c r="B107" s="23"/>
      <c r="C107" s="23"/>
      <c r="D107" s="17"/>
      <c r="E107" s="23"/>
      <c r="F107" s="30"/>
      <c r="G107" s="30"/>
      <c r="H107" s="20"/>
      <c r="I107" s="21"/>
      <c r="J107" s="20">
        <v>2</v>
      </c>
      <c r="K107" s="21"/>
      <c r="L107" s="21">
        <v>55.834482758620695</v>
      </c>
      <c r="M107" s="91">
        <f t="shared" si="16"/>
        <v>43.39622641509434</v>
      </c>
      <c r="N107" s="21"/>
      <c r="O107" s="21">
        <v>55.61497326203208</v>
      </c>
      <c r="P107" s="91">
        <f t="shared" si="17"/>
        <v>16.613418530351439</v>
      </c>
      <c r="Q107" s="23">
        <f>Q106/L111</f>
        <v>0.5751500857632933</v>
      </c>
      <c r="R107" t="s">
        <v>5</v>
      </c>
    </row>
    <row r="108" spans="1:18" x14ac:dyDescent="0.2">
      <c r="A108" s="23"/>
      <c r="B108" s="23"/>
      <c r="C108" s="23"/>
      <c r="D108" s="17"/>
      <c r="E108" s="23"/>
      <c r="F108" s="30"/>
      <c r="G108" s="30"/>
      <c r="H108" s="20"/>
      <c r="I108" s="21"/>
      <c r="J108" s="20">
        <v>3</v>
      </c>
      <c r="K108" s="21"/>
      <c r="L108" s="21">
        <v>61.903448275862068</v>
      </c>
      <c r="M108" s="91">
        <f t="shared" si="16"/>
        <v>48.113207547169807</v>
      </c>
      <c r="N108" s="21"/>
      <c r="O108" s="21">
        <v>105.88235294117645</v>
      </c>
      <c r="P108" s="91">
        <f t="shared" si="17"/>
        <v>31.629392971246006</v>
      </c>
      <c r="Q108" s="23"/>
    </row>
    <row r="109" spans="1:18" x14ac:dyDescent="0.2">
      <c r="A109" s="23"/>
      <c r="B109" s="23"/>
      <c r="C109" s="23"/>
      <c r="D109" s="17"/>
      <c r="E109" s="23"/>
      <c r="F109" s="30"/>
      <c r="G109" s="30"/>
      <c r="H109" s="20"/>
      <c r="I109" s="21"/>
      <c r="J109" s="20">
        <v>4</v>
      </c>
      <c r="K109" s="21"/>
      <c r="L109" s="21">
        <v>77.682758620689654</v>
      </c>
      <c r="M109" s="91">
        <f t="shared" si="16"/>
        <v>60.377358490566039</v>
      </c>
      <c r="N109" s="21"/>
      <c r="O109" s="21">
        <v>206.4171122994652</v>
      </c>
      <c r="P109" s="91">
        <f t="shared" si="17"/>
        <v>61.661341853035147</v>
      </c>
      <c r="Q109" s="23"/>
    </row>
    <row r="110" spans="1:18" x14ac:dyDescent="0.2">
      <c r="A110" s="23"/>
      <c r="B110" s="23"/>
      <c r="C110" s="23"/>
      <c r="D110" s="17"/>
      <c r="E110" s="23"/>
      <c r="F110" s="30"/>
      <c r="G110" s="30"/>
      <c r="H110" s="20"/>
      <c r="I110" s="21"/>
      <c r="J110" s="20">
        <v>5</v>
      </c>
      <c r="K110" s="21"/>
      <c r="L110" s="21">
        <v>87.393103448275866</v>
      </c>
      <c r="M110" s="91">
        <f t="shared" si="16"/>
        <v>67.924528301886795</v>
      </c>
      <c r="N110" s="21"/>
      <c r="O110" s="21">
        <v>255.61497326203207</v>
      </c>
      <c r="P110" s="91">
        <f t="shared" si="17"/>
        <v>76.357827476038338</v>
      </c>
      <c r="Q110" s="23"/>
    </row>
    <row r="111" spans="1:18" x14ac:dyDescent="0.2">
      <c r="A111" s="2"/>
      <c r="B111" s="2"/>
      <c r="C111" s="2"/>
      <c r="D111" s="2"/>
      <c r="E111" s="2"/>
      <c r="F111" s="4"/>
      <c r="G111" s="4"/>
      <c r="H111" s="4"/>
      <c r="I111" s="8"/>
      <c r="J111" s="4">
        <v>6</v>
      </c>
      <c r="K111" s="8"/>
      <c r="L111" s="8">
        <v>128.66206896551725</v>
      </c>
      <c r="M111" s="8">
        <f t="shared" si="16"/>
        <v>100</v>
      </c>
      <c r="N111" s="8"/>
      <c r="O111" s="8">
        <v>334.75935828876999</v>
      </c>
      <c r="P111" s="8">
        <f t="shared" si="17"/>
        <v>100</v>
      </c>
      <c r="Q111" s="2"/>
      <c r="R111" s="2"/>
    </row>
    <row r="112" spans="1:18" x14ac:dyDescent="0.2">
      <c r="A112" s="23"/>
      <c r="B112" s="23">
        <v>189</v>
      </c>
      <c r="C112" s="23" t="s">
        <v>208</v>
      </c>
      <c r="D112" s="17" t="s">
        <v>215</v>
      </c>
      <c r="E112" s="23"/>
      <c r="F112" s="30">
        <v>38207</v>
      </c>
      <c r="G112" s="30">
        <v>38373</v>
      </c>
      <c r="H112" s="20">
        <f>G112-F112</f>
        <v>166</v>
      </c>
      <c r="I112" s="21">
        <f>360/1.12</f>
        <v>321.42857142857139</v>
      </c>
      <c r="J112" s="20">
        <v>0</v>
      </c>
      <c r="K112" s="21"/>
      <c r="L112" s="21">
        <v>0</v>
      </c>
      <c r="M112" s="91">
        <f t="shared" ref="M112:M119" si="18">L112/L$119*100</f>
        <v>0</v>
      </c>
      <c r="N112" s="21"/>
      <c r="O112" s="21">
        <v>0</v>
      </c>
      <c r="P112" s="91">
        <f t="shared" ref="P112:P119" si="19">O112/O$119*100</f>
        <v>0</v>
      </c>
      <c r="Q112" s="94">
        <v>38287</v>
      </c>
      <c r="R112" t="s">
        <v>213</v>
      </c>
    </row>
    <row r="113" spans="1:18" x14ac:dyDescent="0.2">
      <c r="A113" s="23"/>
      <c r="B113" s="23"/>
      <c r="C113" s="23"/>
      <c r="D113" s="17"/>
      <c r="E113" s="23"/>
      <c r="F113" s="30"/>
      <c r="G113" s="30"/>
      <c r="H113" s="20"/>
      <c r="I113" s="21"/>
      <c r="J113" s="20">
        <v>1</v>
      </c>
      <c r="K113" s="21"/>
      <c r="L113" s="21">
        <v>35.827338129496404</v>
      </c>
      <c r="M113" s="91">
        <f t="shared" si="18"/>
        <v>21.582733812949641</v>
      </c>
      <c r="N113" s="21"/>
      <c r="O113" s="21">
        <v>56.684491978609621</v>
      </c>
      <c r="P113" s="91">
        <f t="shared" si="19"/>
        <v>19.62962962962963</v>
      </c>
      <c r="Q113" s="23">
        <f>Q112-F112</f>
        <v>80</v>
      </c>
      <c r="R113" t="s">
        <v>214</v>
      </c>
    </row>
    <row r="114" spans="1:18" x14ac:dyDescent="0.2">
      <c r="A114" s="23"/>
      <c r="B114" s="23"/>
      <c r="C114" s="23"/>
      <c r="D114" s="17"/>
      <c r="E114" s="23"/>
      <c r="F114" s="30"/>
      <c r="G114" s="30"/>
      <c r="H114" s="20"/>
      <c r="I114" s="21"/>
      <c r="J114" s="20">
        <v>2</v>
      </c>
      <c r="K114" s="21"/>
      <c r="L114" s="21">
        <v>48.964028776978417</v>
      </c>
      <c r="M114" s="91">
        <f t="shared" si="18"/>
        <v>29.496402877697843</v>
      </c>
      <c r="N114" s="21"/>
      <c r="O114" s="21">
        <v>157.21925133689837</v>
      </c>
      <c r="P114" s="91">
        <f t="shared" si="19"/>
        <v>54.444444444444443</v>
      </c>
      <c r="Q114" s="23"/>
    </row>
    <row r="115" spans="1:18" x14ac:dyDescent="0.2">
      <c r="A115" s="23"/>
      <c r="B115" s="23"/>
      <c r="C115" s="23"/>
      <c r="D115" s="17"/>
      <c r="E115" s="23"/>
      <c r="F115" s="30"/>
      <c r="G115" s="30"/>
      <c r="H115" s="20"/>
      <c r="I115" s="21"/>
      <c r="J115" s="20">
        <v>3</v>
      </c>
      <c r="K115" s="21"/>
      <c r="L115" s="21">
        <v>59.71223021582734</v>
      </c>
      <c r="M115" s="91">
        <f t="shared" si="18"/>
        <v>35.97122302158273</v>
      </c>
      <c r="N115" s="21"/>
      <c r="O115" s="21">
        <v>225.66844919786092</v>
      </c>
      <c r="P115" s="91">
        <f t="shared" si="19"/>
        <v>78.148148148148138</v>
      </c>
      <c r="Q115" s="23"/>
    </row>
    <row r="116" spans="1:18" x14ac:dyDescent="0.2">
      <c r="A116" s="23"/>
      <c r="B116" s="23"/>
      <c r="C116" s="23"/>
      <c r="D116" s="17"/>
      <c r="E116" s="23"/>
      <c r="F116" s="30"/>
      <c r="G116" s="30"/>
      <c r="H116" s="20"/>
      <c r="I116" s="21"/>
      <c r="J116" s="20">
        <v>4</v>
      </c>
      <c r="K116" s="21"/>
      <c r="L116" s="21">
        <v>68.071942446043167</v>
      </c>
      <c r="M116" s="91">
        <f t="shared" si="18"/>
        <v>41.007194244604314</v>
      </c>
      <c r="N116" s="21"/>
      <c r="O116" s="21">
        <v>248.12834224598924</v>
      </c>
      <c r="P116" s="91">
        <f t="shared" si="19"/>
        <v>85.92592592592591</v>
      </c>
      <c r="Q116" s="23"/>
    </row>
    <row r="117" spans="1:18" x14ac:dyDescent="0.2">
      <c r="A117" s="23"/>
      <c r="B117" s="23"/>
      <c r="C117" s="23"/>
      <c r="D117" s="17"/>
      <c r="E117" s="23"/>
      <c r="F117" s="30"/>
      <c r="G117" s="30"/>
      <c r="H117" s="20"/>
      <c r="I117" s="21"/>
      <c r="J117" s="20">
        <v>5</v>
      </c>
      <c r="K117" s="21"/>
      <c r="L117" s="21">
        <v>78.82014388489209</v>
      </c>
      <c r="M117" s="91">
        <f t="shared" si="18"/>
        <v>47.482014388489212</v>
      </c>
      <c r="N117" s="21"/>
      <c r="O117" s="21">
        <v>259.89304812834223</v>
      </c>
      <c r="P117" s="91">
        <f t="shared" si="19"/>
        <v>90</v>
      </c>
      <c r="Q117" s="23"/>
    </row>
    <row r="118" spans="1:18" x14ac:dyDescent="0.2">
      <c r="A118" s="23"/>
      <c r="B118" s="23"/>
      <c r="C118" s="23"/>
      <c r="D118" s="17"/>
      <c r="E118" s="23"/>
      <c r="F118" s="30"/>
      <c r="G118" s="30"/>
      <c r="H118" s="20"/>
      <c r="I118" s="21"/>
      <c r="J118" s="20">
        <v>6</v>
      </c>
      <c r="K118" s="21"/>
      <c r="L118" s="21">
        <v>95.539568345323744</v>
      </c>
      <c r="M118" s="91">
        <f t="shared" si="18"/>
        <v>57.553956834532372</v>
      </c>
      <c r="N118" s="21"/>
      <c r="O118" s="21">
        <v>272.72727272727269</v>
      </c>
      <c r="P118" s="91">
        <f t="shared" si="19"/>
        <v>94.444444444444443</v>
      </c>
      <c r="Q118" s="23"/>
    </row>
    <row r="119" spans="1:18" x14ac:dyDescent="0.2">
      <c r="A119" s="23"/>
      <c r="B119" s="23"/>
      <c r="C119" s="23"/>
      <c r="D119" s="17"/>
      <c r="E119" s="23"/>
      <c r="F119" s="30"/>
      <c r="G119" s="30"/>
      <c r="H119" s="20"/>
      <c r="I119" s="21"/>
      <c r="J119" s="20">
        <v>7</v>
      </c>
      <c r="K119" s="21"/>
      <c r="L119" s="21">
        <v>166</v>
      </c>
      <c r="M119" s="91">
        <f t="shared" si="18"/>
        <v>100</v>
      </c>
      <c r="N119" s="21"/>
      <c r="O119" s="21">
        <v>288.77005347593581</v>
      </c>
      <c r="P119" s="91">
        <f t="shared" si="19"/>
        <v>100</v>
      </c>
      <c r="Q119" s="23"/>
    </row>
    <row r="120" spans="1:18" x14ac:dyDescent="0.2">
      <c r="A120" s="23"/>
      <c r="B120" s="23" t="s">
        <v>210</v>
      </c>
      <c r="C120" s="23" t="s">
        <v>208</v>
      </c>
      <c r="D120" s="17" t="s">
        <v>215</v>
      </c>
      <c r="E120" s="23"/>
      <c r="F120" s="30">
        <v>38570</v>
      </c>
      <c r="G120" s="30">
        <v>38738</v>
      </c>
      <c r="H120" s="20">
        <f>G120-F120</f>
        <v>168</v>
      </c>
      <c r="I120" s="21">
        <f>258/1.12</f>
        <v>230.35714285714283</v>
      </c>
      <c r="J120" s="20">
        <v>0</v>
      </c>
      <c r="K120" s="21"/>
      <c r="L120" s="21">
        <v>0</v>
      </c>
      <c r="M120" s="91">
        <f t="shared" ref="M120:M127" si="20">L120/L$127*100</f>
        <v>0</v>
      </c>
      <c r="N120" s="21"/>
      <c r="O120" s="21">
        <v>0</v>
      </c>
      <c r="P120" s="91">
        <f t="shared" ref="P120:P127" si="21">O120/O$127*100</f>
        <v>0</v>
      </c>
      <c r="Q120" s="94">
        <v>38647</v>
      </c>
      <c r="R120" t="s">
        <v>213</v>
      </c>
    </row>
    <row r="121" spans="1:18" x14ac:dyDescent="0.2">
      <c r="A121" s="23"/>
      <c r="B121" s="23"/>
      <c r="C121" s="23"/>
      <c r="D121" s="17"/>
      <c r="E121" s="23"/>
      <c r="F121" s="30"/>
      <c r="G121" s="30"/>
      <c r="H121" s="20"/>
      <c r="I121" s="21"/>
      <c r="J121" s="20">
        <v>1</v>
      </c>
      <c r="K121" s="21"/>
      <c r="L121" s="21">
        <v>47.323943661971839</v>
      </c>
      <c r="M121" s="91">
        <f t="shared" si="20"/>
        <v>28.169014084507047</v>
      </c>
      <c r="N121" s="21"/>
      <c r="O121" s="21">
        <v>72.72727272727272</v>
      </c>
      <c r="P121" s="91">
        <f t="shared" si="21"/>
        <v>20.118343195266274</v>
      </c>
      <c r="Q121" s="23">
        <f>Q120-F120</f>
        <v>77</v>
      </c>
      <c r="R121" t="s">
        <v>214</v>
      </c>
    </row>
    <row r="122" spans="1:18" x14ac:dyDescent="0.2">
      <c r="A122" s="23"/>
      <c r="B122" s="23"/>
      <c r="C122" s="23"/>
      <c r="D122" s="17"/>
      <c r="E122" s="23"/>
      <c r="F122" s="30"/>
      <c r="G122" s="30"/>
      <c r="H122" s="20"/>
      <c r="I122" s="21"/>
      <c r="J122" s="20">
        <v>2</v>
      </c>
      <c r="K122" s="21"/>
      <c r="L122" s="21">
        <v>56.7887323943662</v>
      </c>
      <c r="M122" s="91">
        <f t="shared" si="20"/>
        <v>33.802816901408448</v>
      </c>
      <c r="N122" s="21"/>
      <c r="O122" s="21">
        <v>144.38502673796791</v>
      </c>
      <c r="P122" s="91">
        <f t="shared" si="21"/>
        <v>39.940828402366868</v>
      </c>
      <c r="Q122" s="23"/>
    </row>
    <row r="123" spans="1:18" x14ac:dyDescent="0.2">
      <c r="A123" s="23"/>
      <c r="B123" s="23"/>
      <c r="C123" s="23"/>
      <c r="D123" s="17"/>
      <c r="E123" s="23"/>
      <c r="F123" s="30"/>
      <c r="G123" s="30"/>
      <c r="H123" s="20"/>
      <c r="I123" s="21"/>
      <c r="J123" s="20">
        <v>3</v>
      </c>
      <c r="K123" s="21"/>
      <c r="L123" s="21">
        <v>67.436619718309856</v>
      </c>
      <c r="M123" s="91">
        <f t="shared" si="20"/>
        <v>40.140845070422529</v>
      </c>
      <c r="N123" s="21"/>
      <c r="O123" s="21">
        <v>283.42245989304809</v>
      </c>
      <c r="P123" s="91">
        <f t="shared" si="21"/>
        <v>78.402366863905328</v>
      </c>
      <c r="Q123" s="23"/>
    </row>
    <row r="124" spans="1:18" x14ac:dyDescent="0.2">
      <c r="A124" s="23"/>
      <c r="B124" s="23"/>
      <c r="C124" s="23"/>
      <c r="D124" s="17"/>
      <c r="E124" s="23"/>
      <c r="F124" s="30"/>
      <c r="G124" s="30"/>
      <c r="H124" s="20"/>
      <c r="I124" s="21"/>
      <c r="J124" s="20">
        <v>4</v>
      </c>
      <c r="K124" s="21"/>
      <c r="L124" s="21">
        <v>78.084507042253534</v>
      </c>
      <c r="M124" s="91">
        <f t="shared" si="20"/>
        <v>46.478873239436631</v>
      </c>
      <c r="N124" s="21"/>
      <c r="O124" s="21">
        <v>311.22994652406413</v>
      </c>
      <c r="P124" s="91">
        <f t="shared" si="21"/>
        <v>86.094674556213022</v>
      </c>
      <c r="Q124" s="23"/>
    </row>
    <row r="125" spans="1:18" x14ac:dyDescent="0.2">
      <c r="A125" s="23"/>
      <c r="B125" s="23"/>
      <c r="C125" s="23"/>
      <c r="D125" s="17"/>
      <c r="E125" s="23"/>
      <c r="F125" s="30"/>
      <c r="G125" s="30"/>
      <c r="H125" s="20"/>
      <c r="I125" s="21"/>
      <c r="J125" s="20">
        <v>5</v>
      </c>
      <c r="K125" s="21"/>
      <c r="L125" s="21">
        <v>87.549295774647888</v>
      </c>
      <c r="M125" s="91">
        <f t="shared" si="20"/>
        <v>52.112676056338024</v>
      </c>
      <c r="N125" s="21"/>
      <c r="O125" s="21">
        <v>327.27272727272725</v>
      </c>
      <c r="P125" s="91">
        <f t="shared" si="21"/>
        <v>90.532544378698233</v>
      </c>
      <c r="Q125" s="23"/>
    </row>
    <row r="126" spans="1:18" x14ac:dyDescent="0.2">
      <c r="J126" s="20">
        <v>6</v>
      </c>
      <c r="L126" s="21">
        <v>100.56338028169014</v>
      </c>
      <c r="M126" s="91">
        <f t="shared" si="20"/>
        <v>59.859154929577464</v>
      </c>
      <c r="N126" s="21"/>
      <c r="O126" s="21">
        <v>341.17647058823525</v>
      </c>
      <c r="P126" s="91">
        <f t="shared" si="21"/>
        <v>94.378698224852073</v>
      </c>
    </row>
    <row r="127" spans="1:18" x14ac:dyDescent="0.2">
      <c r="J127" s="20">
        <v>7</v>
      </c>
      <c r="L127" s="21">
        <v>168</v>
      </c>
      <c r="M127" s="91">
        <f t="shared" si="20"/>
        <v>100</v>
      </c>
      <c r="N127" s="21"/>
      <c r="O127" s="21">
        <v>361.4973262032085</v>
      </c>
      <c r="P127" s="91">
        <f t="shared" si="21"/>
        <v>100</v>
      </c>
    </row>
    <row r="128" spans="1:18" x14ac:dyDescent="0.2">
      <c r="A128" s="23"/>
      <c r="B128" s="23" t="s">
        <v>210</v>
      </c>
      <c r="C128" s="23" t="s">
        <v>208</v>
      </c>
      <c r="D128" s="17" t="s">
        <v>215</v>
      </c>
      <c r="E128" s="23"/>
      <c r="F128" s="30">
        <v>38928</v>
      </c>
      <c r="G128" s="30">
        <v>39104</v>
      </c>
      <c r="H128" s="20">
        <f>G128-F128</f>
        <v>176</v>
      </c>
      <c r="I128" s="21">
        <f>311/1.12</f>
        <v>277.67857142857139</v>
      </c>
      <c r="J128" s="20">
        <v>0</v>
      </c>
      <c r="K128" s="21"/>
      <c r="L128" s="75">
        <v>0</v>
      </c>
      <c r="M128" s="91">
        <f t="shared" ref="M128:M134" si="22">L128/L$134*100</f>
        <v>0</v>
      </c>
      <c r="N128" s="21"/>
      <c r="O128" s="21">
        <v>0</v>
      </c>
      <c r="P128" s="91">
        <f t="shared" ref="P128:P134" si="23">O128/O$134*100</f>
        <v>0</v>
      </c>
      <c r="Q128" s="94">
        <v>39001</v>
      </c>
      <c r="R128" t="s">
        <v>213</v>
      </c>
    </row>
    <row r="129" spans="1:24" x14ac:dyDescent="0.2">
      <c r="A129" s="23"/>
      <c r="B129" s="23"/>
      <c r="C129" s="23"/>
      <c r="D129" s="17"/>
      <c r="E129" s="23"/>
      <c r="F129" s="30"/>
      <c r="G129" s="30"/>
      <c r="H129" s="20"/>
      <c r="I129" s="21"/>
      <c r="J129" s="20">
        <v>1</v>
      </c>
      <c r="K129" s="21"/>
      <c r="L129" s="21">
        <v>37.627586206896552</v>
      </c>
      <c r="M129" s="91">
        <f t="shared" si="22"/>
        <v>21.379310344827587</v>
      </c>
      <c r="N129" s="21"/>
      <c r="O129" s="21">
        <v>68.449197860962556</v>
      </c>
      <c r="P129" s="91">
        <f t="shared" si="23"/>
        <v>19.571865443425075</v>
      </c>
      <c r="Q129" s="23">
        <f>Q128-F128</f>
        <v>73</v>
      </c>
      <c r="R129" t="s">
        <v>214</v>
      </c>
    </row>
    <row r="130" spans="1:24" x14ac:dyDescent="0.2">
      <c r="A130" s="23"/>
      <c r="B130" s="23"/>
      <c r="C130" s="23"/>
      <c r="D130" s="17"/>
      <c r="E130" s="23"/>
      <c r="F130" s="30"/>
      <c r="G130" s="30"/>
      <c r="H130" s="20"/>
      <c r="I130" s="21"/>
      <c r="J130" s="20">
        <v>2</v>
      </c>
      <c r="K130" s="21"/>
      <c r="L130" s="21">
        <v>55.834482758620695</v>
      </c>
      <c r="M130" s="91">
        <f t="shared" si="22"/>
        <v>31.724137931034484</v>
      </c>
      <c r="N130" s="21"/>
      <c r="O130" s="21">
        <v>274.86631016042776</v>
      </c>
      <c r="P130" s="91">
        <f t="shared" si="23"/>
        <v>78.593272171253815</v>
      </c>
      <c r="Q130" s="23"/>
    </row>
    <row r="131" spans="1:24" x14ac:dyDescent="0.2">
      <c r="A131" s="23"/>
      <c r="B131" s="23"/>
      <c r="C131" s="23"/>
      <c r="D131" s="17"/>
      <c r="E131" s="23"/>
      <c r="F131" s="30"/>
      <c r="G131" s="30"/>
      <c r="H131" s="20"/>
      <c r="I131" s="21"/>
      <c r="J131" s="20">
        <v>3</v>
      </c>
      <c r="K131" s="21"/>
      <c r="L131" s="21">
        <v>66.758620689655174</v>
      </c>
      <c r="M131" s="91">
        <f t="shared" si="22"/>
        <v>37.931034482758626</v>
      </c>
      <c r="N131" s="21"/>
      <c r="O131" s="21">
        <v>300.53475935828874</v>
      </c>
      <c r="P131" s="91">
        <f t="shared" si="23"/>
        <v>85.932721712538225</v>
      </c>
      <c r="Q131" s="23"/>
    </row>
    <row r="132" spans="1:24" x14ac:dyDescent="0.2">
      <c r="A132" s="23"/>
      <c r="B132" s="23"/>
      <c r="C132" s="23"/>
      <c r="D132" s="17"/>
      <c r="E132" s="23"/>
      <c r="F132" s="30"/>
      <c r="G132" s="30"/>
      <c r="H132" s="20"/>
      <c r="I132" s="21"/>
      <c r="J132" s="20">
        <v>4</v>
      </c>
      <c r="K132" s="21"/>
      <c r="L132" s="21">
        <v>76.468965517241386</v>
      </c>
      <c r="M132" s="91">
        <f t="shared" si="22"/>
        <v>43.448275862068968</v>
      </c>
      <c r="N132" s="21"/>
      <c r="O132" s="21">
        <v>315.50802139037432</v>
      </c>
      <c r="P132" s="91">
        <f t="shared" si="23"/>
        <v>90.214067278287473</v>
      </c>
      <c r="Q132" s="23"/>
    </row>
    <row r="133" spans="1:24" x14ac:dyDescent="0.2">
      <c r="A133" s="23"/>
      <c r="B133" s="23"/>
      <c r="C133" s="23"/>
      <c r="D133" s="17"/>
      <c r="E133" s="23"/>
      <c r="F133" s="30"/>
      <c r="G133" s="30"/>
      <c r="H133" s="20"/>
      <c r="I133" s="21"/>
      <c r="J133" s="20">
        <v>5</v>
      </c>
      <c r="K133" s="21"/>
      <c r="L133" s="21">
        <v>89.820689655172416</v>
      </c>
      <c r="M133" s="91">
        <f t="shared" si="22"/>
        <v>51.03448275862069</v>
      </c>
      <c r="N133" s="21"/>
      <c r="O133" s="21">
        <v>329.41176470588232</v>
      </c>
      <c r="P133" s="91">
        <f t="shared" si="23"/>
        <v>94.189602446483178</v>
      </c>
      <c r="Q133" s="23"/>
    </row>
    <row r="134" spans="1:24" x14ac:dyDescent="0.2">
      <c r="J134" s="74">
        <v>6</v>
      </c>
      <c r="L134" s="21">
        <v>176</v>
      </c>
      <c r="M134" s="91">
        <f t="shared" si="22"/>
        <v>100</v>
      </c>
      <c r="N134" s="21"/>
      <c r="O134" s="21">
        <v>349.73262032085557</v>
      </c>
      <c r="P134" s="91">
        <f t="shared" si="23"/>
        <v>100</v>
      </c>
    </row>
    <row r="135" spans="1:24" x14ac:dyDescent="0.2">
      <c r="A135" s="23"/>
      <c r="B135" s="23" t="s">
        <v>210</v>
      </c>
      <c r="C135" s="23" t="s">
        <v>208</v>
      </c>
      <c r="D135" s="17" t="s">
        <v>215</v>
      </c>
      <c r="E135" s="23"/>
      <c r="F135" s="30">
        <v>39294</v>
      </c>
      <c r="G135" s="30">
        <v>39476</v>
      </c>
      <c r="H135" s="20">
        <f>G135-F135</f>
        <v>182</v>
      </c>
      <c r="I135" s="21">
        <f>310/1.12</f>
        <v>276.78571428571428</v>
      </c>
      <c r="J135" s="20">
        <v>0</v>
      </c>
      <c r="K135" s="21"/>
      <c r="L135" s="75">
        <v>0</v>
      </c>
      <c r="M135" s="91">
        <f>L135/L$141*100</f>
        <v>0</v>
      </c>
      <c r="O135" s="75">
        <v>0</v>
      </c>
      <c r="P135" s="91">
        <f>O135/O$141*100</f>
        <v>0</v>
      </c>
      <c r="Q135" s="94">
        <v>39384</v>
      </c>
      <c r="R135" t="s">
        <v>213</v>
      </c>
    </row>
    <row r="136" spans="1:24" x14ac:dyDescent="0.2">
      <c r="A136" s="23"/>
      <c r="B136" s="23"/>
      <c r="C136" s="23"/>
      <c r="D136" s="17"/>
      <c r="E136" s="23"/>
      <c r="F136" s="30"/>
      <c r="G136" s="30"/>
      <c r="H136" s="20"/>
      <c r="I136" s="21"/>
      <c r="J136" s="20">
        <v>1</v>
      </c>
      <c r="K136" s="21"/>
      <c r="L136" s="21">
        <v>42.482758620689651</v>
      </c>
      <c r="M136" s="91">
        <f t="shared" ref="M136:M141" si="24">L136/L$141*100</f>
        <v>23.026315789473681</v>
      </c>
      <c r="N136" s="21"/>
      <c r="O136" s="21">
        <v>71.657754010695186</v>
      </c>
      <c r="P136" s="91">
        <f t="shared" ref="P136:P141" si="25">O136/O$141*100</f>
        <v>19.590643274853807</v>
      </c>
      <c r="Q136" s="23">
        <f>Q135-F135</f>
        <v>90</v>
      </c>
      <c r="R136" t="s">
        <v>214</v>
      </c>
    </row>
    <row r="137" spans="1:24" x14ac:dyDescent="0.2">
      <c r="A137" s="23"/>
      <c r="B137" s="23"/>
      <c r="C137" s="23"/>
      <c r="D137" s="17"/>
      <c r="E137" s="23"/>
      <c r="F137" s="30"/>
      <c r="G137" s="30"/>
      <c r="H137" s="20"/>
      <c r="I137" s="21"/>
      <c r="J137" s="20">
        <v>2</v>
      </c>
      <c r="K137" s="21"/>
      <c r="L137" s="21">
        <v>55.834482758620695</v>
      </c>
      <c r="M137" s="91">
        <f t="shared" si="24"/>
        <v>30.263157894736846</v>
      </c>
      <c r="N137" s="21"/>
      <c r="O137" s="21">
        <v>145.45454545454544</v>
      </c>
      <c r="P137" s="91">
        <f t="shared" si="25"/>
        <v>39.76608187134503</v>
      </c>
      <c r="Q137" s="23"/>
    </row>
    <row r="138" spans="1:24" x14ac:dyDescent="0.2">
      <c r="A138" s="23"/>
      <c r="B138" s="23"/>
      <c r="C138" s="23"/>
      <c r="D138" s="17"/>
      <c r="E138" s="23"/>
      <c r="F138" s="30"/>
      <c r="G138" s="30"/>
      <c r="H138" s="20"/>
      <c r="I138" s="21"/>
      <c r="J138" s="20">
        <v>3</v>
      </c>
      <c r="K138" s="21"/>
      <c r="L138" s="21">
        <v>70.399999999999991</v>
      </c>
      <c r="M138" s="91">
        <f t="shared" si="24"/>
        <v>38.157894736842103</v>
      </c>
      <c r="N138" s="21"/>
      <c r="O138" s="21">
        <v>286.63101604278074</v>
      </c>
      <c r="P138" s="91">
        <f t="shared" si="25"/>
        <v>78.362573099415229</v>
      </c>
      <c r="Q138" s="23"/>
    </row>
    <row r="139" spans="1:24" x14ac:dyDescent="0.2">
      <c r="A139" s="23"/>
      <c r="B139" s="23"/>
      <c r="C139" s="23"/>
      <c r="D139" s="17"/>
      <c r="E139" s="23"/>
      <c r="F139" s="30"/>
      <c r="G139" s="30"/>
      <c r="H139" s="20"/>
      <c r="I139" s="21"/>
      <c r="J139" s="20">
        <v>4</v>
      </c>
      <c r="K139" s="21"/>
      <c r="L139" s="21">
        <v>82.537931034482767</v>
      </c>
      <c r="M139" s="91">
        <f t="shared" si="24"/>
        <v>44.736842105263165</v>
      </c>
      <c r="N139" s="21"/>
      <c r="O139" s="21">
        <v>315.50802139037432</v>
      </c>
      <c r="P139" s="91">
        <f t="shared" si="25"/>
        <v>86.257309941520489</v>
      </c>
      <c r="Q139" s="23"/>
    </row>
    <row r="140" spans="1:24" x14ac:dyDescent="0.2">
      <c r="A140" s="23"/>
      <c r="B140" s="23"/>
      <c r="C140" s="23"/>
      <c r="D140" s="17"/>
      <c r="E140" s="23"/>
      <c r="F140" s="30"/>
      <c r="G140" s="30"/>
      <c r="H140" s="20"/>
      <c r="I140" s="21"/>
      <c r="J140" s="20">
        <v>5</v>
      </c>
      <c r="K140" s="21"/>
      <c r="L140" s="21">
        <v>97.103448275862078</v>
      </c>
      <c r="M140" s="91">
        <f t="shared" si="24"/>
        <v>52.631578947368432</v>
      </c>
      <c r="N140" s="21"/>
      <c r="O140" s="21">
        <v>329.41176470588232</v>
      </c>
      <c r="P140" s="91">
        <f t="shared" si="25"/>
        <v>90.058479532163744</v>
      </c>
      <c r="Q140" s="23"/>
    </row>
    <row r="141" spans="1:24" x14ac:dyDescent="0.2">
      <c r="A141" s="23"/>
      <c r="B141" s="23"/>
      <c r="C141" s="23"/>
      <c r="D141" s="17"/>
      <c r="E141" s="23"/>
      <c r="F141" s="30"/>
      <c r="G141" s="30"/>
      <c r="H141" s="20"/>
      <c r="I141" s="21"/>
      <c r="J141" s="20">
        <v>6</v>
      </c>
      <c r="K141" s="21"/>
      <c r="L141" s="21">
        <v>184.49655172413793</v>
      </c>
      <c r="M141" s="91">
        <f t="shared" si="24"/>
        <v>100</v>
      </c>
      <c r="N141" s="21"/>
      <c r="O141" s="21">
        <v>365.77540106951864</v>
      </c>
      <c r="P141" s="91">
        <f t="shared" si="25"/>
        <v>100</v>
      </c>
      <c r="Q141" s="23"/>
    </row>
    <row r="142" spans="1:24" x14ac:dyDescent="0.2">
      <c r="A142" s="23" t="s">
        <v>544</v>
      </c>
      <c r="B142" s="23" t="s">
        <v>545</v>
      </c>
      <c r="C142" s="23" t="s">
        <v>546</v>
      </c>
      <c r="D142" s="17" t="s">
        <v>14</v>
      </c>
      <c r="E142" s="23"/>
      <c r="F142" s="30">
        <v>42871</v>
      </c>
      <c r="G142" s="30">
        <v>43013</v>
      </c>
      <c r="H142" s="220">
        <f>G142-F142</f>
        <v>142</v>
      </c>
      <c r="I142" s="21" t="s">
        <v>547</v>
      </c>
      <c r="J142" s="220">
        <v>0</v>
      </c>
      <c r="K142" s="75" t="s">
        <v>214</v>
      </c>
      <c r="L142" s="21">
        <v>0</v>
      </c>
      <c r="M142" s="219">
        <f>L142/L$149*100</f>
        <v>0</v>
      </c>
      <c r="N142" s="21" t="s">
        <v>184</v>
      </c>
      <c r="O142" s="21">
        <v>0</v>
      </c>
      <c r="P142" s="219">
        <f>O142/O$148*100</f>
        <v>0</v>
      </c>
      <c r="Q142" s="23"/>
    </row>
    <row r="143" spans="1:24" x14ac:dyDescent="0.2">
      <c r="A143" s="23"/>
      <c r="B143" s="23"/>
      <c r="C143" s="23"/>
      <c r="D143" s="17"/>
      <c r="E143" s="23"/>
      <c r="F143" s="30"/>
      <c r="G143" s="30"/>
      <c r="H143" s="220"/>
      <c r="I143" s="21"/>
      <c r="J143" s="220" t="s">
        <v>553</v>
      </c>
      <c r="L143" s="21">
        <v>14</v>
      </c>
      <c r="M143" s="219">
        <f t="shared" ref="M143:M149" si="26">L143/L$149*100</f>
        <v>9.8591549295774641</v>
      </c>
      <c r="N143" s="21"/>
      <c r="O143" s="21">
        <v>0.68286843545588705</v>
      </c>
      <c r="P143" s="219">
        <f t="shared" ref="P143:P149" si="27">O143/O$148*100</f>
        <v>0.1595299400484354</v>
      </c>
      <c r="Q143" s="23"/>
    </row>
    <row r="144" spans="1:24" x14ac:dyDescent="0.2">
      <c r="A144" s="23"/>
      <c r="B144" s="23"/>
      <c r="C144" s="23"/>
      <c r="D144" s="17"/>
      <c r="E144" s="23"/>
      <c r="F144" s="30"/>
      <c r="G144" s="30"/>
      <c r="H144" s="220"/>
      <c r="I144" s="21"/>
      <c r="J144" s="220" t="s">
        <v>554</v>
      </c>
      <c r="L144" s="21">
        <v>31</v>
      </c>
      <c r="M144" s="219">
        <f t="shared" si="26"/>
        <v>21.830985915492956</v>
      </c>
      <c r="N144" s="21"/>
      <c r="O144" s="21">
        <v>9.8405657997487452</v>
      </c>
      <c r="P144" s="219">
        <f t="shared" si="27"/>
        <v>2.2989272758354251</v>
      </c>
      <c r="Q144" s="23"/>
      <c r="R144" s="23"/>
      <c r="S144" s="23"/>
      <c r="T144" s="23"/>
      <c r="U144" s="23"/>
      <c r="V144" s="23"/>
      <c r="W144" s="23"/>
      <c r="X144" s="23"/>
    </row>
    <row r="145" spans="1:24" x14ac:dyDescent="0.2">
      <c r="A145" s="23"/>
      <c r="B145" s="23"/>
      <c r="C145" s="23"/>
      <c r="D145" s="17"/>
      <c r="E145" s="23"/>
      <c r="F145" s="30"/>
      <c r="G145" s="30"/>
      <c r="H145" s="220"/>
      <c r="I145" s="21"/>
      <c r="J145" s="220" t="s">
        <v>555</v>
      </c>
      <c r="L145" s="21">
        <v>52</v>
      </c>
      <c r="M145" s="219">
        <f t="shared" si="26"/>
        <v>36.619718309859159</v>
      </c>
      <c r="N145" s="21"/>
      <c r="O145" s="21">
        <v>30.900046664391457</v>
      </c>
      <c r="P145" s="219">
        <f t="shared" si="27"/>
        <v>7.2187881821968727</v>
      </c>
      <c r="Q145" s="94"/>
      <c r="R145" s="1"/>
      <c r="S145" s="1"/>
      <c r="T145" s="1"/>
      <c r="U145" s="1"/>
      <c r="V145" s="1"/>
      <c r="W145" s="1"/>
      <c r="X145" s="1"/>
    </row>
    <row r="146" spans="1:24" x14ac:dyDescent="0.2">
      <c r="A146" s="23"/>
      <c r="B146" s="23"/>
      <c r="C146" s="23"/>
      <c r="D146" s="17"/>
      <c r="E146" s="23"/>
      <c r="F146" s="30"/>
      <c r="G146" s="30"/>
      <c r="H146" s="220"/>
      <c r="I146" s="21"/>
      <c r="J146" s="220" t="s">
        <v>556</v>
      </c>
      <c r="L146" s="21">
        <v>78</v>
      </c>
      <c r="M146" s="219">
        <f t="shared" si="26"/>
        <v>54.929577464788736</v>
      </c>
      <c r="N146" s="21"/>
      <c r="O146" s="21">
        <v>118.72690656892274</v>
      </c>
      <c r="P146" s="219">
        <f t="shared" si="27"/>
        <v>27.736669764845185</v>
      </c>
      <c r="Q146" s="23"/>
    </row>
    <row r="147" spans="1:24" x14ac:dyDescent="0.2">
      <c r="A147" s="23"/>
      <c r="B147" s="23"/>
      <c r="C147" s="23"/>
      <c r="D147" s="17"/>
      <c r="E147" s="23"/>
      <c r="F147" s="30"/>
      <c r="G147" s="30"/>
      <c r="H147" s="220"/>
      <c r="I147" s="21"/>
      <c r="J147" s="220" t="s">
        <v>557</v>
      </c>
      <c r="L147" s="21">
        <v>98</v>
      </c>
      <c r="M147" s="219">
        <f t="shared" si="26"/>
        <v>69.014084507042256</v>
      </c>
      <c r="N147" s="21"/>
      <c r="O147" s="21">
        <v>220.52718315428055</v>
      </c>
      <c r="P147" s="219">
        <f t="shared" si="27"/>
        <v>51.51898445000738</v>
      </c>
      <c r="Q147" s="23"/>
    </row>
    <row r="148" spans="1:24" x14ac:dyDescent="0.2">
      <c r="A148" s="23"/>
      <c r="B148" s="23"/>
      <c r="C148" s="23"/>
      <c r="D148" s="17"/>
      <c r="E148" s="23"/>
      <c r="F148" s="30"/>
      <c r="G148" s="30"/>
      <c r="H148" s="220"/>
      <c r="I148" s="21"/>
      <c r="J148" s="220" t="s">
        <v>558</v>
      </c>
      <c r="L148" s="21">
        <v>122</v>
      </c>
      <c r="M148" s="219">
        <f t="shared" si="26"/>
        <v>85.91549295774648</v>
      </c>
      <c r="N148" s="21"/>
      <c r="O148" s="21">
        <v>428.05033039475796</v>
      </c>
      <c r="P148" s="219">
        <f t="shared" si="27"/>
        <v>100</v>
      </c>
      <c r="Q148" s="23"/>
    </row>
    <row r="149" spans="1:24" x14ac:dyDescent="0.2">
      <c r="A149" s="23"/>
      <c r="B149" s="23"/>
      <c r="C149" s="23"/>
      <c r="D149" s="17"/>
      <c r="E149" s="23"/>
      <c r="F149" s="30"/>
      <c r="G149" s="30"/>
      <c r="H149" s="220"/>
      <c r="I149" s="21"/>
      <c r="J149" s="220" t="s">
        <v>559</v>
      </c>
      <c r="L149" s="21">
        <v>142</v>
      </c>
      <c r="M149" s="219">
        <f t="shared" si="26"/>
        <v>100</v>
      </c>
      <c r="N149" s="21"/>
      <c r="O149" s="21">
        <v>217.10068668768207</v>
      </c>
      <c r="P149" s="219">
        <f t="shared" si="27"/>
        <v>50.718495296444878</v>
      </c>
      <c r="Q149" s="23"/>
    </row>
    <row r="150" spans="1:24" x14ac:dyDescent="0.2">
      <c r="A150" s="23"/>
      <c r="B150" s="23"/>
      <c r="C150" s="23"/>
      <c r="D150" s="17"/>
      <c r="E150" s="23"/>
      <c r="F150" s="30"/>
      <c r="G150" s="30"/>
      <c r="H150" s="220"/>
      <c r="I150" s="21" t="s">
        <v>548</v>
      </c>
      <c r="J150" s="220">
        <v>0</v>
      </c>
      <c r="K150" s="21"/>
      <c r="L150" s="21">
        <v>0</v>
      </c>
      <c r="M150" s="219">
        <f>L150/L$157*100</f>
        <v>0</v>
      </c>
      <c r="N150" s="21"/>
      <c r="O150" s="74">
        <v>0</v>
      </c>
      <c r="P150" s="219">
        <f>O150/O$156*100</f>
        <v>0</v>
      </c>
      <c r="Q150" s="23"/>
    </row>
    <row r="151" spans="1:24" x14ac:dyDescent="0.2">
      <c r="A151" s="23"/>
      <c r="B151" s="23"/>
      <c r="C151" s="23"/>
      <c r="D151" s="17"/>
      <c r="E151" s="23"/>
      <c r="F151" s="30"/>
      <c r="G151" s="30"/>
      <c r="H151" s="220"/>
      <c r="J151" s="220" t="s">
        <v>553</v>
      </c>
      <c r="K151" s="21"/>
      <c r="L151" s="21">
        <v>14</v>
      </c>
      <c r="M151" s="219">
        <f t="shared" ref="M151:M189" si="28">L151/L$157*100</f>
        <v>9.8591549295774641</v>
      </c>
      <c r="N151" s="21"/>
      <c r="O151" s="21">
        <v>0.68286843545588705</v>
      </c>
      <c r="P151" s="219">
        <f t="shared" ref="P151:P157" si="29">O151/O$156*100</f>
        <v>0.21691982755610964</v>
      </c>
      <c r="Q151" s="23"/>
    </row>
    <row r="152" spans="1:24" x14ac:dyDescent="0.2">
      <c r="A152" s="23"/>
      <c r="B152" s="23"/>
      <c r="C152" s="23"/>
      <c r="D152" s="17"/>
      <c r="E152" s="23"/>
      <c r="F152" s="30"/>
      <c r="G152" s="30"/>
      <c r="H152" s="220"/>
      <c r="I152" s="21"/>
      <c r="J152" s="220" t="s">
        <v>554</v>
      </c>
      <c r="K152" s="21"/>
      <c r="L152" s="21">
        <v>31</v>
      </c>
      <c r="M152" s="219">
        <f t="shared" si="28"/>
        <v>21.830985915492956</v>
      </c>
      <c r="N152" s="21"/>
      <c r="O152" s="21">
        <v>10.205874240187063</v>
      </c>
      <c r="P152" s="219">
        <f t="shared" si="29"/>
        <v>3.2419956250617084</v>
      </c>
      <c r="Q152" s="23"/>
    </row>
    <row r="153" spans="1:24" x14ac:dyDescent="0.2">
      <c r="A153" s="23"/>
      <c r="B153" s="23"/>
      <c r="C153" s="23"/>
      <c r="D153" s="17"/>
      <c r="E153" s="23"/>
      <c r="F153" s="30"/>
      <c r="G153" s="30"/>
      <c r="H153" s="220"/>
      <c r="I153" s="21"/>
      <c r="J153" s="220" t="s">
        <v>555</v>
      </c>
      <c r="K153" s="21"/>
      <c r="L153" s="21">
        <v>52</v>
      </c>
      <c r="M153" s="219">
        <f t="shared" si="28"/>
        <v>36.619718309859159</v>
      </c>
      <c r="N153" s="21"/>
      <c r="O153" s="21">
        <v>37.027830987793223</v>
      </c>
      <c r="P153" s="219">
        <f t="shared" si="29"/>
        <v>11.762252134683337</v>
      </c>
      <c r="Q153" s="23"/>
    </row>
    <row r="154" spans="1:24" x14ac:dyDescent="0.2">
      <c r="A154" s="23"/>
      <c r="B154" s="23"/>
      <c r="C154" s="23"/>
      <c r="D154" s="17"/>
      <c r="E154" s="23"/>
      <c r="F154" s="30"/>
      <c r="G154" s="30"/>
      <c r="H154" s="220"/>
      <c r="I154" s="21"/>
      <c r="J154" s="220" t="s">
        <v>556</v>
      </c>
      <c r="K154" s="21"/>
      <c r="L154" s="21">
        <v>78</v>
      </c>
      <c r="M154" s="219">
        <f t="shared" si="28"/>
        <v>54.929577464788736</v>
      </c>
      <c r="N154" s="21"/>
      <c r="O154" s="21">
        <v>197.9992165736455</v>
      </c>
      <c r="P154" s="219">
        <f t="shared" si="29"/>
        <v>62.89638484567871</v>
      </c>
      <c r="Q154" s="23"/>
    </row>
    <row r="155" spans="1:24" x14ac:dyDescent="0.2">
      <c r="A155" s="23"/>
      <c r="B155" s="23"/>
      <c r="C155" s="23"/>
      <c r="D155" s="17"/>
      <c r="E155" s="23"/>
      <c r="F155" s="30"/>
      <c r="G155" s="30"/>
      <c r="H155" s="220"/>
      <c r="I155" s="21"/>
      <c r="J155" s="220" t="s">
        <v>557</v>
      </c>
      <c r="K155" s="21"/>
      <c r="L155" s="21">
        <v>98</v>
      </c>
      <c r="M155" s="219">
        <f t="shared" si="28"/>
        <v>69.014084507042256</v>
      </c>
      <c r="N155" s="21"/>
      <c r="O155" s="21">
        <v>207.81872174402773</v>
      </c>
      <c r="P155" s="219">
        <f t="shared" si="29"/>
        <v>66.015646562357134</v>
      </c>
      <c r="Q155" s="23"/>
    </row>
    <row r="156" spans="1:24" x14ac:dyDescent="0.2">
      <c r="A156" s="23"/>
      <c r="B156" s="23"/>
      <c r="C156" s="23"/>
      <c r="D156" s="17"/>
      <c r="E156" s="23"/>
      <c r="F156" s="30"/>
      <c r="G156" s="30"/>
      <c r="H156" s="220"/>
      <c r="I156" s="21"/>
      <c r="J156" s="220" t="s">
        <v>558</v>
      </c>
      <c r="K156" s="21"/>
      <c r="L156" s="21">
        <v>122</v>
      </c>
      <c r="M156" s="219">
        <f t="shared" si="28"/>
        <v>85.91549295774648</v>
      </c>
      <c r="N156" s="21"/>
      <c r="O156" s="21">
        <v>314.80222123966638</v>
      </c>
      <c r="P156" s="219">
        <f t="shared" si="29"/>
        <v>100</v>
      </c>
      <c r="Q156" s="23"/>
    </row>
    <row r="157" spans="1:24" x14ac:dyDescent="0.2">
      <c r="A157" s="23"/>
      <c r="B157" s="23"/>
      <c r="C157" s="23"/>
      <c r="D157" s="17"/>
      <c r="E157" s="23"/>
      <c r="F157" s="30"/>
      <c r="G157" s="30"/>
      <c r="H157" s="220"/>
      <c r="I157" s="21"/>
      <c r="J157" s="220" t="s">
        <v>559</v>
      </c>
      <c r="K157" s="21"/>
      <c r="L157" s="21">
        <v>142</v>
      </c>
      <c r="M157" s="219">
        <f t="shared" si="28"/>
        <v>100</v>
      </c>
      <c r="N157" s="21"/>
      <c r="O157" s="21">
        <v>262.05574396813216</v>
      </c>
      <c r="P157" s="219">
        <f t="shared" si="29"/>
        <v>83.244566361754778</v>
      </c>
      <c r="Q157" s="23"/>
    </row>
    <row r="158" spans="1:24" x14ac:dyDescent="0.2">
      <c r="A158" s="23"/>
      <c r="B158" s="23"/>
      <c r="C158" s="23"/>
      <c r="D158" s="17"/>
      <c r="E158" s="23"/>
      <c r="F158" s="30"/>
      <c r="G158" s="30"/>
      <c r="H158" s="220"/>
      <c r="I158" s="21" t="s">
        <v>549</v>
      </c>
      <c r="J158" s="220">
        <v>0</v>
      </c>
      <c r="K158" s="21"/>
      <c r="L158" s="21">
        <v>0</v>
      </c>
      <c r="M158" s="219">
        <f t="shared" si="28"/>
        <v>0</v>
      </c>
      <c r="N158" s="21"/>
      <c r="O158" s="21">
        <v>0</v>
      </c>
      <c r="P158" s="219">
        <f>O158/O$165*100</f>
        <v>0</v>
      </c>
      <c r="Q158" s="23"/>
    </row>
    <row r="159" spans="1:24" x14ac:dyDescent="0.2">
      <c r="A159" s="23"/>
      <c r="B159" s="23"/>
      <c r="C159" s="23"/>
      <c r="D159" s="17"/>
      <c r="E159" s="23"/>
      <c r="F159" s="30"/>
      <c r="G159" s="30"/>
      <c r="H159" s="220"/>
      <c r="I159" s="21"/>
      <c r="J159" s="220" t="s">
        <v>553</v>
      </c>
      <c r="K159" s="21"/>
      <c r="L159" s="21">
        <v>14</v>
      </c>
      <c r="M159" s="219">
        <f t="shared" si="28"/>
        <v>9.8591549295774641</v>
      </c>
      <c r="N159" s="21"/>
      <c r="O159" s="21">
        <v>0.68286843545588705</v>
      </c>
      <c r="P159" s="219">
        <f t="shared" ref="P159:P165" si="30">O159/O$165*100</f>
        <v>0.28706107268043068</v>
      </c>
      <c r="Q159" s="23"/>
    </row>
    <row r="160" spans="1:24" x14ac:dyDescent="0.2">
      <c r="A160" s="23"/>
      <c r="B160" s="23"/>
      <c r="C160" s="23"/>
      <c r="D160" s="17"/>
      <c r="E160" s="23"/>
      <c r="F160" s="30"/>
      <c r="G160" s="30"/>
      <c r="H160" s="220"/>
      <c r="I160" s="21"/>
      <c r="J160" s="220" t="s">
        <v>554</v>
      </c>
      <c r="K160" s="21"/>
      <c r="L160" s="21">
        <v>31</v>
      </c>
      <c r="M160" s="219">
        <f t="shared" si="28"/>
        <v>21.830985915492956</v>
      </c>
      <c r="N160" s="21"/>
      <c r="O160" s="21">
        <v>10.164092884099697</v>
      </c>
      <c r="P160" s="219">
        <f t="shared" si="30"/>
        <v>4.2727343286636277</v>
      </c>
      <c r="Q160" s="23"/>
    </row>
    <row r="161" spans="1:17" x14ac:dyDescent="0.2">
      <c r="A161" s="23"/>
      <c r="B161" s="23"/>
      <c r="C161" s="23"/>
      <c r="D161" s="17"/>
      <c r="E161" s="23"/>
      <c r="F161" s="30"/>
      <c r="G161" s="30"/>
      <c r="H161" s="220"/>
      <c r="I161" s="21"/>
      <c r="J161" s="220" t="s">
        <v>555</v>
      </c>
      <c r="K161" s="21"/>
      <c r="L161" s="21">
        <v>52</v>
      </c>
      <c r="M161" s="219">
        <f t="shared" si="28"/>
        <v>36.619718309859159</v>
      </c>
      <c r="N161" s="21"/>
      <c r="O161" s="21">
        <v>59.103545999405114</v>
      </c>
      <c r="P161" s="219">
        <f t="shared" si="30"/>
        <v>24.845675144553415</v>
      </c>
      <c r="Q161" s="23"/>
    </row>
    <row r="162" spans="1:17" x14ac:dyDescent="0.2">
      <c r="A162" s="23"/>
      <c r="B162" s="23"/>
      <c r="C162" s="23"/>
      <c r="D162" s="17"/>
      <c r="E162" s="23"/>
      <c r="F162" s="30"/>
      <c r="G162" s="30"/>
      <c r="H162" s="220"/>
      <c r="I162" s="21"/>
      <c r="J162" s="220" t="s">
        <v>556</v>
      </c>
      <c r="K162" s="21"/>
      <c r="L162" s="21">
        <v>78</v>
      </c>
      <c r="M162" s="219">
        <f t="shared" si="28"/>
        <v>54.929577464788736</v>
      </c>
      <c r="N162" s="21"/>
      <c r="O162" s="21">
        <v>136.84267324666536</v>
      </c>
      <c r="P162" s="219">
        <f t="shared" si="30"/>
        <v>57.525289691301076</v>
      </c>
      <c r="Q162" s="23"/>
    </row>
    <row r="163" spans="1:17" x14ac:dyDescent="0.2">
      <c r="A163" s="23"/>
      <c r="B163" s="23"/>
      <c r="C163" s="23"/>
      <c r="D163" s="17"/>
      <c r="E163" s="23"/>
      <c r="F163" s="30"/>
      <c r="G163" s="30"/>
      <c r="H163" s="220"/>
      <c r="I163" s="21"/>
      <c r="J163" s="220" t="s">
        <v>557</v>
      </c>
      <c r="K163" s="21"/>
      <c r="L163" s="21">
        <v>98</v>
      </c>
      <c r="M163" s="219">
        <f t="shared" si="28"/>
        <v>69.014084507042256</v>
      </c>
      <c r="N163" s="21"/>
      <c r="O163" s="21">
        <v>223.19389349472632</v>
      </c>
      <c r="P163" s="219">
        <f t="shared" si="30"/>
        <v>93.825216038202498</v>
      </c>
      <c r="Q163" s="23"/>
    </row>
    <row r="164" spans="1:17" x14ac:dyDescent="0.2">
      <c r="A164" s="23"/>
      <c r="B164" s="23"/>
      <c r="C164" s="23"/>
      <c r="D164" s="17"/>
      <c r="E164" s="23"/>
      <c r="F164" s="30"/>
      <c r="G164" s="30"/>
      <c r="H164" s="220"/>
      <c r="I164" s="21"/>
      <c r="J164" s="220" t="s">
        <v>558</v>
      </c>
      <c r="K164" s="21"/>
      <c r="L164" s="21">
        <v>122</v>
      </c>
      <c r="M164" s="219">
        <f t="shared" si="28"/>
        <v>85.91549295774648</v>
      </c>
      <c r="N164" s="21"/>
      <c r="O164" s="21">
        <v>193.58133468349257</v>
      </c>
      <c r="P164" s="219">
        <f t="shared" si="30"/>
        <v>81.376825607782266</v>
      </c>
      <c r="Q164" s="23"/>
    </row>
    <row r="165" spans="1:17" x14ac:dyDescent="0.2">
      <c r="A165" s="23"/>
      <c r="B165" s="23"/>
      <c r="C165" s="23"/>
      <c r="D165" s="17"/>
      <c r="E165" s="23"/>
      <c r="F165" s="30"/>
      <c r="G165" s="30"/>
      <c r="H165" s="220"/>
      <c r="J165" s="220" t="s">
        <v>559</v>
      </c>
      <c r="K165" s="21"/>
      <c r="L165" s="21">
        <v>142</v>
      </c>
      <c r="M165" s="219">
        <f t="shared" si="28"/>
        <v>100</v>
      </c>
      <c r="N165" s="21"/>
      <c r="O165" s="21">
        <v>237.88263211016664</v>
      </c>
      <c r="P165" s="219">
        <f t="shared" si="30"/>
        <v>100</v>
      </c>
      <c r="Q165" s="23"/>
    </row>
    <row r="166" spans="1:17" x14ac:dyDescent="0.2">
      <c r="A166" s="23"/>
      <c r="B166" s="23"/>
      <c r="C166" s="23"/>
      <c r="D166" s="17"/>
      <c r="E166" s="23"/>
      <c r="F166" s="30"/>
      <c r="G166" s="30"/>
      <c r="H166" s="220"/>
      <c r="I166" s="21" t="s">
        <v>550</v>
      </c>
      <c r="J166" s="220">
        <v>0</v>
      </c>
      <c r="K166" s="21"/>
      <c r="L166" s="21">
        <v>0</v>
      </c>
      <c r="M166" s="219">
        <f t="shared" si="28"/>
        <v>0</v>
      </c>
      <c r="N166" s="21"/>
      <c r="O166" s="21">
        <v>0</v>
      </c>
      <c r="P166" s="219">
        <f>O166/O$172*100</f>
        <v>0</v>
      </c>
    </row>
    <row r="167" spans="1:17" x14ac:dyDescent="0.2">
      <c r="A167" s="23"/>
      <c r="B167" s="23"/>
      <c r="C167" s="23"/>
      <c r="D167" s="17"/>
      <c r="E167" s="23"/>
      <c r="F167" s="30"/>
      <c r="G167" s="30"/>
      <c r="H167" s="220"/>
      <c r="I167" s="21"/>
      <c r="J167" s="220" t="s">
        <v>553</v>
      </c>
      <c r="K167" s="21"/>
      <c r="L167" s="21">
        <v>14</v>
      </c>
      <c r="M167" s="219">
        <f t="shared" si="28"/>
        <v>9.8591549295774641</v>
      </c>
      <c r="N167" s="21"/>
      <c r="O167" s="11">
        <v>0.50874819660341064</v>
      </c>
      <c r="P167" s="219">
        <f t="shared" ref="P167:P173" si="31">O167/O$172*100</f>
        <v>0.20342697091814796</v>
      </c>
    </row>
    <row r="168" spans="1:17" x14ac:dyDescent="0.2">
      <c r="A168" s="23"/>
      <c r="B168" s="23"/>
      <c r="C168" s="23"/>
      <c r="D168" s="17"/>
      <c r="E168" s="23"/>
      <c r="F168" s="30"/>
      <c r="G168" s="30"/>
      <c r="H168" s="220"/>
      <c r="I168" s="21"/>
      <c r="J168" s="220" t="s">
        <v>554</v>
      </c>
      <c r="K168" s="21"/>
      <c r="L168" s="21">
        <v>31</v>
      </c>
      <c r="M168" s="219">
        <f t="shared" si="28"/>
        <v>21.830985915492956</v>
      </c>
      <c r="N168" s="21"/>
      <c r="O168" s="11">
        <v>4.7324685821244588</v>
      </c>
      <c r="P168" s="219">
        <f t="shared" si="31"/>
        <v>1.8923148132107346</v>
      </c>
    </row>
    <row r="169" spans="1:17" x14ac:dyDescent="0.2">
      <c r="A169" s="23"/>
      <c r="B169" s="23"/>
      <c r="C169" s="23"/>
      <c r="D169" s="17"/>
      <c r="E169" s="23"/>
      <c r="F169" s="30"/>
      <c r="G169" s="30"/>
      <c r="H169" s="220"/>
      <c r="I169" s="21"/>
      <c r="J169" s="220" t="s">
        <v>555</v>
      </c>
      <c r="K169" s="21"/>
      <c r="L169" s="21">
        <v>52</v>
      </c>
      <c r="M169" s="219">
        <f t="shared" si="28"/>
        <v>36.619718309859159</v>
      </c>
      <c r="N169" s="21"/>
      <c r="O169" s="11">
        <v>27.007716426000137</v>
      </c>
      <c r="P169" s="219">
        <f t="shared" si="31"/>
        <v>10.79924799859366</v>
      </c>
    </row>
    <row r="170" spans="1:17" x14ac:dyDescent="0.2">
      <c r="A170" s="23"/>
      <c r="B170" s="23"/>
      <c r="C170" s="23"/>
      <c r="D170" s="17"/>
      <c r="E170" s="23"/>
      <c r="F170" s="30"/>
      <c r="G170" s="30"/>
      <c r="H170" s="220"/>
      <c r="I170" s="21"/>
      <c r="J170" s="220" t="s">
        <v>556</v>
      </c>
      <c r="K170" s="21"/>
      <c r="L170" s="21">
        <v>78</v>
      </c>
      <c r="M170" s="219">
        <f t="shared" si="28"/>
        <v>54.929577464788736</v>
      </c>
      <c r="N170" s="21"/>
      <c r="O170" s="11">
        <v>105.56374136570432</v>
      </c>
      <c r="P170" s="219">
        <f t="shared" si="31"/>
        <v>42.210492908247602</v>
      </c>
    </row>
    <row r="171" spans="1:17" x14ac:dyDescent="0.2">
      <c r="A171" s="23"/>
      <c r="B171" s="23"/>
      <c r="C171" s="23"/>
      <c r="D171" s="17"/>
      <c r="E171" s="23"/>
      <c r="F171" s="30"/>
      <c r="G171" s="30"/>
      <c r="H171" s="220"/>
      <c r="I171" s="21"/>
      <c r="J171" s="220" t="s">
        <v>557</v>
      </c>
      <c r="K171" s="21"/>
      <c r="L171" s="21">
        <v>98</v>
      </c>
      <c r="M171" s="219">
        <f t="shared" si="28"/>
        <v>69.014084507042256</v>
      </c>
      <c r="N171" s="21"/>
      <c r="O171" s="11">
        <v>248.14735519377518</v>
      </c>
      <c r="P171" s="219">
        <f t="shared" si="31"/>
        <v>99.223673214846769</v>
      </c>
    </row>
    <row r="172" spans="1:17" x14ac:dyDescent="0.2">
      <c r="A172" s="23"/>
      <c r="B172" s="23"/>
      <c r="C172" s="23"/>
      <c r="D172" s="17"/>
      <c r="E172" s="23"/>
      <c r="F172" s="30"/>
      <c r="G172" s="30"/>
      <c r="H172" s="220"/>
      <c r="J172" s="220" t="s">
        <v>558</v>
      </c>
      <c r="K172" s="21"/>
      <c r="L172" s="21">
        <v>122</v>
      </c>
      <c r="M172" s="219">
        <f t="shared" si="28"/>
        <v>85.91549295774648</v>
      </c>
      <c r="N172" s="21"/>
      <c r="O172" s="11">
        <v>250.08886201629258</v>
      </c>
      <c r="P172" s="219">
        <f t="shared" si="31"/>
        <v>100</v>
      </c>
    </row>
    <row r="173" spans="1:17" x14ac:dyDescent="0.2">
      <c r="A173" s="23"/>
      <c r="B173" s="23"/>
      <c r="C173" s="23"/>
      <c r="D173" s="17"/>
      <c r="E173" s="23"/>
      <c r="F173" s="30"/>
      <c r="G173" s="30"/>
      <c r="H173" s="220"/>
      <c r="I173" s="21"/>
      <c r="J173" s="220" t="s">
        <v>559</v>
      </c>
      <c r="K173" s="21"/>
      <c r="L173" s="21">
        <v>142</v>
      </c>
      <c r="M173" s="219">
        <f t="shared" si="28"/>
        <v>100</v>
      </c>
      <c r="N173" s="21"/>
      <c r="O173" s="11">
        <v>243.89224595088487</v>
      </c>
      <c r="P173" s="219">
        <f t="shared" si="31"/>
        <v>97.522234290864176</v>
      </c>
      <c r="Q173" s="23"/>
    </row>
    <row r="174" spans="1:17" x14ac:dyDescent="0.2">
      <c r="A174" s="23"/>
      <c r="B174" s="23"/>
      <c r="C174" s="23"/>
      <c r="D174" s="17"/>
      <c r="E174" s="23"/>
      <c r="F174" s="30"/>
      <c r="G174" s="30"/>
      <c r="H174" s="220"/>
      <c r="I174" s="21" t="s">
        <v>551</v>
      </c>
      <c r="J174" s="220">
        <v>0</v>
      </c>
      <c r="K174" s="21"/>
      <c r="L174" s="21">
        <v>0</v>
      </c>
      <c r="M174" s="219">
        <f t="shared" si="28"/>
        <v>0</v>
      </c>
      <c r="N174" s="21"/>
      <c r="O174" s="21">
        <v>0</v>
      </c>
      <c r="P174" s="219">
        <f>O174/O$180*100</f>
        <v>0</v>
      </c>
      <c r="Q174" s="23"/>
    </row>
    <row r="175" spans="1:17" x14ac:dyDescent="0.2">
      <c r="A175" s="23"/>
      <c r="B175" s="23"/>
      <c r="C175" s="23"/>
      <c r="D175" s="17"/>
      <c r="E175" s="23"/>
      <c r="F175" s="30"/>
      <c r="G175" s="30"/>
      <c r="H175" s="220"/>
      <c r="I175" s="21"/>
      <c r="J175" s="220" t="s">
        <v>553</v>
      </c>
      <c r="K175" s="21"/>
      <c r="L175" s="21">
        <v>14</v>
      </c>
      <c r="M175" s="219">
        <f t="shared" si="28"/>
        <v>9.8591549295774641</v>
      </c>
      <c r="N175" s="21"/>
      <c r="O175" s="11">
        <v>0.50874819660341064</v>
      </c>
      <c r="P175" s="219">
        <f t="shared" ref="P175:P181" si="32">O175/O$180*100</f>
        <v>0.16090944072489133</v>
      </c>
      <c r="Q175" s="23"/>
    </row>
    <row r="176" spans="1:17" x14ac:dyDescent="0.2">
      <c r="A176" s="23"/>
      <c r="B176" s="23"/>
      <c r="C176" s="23"/>
      <c r="D176" s="17"/>
      <c r="E176" s="23"/>
      <c r="F176" s="30"/>
      <c r="G176" s="30"/>
      <c r="H176" s="220"/>
      <c r="I176" s="21"/>
      <c r="J176" s="220" t="s">
        <v>554</v>
      </c>
      <c r="K176" s="21"/>
      <c r="L176" s="21">
        <v>31</v>
      </c>
      <c r="M176" s="219">
        <f t="shared" si="28"/>
        <v>21.830985915492956</v>
      </c>
      <c r="N176" s="21"/>
      <c r="O176" s="11">
        <v>9.8694758619969143</v>
      </c>
      <c r="P176" s="219">
        <f t="shared" si="32"/>
        <v>3.1215675098298554</v>
      </c>
      <c r="Q176" s="23"/>
    </row>
    <row r="177" spans="1:25" x14ac:dyDescent="0.2">
      <c r="A177" s="23"/>
      <c r="B177" s="23"/>
      <c r="C177" s="23"/>
      <c r="D177" s="17"/>
      <c r="E177" s="23"/>
      <c r="F177" s="30"/>
      <c r="G177" s="30"/>
      <c r="H177" s="220"/>
      <c r="I177" s="21"/>
      <c r="J177" s="220" t="s">
        <v>555</v>
      </c>
      <c r="K177" s="21"/>
      <c r="L177" s="21">
        <v>52</v>
      </c>
      <c r="M177" s="219">
        <f t="shared" si="28"/>
        <v>36.619718309859159</v>
      </c>
      <c r="N177" s="21"/>
      <c r="O177" s="11">
        <v>23.600284139497155</v>
      </c>
      <c r="P177" s="219">
        <f t="shared" si="32"/>
        <v>7.4644166744738722</v>
      </c>
      <c r="Q177" s="23"/>
    </row>
    <row r="178" spans="1:25" x14ac:dyDescent="0.2">
      <c r="A178" s="23"/>
      <c r="B178" s="23"/>
      <c r="C178" s="23"/>
      <c r="D178" s="17"/>
      <c r="E178" s="23"/>
      <c r="F178" s="30"/>
      <c r="G178" s="30"/>
      <c r="H178" s="220"/>
      <c r="I178" s="21"/>
      <c r="J178" s="220" t="s">
        <v>556</v>
      </c>
      <c r="K178" s="21"/>
      <c r="L178" s="21">
        <v>78</v>
      </c>
      <c r="M178" s="219">
        <f t="shared" si="28"/>
        <v>54.929577464788736</v>
      </c>
      <c r="N178" s="21"/>
      <c r="O178" s="11">
        <v>82.340893308940167</v>
      </c>
      <c r="P178" s="219">
        <f t="shared" si="32"/>
        <v>26.043192250287149</v>
      </c>
      <c r="Q178" s="23"/>
    </row>
    <row r="179" spans="1:25" x14ac:dyDescent="0.2">
      <c r="A179" s="23"/>
      <c r="B179" s="23"/>
      <c r="C179" s="23"/>
      <c r="D179" s="17"/>
      <c r="E179" s="23"/>
      <c r="F179" s="30"/>
      <c r="G179" s="30"/>
      <c r="H179" s="220"/>
      <c r="J179" s="220" t="s">
        <v>557</v>
      </c>
      <c r="K179" s="21"/>
      <c r="L179" s="21">
        <v>98</v>
      </c>
      <c r="M179" s="219">
        <f t="shared" si="28"/>
        <v>69.014084507042256</v>
      </c>
      <c r="N179" s="21"/>
      <c r="O179" s="11">
        <v>244.63617991102211</v>
      </c>
      <c r="P179" s="219">
        <f t="shared" si="32"/>
        <v>77.374762511919954</v>
      </c>
      <c r="Q179" s="23"/>
    </row>
    <row r="180" spans="1:25" x14ac:dyDescent="0.2">
      <c r="A180" s="23"/>
      <c r="B180" s="23"/>
      <c r="C180" s="23"/>
      <c r="D180" s="17"/>
      <c r="E180" s="23"/>
      <c r="F180" s="30"/>
      <c r="G180" s="30"/>
      <c r="H180" s="220"/>
      <c r="I180" s="21"/>
      <c r="J180" s="220" t="s">
        <v>558</v>
      </c>
      <c r="K180" s="21"/>
      <c r="L180" s="21">
        <v>122</v>
      </c>
      <c r="M180" s="219">
        <f t="shared" si="28"/>
        <v>85.91549295774648</v>
      </c>
      <c r="N180" s="21"/>
      <c r="O180" s="11">
        <v>316.17050827565993</v>
      </c>
      <c r="P180" s="219">
        <f t="shared" si="32"/>
        <v>100</v>
      </c>
      <c r="Q180" s="23"/>
    </row>
    <row r="181" spans="1:25" x14ac:dyDescent="0.2">
      <c r="A181" s="23"/>
      <c r="B181" s="23"/>
      <c r="C181" s="23"/>
      <c r="D181" s="17"/>
      <c r="E181" s="23"/>
      <c r="F181" s="30"/>
      <c r="G181" s="30"/>
      <c r="H181" s="220"/>
      <c r="I181" s="21"/>
      <c r="J181" s="220" t="s">
        <v>559</v>
      </c>
      <c r="K181" s="21"/>
      <c r="L181" s="21">
        <v>142</v>
      </c>
      <c r="M181" s="219">
        <f t="shared" si="28"/>
        <v>100</v>
      </c>
      <c r="N181" s="21"/>
      <c r="O181" s="11">
        <v>220.97101470627473</v>
      </c>
      <c r="P181" s="219">
        <f t="shared" si="32"/>
        <v>69.88982492750921</v>
      </c>
      <c r="Q181" s="23"/>
    </row>
    <row r="182" spans="1:25" x14ac:dyDescent="0.2">
      <c r="A182" s="23"/>
      <c r="B182" s="23"/>
      <c r="C182" s="23"/>
      <c r="D182" s="17"/>
      <c r="E182" s="23"/>
      <c r="F182" s="30"/>
      <c r="G182" s="30"/>
      <c r="H182" s="220"/>
      <c r="I182" s="21" t="s">
        <v>552</v>
      </c>
      <c r="J182" s="220">
        <v>0</v>
      </c>
      <c r="K182" s="21"/>
      <c r="L182" s="21">
        <v>0</v>
      </c>
      <c r="M182" s="219">
        <f t="shared" si="28"/>
        <v>0</v>
      </c>
      <c r="N182" s="21"/>
      <c r="O182" s="21">
        <v>0</v>
      </c>
      <c r="P182" s="219">
        <f>O182/O$187*100</f>
        <v>0</v>
      </c>
      <c r="Q182" s="23"/>
    </row>
    <row r="183" spans="1:25" x14ac:dyDescent="0.2">
      <c r="A183" s="23"/>
      <c r="B183" s="23"/>
      <c r="C183" s="23"/>
      <c r="D183" s="17"/>
      <c r="E183" s="23"/>
      <c r="F183" s="30"/>
      <c r="G183" s="30"/>
      <c r="H183" s="220"/>
      <c r="I183" s="21"/>
      <c r="J183" s="220" t="s">
        <v>553</v>
      </c>
      <c r="K183" s="21"/>
      <c r="L183" s="21">
        <v>14</v>
      </c>
      <c r="M183" s="219">
        <f t="shared" si="28"/>
        <v>9.8591549295774641</v>
      </c>
      <c r="N183" s="21"/>
      <c r="O183" s="11">
        <v>0.50874819660341064</v>
      </c>
      <c r="P183" s="219">
        <f t="shared" ref="P183:P189" si="33">O183/O$187*100</f>
        <v>0.18130072265985722</v>
      </c>
      <c r="Q183" s="23"/>
      <c r="U183" s="241"/>
      <c r="V183" s="241"/>
      <c r="X183" s="241"/>
      <c r="Y183" s="241"/>
    </row>
    <row r="184" spans="1:25" x14ac:dyDescent="0.2">
      <c r="A184" s="23"/>
      <c r="B184" s="23"/>
      <c r="C184" s="23"/>
      <c r="D184" s="17"/>
      <c r="E184" s="23"/>
      <c r="F184" s="30"/>
      <c r="G184" s="30"/>
      <c r="H184" s="220"/>
      <c r="I184" s="21"/>
      <c r="J184" s="220" t="s">
        <v>554</v>
      </c>
      <c r="K184" s="21"/>
      <c r="L184" s="21">
        <v>31</v>
      </c>
      <c r="M184" s="219">
        <f t="shared" si="28"/>
        <v>21.830985915492956</v>
      </c>
      <c r="N184" s="21"/>
      <c r="O184" s="11">
        <v>8.9123351243666846</v>
      </c>
      <c r="P184" s="219">
        <f t="shared" si="33"/>
        <v>3.1760560713969439</v>
      </c>
      <c r="Q184" s="23"/>
      <c r="U184" s="74"/>
      <c r="V184" s="74"/>
    </row>
    <row r="185" spans="1:25" x14ac:dyDescent="0.2">
      <c r="A185" s="23"/>
      <c r="B185" s="23"/>
      <c r="C185" s="23"/>
      <c r="D185" s="17"/>
      <c r="E185" s="23"/>
      <c r="F185" s="30"/>
      <c r="G185" s="30"/>
      <c r="H185" s="220"/>
      <c r="I185" s="21"/>
      <c r="J185" s="220" t="s">
        <v>555</v>
      </c>
      <c r="K185" s="21"/>
      <c r="L185" s="21">
        <v>52</v>
      </c>
      <c r="M185" s="219">
        <f t="shared" si="28"/>
        <v>36.619718309859159</v>
      </c>
      <c r="N185" s="21"/>
      <c r="O185" s="11">
        <v>40.879213669632492</v>
      </c>
      <c r="P185" s="219">
        <f t="shared" si="33"/>
        <v>14.567974942324147</v>
      </c>
      <c r="Q185" s="23"/>
      <c r="U185" s="74"/>
      <c r="V185" s="74"/>
    </row>
    <row r="186" spans="1:25" x14ac:dyDescent="0.2">
      <c r="A186" s="23"/>
      <c r="B186" s="23"/>
      <c r="C186" s="23"/>
      <c r="D186" s="17"/>
      <c r="E186" s="23"/>
      <c r="F186" s="30"/>
      <c r="G186" s="30"/>
      <c r="H186" s="220"/>
      <c r="I186" s="21"/>
      <c r="J186" s="220" t="s">
        <v>556</v>
      </c>
      <c r="K186" s="21"/>
      <c r="L186" s="21">
        <v>78</v>
      </c>
      <c r="M186" s="219">
        <f t="shared" si="28"/>
        <v>54.929577464788736</v>
      </c>
      <c r="N186" s="21"/>
      <c r="O186" s="11">
        <v>112.24933713176191</v>
      </c>
      <c r="P186" s="219">
        <f t="shared" si="33"/>
        <v>40.001883202630196</v>
      </c>
      <c r="Q186" s="23"/>
      <c r="V186" s="11"/>
    </row>
    <row r="187" spans="1:25" x14ac:dyDescent="0.2">
      <c r="A187" s="23"/>
      <c r="B187" s="23"/>
      <c r="C187" s="23"/>
      <c r="D187" s="17"/>
      <c r="E187" s="23"/>
      <c r="F187" s="30"/>
      <c r="G187" s="30"/>
      <c r="H187" s="220"/>
      <c r="I187" s="21"/>
      <c r="J187" s="220" t="s">
        <v>557</v>
      </c>
      <c r="K187" s="21"/>
      <c r="L187" s="21">
        <v>98</v>
      </c>
      <c r="M187" s="219">
        <f t="shared" si="28"/>
        <v>69.014084507042256</v>
      </c>
      <c r="N187" s="21"/>
      <c r="O187" s="11">
        <v>280.61013168595349</v>
      </c>
      <c r="P187" s="219">
        <f t="shared" si="33"/>
        <v>100</v>
      </c>
      <c r="Q187" s="23"/>
      <c r="V187" s="11"/>
    </row>
    <row r="188" spans="1:25" x14ac:dyDescent="0.2">
      <c r="A188" s="23"/>
      <c r="B188" s="23"/>
      <c r="C188" s="23"/>
      <c r="D188" s="17"/>
      <c r="E188" s="23"/>
      <c r="F188" s="30"/>
      <c r="G188" s="30"/>
      <c r="H188" s="220"/>
      <c r="I188" s="21"/>
      <c r="J188" s="220" t="s">
        <v>558</v>
      </c>
      <c r="K188" s="21"/>
      <c r="L188" s="21">
        <v>122</v>
      </c>
      <c r="M188" s="219">
        <f t="shared" si="28"/>
        <v>85.91549295774648</v>
      </c>
      <c r="N188" s="21"/>
      <c r="O188" s="11">
        <v>274.51565481232774</v>
      </c>
      <c r="P188" s="219">
        <f t="shared" si="33"/>
        <v>97.828133703865532</v>
      </c>
      <c r="Q188" s="23"/>
      <c r="V188" s="11"/>
    </row>
    <row r="189" spans="1:25" x14ac:dyDescent="0.2">
      <c r="A189" s="23"/>
      <c r="B189" s="23"/>
      <c r="C189" s="23"/>
      <c r="D189" s="17"/>
      <c r="E189" s="23"/>
      <c r="F189" s="30"/>
      <c r="G189" s="30"/>
      <c r="H189" s="220"/>
      <c r="I189" s="21"/>
      <c r="J189" s="220" t="s">
        <v>559</v>
      </c>
      <c r="K189" s="21"/>
      <c r="L189" s="21">
        <v>142</v>
      </c>
      <c r="M189" s="219">
        <f t="shared" si="28"/>
        <v>100</v>
      </c>
      <c r="N189" s="21"/>
      <c r="O189" s="11">
        <v>255.83905157126998</v>
      </c>
      <c r="P189" s="219">
        <f t="shared" si="33"/>
        <v>91.172421335660744</v>
      </c>
      <c r="Q189" s="23"/>
      <c r="U189" s="214"/>
      <c r="V189" s="214"/>
    </row>
    <row r="190" spans="1:25" x14ac:dyDescent="0.2">
      <c r="A190" s="23"/>
      <c r="B190" s="23"/>
      <c r="C190" s="23"/>
      <c r="D190" s="17"/>
      <c r="E190" s="23"/>
      <c r="F190" s="30"/>
      <c r="G190" s="30"/>
      <c r="H190" s="220"/>
      <c r="I190" s="21"/>
      <c r="J190" s="220"/>
      <c r="K190" s="21"/>
      <c r="L190" s="21"/>
      <c r="M190" s="219"/>
      <c r="N190" s="21"/>
      <c r="O190" s="21"/>
      <c r="P190" s="219"/>
      <c r="Q190" s="23"/>
      <c r="U190" s="214"/>
      <c r="V190" s="214"/>
    </row>
    <row r="191" spans="1:25" x14ac:dyDescent="0.2">
      <c r="A191" s="23"/>
      <c r="B191" s="23"/>
      <c r="C191" s="23"/>
      <c r="D191" s="17"/>
      <c r="E191" s="23"/>
      <c r="F191" s="30"/>
      <c r="G191" s="30"/>
      <c r="H191" s="220"/>
      <c r="I191" s="21"/>
      <c r="J191" s="220"/>
      <c r="K191" s="21"/>
      <c r="L191" s="21"/>
      <c r="M191" s="219"/>
      <c r="N191" s="21"/>
      <c r="O191" s="21"/>
      <c r="P191" s="219"/>
      <c r="Q191" s="23"/>
      <c r="V191" s="11"/>
    </row>
    <row r="192" spans="1:25" x14ac:dyDescent="0.2">
      <c r="A192" s="23"/>
      <c r="B192" s="23"/>
      <c r="C192" s="23"/>
      <c r="D192" s="17"/>
      <c r="E192" s="23"/>
      <c r="F192" s="30"/>
      <c r="G192" s="30"/>
      <c r="H192" s="220"/>
      <c r="I192" s="21"/>
      <c r="J192" s="220"/>
      <c r="K192" s="21"/>
      <c r="L192" s="21"/>
      <c r="M192" s="219"/>
      <c r="N192" s="21"/>
      <c r="O192" s="21"/>
      <c r="P192" s="219"/>
      <c r="Q192" s="23"/>
      <c r="V192" s="11"/>
    </row>
    <row r="193" spans="1:22" x14ac:dyDescent="0.2">
      <c r="A193" s="23"/>
      <c r="B193" s="23"/>
      <c r="C193" s="23"/>
      <c r="D193" s="17"/>
      <c r="E193" s="23"/>
      <c r="F193" s="30"/>
      <c r="G193" s="30"/>
      <c r="H193" s="220"/>
      <c r="I193" s="21"/>
      <c r="J193" s="220"/>
      <c r="K193" s="21"/>
      <c r="L193" s="21"/>
      <c r="M193" s="219"/>
      <c r="N193" s="21"/>
      <c r="O193" s="21"/>
      <c r="P193" s="219"/>
      <c r="Q193" s="23"/>
      <c r="V193" s="11"/>
    </row>
    <row r="194" spans="1:22" x14ac:dyDescent="0.2">
      <c r="A194" s="23"/>
      <c r="B194" s="23"/>
      <c r="C194" s="23"/>
      <c r="D194" s="17"/>
      <c r="E194" s="23"/>
      <c r="F194" s="30"/>
      <c r="G194" s="30"/>
      <c r="H194" s="220"/>
      <c r="I194" s="21"/>
      <c r="J194" s="220"/>
      <c r="K194" s="21"/>
      <c r="L194" s="21"/>
      <c r="M194" s="219"/>
      <c r="N194" s="21"/>
      <c r="O194" s="21"/>
      <c r="P194" s="219"/>
      <c r="Q194" s="23"/>
      <c r="V194" s="11"/>
    </row>
    <row r="195" spans="1:22" x14ac:dyDescent="0.2">
      <c r="A195" s="23"/>
      <c r="B195" s="23"/>
      <c r="C195" s="23"/>
      <c r="D195" s="17"/>
      <c r="E195" s="23"/>
      <c r="F195" s="30"/>
      <c r="G195" s="30"/>
      <c r="H195" s="220"/>
      <c r="I195" s="21"/>
      <c r="J195" s="220"/>
      <c r="K195" s="21"/>
      <c r="L195" s="21"/>
      <c r="M195" s="219"/>
      <c r="N195" s="21"/>
      <c r="O195" s="21"/>
      <c r="P195" s="219"/>
      <c r="Q195" s="23"/>
      <c r="V195" s="11"/>
    </row>
    <row r="196" spans="1:22" x14ac:dyDescent="0.2">
      <c r="A196" s="23"/>
      <c r="B196" s="23"/>
      <c r="C196" s="23"/>
      <c r="D196" s="17"/>
      <c r="E196" s="23"/>
      <c r="F196" s="30"/>
      <c r="G196" s="30"/>
      <c r="H196" s="220"/>
      <c r="I196" s="21"/>
      <c r="J196" s="220"/>
      <c r="K196" s="21"/>
      <c r="L196" s="21"/>
      <c r="M196" s="219"/>
      <c r="N196" s="21"/>
      <c r="O196" s="21"/>
      <c r="P196" s="219"/>
      <c r="Q196" s="23"/>
    </row>
    <row r="197" spans="1:22" x14ac:dyDescent="0.2">
      <c r="A197" s="23"/>
      <c r="B197" s="23"/>
      <c r="C197" s="23"/>
      <c r="D197" s="17"/>
      <c r="E197" s="23"/>
      <c r="F197" s="30"/>
      <c r="G197" s="30"/>
      <c r="H197" s="20"/>
      <c r="I197" s="21"/>
      <c r="J197" s="220"/>
      <c r="K197" s="21"/>
      <c r="L197" s="21"/>
      <c r="M197" s="21"/>
      <c r="N197" s="21"/>
      <c r="P197" s="21"/>
      <c r="Q197" s="23"/>
    </row>
    <row r="198" spans="1:22" x14ac:dyDescent="0.2">
      <c r="A198" s="23"/>
      <c r="B198" s="23"/>
      <c r="C198" s="23"/>
      <c r="D198" s="17"/>
      <c r="E198" s="23"/>
      <c r="F198" s="30"/>
      <c r="G198" s="30"/>
      <c r="H198" s="20"/>
      <c r="I198" s="21"/>
      <c r="J198" s="220"/>
      <c r="K198" s="21"/>
      <c r="L198" s="21"/>
      <c r="M198" s="21"/>
      <c r="N198" s="21"/>
      <c r="O198" s="21"/>
      <c r="P198" s="21"/>
      <c r="Q198" s="23"/>
    </row>
    <row r="199" spans="1:22" x14ac:dyDescent="0.2">
      <c r="A199" s="23"/>
      <c r="B199" s="23"/>
      <c r="C199" s="23"/>
      <c r="D199" s="17"/>
      <c r="E199" s="23"/>
      <c r="F199" s="30"/>
      <c r="G199" s="30"/>
      <c r="H199" s="20"/>
      <c r="I199" s="21"/>
      <c r="J199" s="20"/>
      <c r="K199" s="21"/>
      <c r="L199" s="21"/>
      <c r="M199" s="21"/>
      <c r="N199" s="21"/>
      <c r="O199" s="21"/>
      <c r="P199" s="21"/>
      <c r="Q199" s="23"/>
    </row>
    <row r="201" spans="1:22" ht="14.5" customHeight="1" x14ac:dyDescent="0.2">
      <c r="A201" t="s">
        <v>37</v>
      </c>
      <c r="C201" s="232" t="s">
        <v>223</v>
      </c>
      <c r="D201" s="233"/>
      <c r="E201" s="233"/>
      <c r="F201" s="233"/>
      <c r="G201" s="233"/>
      <c r="H201" s="233"/>
      <c r="I201" s="233"/>
      <c r="J201" s="233"/>
      <c r="K201" s="233"/>
      <c r="L201" s="233"/>
      <c r="M201" s="234"/>
      <c r="N201" s="79"/>
    </row>
    <row r="202" spans="1:22" x14ac:dyDescent="0.2">
      <c r="C202" s="235"/>
      <c r="D202" s="236"/>
      <c r="E202" s="236"/>
      <c r="F202" s="236"/>
      <c r="G202" s="236"/>
      <c r="H202" s="236"/>
      <c r="I202" s="236"/>
      <c r="J202" s="236"/>
      <c r="K202" s="236"/>
      <c r="L202" s="236"/>
      <c r="M202" s="237"/>
      <c r="N202" s="79"/>
    </row>
    <row r="203" spans="1:22" x14ac:dyDescent="0.2">
      <c r="C203" s="238"/>
      <c r="D203" s="239"/>
      <c r="E203" s="239"/>
      <c r="F203" s="239"/>
      <c r="G203" s="239"/>
      <c r="H203" s="239"/>
      <c r="I203" s="239"/>
      <c r="J203" s="239"/>
      <c r="K203" s="239"/>
      <c r="L203" s="239"/>
      <c r="M203" s="240"/>
      <c r="N203" s="79"/>
    </row>
    <row r="204" spans="1:22" x14ac:dyDescent="0.2">
      <c r="C204" s="14"/>
      <c r="D204" s="14"/>
      <c r="E204" s="14"/>
      <c r="F204" s="14"/>
      <c r="G204" s="14"/>
      <c r="H204" s="14"/>
      <c r="I204" s="14"/>
      <c r="J204" s="14"/>
      <c r="K204" s="14"/>
      <c r="L204" s="14"/>
      <c r="S204" s="241"/>
      <c r="T204" s="241"/>
    </row>
    <row r="205" spans="1:22" ht="14.5" customHeight="1" x14ac:dyDescent="0.2">
      <c r="C205" s="232" t="s">
        <v>535</v>
      </c>
      <c r="D205" s="233"/>
      <c r="E205" s="233"/>
      <c r="F205" s="233"/>
      <c r="G205" s="233"/>
      <c r="H205" s="233"/>
      <c r="I205" s="233"/>
      <c r="J205" s="233"/>
      <c r="K205" s="233"/>
      <c r="L205" s="233"/>
      <c r="M205" s="233"/>
      <c r="N205" s="233"/>
      <c r="O205" s="233"/>
      <c r="P205" s="234"/>
    </row>
    <row r="206" spans="1:22" x14ac:dyDescent="0.2">
      <c r="C206" s="235"/>
      <c r="D206" s="236"/>
      <c r="E206" s="236"/>
      <c r="F206" s="236"/>
      <c r="G206" s="236"/>
      <c r="H206" s="236"/>
      <c r="I206" s="236"/>
      <c r="J206" s="236"/>
      <c r="K206" s="236"/>
      <c r="L206" s="236"/>
      <c r="M206" s="236"/>
      <c r="N206" s="236"/>
      <c r="O206" s="236"/>
      <c r="P206" s="237"/>
      <c r="Q206" s="241"/>
      <c r="R206" s="241"/>
    </row>
    <row r="207" spans="1:22" x14ac:dyDescent="0.2">
      <c r="C207" s="238"/>
      <c r="D207" s="239"/>
      <c r="E207" s="239"/>
      <c r="F207" s="239"/>
      <c r="G207" s="239"/>
      <c r="H207" s="239"/>
      <c r="I207" s="239"/>
      <c r="J207" s="239"/>
      <c r="K207" s="239"/>
      <c r="L207" s="239"/>
      <c r="M207" s="239"/>
      <c r="N207" s="239"/>
      <c r="O207" s="239"/>
      <c r="P207" s="240"/>
      <c r="Q207" s="74"/>
      <c r="R207" s="74"/>
      <c r="T207" s="11"/>
    </row>
    <row r="208" spans="1:22" x14ac:dyDescent="0.2">
      <c r="C208" s="77"/>
      <c r="D208" s="77"/>
      <c r="E208" s="77"/>
      <c r="F208" s="77"/>
      <c r="G208" s="77"/>
      <c r="H208" s="77"/>
      <c r="I208" s="77"/>
      <c r="J208" s="77"/>
      <c r="K208" s="77"/>
      <c r="L208" s="77"/>
      <c r="M208" s="77"/>
      <c r="N208" s="77"/>
      <c r="O208" s="77"/>
      <c r="P208" s="77"/>
      <c r="Q208" s="74"/>
      <c r="R208" s="74"/>
      <c r="T208" s="11"/>
    </row>
    <row r="209" spans="1:20" x14ac:dyDescent="0.2">
      <c r="O209"/>
      <c r="P209" s="11"/>
      <c r="Q209" s="74"/>
      <c r="R209" s="11"/>
      <c r="T209" s="11"/>
    </row>
    <row r="210" spans="1:20" ht="14.5" customHeight="1" x14ac:dyDescent="0.2">
      <c r="C210" s="232" t="s">
        <v>217</v>
      </c>
      <c r="D210" s="233"/>
      <c r="E210" s="233"/>
      <c r="F210" s="233"/>
      <c r="G210" s="233"/>
      <c r="H210" s="233"/>
      <c r="I210" s="233"/>
      <c r="J210" s="233"/>
      <c r="K210" s="233"/>
      <c r="L210" s="233"/>
      <c r="M210" s="233"/>
      <c r="N210" s="233"/>
      <c r="O210" s="233"/>
      <c r="P210" s="234"/>
    </row>
    <row r="211" spans="1:20" x14ac:dyDescent="0.2">
      <c r="C211" s="235"/>
      <c r="D211" s="236"/>
      <c r="E211" s="236"/>
      <c r="F211" s="236"/>
      <c r="G211" s="236"/>
      <c r="H211" s="236"/>
      <c r="I211" s="236"/>
      <c r="J211" s="236"/>
      <c r="K211" s="236"/>
      <c r="L211" s="236"/>
      <c r="M211" s="236"/>
      <c r="N211" s="236"/>
      <c r="O211" s="236"/>
      <c r="P211" s="237"/>
      <c r="Q211" s="241"/>
      <c r="R211" s="241"/>
    </row>
    <row r="212" spans="1:20" x14ac:dyDescent="0.2">
      <c r="C212" s="238"/>
      <c r="D212" s="239"/>
      <c r="E212" s="239"/>
      <c r="F212" s="239"/>
      <c r="G212" s="239"/>
      <c r="H212" s="239"/>
      <c r="I212" s="239"/>
      <c r="J212" s="239"/>
      <c r="K212" s="239"/>
      <c r="L212" s="239"/>
      <c r="M212" s="239"/>
      <c r="N212" s="239"/>
      <c r="O212" s="239"/>
      <c r="P212" s="240"/>
      <c r="Q212" s="214"/>
      <c r="R212" s="214"/>
      <c r="T212" s="11"/>
    </row>
    <row r="213" spans="1:20" x14ac:dyDescent="0.2">
      <c r="C213" s="215"/>
      <c r="D213" s="215"/>
      <c r="E213" s="215"/>
      <c r="F213" s="215"/>
      <c r="G213" s="215"/>
      <c r="H213" s="215"/>
      <c r="I213" s="215"/>
      <c r="J213" s="215"/>
      <c r="K213" s="215"/>
      <c r="L213" s="215"/>
      <c r="M213" s="215"/>
      <c r="N213" s="215"/>
      <c r="O213" s="215"/>
      <c r="P213" s="215"/>
      <c r="Q213" s="214"/>
      <c r="R213" s="214"/>
      <c r="T213" s="11"/>
    </row>
    <row r="214" spans="1:20" x14ac:dyDescent="0.2">
      <c r="A214" s="1"/>
      <c r="B214" s="1" t="s">
        <v>201</v>
      </c>
      <c r="O214"/>
      <c r="P214" s="11"/>
      <c r="Q214" s="74"/>
      <c r="R214" s="11"/>
      <c r="T214" s="11"/>
    </row>
    <row r="215" spans="1:20" x14ac:dyDescent="0.2">
      <c r="A215" s="1"/>
      <c r="B215" s="1"/>
      <c r="N215" s="75" t="s">
        <v>207</v>
      </c>
      <c r="P215" s="11"/>
      <c r="Q215" s="74"/>
      <c r="R215" s="11"/>
      <c r="T215" s="11"/>
    </row>
    <row r="216" spans="1:20" x14ac:dyDescent="0.2">
      <c r="P216" s="11"/>
      <c r="Q216" s="74"/>
      <c r="R216" s="11"/>
      <c r="T216" s="11"/>
    </row>
    <row r="217" spans="1:20" x14ac:dyDescent="0.2">
      <c r="P217" s="11"/>
      <c r="Q217" s="74"/>
      <c r="R217" s="11"/>
    </row>
    <row r="218" spans="1:20" x14ac:dyDescent="0.2">
      <c r="P218" s="11"/>
      <c r="Q218" s="74"/>
      <c r="R218" s="11"/>
    </row>
    <row r="236" spans="6:15" x14ac:dyDescent="0.2">
      <c r="F236"/>
      <c r="G236"/>
      <c r="H236"/>
      <c r="I236"/>
      <c r="J236"/>
      <c r="L236"/>
      <c r="M236"/>
      <c r="N236"/>
      <c r="O236"/>
    </row>
    <row r="237" spans="6:15" x14ac:dyDescent="0.2">
      <c r="F237"/>
      <c r="G237"/>
      <c r="H237"/>
      <c r="I237"/>
      <c r="J237"/>
      <c r="L237"/>
      <c r="M237"/>
      <c r="N237"/>
      <c r="O237"/>
    </row>
    <row r="238" spans="6:15" x14ac:dyDescent="0.2">
      <c r="F238"/>
      <c r="G238"/>
      <c r="H238"/>
      <c r="I238"/>
      <c r="J238"/>
      <c r="L238"/>
      <c r="M238"/>
      <c r="N238"/>
      <c r="O238"/>
    </row>
    <row r="239" spans="6:15" x14ac:dyDescent="0.2">
      <c r="F239"/>
      <c r="G239"/>
      <c r="H239"/>
      <c r="I239"/>
      <c r="J239"/>
      <c r="L239"/>
      <c r="M239"/>
      <c r="N239"/>
      <c r="O239"/>
    </row>
    <row r="240" spans="6:15" x14ac:dyDescent="0.2">
      <c r="F240"/>
      <c r="G240"/>
      <c r="H240"/>
      <c r="I240"/>
      <c r="J240"/>
      <c r="L240"/>
      <c r="M240"/>
      <c r="N240"/>
      <c r="O240"/>
    </row>
    <row r="241" spans="6:15" x14ac:dyDescent="0.2">
      <c r="F241"/>
      <c r="G241"/>
      <c r="H241"/>
      <c r="I241"/>
      <c r="J241"/>
      <c r="L241"/>
      <c r="M241"/>
      <c r="N241"/>
      <c r="O241"/>
    </row>
    <row r="242" spans="6:15" x14ac:dyDescent="0.2">
      <c r="F242"/>
      <c r="G242"/>
      <c r="H242"/>
      <c r="I242"/>
      <c r="J242"/>
      <c r="L242"/>
      <c r="M242"/>
      <c r="N242"/>
      <c r="O242"/>
    </row>
    <row r="243" spans="6:15" x14ac:dyDescent="0.2">
      <c r="F243"/>
      <c r="G243"/>
      <c r="H243"/>
      <c r="I243"/>
      <c r="J243"/>
      <c r="L243"/>
      <c r="M243"/>
      <c r="N243"/>
      <c r="O243"/>
    </row>
    <row r="244" spans="6:15" x14ac:dyDescent="0.2">
      <c r="F244"/>
      <c r="G244"/>
      <c r="H244"/>
      <c r="I244"/>
      <c r="J244"/>
      <c r="L244"/>
      <c r="M244"/>
      <c r="N244"/>
      <c r="O244"/>
    </row>
  </sheetData>
  <mergeCells count="16">
    <mergeCell ref="C210:P212"/>
    <mergeCell ref="Q211:R211"/>
    <mergeCell ref="AB72:AC72"/>
    <mergeCell ref="AD72:AE72"/>
    <mergeCell ref="AF72:AG72"/>
    <mergeCell ref="C205:P207"/>
    <mergeCell ref="Q206:R206"/>
    <mergeCell ref="S204:T204"/>
    <mergeCell ref="U183:V183"/>
    <mergeCell ref="C201:M203"/>
    <mergeCell ref="K3:M3"/>
    <mergeCell ref="S3:Y10"/>
    <mergeCell ref="X183:Y183"/>
    <mergeCell ref="V22:W22"/>
    <mergeCell ref="X22:Y22"/>
    <mergeCell ref="K5:K8"/>
  </mergeCells>
  <pageMargins left="0.7" right="0.7" top="0.75" bottom="0.75" header="0.3" footer="0.3"/>
  <drawing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AI158"/>
  <sheetViews>
    <sheetView topLeftCell="N3" zoomScale="70" zoomScaleNormal="70" zoomScalePageLayoutView="70" workbookViewId="0">
      <selection activeCell="AL43" sqref="AL42:AL43"/>
    </sheetView>
  </sheetViews>
  <sheetFormatPr baseColWidth="10" defaultColWidth="8.83203125" defaultRowHeight="15" x14ac:dyDescent="0.2"/>
  <cols>
    <col min="1" max="2" width="20.6640625" customWidth="1"/>
    <col min="3" max="3" width="16.33203125" customWidth="1"/>
    <col min="4" max="4" width="10.1640625" customWidth="1"/>
    <col min="5" max="5" width="13.5" customWidth="1"/>
    <col min="6" max="6" width="13.5" style="84" customWidth="1"/>
    <col min="7" max="7" width="11.6640625" style="84" customWidth="1"/>
    <col min="8" max="8" width="10.1640625" style="84" customWidth="1"/>
    <col min="9" max="9" width="12.33203125" style="88" customWidth="1"/>
    <col min="10" max="10" width="30.33203125" style="84" customWidth="1"/>
    <col min="11" max="13" width="13.5" style="88" customWidth="1"/>
    <col min="14" max="14" width="10.1640625" style="88" customWidth="1"/>
    <col min="15" max="15" width="10.1640625" style="84" customWidth="1"/>
    <col min="16" max="16" width="16.33203125" style="84" customWidth="1"/>
    <col min="17" max="17" width="9.5" customWidth="1"/>
    <col min="18" max="18" width="11.83203125" customWidth="1"/>
  </cols>
  <sheetData>
    <row r="2" spans="1:35" x14ac:dyDescent="0.2">
      <c r="AG2" s="73"/>
    </row>
    <row r="3" spans="1:35" ht="30" x14ac:dyDescent="0.2">
      <c r="A3" s="14" t="s">
        <v>0</v>
      </c>
      <c r="B3" s="14"/>
      <c r="C3" s="14"/>
      <c r="D3" s="14" t="s">
        <v>13</v>
      </c>
      <c r="E3" s="14" t="s">
        <v>28</v>
      </c>
      <c r="F3" s="87" t="s">
        <v>1</v>
      </c>
      <c r="G3" s="87" t="s">
        <v>2</v>
      </c>
      <c r="H3" s="87" t="s">
        <v>4</v>
      </c>
      <c r="I3" s="85" t="s">
        <v>8</v>
      </c>
      <c r="J3" s="87" t="s">
        <v>3</v>
      </c>
      <c r="K3" s="230" t="s">
        <v>20</v>
      </c>
      <c r="L3" s="230"/>
      <c r="M3" s="230"/>
      <c r="N3" s="85"/>
      <c r="O3" s="14" t="s">
        <v>21</v>
      </c>
      <c r="P3" s="14"/>
      <c r="Q3" s="14"/>
      <c r="R3" s="14"/>
      <c r="S3" s="231" t="s">
        <v>41</v>
      </c>
      <c r="T3" s="231"/>
      <c r="U3" s="231"/>
      <c r="V3" s="231"/>
      <c r="W3" s="231"/>
      <c r="X3" s="231"/>
      <c r="Y3" s="231"/>
      <c r="Z3" s="14"/>
      <c r="AE3" t="s">
        <v>5</v>
      </c>
      <c r="AF3" s="73" t="s">
        <v>134</v>
      </c>
      <c r="AI3" s="14" t="s">
        <v>153</v>
      </c>
    </row>
    <row r="4" spans="1:35" x14ac:dyDescent="0.2">
      <c r="A4" s="26"/>
      <c r="B4" s="26" t="s">
        <v>42</v>
      </c>
      <c r="C4" s="26" t="s">
        <v>10</v>
      </c>
      <c r="D4" s="26"/>
      <c r="E4" s="26"/>
      <c r="F4" s="25"/>
      <c r="G4" s="25"/>
      <c r="H4" s="25" t="s">
        <v>7</v>
      </c>
      <c r="I4" s="27" t="s">
        <v>9</v>
      </c>
      <c r="J4" s="25"/>
      <c r="K4" s="8" t="s">
        <v>55</v>
      </c>
      <c r="L4" s="27" t="s">
        <v>56</v>
      </c>
      <c r="M4" s="27" t="s">
        <v>5</v>
      </c>
      <c r="N4" s="27" t="s">
        <v>55</v>
      </c>
      <c r="O4" s="25" t="s">
        <v>120</v>
      </c>
      <c r="P4" s="25" t="s">
        <v>12</v>
      </c>
      <c r="Q4" s="26" t="s">
        <v>22</v>
      </c>
      <c r="R4" s="14"/>
      <c r="S4" s="231"/>
      <c r="T4" s="231"/>
      <c r="U4" s="231"/>
      <c r="V4" s="231"/>
      <c r="W4" s="231"/>
      <c r="X4" s="231"/>
      <c r="Y4" s="231"/>
      <c r="Z4" s="14"/>
      <c r="AE4">
        <v>0</v>
      </c>
      <c r="AF4" s="11">
        <v>0</v>
      </c>
      <c r="AG4" s="11"/>
    </row>
    <row r="5" spans="1:35" x14ac:dyDescent="0.2">
      <c r="A5" t="s">
        <v>163</v>
      </c>
      <c r="B5" t="s">
        <v>164</v>
      </c>
      <c r="C5" t="s">
        <v>165</v>
      </c>
      <c r="E5">
        <v>2039</v>
      </c>
      <c r="F5" s="93" t="s">
        <v>176</v>
      </c>
      <c r="G5" s="5"/>
      <c r="H5" s="84">
        <v>108</v>
      </c>
      <c r="I5" s="95" t="s">
        <v>166</v>
      </c>
      <c r="J5" s="84" t="s">
        <v>74</v>
      </c>
      <c r="K5" s="88" t="s">
        <v>175</v>
      </c>
      <c r="L5" s="88">
        <v>0</v>
      </c>
      <c r="M5" s="88">
        <f>L5/L$13*100</f>
        <v>0</v>
      </c>
      <c r="N5" s="88" t="s">
        <v>176</v>
      </c>
      <c r="O5" s="84">
        <v>0</v>
      </c>
      <c r="P5" s="88">
        <f>O5/O$13*100</f>
        <v>0</v>
      </c>
      <c r="Q5" t="s">
        <v>177</v>
      </c>
      <c r="S5" s="231"/>
      <c r="T5" s="231"/>
      <c r="U5" s="231"/>
      <c r="V5" s="231"/>
      <c r="W5" s="231"/>
      <c r="X5" s="231"/>
      <c r="Y5" s="231"/>
      <c r="AE5">
        <v>10</v>
      </c>
      <c r="AF5" s="11">
        <v>1.25</v>
      </c>
      <c r="AG5" s="11"/>
    </row>
    <row r="6" spans="1:35" x14ac:dyDescent="0.2">
      <c r="A6" s="23"/>
      <c r="B6" s="23"/>
      <c r="C6" s="23"/>
      <c r="D6" s="23"/>
      <c r="E6" s="23"/>
      <c r="F6" s="20"/>
      <c r="G6" s="20"/>
      <c r="H6" s="20"/>
      <c r="I6" s="21"/>
      <c r="J6" s="84" t="s">
        <v>167</v>
      </c>
      <c r="K6" s="21"/>
      <c r="L6" s="21">
        <v>38</v>
      </c>
      <c r="M6" s="88">
        <f t="shared" ref="M6:M13" si="0">L6/L$13*100</f>
        <v>35.185185185185183</v>
      </c>
      <c r="N6" s="21"/>
      <c r="O6" s="88">
        <v>21</v>
      </c>
      <c r="P6" s="88">
        <f t="shared" ref="P6:P13" si="1">O6/O$13*100</f>
        <v>18.584070796460178</v>
      </c>
      <c r="Q6" s="23"/>
      <c r="S6" s="231"/>
      <c r="T6" s="231"/>
      <c r="U6" s="231"/>
      <c r="V6" s="231"/>
      <c r="W6" s="231"/>
      <c r="X6" s="231"/>
      <c r="Y6" s="231"/>
      <c r="AE6">
        <v>20</v>
      </c>
      <c r="AF6" s="11">
        <v>3.75</v>
      </c>
      <c r="AG6" s="11"/>
    </row>
    <row r="7" spans="1:35" x14ac:dyDescent="0.2">
      <c r="A7" s="23"/>
      <c r="B7" s="23"/>
      <c r="C7" s="23"/>
      <c r="D7" s="23"/>
      <c r="E7" s="23"/>
      <c r="F7" s="20"/>
      <c r="G7" s="20"/>
      <c r="H7" s="20"/>
      <c r="I7" s="21"/>
      <c r="J7" s="84" t="s">
        <v>168</v>
      </c>
      <c r="K7" s="21"/>
      <c r="L7" s="21">
        <v>48</v>
      </c>
      <c r="M7" s="88">
        <f t="shared" si="0"/>
        <v>44.444444444444443</v>
      </c>
      <c r="N7" s="21"/>
      <c r="O7" s="21">
        <v>52</v>
      </c>
      <c r="P7" s="88">
        <f t="shared" si="1"/>
        <v>46.017699115044245</v>
      </c>
      <c r="Q7" s="23"/>
      <c r="S7" s="231"/>
      <c r="T7" s="231"/>
      <c r="U7" s="231"/>
      <c r="V7" s="231"/>
      <c r="W7" s="231"/>
      <c r="X7" s="231"/>
      <c r="Y7" s="231"/>
      <c r="AE7">
        <v>30</v>
      </c>
      <c r="AF7" s="11">
        <v>9</v>
      </c>
      <c r="AG7" s="11"/>
    </row>
    <row r="8" spans="1:35" x14ac:dyDescent="0.2">
      <c r="A8" s="23"/>
      <c r="B8" s="23"/>
      <c r="C8" s="23"/>
      <c r="D8" s="23"/>
      <c r="E8" s="23"/>
      <c r="F8" s="20"/>
      <c r="G8" s="20"/>
      <c r="H8" s="20"/>
      <c r="I8" s="21"/>
      <c r="J8" s="20" t="s">
        <v>169</v>
      </c>
      <c r="K8" s="21"/>
      <c r="L8" s="21">
        <v>55</v>
      </c>
      <c r="M8" s="88">
        <f t="shared" si="0"/>
        <v>50.925925925925931</v>
      </c>
      <c r="N8" s="21"/>
      <c r="O8" s="21">
        <v>65</v>
      </c>
      <c r="P8" s="88">
        <f t="shared" si="1"/>
        <v>57.522123893805308</v>
      </c>
      <c r="Q8" s="23"/>
      <c r="S8" s="231"/>
      <c r="T8" s="231"/>
      <c r="U8" s="231"/>
      <c r="V8" s="231"/>
      <c r="W8" s="231"/>
      <c r="X8" s="231"/>
      <c r="Y8" s="231"/>
      <c r="AE8">
        <v>40</v>
      </c>
      <c r="AF8" s="11">
        <v>29</v>
      </c>
      <c r="AG8" s="11"/>
    </row>
    <row r="9" spans="1:35" x14ac:dyDescent="0.2">
      <c r="A9" s="23"/>
      <c r="B9" s="23"/>
      <c r="C9" s="29"/>
      <c r="D9" s="23"/>
      <c r="E9" s="23"/>
      <c r="F9" s="20"/>
      <c r="G9" s="20"/>
      <c r="H9" s="20"/>
      <c r="I9" s="21"/>
      <c r="J9" s="20" t="s">
        <v>170</v>
      </c>
      <c r="K9" s="21"/>
      <c r="L9" s="21">
        <v>62</v>
      </c>
      <c r="M9" s="88">
        <f t="shared" si="0"/>
        <v>57.407407407407405</v>
      </c>
      <c r="N9" s="21"/>
      <c r="O9" s="21">
        <v>73</v>
      </c>
      <c r="P9" s="88">
        <f t="shared" si="1"/>
        <v>64.601769911504419</v>
      </c>
      <c r="Q9" s="23"/>
      <c r="S9" s="231"/>
      <c r="T9" s="231"/>
      <c r="U9" s="231"/>
      <c r="V9" s="231"/>
      <c r="W9" s="231"/>
      <c r="X9" s="231"/>
      <c r="Y9" s="231"/>
      <c r="AE9">
        <v>50</v>
      </c>
      <c r="AF9" s="11">
        <v>45</v>
      </c>
      <c r="AG9" s="11"/>
    </row>
    <row r="10" spans="1:35" x14ac:dyDescent="0.2">
      <c r="A10" s="23"/>
      <c r="B10" s="23"/>
      <c r="C10" s="29"/>
      <c r="D10" s="23"/>
      <c r="E10" s="23"/>
      <c r="F10" s="30"/>
      <c r="G10" s="30"/>
      <c r="H10" s="20"/>
      <c r="I10" s="21"/>
      <c r="J10" s="20" t="s">
        <v>171</v>
      </c>
      <c r="K10" s="21"/>
      <c r="L10" s="21">
        <v>69</v>
      </c>
      <c r="M10" s="88">
        <f t="shared" si="0"/>
        <v>63.888888888888886</v>
      </c>
      <c r="N10" s="21"/>
      <c r="O10" s="21">
        <v>79</v>
      </c>
      <c r="P10" s="88">
        <f t="shared" si="1"/>
        <v>69.911504424778755</v>
      </c>
      <c r="Q10" s="23"/>
      <c r="S10" s="231"/>
      <c r="T10" s="231"/>
      <c r="U10" s="231"/>
      <c r="V10" s="231"/>
      <c r="W10" s="231"/>
      <c r="X10" s="231"/>
      <c r="Y10" s="231"/>
      <c r="AE10">
        <v>60</v>
      </c>
      <c r="AF10" s="11">
        <v>67</v>
      </c>
      <c r="AG10" s="11"/>
    </row>
    <row r="11" spans="1:35" x14ac:dyDescent="0.2">
      <c r="A11" s="23"/>
      <c r="B11" s="23"/>
      <c r="C11" s="29"/>
      <c r="D11" s="23"/>
      <c r="E11" s="23"/>
      <c r="F11" s="20"/>
      <c r="G11" s="20"/>
      <c r="H11" s="20"/>
      <c r="I11" s="21"/>
      <c r="J11" s="20" t="s">
        <v>172</v>
      </c>
      <c r="K11" s="21"/>
      <c r="L11" s="21">
        <v>79</v>
      </c>
      <c r="M11" s="88">
        <f t="shared" si="0"/>
        <v>73.148148148148152</v>
      </c>
      <c r="N11" s="21"/>
      <c r="O11" s="21">
        <v>92</v>
      </c>
      <c r="P11" s="88">
        <f t="shared" si="1"/>
        <v>81.415929203539832</v>
      </c>
      <c r="Q11" s="23"/>
      <c r="AE11">
        <v>70</v>
      </c>
      <c r="AF11" s="11">
        <v>82.75</v>
      </c>
      <c r="AG11" s="11"/>
    </row>
    <row r="12" spans="1:35" x14ac:dyDescent="0.2">
      <c r="A12" s="23"/>
      <c r="B12" s="23"/>
      <c r="C12" s="23"/>
      <c r="D12" s="23"/>
      <c r="E12" s="23"/>
      <c r="F12" s="20"/>
      <c r="G12" s="20"/>
      <c r="H12" s="20"/>
      <c r="I12" s="21"/>
      <c r="J12" s="20" t="s">
        <v>173</v>
      </c>
      <c r="K12" s="21"/>
      <c r="L12" s="21">
        <v>90</v>
      </c>
      <c r="M12" s="88">
        <f t="shared" si="0"/>
        <v>83.333333333333343</v>
      </c>
      <c r="N12" s="21"/>
      <c r="O12" s="21">
        <v>97</v>
      </c>
      <c r="P12" s="88">
        <f t="shared" si="1"/>
        <v>85.840707964601776</v>
      </c>
      <c r="Q12" s="23"/>
      <c r="AE12">
        <v>80</v>
      </c>
      <c r="AF12" s="11">
        <v>95</v>
      </c>
      <c r="AG12" s="11"/>
    </row>
    <row r="13" spans="1:35" x14ac:dyDescent="0.2">
      <c r="A13" s="23"/>
      <c r="B13" s="23"/>
      <c r="C13" s="23"/>
      <c r="D13" s="23"/>
      <c r="E13" s="23"/>
      <c r="F13" s="20"/>
      <c r="G13" s="20"/>
      <c r="H13" s="20"/>
      <c r="I13" s="21"/>
      <c r="J13" s="20" t="s">
        <v>174</v>
      </c>
      <c r="K13" s="21"/>
      <c r="L13" s="21">
        <v>108</v>
      </c>
      <c r="M13" s="88">
        <f t="shared" si="0"/>
        <v>100</v>
      </c>
      <c r="N13" s="21"/>
      <c r="O13" s="21">
        <v>113</v>
      </c>
      <c r="P13" s="88">
        <f t="shared" si="1"/>
        <v>100</v>
      </c>
      <c r="Q13" s="23"/>
      <c r="AE13">
        <v>90</v>
      </c>
      <c r="AF13" s="11">
        <v>98.75</v>
      </c>
      <c r="AG13" s="11"/>
    </row>
    <row r="14" spans="1:35" x14ac:dyDescent="0.2">
      <c r="A14" s="23"/>
      <c r="B14" s="23"/>
      <c r="C14" s="23"/>
      <c r="D14" s="23"/>
      <c r="E14" s="23">
        <v>5490</v>
      </c>
      <c r="F14" s="93" t="s">
        <v>176</v>
      </c>
      <c r="G14" s="20"/>
      <c r="H14" s="20"/>
      <c r="I14" s="95" t="s">
        <v>166</v>
      </c>
      <c r="J14" s="84" t="s">
        <v>74</v>
      </c>
      <c r="K14" s="21"/>
      <c r="L14" s="88">
        <v>0</v>
      </c>
      <c r="M14" s="88">
        <f>L14/L$22*100</f>
        <v>0</v>
      </c>
      <c r="N14" s="21"/>
      <c r="O14" s="21">
        <v>0</v>
      </c>
      <c r="P14" s="88">
        <f>O14/O$22*100</f>
        <v>0</v>
      </c>
      <c r="Q14" s="23"/>
      <c r="AE14">
        <v>100</v>
      </c>
      <c r="AF14" s="11">
        <v>100</v>
      </c>
      <c r="AG14" s="11"/>
    </row>
    <row r="15" spans="1:35" x14ac:dyDescent="0.2">
      <c r="A15" s="23"/>
      <c r="B15" s="23"/>
      <c r="C15" s="23"/>
      <c r="D15" s="23"/>
      <c r="E15" s="23"/>
      <c r="F15" s="30"/>
      <c r="G15" s="30"/>
      <c r="H15" s="20"/>
      <c r="I15" s="21"/>
      <c r="J15" s="84" t="s">
        <v>167</v>
      </c>
      <c r="K15" s="21"/>
      <c r="L15" s="21">
        <v>38</v>
      </c>
      <c r="M15" s="88">
        <f t="shared" ref="M15:M22" si="2">L15/L$22*100</f>
        <v>35.185185185185183</v>
      </c>
      <c r="N15" s="21"/>
      <c r="O15" s="21">
        <v>21</v>
      </c>
      <c r="P15" s="88">
        <f t="shared" ref="P15:P21" si="3">O15/O$22*100</f>
        <v>12.962962962962962</v>
      </c>
      <c r="Q15" s="23"/>
    </row>
    <row r="16" spans="1:35" x14ac:dyDescent="0.2">
      <c r="A16" s="23"/>
      <c r="B16" s="23"/>
      <c r="C16" s="23"/>
      <c r="D16" s="23"/>
      <c r="E16" s="23"/>
      <c r="F16" s="20"/>
      <c r="G16" s="20"/>
      <c r="H16" s="20"/>
      <c r="I16" s="21"/>
      <c r="J16" s="84" t="s">
        <v>168</v>
      </c>
      <c r="K16" s="21"/>
      <c r="L16" s="21">
        <v>48</v>
      </c>
      <c r="M16" s="88">
        <f t="shared" si="2"/>
        <v>44.444444444444443</v>
      </c>
      <c r="N16" s="21"/>
      <c r="O16" s="21">
        <v>73</v>
      </c>
      <c r="P16" s="88">
        <f t="shared" si="3"/>
        <v>45.061728395061728</v>
      </c>
      <c r="Q16" s="23"/>
    </row>
    <row r="17" spans="1:18" x14ac:dyDescent="0.2">
      <c r="A17" s="23"/>
      <c r="B17" s="23"/>
      <c r="C17" s="23"/>
      <c r="D17" s="23"/>
      <c r="E17" s="23"/>
      <c r="F17" s="20"/>
      <c r="G17" s="20"/>
      <c r="H17" s="20"/>
      <c r="I17" s="21"/>
      <c r="J17" s="20" t="s">
        <v>169</v>
      </c>
      <c r="K17" s="21"/>
      <c r="L17" s="21">
        <v>55</v>
      </c>
      <c r="M17" s="88">
        <f t="shared" si="2"/>
        <v>50.925925925925931</v>
      </c>
      <c r="N17" s="21"/>
      <c r="O17" s="21">
        <v>88</v>
      </c>
      <c r="P17" s="88">
        <f t="shared" si="3"/>
        <v>54.320987654320987</v>
      </c>
      <c r="Q17" s="23"/>
    </row>
    <row r="18" spans="1:18" x14ac:dyDescent="0.2">
      <c r="A18" s="23"/>
      <c r="B18" s="23"/>
      <c r="C18" s="23"/>
      <c r="D18" s="23"/>
      <c r="E18" s="23"/>
      <c r="F18" s="20"/>
      <c r="G18" s="20"/>
      <c r="H18" s="20"/>
      <c r="I18" s="21"/>
      <c r="J18" s="20" t="s">
        <v>170</v>
      </c>
      <c r="K18" s="21"/>
      <c r="L18" s="21">
        <v>62</v>
      </c>
      <c r="M18" s="88">
        <f t="shared" si="2"/>
        <v>57.407407407407405</v>
      </c>
      <c r="N18" s="21"/>
      <c r="O18" s="21">
        <v>109</v>
      </c>
      <c r="P18" s="88">
        <f t="shared" si="3"/>
        <v>67.283950617283949</v>
      </c>
      <c r="Q18" s="23"/>
    </row>
    <row r="19" spans="1:18" x14ac:dyDescent="0.2">
      <c r="A19" s="23"/>
      <c r="B19" s="23"/>
      <c r="C19" s="23"/>
      <c r="D19" s="23"/>
      <c r="E19" s="23"/>
      <c r="F19" s="20"/>
      <c r="G19" s="20"/>
      <c r="H19" s="20"/>
      <c r="I19" s="21"/>
      <c r="J19" s="20" t="s">
        <v>171</v>
      </c>
      <c r="K19" s="21"/>
      <c r="L19" s="21">
        <v>69</v>
      </c>
      <c r="M19" s="88">
        <f t="shared" si="2"/>
        <v>63.888888888888886</v>
      </c>
      <c r="N19" s="21"/>
      <c r="O19" s="21">
        <v>111</v>
      </c>
      <c r="P19" s="88">
        <f t="shared" si="3"/>
        <v>68.518518518518519</v>
      </c>
      <c r="Q19" s="23"/>
    </row>
    <row r="20" spans="1:18" x14ac:dyDescent="0.2">
      <c r="A20" s="23"/>
      <c r="B20" s="23"/>
      <c r="C20" s="23"/>
      <c r="D20" s="23"/>
      <c r="E20" s="23"/>
      <c r="F20" s="30"/>
      <c r="G20" s="30"/>
      <c r="H20" s="20"/>
      <c r="I20" s="21"/>
      <c r="J20" s="20" t="s">
        <v>172</v>
      </c>
      <c r="K20" s="21"/>
      <c r="L20" s="21">
        <v>79</v>
      </c>
      <c r="M20" s="88">
        <f t="shared" si="2"/>
        <v>73.148148148148152</v>
      </c>
      <c r="N20" s="21"/>
      <c r="O20" s="21">
        <v>135</v>
      </c>
      <c r="P20" s="88">
        <f t="shared" si="3"/>
        <v>83.333333333333343</v>
      </c>
      <c r="Q20" s="23"/>
    </row>
    <row r="21" spans="1:18" x14ac:dyDescent="0.2">
      <c r="A21" s="23"/>
      <c r="B21" s="23"/>
      <c r="C21" s="23"/>
      <c r="D21" s="23"/>
      <c r="E21" s="23"/>
      <c r="F21" s="20"/>
      <c r="G21" s="20"/>
      <c r="H21" s="20"/>
      <c r="I21" s="21"/>
      <c r="J21" s="20" t="s">
        <v>173</v>
      </c>
      <c r="K21" s="21"/>
      <c r="L21" s="21">
        <v>90</v>
      </c>
      <c r="M21" s="88">
        <f t="shared" si="2"/>
        <v>83.333333333333343</v>
      </c>
      <c r="N21" s="21"/>
      <c r="O21" s="21">
        <v>152</v>
      </c>
      <c r="P21" s="88">
        <f t="shared" si="3"/>
        <v>93.827160493827151</v>
      </c>
      <c r="Q21" s="23"/>
    </row>
    <row r="22" spans="1:18" x14ac:dyDescent="0.2">
      <c r="A22" s="23"/>
      <c r="B22" s="23"/>
      <c r="C22" s="23"/>
      <c r="D22" s="23"/>
      <c r="E22" s="23"/>
      <c r="F22" s="20"/>
      <c r="G22" s="20"/>
      <c r="H22" s="20"/>
      <c r="I22" s="21"/>
      <c r="J22" s="20" t="s">
        <v>174</v>
      </c>
      <c r="K22" s="21"/>
      <c r="L22" s="21">
        <v>108</v>
      </c>
      <c r="M22" s="88">
        <f t="shared" si="2"/>
        <v>100</v>
      </c>
      <c r="N22" s="21"/>
      <c r="O22" s="21">
        <v>162</v>
      </c>
      <c r="P22" s="88">
        <f>O22/O$22*100</f>
        <v>100</v>
      </c>
      <c r="Q22" s="23"/>
    </row>
    <row r="23" spans="1:18" x14ac:dyDescent="0.2">
      <c r="A23" s="23" t="s">
        <v>179</v>
      </c>
      <c r="B23" s="23" t="s">
        <v>181</v>
      </c>
      <c r="C23" s="23" t="s">
        <v>180</v>
      </c>
      <c r="D23" s="17" t="s">
        <v>185</v>
      </c>
      <c r="E23" s="23"/>
      <c r="F23" s="30">
        <v>34493</v>
      </c>
      <c r="G23" s="30">
        <f>F23+H23</f>
        <v>34668</v>
      </c>
      <c r="H23" s="20">
        <v>175</v>
      </c>
      <c r="I23" s="21">
        <f>19/1.12</f>
        <v>16.964285714285712</v>
      </c>
      <c r="J23" s="20"/>
      <c r="K23" s="21"/>
      <c r="L23" s="21">
        <v>0</v>
      </c>
      <c r="M23" s="88">
        <f>L23/L$29*100</f>
        <v>0</v>
      </c>
      <c r="N23" s="21" t="s">
        <v>184</v>
      </c>
      <c r="O23" s="21">
        <v>0</v>
      </c>
      <c r="P23" s="88">
        <f>O23/O$29*100</f>
        <v>0</v>
      </c>
      <c r="R23" s="94"/>
    </row>
    <row r="24" spans="1:18" x14ac:dyDescent="0.2">
      <c r="A24" s="23"/>
      <c r="B24" s="23"/>
      <c r="C24" s="23"/>
      <c r="D24" s="23"/>
      <c r="E24" s="23"/>
      <c r="F24" s="20"/>
      <c r="G24" s="20"/>
      <c r="H24" s="20"/>
      <c r="I24" s="21"/>
      <c r="J24" s="20"/>
      <c r="K24" s="21"/>
      <c r="L24" s="21">
        <v>34.130019120458883</v>
      </c>
      <c r="M24" s="88">
        <f t="shared" ref="M24:M29" si="4">L24/L$29*100</f>
        <v>19.502868068833649</v>
      </c>
      <c r="N24" s="21"/>
      <c r="O24" s="21">
        <v>2.9962546816479403</v>
      </c>
      <c r="P24" s="88">
        <f t="shared" ref="P24:P29" si="5">O24/O$29*100</f>
        <v>3.563474387527839</v>
      </c>
      <c r="Q24" s="23"/>
    </row>
    <row r="25" spans="1:18" x14ac:dyDescent="0.2">
      <c r="A25" s="23"/>
      <c r="B25" s="23"/>
      <c r="C25" s="23"/>
      <c r="D25" s="23"/>
      <c r="E25" s="23"/>
      <c r="F25" s="20"/>
      <c r="G25" s="20"/>
      <c r="H25" s="20"/>
      <c r="I25" s="21"/>
      <c r="J25" s="20" t="s">
        <v>183</v>
      </c>
      <c r="K25" s="21"/>
      <c r="L25" s="21">
        <v>54.875717017208402</v>
      </c>
      <c r="M25" s="88">
        <f t="shared" si="4"/>
        <v>31.357552581261945</v>
      </c>
      <c r="N25" s="21"/>
      <c r="O25" s="21">
        <v>12.921348314606742</v>
      </c>
      <c r="P25" s="88">
        <f t="shared" si="5"/>
        <v>15.367483296213805</v>
      </c>
      <c r="Q25" s="23"/>
    </row>
    <row r="26" spans="1:18" x14ac:dyDescent="0.2">
      <c r="A26" s="23"/>
      <c r="B26" s="23"/>
      <c r="C26" s="23"/>
      <c r="D26" s="23"/>
      <c r="E26" s="23"/>
      <c r="F26" s="20"/>
      <c r="G26" s="20"/>
      <c r="H26" s="20"/>
      <c r="I26" s="21"/>
      <c r="J26" s="20"/>
      <c r="K26" s="21"/>
      <c r="L26" s="21">
        <v>76.290630975143387</v>
      </c>
      <c r="M26" s="88">
        <f t="shared" si="4"/>
        <v>43.594646271510506</v>
      </c>
      <c r="N26" s="21"/>
      <c r="O26" s="21">
        <v>32.397003745318351</v>
      </c>
      <c r="P26" s="88">
        <f t="shared" si="5"/>
        <v>38.530066815144757</v>
      </c>
      <c r="Q26" s="23"/>
    </row>
    <row r="27" spans="1:18" x14ac:dyDescent="0.2">
      <c r="A27" s="23"/>
      <c r="B27" s="23"/>
      <c r="C27" s="23"/>
      <c r="D27" s="23"/>
      <c r="E27" s="23"/>
      <c r="F27" s="20"/>
      <c r="G27" s="20"/>
      <c r="H27" s="20"/>
      <c r="I27" s="21"/>
      <c r="J27" s="20"/>
      <c r="K27" s="21"/>
      <c r="L27" s="21">
        <v>97.705544933078372</v>
      </c>
      <c r="M27" s="88">
        <f t="shared" si="4"/>
        <v>55.831739961759077</v>
      </c>
      <c r="N27" s="21"/>
      <c r="O27" s="21">
        <v>78.089887640449433</v>
      </c>
      <c r="P27" s="88">
        <f t="shared" si="5"/>
        <v>92.873051224944291</v>
      </c>
      <c r="Q27" s="23"/>
    </row>
    <row r="28" spans="1:18" x14ac:dyDescent="0.2">
      <c r="A28" s="23"/>
      <c r="B28" s="23"/>
      <c r="C28" s="23"/>
      <c r="D28" s="23"/>
      <c r="E28" s="23"/>
      <c r="F28" s="20"/>
      <c r="G28" s="20"/>
      <c r="H28" s="20"/>
      <c r="I28" s="21"/>
      <c r="J28" s="20" t="s">
        <v>186</v>
      </c>
      <c r="K28" s="21"/>
      <c r="L28" s="21">
        <v>125.14340344168258</v>
      </c>
      <c r="M28" s="88">
        <f t="shared" si="4"/>
        <v>71.510516252390047</v>
      </c>
      <c r="N28" s="21"/>
      <c r="O28" s="21">
        <v>70.973782771535582</v>
      </c>
      <c r="P28" s="88">
        <f t="shared" si="5"/>
        <v>84.40979955456568</v>
      </c>
      <c r="Q28" s="23"/>
    </row>
    <row r="29" spans="1:18" x14ac:dyDescent="0.2">
      <c r="A29" s="23"/>
      <c r="B29" s="23"/>
      <c r="C29" s="23"/>
      <c r="D29" s="23"/>
      <c r="E29" s="23"/>
      <c r="F29" s="20"/>
      <c r="G29" s="20"/>
      <c r="H29" s="20"/>
      <c r="I29" s="21"/>
      <c r="J29" s="20"/>
      <c r="K29" s="21"/>
      <c r="L29" s="21">
        <v>175</v>
      </c>
      <c r="M29" s="88">
        <f t="shared" si="4"/>
        <v>100</v>
      </c>
      <c r="N29" s="21"/>
      <c r="O29" s="21">
        <v>84.082397003745342</v>
      </c>
      <c r="P29" s="88">
        <f t="shared" si="5"/>
        <v>100</v>
      </c>
      <c r="Q29" s="23"/>
    </row>
    <row r="30" spans="1:18" x14ac:dyDescent="0.2">
      <c r="A30" s="223" t="s">
        <v>187</v>
      </c>
      <c r="B30" s="223" t="s">
        <v>188</v>
      </c>
      <c r="C30" s="223" t="s">
        <v>189</v>
      </c>
      <c r="D30" s="223" t="s">
        <v>190</v>
      </c>
      <c r="E30" s="223"/>
      <c r="F30" s="224">
        <v>40527</v>
      </c>
      <c r="G30" s="224">
        <v>40696</v>
      </c>
      <c r="H30" s="225">
        <f>G30-F30</f>
        <v>169</v>
      </c>
      <c r="I30" s="226">
        <v>0</v>
      </c>
      <c r="J30" s="227" t="s">
        <v>182</v>
      </c>
      <c r="K30" s="228" t="s">
        <v>195</v>
      </c>
      <c r="L30" s="226">
        <v>0</v>
      </c>
      <c r="M30" s="56">
        <f>L30/L$35*100</f>
        <v>0</v>
      </c>
      <c r="N30" s="226" t="s">
        <v>184</v>
      </c>
      <c r="O30" s="226">
        <v>0</v>
      </c>
      <c r="P30" s="226">
        <f t="shared" ref="P30:P35" si="6">O30/O$34*100</f>
        <v>0</v>
      </c>
      <c r="Q30" s="223"/>
      <c r="R30" s="229" t="s">
        <v>533</v>
      </c>
    </row>
    <row r="31" spans="1:18" x14ac:dyDescent="0.2">
      <c r="A31" s="223"/>
      <c r="B31" s="223"/>
      <c r="C31" s="223"/>
      <c r="D31" s="223"/>
      <c r="E31" s="223"/>
      <c r="F31" s="225"/>
      <c r="G31" s="225"/>
      <c r="H31" s="225"/>
      <c r="I31" s="56"/>
      <c r="J31" s="225" t="s">
        <v>196</v>
      </c>
      <c r="K31" s="226"/>
      <c r="L31" s="226">
        <v>34</v>
      </c>
      <c r="M31" s="56">
        <f t="shared" ref="M31:M59" si="7">L31/L$35*100</f>
        <v>20.118343195266274</v>
      </c>
      <c r="N31" s="226"/>
      <c r="O31" s="226">
        <v>1.8844221105527639</v>
      </c>
      <c r="P31" s="226">
        <f t="shared" si="6"/>
        <v>5</v>
      </c>
      <c r="Q31" s="223" t="s">
        <v>199</v>
      </c>
    </row>
    <row r="32" spans="1:18" x14ac:dyDescent="0.2">
      <c r="A32" s="223"/>
      <c r="B32" s="223"/>
      <c r="C32" s="223"/>
      <c r="D32" s="223"/>
      <c r="E32" s="223"/>
      <c r="F32" s="225"/>
      <c r="G32" s="225"/>
      <c r="H32" s="225"/>
      <c r="I32" s="56"/>
      <c r="J32" s="225" t="s">
        <v>191</v>
      </c>
      <c r="K32" s="226"/>
      <c r="L32" s="226">
        <v>71</v>
      </c>
      <c r="M32" s="56">
        <f t="shared" si="7"/>
        <v>42.011834319526628</v>
      </c>
      <c r="N32" s="226"/>
      <c r="O32" s="226">
        <v>10.552763819095478</v>
      </c>
      <c r="P32" s="226">
        <f t="shared" si="6"/>
        <v>28.000000000000004</v>
      </c>
      <c r="Q32" s="223"/>
    </row>
    <row r="33" spans="1:17" x14ac:dyDescent="0.2">
      <c r="A33" s="223"/>
      <c r="B33" s="223"/>
      <c r="C33" s="223"/>
      <c r="D33" s="223"/>
      <c r="E33" s="223"/>
      <c r="F33" s="225"/>
      <c r="G33" s="225"/>
      <c r="H33" s="225"/>
      <c r="I33" s="56"/>
      <c r="J33" s="225" t="s">
        <v>192</v>
      </c>
      <c r="K33" s="226"/>
      <c r="L33" s="226">
        <v>97</v>
      </c>
      <c r="M33" s="56">
        <f t="shared" si="7"/>
        <v>57.396449704142015</v>
      </c>
      <c r="N33" s="226"/>
      <c r="O33" s="226">
        <v>21.859296482412059</v>
      </c>
      <c r="P33" s="226">
        <f t="shared" si="6"/>
        <v>57.999999999999993</v>
      </c>
      <c r="Q33" s="223" t="s">
        <v>200</v>
      </c>
    </row>
    <row r="34" spans="1:17" x14ac:dyDescent="0.2">
      <c r="A34" s="223"/>
      <c r="B34" s="223"/>
      <c r="C34" s="223"/>
      <c r="D34" s="223"/>
      <c r="E34" s="223"/>
      <c r="F34" s="224"/>
      <c r="G34" s="224"/>
      <c r="H34" s="225"/>
      <c r="I34" s="56"/>
      <c r="J34" s="225" t="s">
        <v>193</v>
      </c>
      <c r="K34" s="226"/>
      <c r="L34" s="226">
        <v>113</v>
      </c>
      <c r="M34" s="56">
        <f t="shared" si="7"/>
        <v>66.863905325443781</v>
      </c>
      <c r="N34" s="226"/>
      <c r="O34" s="226">
        <v>37.688442211055275</v>
      </c>
      <c r="P34" s="226">
        <f t="shared" si="6"/>
        <v>100</v>
      </c>
      <c r="Q34" s="223" t="s">
        <v>198</v>
      </c>
    </row>
    <row r="35" spans="1:17" x14ac:dyDescent="0.2">
      <c r="A35" s="223"/>
      <c r="B35" s="223"/>
      <c r="C35" s="223"/>
      <c r="D35" s="223"/>
      <c r="E35" s="223"/>
      <c r="F35" s="224"/>
      <c r="G35" s="224"/>
      <c r="H35" s="225"/>
      <c r="I35" s="56"/>
      <c r="J35" s="225" t="s">
        <v>194</v>
      </c>
      <c r="K35" s="226"/>
      <c r="L35" s="226">
        <v>169</v>
      </c>
      <c r="M35" s="56">
        <f t="shared" si="7"/>
        <v>100</v>
      </c>
      <c r="N35" s="226"/>
      <c r="O35" s="226">
        <v>32.412060301507537</v>
      </c>
      <c r="P35" s="226">
        <f t="shared" si="6"/>
        <v>86</v>
      </c>
      <c r="Q35" s="223"/>
    </row>
    <row r="36" spans="1:17" x14ac:dyDescent="0.2">
      <c r="A36" s="223"/>
      <c r="B36" s="223"/>
      <c r="C36" s="223"/>
      <c r="D36" s="223"/>
      <c r="E36" s="223"/>
      <c r="F36" s="224"/>
      <c r="G36" s="224"/>
      <c r="H36" s="225"/>
      <c r="I36" s="226">
        <v>65.178571428571416</v>
      </c>
      <c r="J36" s="227" t="s">
        <v>182</v>
      </c>
      <c r="K36" s="226"/>
      <c r="L36" s="226">
        <v>0</v>
      </c>
      <c r="M36" s="56">
        <f t="shared" si="7"/>
        <v>0</v>
      </c>
      <c r="N36" s="226"/>
      <c r="O36" s="226">
        <v>0</v>
      </c>
      <c r="P36" s="226">
        <f t="shared" ref="P36:P41" si="8">O36/O$41*100</f>
        <v>0</v>
      </c>
      <c r="Q36" s="223"/>
    </row>
    <row r="37" spans="1:17" x14ac:dyDescent="0.2">
      <c r="A37" s="223"/>
      <c r="B37" s="223"/>
      <c r="C37" s="223"/>
      <c r="D37" s="223"/>
      <c r="E37" s="223"/>
      <c r="F37" s="224"/>
      <c r="G37" s="224"/>
      <c r="H37" s="225"/>
      <c r="I37" s="56"/>
      <c r="J37" s="225" t="s">
        <v>196</v>
      </c>
      <c r="K37" s="226"/>
      <c r="L37" s="226">
        <v>34</v>
      </c>
      <c r="M37" s="56">
        <f t="shared" si="7"/>
        <v>20.118343195266274</v>
      </c>
      <c r="N37" s="226"/>
      <c r="O37" s="226">
        <v>1.8844221105527639</v>
      </c>
      <c r="P37" s="226">
        <f t="shared" si="8"/>
        <v>2.1008403361344539</v>
      </c>
      <c r="Q37" s="223"/>
    </row>
    <row r="38" spans="1:17" x14ac:dyDescent="0.2">
      <c r="A38" s="223"/>
      <c r="B38" s="223"/>
      <c r="C38" s="223"/>
      <c r="D38" s="223"/>
      <c r="E38" s="223"/>
      <c r="F38" s="224"/>
      <c r="G38" s="224"/>
      <c r="H38" s="225"/>
      <c r="I38" s="56"/>
      <c r="J38" s="225" t="s">
        <v>191</v>
      </c>
      <c r="K38" s="226"/>
      <c r="L38" s="226">
        <v>71</v>
      </c>
      <c r="M38" s="56">
        <f t="shared" si="7"/>
        <v>42.011834319526628</v>
      </c>
      <c r="N38" s="226"/>
      <c r="O38" s="226">
        <v>26.38190954773869</v>
      </c>
      <c r="P38" s="226">
        <f t="shared" si="8"/>
        <v>29.411764705882355</v>
      </c>
      <c r="Q38" s="223"/>
    </row>
    <row r="39" spans="1:17" x14ac:dyDescent="0.2">
      <c r="A39" s="223"/>
      <c r="B39" s="223"/>
      <c r="C39" s="223"/>
      <c r="D39" s="223"/>
      <c r="E39" s="223"/>
      <c r="F39" s="224"/>
      <c r="G39" s="224"/>
      <c r="H39" s="225"/>
      <c r="I39" s="56"/>
      <c r="J39" s="225" t="s">
        <v>192</v>
      </c>
      <c r="K39" s="226"/>
      <c r="L39" s="226">
        <v>97</v>
      </c>
      <c r="M39" s="56">
        <f t="shared" si="7"/>
        <v>57.396449704142015</v>
      </c>
      <c r="N39" s="226"/>
      <c r="O39" s="226">
        <v>37.688442211055275</v>
      </c>
      <c r="P39" s="226">
        <f t="shared" si="8"/>
        <v>42.016806722689076</v>
      </c>
      <c r="Q39" s="223"/>
    </row>
    <row r="40" spans="1:17" x14ac:dyDescent="0.2">
      <c r="A40" s="223"/>
      <c r="B40" s="223"/>
      <c r="C40" s="223"/>
      <c r="D40" s="223"/>
      <c r="E40" s="223"/>
      <c r="F40" s="224"/>
      <c r="G40" s="224"/>
      <c r="H40" s="225"/>
      <c r="I40" s="56"/>
      <c r="J40" s="225" t="s">
        <v>193</v>
      </c>
      <c r="K40" s="226"/>
      <c r="L40" s="226">
        <v>113</v>
      </c>
      <c r="M40" s="56">
        <f t="shared" si="7"/>
        <v>66.863905325443781</v>
      </c>
      <c r="N40" s="226"/>
      <c r="O40" s="226">
        <v>39.195979899497488</v>
      </c>
      <c r="P40" s="226">
        <f t="shared" si="8"/>
        <v>43.697478991596647</v>
      </c>
      <c r="Q40" s="223"/>
    </row>
    <row r="41" spans="1:17" x14ac:dyDescent="0.2">
      <c r="A41" s="223"/>
      <c r="B41" s="223"/>
      <c r="C41" s="223"/>
      <c r="D41" s="223"/>
      <c r="E41" s="223"/>
      <c r="F41" s="224"/>
      <c r="G41" s="224"/>
      <c r="H41" s="225"/>
      <c r="I41" s="226"/>
      <c r="J41" s="225" t="s">
        <v>194</v>
      </c>
      <c r="K41" s="226"/>
      <c r="L41" s="226">
        <v>169</v>
      </c>
      <c r="M41" s="56">
        <f t="shared" si="7"/>
        <v>100</v>
      </c>
      <c r="N41" s="226"/>
      <c r="O41" s="226">
        <v>89.698492462311549</v>
      </c>
      <c r="P41" s="226">
        <f t="shared" si="8"/>
        <v>100</v>
      </c>
      <c r="Q41" s="223"/>
    </row>
    <row r="42" spans="1:17" x14ac:dyDescent="0.2">
      <c r="A42" s="223"/>
      <c r="B42" s="223"/>
      <c r="C42" s="223"/>
      <c r="D42" s="223"/>
      <c r="E42" s="223"/>
      <c r="F42" s="224"/>
      <c r="G42" s="224"/>
      <c r="H42" s="225"/>
      <c r="I42" s="226">
        <v>109.82142857142856</v>
      </c>
      <c r="J42" s="227" t="s">
        <v>182</v>
      </c>
      <c r="K42" s="226"/>
      <c r="L42" s="226">
        <v>0</v>
      </c>
      <c r="M42" s="56">
        <f t="shared" si="7"/>
        <v>0</v>
      </c>
      <c r="N42" s="226"/>
      <c r="O42" s="226">
        <v>0</v>
      </c>
      <c r="P42" s="226">
        <f t="shared" ref="P42:P47" si="9">O42/O$47*100</f>
        <v>0</v>
      </c>
      <c r="Q42" s="223"/>
    </row>
    <row r="43" spans="1:17" x14ac:dyDescent="0.2">
      <c r="A43" s="223"/>
      <c r="B43" s="223"/>
      <c r="C43" s="223"/>
      <c r="D43" s="223"/>
      <c r="E43" s="223"/>
      <c r="F43" s="224"/>
      <c r="G43" s="224"/>
      <c r="H43" s="225"/>
      <c r="I43" s="56"/>
      <c r="J43" s="225" t="s">
        <v>196</v>
      </c>
      <c r="K43" s="226"/>
      <c r="L43" s="226">
        <v>34</v>
      </c>
      <c r="M43" s="56">
        <f t="shared" si="7"/>
        <v>20.118343195266274</v>
      </c>
      <c r="N43" s="226"/>
      <c r="O43" s="226">
        <v>1.8844221105527639</v>
      </c>
      <c r="P43" s="226">
        <f t="shared" si="9"/>
        <v>1.4880952380952381</v>
      </c>
      <c r="Q43" s="223"/>
    </row>
    <row r="44" spans="1:17" x14ac:dyDescent="0.2">
      <c r="A44" s="223"/>
      <c r="B44" s="223"/>
      <c r="C44" s="223"/>
      <c r="D44" s="223"/>
      <c r="E44" s="223"/>
      <c r="F44" s="224"/>
      <c r="G44" s="224"/>
      <c r="H44" s="225"/>
      <c r="I44" s="56"/>
      <c r="J44" s="225" t="s">
        <v>191</v>
      </c>
      <c r="K44" s="226"/>
      <c r="L44" s="226">
        <v>71</v>
      </c>
      <c r="M44" s="56">
        <f t="shared" si="7"/>
        <v>42.011834319526628</v>
      </c>
      <c r="N44" s="226"/>
      <c r="O44" s="226">
        <v>38.442211055276381</v>
      </c>
      <c r="P44" s="226">
        <f t="shared" si="9"/>
        <v>30.357142857142861</v>
      </c>
      <c r="Q44" s="223"/>
    </row>
    <row r="45" spans="1:17" x14ac:dyDescent="0.2">
      <c r="A45" s="223"/>
      <c r="B45" s="223"/>
      <c r="C45" s="223"/>
      <c r="D45" s="223"/>
      <c r="E45" s="223"/>
      <c r="F45" s="224"/>
      <c r="G45" s="224"/>
      <c r="H45" s="225"/>
      <c r="I45" s="56"/>
      <c r="J45" s="225" t="s">
        <v>192</v>
      </c>
      <c r="K45" s="226"/>
      <c r="L45" s="226">
        <v>97</v>
      </c>
      <c r="M45" s="56">
        <f t="shared" si="7"/>
        <v>57.396449704142015</v>
      </c>
      <c r="N45" s="226"/>
      <c r="O45" s="226">
        <v>59.547738693467338</v>
      </c>
      <c r="P45" s="226">
        <f t="shared" si="9"/>
        <v>47.023809523809526</v>
      </c>
      <c r="Q45" s="223"/>
    </row>
    <row r="46" spans="1:17" x14ac:dyDescent="0.2">
      <c r="A46" s="223"/>
      <c r="B46" s="223"/>
      <c r="C46" s="223"/>
      <c r="D46" s="223"/>
      <c r="E46" s="223"/>
      <c r="F46" s="224"/>
      <c r="G46" s="224"/>
      <c r="H46" s="225"/>
      <c r="I46" s="226"/>
      <c r="J46" s="225" t="s">
        <v>193</v>
      </c>
      <c r="K46" s="226"/>
      <c r="L46" s="226">
        <v>113</v>
      </c>
      <c r="M46" s="56">
        <f t="shared" si="7"/>
        <v>66.863905325443781</v>
      </c>
      <c r="N46" s="226"/>
      <c r="O46" s="226">
        <v>77.638190954773862</v>
      </c>
      <c r="P46" s="226">
        <f t="shared" si="9"/>
        <v>61.309523809523803</v>
      </c>
      <c r="Q46" s="223"/>
    </row>
    <row r="47" spans="1:17" x14ac:dyDescent="0.2">
      <c r="A47" s="223"/>
      <c r="B47" s="223"/>
      <c r="C47" s="223"/>
      <c r="D47" s="223"/>
      <c r="E47" s="223"/>
      <c r="F47" s="224"/>
      <c r="G47" s="224"/>
      <c r="H47" s="225"/>
      <c r="I47" s="226"/>
      <c r="J47" s="225" t="s">
        <v>194</v>
      </c>
      <c r="K47" s="226"/>
      <c r="L47" s="226">
        <v>169</v>
      </c>
      <c r="M47" s="56">
        <f t="shared" si="7"/>
        <v>100</v>
      </c>
      <c r="N47" s="226"/>
      <c r="O47" s="226">
        <v>126.63316582914572</v>
      </c>
      <c r="P47" s="226">
        <f t="shared" si="9"/>
        <v>100</v>
      </c>
      <c r="Q47" s="223"/>
    </row>
    <row r="48" spans="1:17" x14ac:dyDescent="0.2">
      <c r="A48" s="223"/>
      <c r="B48" s="223"/>
      <c r="C48" s="223"/>
      <c r="D48" s="223"/>
      <c r="E48" s="223"/>
      <c r="F48" s="224"/>
      <c r="G48" s="224"/>
      <c r="H48" s="225"/>
      <c r="I48" s="226">
        <f>185/1.12</f>
        <v>165.17857142857142</v>
      </c>
      <c r="J48" s="227" t="s">
        <v>182</v>
      </c>
      <c r="K48" s="226"/>
      <c r="L48" s="226">
        <v>0</v>
      </c>
      <c r="M48" s="56">
        <f t="shared" si="7"/>
        <v>0</v>
      </c>
      <c r="N48" s="226"/>
      <c r="O48" s="226">
        <v>0</v>
      </c>
      <c r="P48" s="226">
        <f t="shared" ref="P48:P53" si="10">O48/O$53*100</f>
        <v>0</v>
      </c>
      <c r="Q48" s="223"/>
    </row>
    <row r="49" spans="1:17" x14ac:dyDescent="0.2">
      <c r="A49" s="223"/>
      <c r="B49" s="223"/>
      <c r="C49" s="223"/>
      <c r="D49" s="223"/>
      <c r="E49" s="223"/>
      <c r="F49" s="224"/>
      <c r="G49" s="224"/>
      <c r="H49" s="225"/>
      <c r="I49" s="56"/>
      <c r="J49" s="225" t="s">
        <v>196</v>
      </c>
      <c r="K49" s="226"/>
      <c r="L49" s="226">
        <v>34</v>
      </c>
      <c r="M49" s="56">
        <f t="shared" si="7"/>
        <v>20.118343195266274</v>
      </c>
      <c r="N49" s="226"/>
      <c r="O49" s="226">
        <v>1.8844221105527639</v>
      </c>
      <c r="P49" s="226">
        <f t="shared" si="10"/>
        <v>1.0245901639344264</v>
      </c>
      <c r="Q49" s="223"/>
    </row>
    <row r="50" spans="1:17" x14ac:dyDescent="0.2">
      <c r="A50" s="223"/>
      <c r="B50" s="223"/>
      <c r="C50" s="223"/>
      <c r="D50" s="223"/>
      <c r="E50" s="223"/>
      <c r="F50" s="224"/>
      <c r="G50" s="224"/>
      <c r="H50" s="225"/>
      <c r="I50" s="56"/>
      <c r="J50" s="225" t="s">
        <v>191</v>
      </c>
      <c r="K50" s="226"/>
      <c r="L50" s="226">
        <v>71</v>
      </c>
      <c r="M50" s="56">
        <f t="shared" si="7"/>
        <v>42.011834319526628</v>
      </c>
      <c r="N50" s="226"/>
      <c r="O50" s="226">
        <v>55.0251256281407</v>
      </c>
      <c r="P50" s="226">
        <f t="shared" si="10"/>
        <v>29.918032786885245</v>
      </c>
      <c r="Q50" s="223"/>
    </row>
    <row r="51" spans="1:17" x14ac:dyDescent="0.2">
      <c r="A51" s="223"/>
      <c r="B51" s="223"/>
      <c r="C51" s="223"/>
      <c r="D51" s="223"/>
      <c r="E51" s="223"/>
      <c r="F51" s="225"/>
      <c r="G51" s="225"/>
      <c r="H51" s="225"/>
      <c r="I51" s="226"/>
      <c r="J51" s="225" t="s">
        <v>192</v>
      </c>
      <c r="K51" s="226"/>
      <c r="L51" s="226">
        <v>97</v>
      </c>
      <c r="M51" s="56">
        <f t="shared" si="7"/>
        <v>57.396449704142015</v>
      </c>
      <c r="N51" s="226"/>
      <c r="O51" s="226">
        <v>73.115577889447238</v>
      </c>
      <c r="P51" s="226">
        <f t="shared" si="10"/>
        <v>39.754098360655739</v>
      </c>
      <c r="Q51" s="223"/>
    </row>
    <row r="52" spans="1:17" x14ac:dyDescent="0.2">
      <c r="A52" s="223"/>
      <c r="B52" s="223"/>
      <c r="C52" s="223"/>
      <c r="D52" s="223"/>
      <c r="E52" s="223"/>
      <c r="F52" s="225"/>
      <c r="G52" s="225"/>
      <c r="H52" s="225"/>
      <c r="I52" s="226"/>
      <c r="J52" s="225" t="s">
        <v>193</v>
      </c>
      <c r="K52" s="226"/>
      <c r="L52" s="226">
        <v>113</v>
      </c>
      <c r="M52" s="56">
        <f t="shared" si="7"/>
        <v>66.863905325443781</v>
      </c>
      <c r="N52" s="226"/>
      <c r="O52" s="226">
        <v>84.422110552763826</v>
      </c>
      <c r="P52" s="226">
        <f t="shared" si="10"/>
        <v>45.901639344262293</v>
      </c>
      <c r="Q52" s="223"/>
    </row>
    <row r="53" spans="1:17" x14ac:dyDescent="0.2">
      <c r="A53" s="223"/>
      <c r="B53" s="223"/>
      <c r="C53" s="223"/>
      <c r="D53" s="223"/>
      <c r="E53" s="223"/>
      <c r="F53" s="225"/>
      <c r="G53" s="225"/>
      <c r="H53" s="225"/>
      <c r="I53" s="226"/>
      <c r="J53" s="225" t="s">
        <v>194</v>
      </c>
      <c r="K53" s="226"/>
      <c r="L53" s="226">
        <v>169</v>
      </c>
      <c r="M53" s="56">
        <f t="shared" si="7"/>
        <v>100</v>
      </c>
      <c r="N53" s="226"/>
      <c r="O53" s="226">
        <v>183.91959798994975</v>
      </c>
      <c r="P53" s="226">
        <f t="shared" si="10"/>
        <v>100</v>
      </c>
      <c r="Q53" s="223"/>
    </row>
    <row r="54" spans="1:17" x14ac:dyDescent="0.2">
      <c r="A54" s="223"/>
      <c r="B54" s="223"/>
      <c r="C54" s="223"/>
      <c r="D54" s="223"/>
      <c r="E54" s="223"/>
      <c r="F54" s="224"/>
      <c r="G54" s="224"/>
      <c r="H54" s="225"/>
      <c r="I54" s="226">
        <v>240.17857142857142</v>
      </c>
      <c r="J54" s="227" t="s">
        <v>182</v>
      </c>
      <c r="K54" s="226"/>
      <c r="L54" s="226">
        <v>0</v>
      </c>
      <c r="M54" s="56">
        <f t="shared" si="7"/>
        <v>0</v>
      </c>
      <c r="N54" s="226"/>
      <c r="O54" s="226">
        <v>0</v>
      </c>
      <c r="P54" s="226">
        <f t="shared" ref="P54:P59" si="11">O54/O$59*100</f>
        <v>0</v>
      </c>
      <c r="Q54" s="223"/>
    </row>
    <row r="55" spans="1:17" x14ac:dyDescent="0.2">
      <c r="A55" s="223"/>
      <c r="B55" s="223"/>
      <c r="C55" s="223"/>
      <c r="D55" s="223"/>
      <c r="E55" s="223"/>
      <c r="F55" s="224"/>
      <c r="G55" s="224"/>
      <c r="H55" s="225"/>
      <c r="I55" s="56"/>
      <c r="J55" s="225" t="s">
        <v>196</v>
      </c>
      <c r="K55" s="226"/>
      <c r="L55" s="226">
        <v>34</v>
      </c>
      <c r="M55" s="56">
        <f t="shared" si="7"/>
        <v>20.118343195266274</v>
      </c>
      <c r="N55" s="226"/>
      <c r="O55" s="226">
        <v>1.8844221105527639</v>
      </c>
      <c r="P55" s="226">
        <f t="shared" si="11"/>
        <v>0.87108013937282247</v>
      </c>
      <c r="Q55" s="223"/>
    </row>
    <row r="56" spans="1:17" x14ac:dyDescent="0.2">
      <c r="A56" s="223"/>
      <c r="B56" s="223"/>
      <c r="C56" s="223"/>
      <c r="D56" s="223"/>
      <c r="E56" s="223"/>
      <c r="F56" s="224"/>
      <c r="G56" s="224"/>
      <c r="H56" s="225"/>
      <c r="I56" s="56"/>
      <c r="J56" s="225" t="s">
        <v>191</v>
      </c>
      <c r="K56" s="226"/>
      <c r="L56" s="226">
        <v>71</v>
      </c>
      <c r="M56" s="56">
        <f t="shared" si="7"/>
        <v>42.011834319526628</v>
      </c>
      <c r="N56" s="226"/>
      <c r="O56" s="226">
        <v>66.331658291457288</v>
      </c>
      <c r="P56" s="226">
        <f t="shared" si="11"/>
        <v>30.662020905923349</v>
      </c>
      <c r="Q56" s="223"/>
    </row>
    <row r="57" spans="1:17" x14ac:dyDescent="0.2">
      <c r="A57" s="223"/>
      <c r="B57" s="223"/>
      <c r="C57" s="223"/>
      <c r="D57" s="223"/>
      <c r="E57" s="223"/>
      <c r="F57" s="225"/>
      <c r="G57" s="225"/>
      <c r="H57" s="225"/>
      <c r="I57" s="226"/>
      <c r="J57" s="225" t="s">
        <v>192</v>
      </c>
      <c r="K57" s="226"/>
      <c r="L57" s="226">
        <v>97</v>
      </c>
      <c r="M57" s="56">
        <f t="shared" si="7"/>
        <v>57.396449704142015</v>
      </c>
      <c r="N57" s="226"/>
      <c r="O57" s="226">
        <v>74.62311557788945</v>
      </c>
      <c r="P57" s="226">
        <f t="shared" si="11"/>
        <v>34.494773519163772</v>
      </c>
      <c r="Q57" s="223"/>
    </row>
    <row r="58" spans="1:17" x14ac:dyDescent="0.2">
      <c r="A58" s="223"/>
      <c r="B58" s="223"/>
      <c r="C58" s="223"/>
      <c r="D58" s="223"/>
      <c r="E58" s="223"/>
      <c r="F58" s="225"/>
      <c r="G58" s="225"/>
      <c r="H58" s="225"/>
      <c r="I58" s="226"/>
      <c r="J58" s="225" t="s">
        <v>193</v>
      </c>
      <c r="K58" s="226"/>
      <c r="L58" s="226">
        <v>113</v>
      </c>
      <c r="M58" s="56">
        <f t="shared" si="7"/>
        <v>66.863905325443781</v>
      </c>
      <c r="N58" s="226"/>
      <c r="O58" s="226">
        <v>110.80402010050251</v>
      </c>
      <c r="P58" s="226">
        <f t="shared" si="11"/>
        <v>51.219512195121951</v>
      </c>
      <c r="Q58" s="223"/>
    </row>
    <row r="59" spans="1:17" x14ac:dyDescent="0.2">
      <c r="A59" s="223"/>
      <c r="B59" s="223"/>
      <c r="C59" s="223"/>
      <c r="D59" s="223"/>
      <c r="E59" s="223"/>
      <c r="F59" s="225"/>
      <c r="G59" s="225"/>
      <c r="H59" s="225"/>
      <c r="I59" s="226"/>
      <c r="J59" s="225" t="s">
        <v>194</v>
      </c>
      <c r="K59" s="226"/>
      <c r="L59" s="226">
        <v>169</v>
      </c>
      <c r="M59" s="56">
        <f t="shared" si="7"/>
        <v>100</v>
      </c>
      <c r="N59" s="226"/>
      <c r="O59" s="226">
        <v>216.33165829145727</v>
      </c>
      <c r="P59" s="226">
        <f t="shared" si="11"/>
        <v>100</v>
      </c>
      <c r="Q59" s="223"/>
    </row>
    <row r="60" spans="1:17" x14ac:dyDescent="0.2">
      <c r="A60" s="223"/>
      <c r="B60" s="223"/>
      <c r="C60" s="223" t="s">
        <v>189</v>
      </c>
      <c r="D60" s="223" t="s">
        <v>190</v>
      </c>
      <c r="E60" s="223"/>
      <c r="F60" s="224">
        <v>40886</v>
      </c>
      <c r="G60" s="224">
        <v>41053</v>
      </c>
      <c r="H60" s="225">
        <f>G60-F60</f>
        <v>167</v>
      </c>
      <c r="I60" s="226">
        <v>0</v>
      </c>
      <c r="J60" s="227" t="s">
        <v>182</v>
      </c>
      <c r="K60" s="226"/>
      <c r="L60" s="226">
        <v>0</v>
      </c>
      <c r="M60" s="56">
        <f>L60/L$65*100</f>
        <v>0</v>
      </c>
      <c r="N60" s="226"/>
      <c r="O60" s="226">
        <v>0</v>
      </c>
      <c r="P60" s="226">
        <f t="shared" ref="P60:P65" si="12">O60/O$64*100</f>
        <v>0</v>
      </c>
      <c r="Q60" s="223"/>
    </row>
    <row r="61" spans="1:17" x14ac:dyDescent="0.2">
      <c r="A61" s="223"/>
      <c r="B61" s="223"/>
      <c r="C61" s="223"/>
      <c r="D61" s="223"/>
      <c r="E61" s="223"/>
      <c r="F61" s="225"/>
      <c r="G61" s="225"/>
      <c r="H61" s="225"/>
      <c r="I61" s="56"/>
      <c r="J61" s="225" t="s">
        <v>197</v>
      </c>
      <c r="K61" s="226"/>
      <c r="L61" s="226">
        <v>32</v>
      </c>
      <c r="M61" s="56">
        <f t="shared" ref="M61:M95" si="13">L61/L$65*100</f>
        <v>19.161676646706589</v>
      </c>
      <c r="N61" s="226"/>
      <c r="O61" s="226">
        <v>1.8844221105527639</v>
      </c>
      <c r="P61" s="226">
        <f t="shared" si="12"/>
        <v>4.0983606557377055</v>
      </c>
      <c r="Q61" s="223"/>
    </row>
    <row r="62" spans="1:17" x14ac:dyDescent="0.2">
      <c r="A62" s="223"/>
      <c r="B62" s="223"/>
      <c r="C62" s="223"/>
      <c r="D62" s="223"/>
      <c r="E62" s="223"/>
      <c r="F62" s="225"/>
      <c r="G62" s="225"/>
      <c r="H62" s="225"/>
      <c r="I62" s="56"/>
      <c r="J62" s="225" t="s">
        <v>191</v>
      </c>
      <c r="K62" s="226"/>
      <c r="L62" s="226">
        <v>69</v>
      </c>
      <c r="M62" s="56">
        <f t="shared" si="13"/>
        <v>41.317365269461078</v>
      </c>
      <c r="N62" s="226"/>
      <c r="O62" s="226">
        <v>16.582914572864322</v>
      </c>
      <c r="P62" s="226">
        <f t="shared" si="12"/>
        <v>36.065573770491802</v>
      </c>
      <c r="Q62" s="223"/>
    </row>
    <row r="63" spans="1:17" x14ac:dyDescent="0.2">
      <c r="A63" s="223"/>
      <c r="B63" s="223"/>
      <c r="C63" s="223"/>
      <c r="D63" s="223"/>
      <c r="E63" s="223"/>
      <c r="F63" s="225"/>
      <c r="G63" s="225"/>
      <c r="H63" s="225"/>
      <c r="I63" s="56"/>
      <c r="J63" s="225" t="s">
        <v>192</v>
      </c>
      <c r="K63" s="226"/>
      <c r="L63" s="226">
        <v>95</v>
      </c>
      <c r="M63" s="56">
        <f t="shared" si="13"/>
        <v>56.886227544910184</v>
      </c>
      <c r="N63" s="226"/>
      <c r="O63" s="226">
        <v>32.412060301507537</v>
      </c>
      <c r="P63" s="226">
        <f t="shared" si="12"/>
        <v>70.491803278688522</v>
      </c>
      <c r="Q63" s="223"/>
    </row>
    <row r="64" spans="1:17" x14ac:dyDescent="0.2">
      <c r="A64" s="223"/>
      <c r="B64" s="223"/>
      <c r="C64" s="223"/>
      <c r="D64" s="223"/>
      <c r="E64" s="223"/>
      <c r="F64" s="224"/>
      <c r="G64" s="224"/>
      <c r="H64" s="225"/>
      <c r="I64" s="56"/>
      <c r="J64" s="225" t="s">
        <v>193</v>
      </c>
      <c r="K64" s="226"/>
      <c r="L64" s="226">
        <v>117</v>
      </c>
      <c r="M64" s="56">
        <f t="shared" si="13"/>
        <v>70.05988023952095</v>
      </c>
      <c r="N64" s="226"/>
      <c r="O64" s="226">
        <v>45.979899497487438</v>
      </c>
      <c r="P64" s="226">
        <f t="shared" si="12"/>
        <v>100</v>
      </c>
      <c r="Q64" s="223"/>
    </row>
    <row r="65" spans="1:17" x14ac:dyDescent="0.2">
      <c r="A65" s="223"/>
      <c r="B65" s="223"/>
      <c r="C65" s="223"/>
      <c r="D65" s="223"/>
      <c r="E65" s="223"/>
      <c r="F65" s="224"/>
      <c r="G65" s="224"/>
      <c r="H65" s="225"/>
      <c r="I65" s="56"/>
      <c r="J65" s="225" t="s">
        <v>194</v>
      </c>
      <c r="K65" s="226"/>
      <c r="L65" s="226">
        <v>167</v>
      </c>
      <c r="M65" s="56">
        <f t="shared" si="13"/>
        <v>100</v>
      </c>
      <c r="N65" s="226"/>
      <c r="O65" s="226">
        <v>27.135678391959797</v>
      </c>
      <c r="P65" s="226">
        <f t="shared" si="12"/>
        <v>59.016393442622949</v>
      </c>
      <c r="Q65" s="223"/>
    </row>
    <row r="66" spans="1:17" x14ac:dyDescent="0.2">
      <c r="A66" s="223"/>
      <c r="B66" s="223"/>
      <c r="C66" s="223"/>
      <c r="D66" s="223"/>
      <c r="E66" s="223"/>
      <c r="F66" s="224"/>
      <c r="G66" s="224"/>
      <c r="H66" s="225"/>
      <c r="I66" s="226">
        <v>65.178571428571416</v>
      </c>
      <c r="J66" s="227" t="s">
        <v>182</v>
      </c>
      <c r="K66" s="226"/>
      <c r="L66" s="226">
        <v>0</v>
      </c>
      <c r="M66" s="56">
        <f t="shared" si="13"/>
        <v>0</v>
      </c>
      <c r="N66" s="226"/>
      <c r="O66" s="226">
        <v>0</v>
      </c>
      <c r="P66" s="226">
        <f t="shared" ref="P66:P71" si="14">O66/O$71*100</f>
        <v>0</v>
      </c>
      <c r="Q66" s="223"/>
    </row>
    <row r="67" spans="1:17" x14ac:dyDescent="0.2">
      <c r="A67" s="223"/>
      <c r="B67" s="223"/>
      <c r="C67" s="223"/>
      <c r="D67" s="223"/>
      <c r="E67" s="223"/>
      <c r="F67" s="224"/>
      <c r="G67" s="224"/>
      <c r="H67" s="225"/>
      <c r="I67" s="56"/>
      <c r="J67" s="225" t="s">
        <v>197</v>
      </c>
      <c r="K67" s="226"/>
      <c r="L67" s="226">
        <v>32</v>
      </c>
      <c r="M67" s="56">
        <f t="shared" si="13"/>
        <v>19.161676646706589</v>
      </c>
      <c r="N67" s="226"/>
      <c r="O67" s="226">
        <v>1.8844221105527639</v>
      </c>
      <c r="P67" s="226">
        <f t="shared" si="14"/>
        <v>2.2727272727272729</v>
      </c>
      <c r="Q67" s="223"/>
    </row>
    <row r="68" spans="1:17" x14ac:dyDescent="0.2">
      <c r="A68" s="223"/>
      <c r="B68" s="223"/>
      <c r="C68" s="223"/>
      <c r="D68" s="223"/>
      <c r="E68" s="223"/>
      <c r="F68" s="224"/>
      <c r="G68" s="224"/>
      <c r="H68" s="225"/>
      <c r="I68" s="56"/>
      <c r="J68" s="225" t="s">
        <v>191</v>
      </c>
      <c r="K68" s="226"/>
      <c r="L68" s="226">
        <v>69</v>
      </c>
      <c r="M68" s="56">
        <f t="shared" si="13"/>
        <v>41.317365269461078</v>
      </c>
      <c r="N68" s="226"/>
      <c r="O68" s="226">
        <v>19.597989949748744</v>
      </c>
      <c r="P68" s="226">
        <f t="shared" si="14"/>
        <v>23.636363636363637</v>
      </c>
      <c r="Q68" s="223"/>
    </row>
    <row r="69" spans="1:17" x14ac:dyDescent="0.2">
      <c r="A69" s="223"/>
      <c r="B69" s="223"/>
      <c r="C69" s="223"/>
      <c r="D69" s="223"/>
      <c r="E69" s="223"/>
      <c r="F69" s="224"/>
      <c r="G69" s="224"/>
      <c r="H69" s="225"/>
      <c r="I69" s="56"/>
      <c r="J69" s="225" t="s">
        <v>192</v>
      </c>
      <c r="K69" s="226"/>
      <c r="L69" s="226">
        <v>95</v>
      </c>
      <c r="M69" s="56">
        <f t="shared" si="13"/>
        <v>56.886227544910184</v>
      </c>
      <c r="N69" s="226"/>
      <c r="O69" s="226">
        <v>52.010050251256274</v>
      </c>
      <c r="P69" s="226">
        <f t="shared" si="14"/>
        <v>62.727272727272712</v>
      </c>
      <c r="Q69" s="223"/>
    </row>
    <row r="70" spans="1:17" x14ac:dyDescent="0.2">
      <c r="A70" s="223"/>
      <c r="B70" s="223"/>
      <c r="C70" s="223"/>
      <c r="D70" s="223"/>
      <c r="E70" s="223"/>
      <c r="F70" s="224"/>
      <c r="G70" s="224"/>
      <c r="H70" s="225"/>
      <c r="I70" s="56"/>
      <c r="J70" s="225" t="s">
        <v>193</v>
      </c>
      <c r="K70" s="226"/>
      <c r="L70" s="226">
        <v>117</v>
      </c>
      <c r="M70" s="56">
        <f t="shared" si="13"/>
        <v>70.05988023952095</v>
      </c>
      <c r="N70" s="226"/>
      <c r="O70" s="226">
        <v>74.62311557788945</v>
      </c>
      <c r="P70" s="226">
        <f t="shared" si="14"/>
        <v>90</v>
      </c>
      <c r="Q70" s="223"/>
    </row>
    <row r="71" spans="1:17" x14ac:dyDescent="0.2">
      <c r="A71" s="223"/>
      <c r="B71" s="223"/>
      <c r="C71" s="223"/>
      <c r="D71" s="223"/>
      <c r="E71" s="223"/>
      <c r="F71" s="224"/>
      <c r="G71" s="224"/>
      <c r="H71" s="225"/>
      <c r="I71" s="226"/>
      <c r="J71" s="225" t="s">
        <v>194</v>
      </c>
      <c r="K71" s="226"/>
      <c r="L71" s="226">
        <v>167</v>
      </c>
      <c r="M71" s="56">
        <f t="shared" si="13"/>
        <v>100</v>
      </c>
      <c r="N71" s="226"/>
      <c r="O71" s="226">
        <v>82.914572864321613</v>
      </c>
      <c r="P71" s="226">
        <f t="shared" si="14"/>
        <v>100</v>
      </c>
      <c r="Q71" s="223"/>
    </row>
    <row r="72" spans="1:17" x14ac:dyDescent="0.2">
      <c r="A72" s="223"/>
      <c r="B72" s="223"/>
      <c r="C72" s="223"/>
      <c r="D72" s="223"/>
      <c r="E72" s="223"/>
      <c r="F72" s="224"/>
      <c r="G72" s="224"/>
      <c r="H72" s="225"/>
      <c r="I72" s="226">
        <v>109.82142857142856</v>
      </c>
      <c r="J72" s="227" t="s">
        <v>182</v>
      </c>
      <c r="K72" s="226"/>
      <c r="L72" s="226">
        <v>0</v>
      </c>
      <c r="M72" s="56">
        <f t="shared" si="13"/>
        <v>0</v>
      </c>
      <c r="N72" s="226"/>
      <c r="O72" s="226">
        <v>0</v>
      </c>
      <c r="P72" s="226">
        <f t="shared" ref="P72:P77" si="15">O72/O$77*100</f>
        <v>0</v>
      </c>
      <c r="Q72" s="223"/>
    </row>
    <row r="73" spans="1:17" x14ac:dyDescent="0.2">
      <c r="A73" s="223"/>
      <c r="B73" s="223"/>
      <c r="C73" s="223"/>
      <c r="D73" s="223"/>
      <c r="E73" s="223"/>
      <c r="F73" s="224"/>
      <c r="G73" s="224"/>
      <c r="H73" s="225"/>
      <c r="I73" s="56"/>
      <c r="J73" s="225" t="s">
        <v>197</v>
      </c>
      <c r="K73" s="226"/>
      <c r="L73" s="226">
        <v>32</v>
      </c>
      <c r="M73" s="56">
        <f t="shared" si="13"/>
        <v>19.161676646706589</v>
      </c>
      <c r="N73" s="226"/>
      <c r="O73" s="226">
        <v>1.8844221105527639</v>
      </c>
      <c r="P73" s="226">
        <f t="shared" si="15"/>
        <v>1.6666666666666667</v>
      </c>
      <c r="Q73" s="223"/>
    </row>
    <row r="74" spans="1:17" x14ac:dyDescent="0.2">
      <c r="A74" s="223"/>
      <c r="B74" s="223"/>
      <c r="C74" s="223"/>
      <c r="D74" s="223"/>
      <c r="E74" s="223"/>
      <c r="F74" s="224"/>
      <c r="G74" s="224"/>
      <c r="H74" s="225"/>
      <c r="I74" s="56"/>
      <c r="J74" s="225" t="s">
        <v>191</v>
      </c>
      <c r="K74" s="226"/>
      <c r="L74" s="226">
        <v>69</v>
      </c>
      <c r="M74" s="56">
        <f t="shared" si="13"/>
        <v>41.317365269461078</v>
      </c>
      <c r="N74" s="226"/>
      <c r="O74" s="226">
        <v>27.889447236180903</v>
      </c>
      <c r="P74" s="226">
        <f t="shared" si="15"/>
        <v>24.666666666666668</v>
      </c>
      <c r="Q74" s="223"/>
    </row>
    <row r="75" spans="1:17" x14ac:dyDescent="0.2">
      <c r="A75" s="223"/>
      <c r="B75" s="223"/>
      <c r="C75" s="223"/>
      <c r="D75" s="223"/>
      <c r="E75" s="223"/>
      <c r="F75" s="224"/>
      <c r="G75" s="224"/>
      <c r="H75" s="225"/>
      <c r="I75" s="56"/>
      <c r="J75" s="225" t="s">
        <v>192</v>
      </c>
      <c r="K75" s="226"/>
      <c r="L75" s="226">
        <v>95</v>
      </c>
      <c r="M75" s="56">
        <f t="shared" si="13"/>
        <v>56.886227544910184</v>
      </c>
      <c r="N75" s="226"/>
      <c r="O75" s="226">
        <v>73.115577889447238</v>
      </c>
      <c r="P75" s="226">
        <f t="shared" si="15"/>
        <v>64.666666666666671</v>
      </c>
      <c r="Q75" s="223"/>
    </row>
    <row r="76" spans="1:17" x14ac:dyDescent="0.2">
      <c r="A76" s="223"/>
      <c r="B76" s="223"/>
      <c r="C76" s="223"/>
      <c r="D76" s="223"/>
      <c r="E76" s="223"/>
      <c r="F76" s="224"/>
      <c r="G76" s="224"/>
      <c r="H76" s="225"/>
      <c r="I76" s="226"/>
      <c r="J76" s="225" t="s">
        <v>193</v>
      </c>
      <c r="K76" s="226"/>
      <c r="L76" s="226">
        <v>117</v>
      </c>
      <c r="M76" s="56">
        <f t="shared" si="13"/>
        <v>70.05988023952095</v>
      </c>
      <c r="N76" s="226"/>
      <c r="O76" s="226">
        <v>97.236180904522612</v>
      </c>
      <c r="P76" s="226">
        <f t="shared" si="15"/>
        <v>86</v>
      </c>
      <c r="Q76" s="223"/>
    </row>
    <row r="77" spans="1:17" x14ac:dyDescent="0.2">
      <c r="A77" s="223"/>
      <c r="B77" s="223"/>
      <c r="C77" s="223"/>
      <c r="D77" s="223"/>
      <c r="E77" s="223"/>
      <c r="F77" s="224"/>
      <c r="G77" s="224"/>
      <c r="H77" s="225"/>
      <c r="I77" s="226"/>
      <c r="J77" s="225" t="s">
        <v>194</v>
      </c>
      <c r="K77" s="226"/>
      <c r="L77" s="226">
        <v>167</v>
      </c>
      <c r="M77" s="56">
        <f t="shared" si="13"/>
        <v>100</v>
      </c>
      <c r="N77" s="226"/>
      <c r="O77" s="226">
        <v>113.06532663316582</v>
      </c>
      <c r="P77" s="226">
        <f t="shared" si="15"/>
        <v>100</v>
      </c>
      <c r="Q77" s="223"/>
    </row>
    <row r="78" spans="1:17" x14ac:dyDescent="0.2">
      <c r="A78" s="223"/>
      <c r="B78" s="223"/>
      <c r="C78" s="223"/>
      <c r="D78" s="223"/>
      <c r="E78" s="223"/>
      <c r="F78" s="224"/>
      <c r="G78" s="224"/>
      <c r="H78" s="225"/>
      <c r="I78" s="226">
        <f>185/1.12</f>
        <v>165.17857142857142</v>
      </c>
      <c r="J78" s="227" t="s">
        <v>182</v>
      </c>
      <c r="K78" s="226"/>
      <c r="L78" s="226">
        <v>0</v>
      </c>
      <c r="M78" s="56">
        <f t="shared" si="13"/>
        <v>0</v>
      </c>
      <c r="N78" s="226"/>
      <c r="O78" s="226">
        <v>0</v>
      </c>
      <c r="P78" s="226">
        <f t="shared" ref="P78:P83" si="16">O78/O$83*100</f>
        <v>0</v>
      </c>
      <c r="Q78" s="223"/>
    </row>
    <row r="79" spans="1:17" x14ac:dyDescent="0.2">
      <c r="A79" s="223"/>
      <c r="B79" s="223"/>
      <c r="C79" s="223"/>
      <c r="D79" s="223"/>
      <c r="E79" s="223"/>
      <c r="F79" s="224"/>
      <c r="G79" s="224"/>
      <c r="H79" s="225"/>
      <c r="I79" s="56"/>
      <c r="J79" s="225" t="s">
        <v>197</v>
      </c>
      <c r="K79" s="226"/>
      <c r="L79" s="226">
        <v>32</v>
      </c>
      <c r="M79" s="56">
        <f t="shared" si="13"/>
        <v>19.161676646706589</v>
      </c>
      <c r="N79" s="226"/>
      <c r="O79" s="226">
        <v>1.8844221105527639</v>
      </c>
      <c r="P79" s="226">
        <f t="shared" si="16"/>
        <v>1.2254901960784315</v>
      </c>
      <c r="Q79" s="223"/>
    </row>
    <row r="80" spans="1:17" x14ac:dyDescent="0.2">
      <c r="A80" s="223"/>
      <c r="B80" s="223"/>
      <c r="C80" s="223"/>
      <c r="D80" s="223"/>
      <c r="E80" s="223"/>
      <c r="F80" s="224"/>
      <c r="G80" s="224"/>
      <c r="H80" s="225"/>
      <c r="I80" s="56"/>
      <c r="J80" s="225" t="s">
        <v>191</v>
      </c>
      <c r="K80" s="226"/>
      <c r="L80" s="226">
        <v>69</v>
      </c>
      <c r="M80" s="56">
        <f t="shared" si="13"/>
        <v>41.317365269461078</v>
      </c>
      <c r="N80" s="226"/>
      <c r="O80" s="226">
        <v>38.442211055276381</v>
      </c>
      <c r="P80" s="226">
        <f t="shared" si="16"/>
        <v>25</v>
      </c>
      <c r="Q80" s="223"/>
    </row>
    <row r="81" spans="1:22" x14ac:dyDescent="0.2">
      <c r="A81" s="223"/>
      <c r="B81" s="223"/>
      <c r="C81" s="223"/>
      <c r="D81" s="223"/>
      <c r="E81" s="223"/>
      <c r="F81" s="224"/>
      <c r="G81" s="224"/>
      <c r="H81" s="225"/>
      <c r="I81" s="56"/>
      <c r="J81" s="225" t="s">
        <v>192</v>
      </c>
      <c r="K81" s="226"/>
      <c r="L81" s="226">
        <v>95</v>
      </c>
      <c r="M81" s="56">
        <f t="shared" si="13"/>
        <v>56.886227544910184</v>
      </c>
      <c r="N81" s="226"/>
      <c r="O81" s="226">
        <v>99.497487437185924</v>
      </c>
      <c r="P81" s="226">
        <f t="shared" si="16"/>
        <v>64.705882352941174</v>
      </c>
      <c r="Q81" s="223"/>
    </row>
    <row r="82" spans="1:22" x14ac:dyDescent="0.2">
      <c r="A82" s="223"/>
      <c r="B82" s="223"/>
      <c r="C82" s="223"/>
      <c r="D82" s="223"/>
      <c r="E82" s="223"/>
      <c r="F82" s="224"/>
      <c r="G82" s="224"/>
      <c r="H82" s="225"/>
      <c r="I82" s="226"/>
      <c r="J82" s="225" t="s">
        <v>193</v>
      </c>
      <c r="K82" s="226"/>
      <c r="L82" s="226">
        <v>117</v>
      </c>
      <c r="M82" s="56">
        <f t="shared" si="13"/>
        <v>70.05988023952095</v>
      </c>
      <c r="N82" s="226"/>
      <c r="O82" s="226">
        <v>101.75879396984925</v>
      </c>
      <c r="P82" s="226">
        <f t="shared" si="16"/>
        <v>66.176470588235304</v>
      </c>
      <c r="Q82" s="223"/>
    </row>
    <row r="83" spans="1:22" x14ac:dyDescent="0.2">
      <c r="A83" s="223"/>
      <c r="B83" s="223"/>
      <c r="C83" s="223"/>
      <c r="D83" s="223"/>
      <c r="E83" s="223"/>
      <c r="F83" s="224"/>
      <c r="G83" s="224"/>
      <c r="H83" s="225"/>
      <c r="I83" s="226"/>
      <c r="J83" s="225" t="s">
        <v>194</v>
      </c>
      <c r="K83" s="226"/>
      <c r="L83" s="226">
        <v>167</v>
      </c>
      <c r="M83" s="56">
        <f t="shared" si="13"/>
        <v>100</v>
      </c>
      <c r="N83" s="226"/>
      <c r="O83" s="226">
        <v>153.76884422110552</v>
      </c>
      <c r="P83" s="226">
        <f t="shared" si="16"/>
        <v>100</v>
      </c>
      <c r="Q83" s="223"/>
    </row>
    <row r="84" spans="1:22" x14ac:dyDescent="0.2">
      <c r="A84" s="223"/>
      <c r="B84" s="223"/>
      <c r="C84" s="223"/>
      <c r="D84" s="223"/>
      <c r="E84" s="223"/>
      <c r="F84" s="224"/>
      <c r="G84" s="224"/>
      <c r="H84" s="225"/>
      <c r="I84" s="226">
        <v>240.17857142857142</v>
      </c>
      <c r="J84" s="227" t="s">
        <v>182</v>
      </c>
      <c r="K84" s="226"/>
      <c r="L84" s="226">
        <v>0</v>
      </c>
      <c r="M84" s="56">
        <f t="shared" si="13"/>
        <v>0</v>
      </c>
      <c r="N84" s="226"/>
      <c r="O84" s="226">
        <v>0</v>
      </c>
      <c r="P84" s="226">
        <f t="shared" ref="P84:P89" si="17">O84/O$89*100</f>
        <v>0</v>
      </c>
      <c r="Q84" s="223"/>
    </row>
    <row r="85" spans="1:22" x14ac:dyDescent="0.2">
      <c r="A85" s="223"/>
      <c r="B85" s="223"/>
      <c r="C85" s="223"/>
      <c r="D85" s="223"/>
      <c r="E85" s="223"/>
      <c r="F85" s="224"/>
      <c r="G85" s="224"/>
      <c r="H85" s="225"/>
      <c r="I85" s="56"/>
      <c r="J85" s="225" t="s">
        <v>197</v>
      </c>
      <c r="K85" s="226"/>
      <c r="L85" s="226">
        <v>32</v>
      </c>
      <c r="M85" s="56">
        <f t="shared" si="13"/>
        <v>19.161676646706589</v>
      </c>
      <c r="N85" s="226"/>
      <c r="O85" s="226">
        <v>1.8844221105527639</v>
      </c>
      <c r="P85" s="226">
        <f t="shared" si="17"/>
        <v>0.8771929824561403</v>
      </c>
      <c r="Q85" s="223"/>
    </row>
    <row r="86" spans="1:22" x14ac:dyDescent="0.2">
      <c r="A86" s="223"/>
      <c r="B86" s="223"/>
      <c r="C86" s="223"/>
      <c r="D86" s="223"/>
      <c r="E86" s="223"/>
      <c r="F86" s="224"/>
      <c r="G86" s="224"/>
      <c r="H86" s="225"/>
      <c r="I86" s="56"/>
      <c r="J86" s="225" t="s">
        <v>191</v>
      </c>
      <c r="K86" s="226"/>
      <c r="L86" s="226">
        <v>69</v>
      </c>
      <c r="M86" s="56">
        <f t="shared" si="13"/>
        <v>41.317365269461078</v>
      </c>
      <c r="N86" s="226"/>
      <c r="O86" s="226">
        <v>53.517587939698487</v>
      </c>
      <c r="P86" s="226">
        <f t="shared" si="17"/>
        <v>24.912280701754383</v>
      </c>
      <c r="Q86" s="223"/>
    </row>
    <row r="87" spans="1:22" x14ac:dyDescent="0.2">
      <c r="A87" s="223"/>
      <c r="B87" s="223"/>
      <c r="C87" s="223"/>
      <c r="D87" s="223"/>
      <c r="E87" s="223"/>
      <c r="F87" s="225"/>
      <c r="G87" s="225"/>
      <c r="H87" s="225"/>
      <c r="I87" s="226"/>
      <c r="J87" s="225" t="s">
        <v>192</v>
      </c>
      <c r="K87" s="226"/>
      <c r="L87" s="226">
        <v>95</v>
      </c>
      <c r="M87" s="56">
        <f t="shared" si="13"/>
        <v>56.886227544910184</v>
      </c>
      <c r="N87" s="226"/>
      <c r="O87" s="226">
        <v>119.09547738693468</v>
      </c>
      <c r="P87" s="226">
        <f t="shared" si="17"/>
        <v>55.438596491228076</v>
      </c>
      <c r="Q87" s="223"/>
    </row>
    <row r="88" spans="1:22" x14ac:dyDescent="0.2">
      <c r="A88" s="223"/>
      <c r="B88" s="223"/>
      <c r="C88" s="223"/>
      <c r="D88" s="223"/>
      <c r="E88" s="223"/>
      <c r="F88" s="225"/>
      <c r="G88" s="225"/>
      <c r="H88" s="225"/>
      <c r="I88" s="226"/>
      <c r="J88" s="225" t="s">
        <v>193</v>
      </c>
      <c r="K88" s="226"/>
      <c r="L88" s="226">
        <v>117</v>
      </c>
      <c r="M88" s="56">
        <f t="shared" si="13"/>
        <v>70.05988023952095</v>
      </c>
      <c r="N88" s="226"/>
      <c r="O88" s="226">
        <v>151.5075376884422</v>
      </c>
      <c r="P88" s="226">
        <f t="shared" si="17"/>
        <v>70.526315789473685</v>
      </c>
      <c r="Q88" s="223"/>
    </row>
    <row r="89" spans="1:22" x14ac:dyDescent="0.2">
      <c r="A89" s="223"/>
      <c r="B89" s="223"/>
      <c r="C89" s="223"/>
      <c r="D89" s="223"/>
      <c r="E89" s="223"/>
      <c r="F89" s="225"/>
      <c r="G89" s="225"/>
      <c r="H89" s="225"/>
      <c r="I89" s="226"/>
      <c r="J89" s="225" t="s">
        <v>194</v>
      </c>
      <c r="K89" s="226"/>
      <c r="L89" s="226">
        <v>167</v>
      </c>
      <c r="M89" s="56">
        <f t="shared" si="13"/>
        <v>100</v>
      </c>
      <c r="N89" s="226"/>
      <c r="O89" s="226">
        <v>214.82412060301507</v>
      </c>
      <c r="P89" s="226">
        <f t="shared" si="17"/>
        <v>100</v>
      </c>
      <c r="Q89" s="223"/>
    </row>
    <row r="90" spans="1:22" x14ac:dyDescent="0.2">
      <c r="A90" s="223"/>
      <c r="B90" s="223"/>
      <c r="C90" s="223"/>
      <c r="D90" s="223"/>
      <c r="E90" s="223"/>
      <c r="F90" s="225"/>
      <c r="G90" s="225"/>
      <c r="H90" s="225"/>
      <c r="I90" s="226">
        <v>359.82142857142856</v>
      </c>
      <c r="J90" s="227" t="s">
        <v>182</v>
      </c>
      <c r="K90" s="226"/>
      <c r="L90" s="226">
        <v>0</v>
      </c>
      <c r="M90" s="56">
        <f t="shared" si="13"/>
        <v>0</v>
      </c>
      <c r="N90" s="226"/>
      <c r="O90" s="226">
        <v>0</v>
      </c>
      <c r="P90" s="226">
        <f t="shared" ref="P90:P95" si="18">O90/O$95*100</f>
        <v>0</v>
      </c>
      <c r="Q90" s="223"/>
    </row>
    <row r="91" spans="1:22" x14ac:dyDescent="0.2">
      <c r="A91" s="223"/>
      <c r="B91" s="223"/>
      <c r="C91" s="223"/>
      <c r="D91" s="223"/>
      <c r="E91" s="223"/>
      <c r="F91" s="224"/>
      <c r="G91" s="224"/>
      <c r="H91" s="225"/>
      <c r="I91" s="226"/>
      <c r="J91" s="225" t="s">
        <v>197</v>
      </c>
      <c r="K91" s="226"/>
      <c r="L91" s="226">
        <v>32</v>
      </c>
      <c r="M91" s="56">
        <f t="shared" si="13"/>
        <v>19.161676646706589</v>
      </c>
      <c r="N91" s="226"/>
      <c r="O91" s="226">
        <v>1.8844221105527639</v>
      </c>
      <c r="P91" s="226">
        <f t="shared" si="18"/>
        <v>0.69252077562326864</v>
      </c>
      <c r="Q91" s="223"/>
    </row>
    <row r="92" spans="1:22" x14ac:dyDescent="0.2">
      <c r="A92" s="229"/>
      <c r="B92" s="223"/>
      <c r="C92" s="223"/>
      <c r="D92" s="223"/>
      <c r="E92" s="223"/>
      <c r="F92" s="225"/>
      <c r="G92" s="225"/>
      <c r="H92" s="225"/>
      <c r="I92" s="226"/>
      <c r="J92" s="225" t="s">
        <v>191</v>
      </c>
      <c r="K92" s="226"/>
      <c r="L92" s="226">
        <v>69</v>
      </c>
      <c r="M92" s="56">
        <f t="shared" si="13"/>
        <v>41.317365269461078</v>
      </c>
      <c r="N92" s="226"/>
      <c r="O92" s="226">
        <v>84.422110552763826</v>
      </c>
      <c r="P92" s="226">
        <f t="shared" si="18"/>
        <v>31.02493074792244</v>
      </c>
      <c r="Q92" s="223"/>
      <c r="V92" s="18"/>
    </row>
    <row r="93" spans="1:22" x14ac:dyDescent="0.2">
      <c r="A93" s="223"/>
      <c r="B93" s="223"/>
      <c r="C93" s="223"/>
      <c r="D93" s="223"/>
      <c r="E93" s="223"/>
      <c r="F93" s="225"/>
      <c r="G93" s="225"/>
      <c r="H93" s="225"/>
      <c r="I93" s="226"/>
      <c r="J93" s="225" t="s">
        <v>192</v>
      </c>
      <c r="K93" s="226"/>
      <c r="L93" s="226">
        <v>95</v>
      </c>
      <c r="M93" s="56">
        <f t="shared" si="13"/>
        <v>56.886227544910184</v>
      </c>
      <c r="N93" s="226"/>
      <c r="O93" s="226">
        <v>174.87437185929647</v>
      </c>
      <c r="P93" s="226">
        <f t="shared" si="18"/>
        <v>64.265927977839326</v>
      </c>
      <c r="Q93" s="223"/>
    </row>
    <row r="94" spans="1:22" x14ac:dyDescent="0.2">
      <c r="A94" s="223"/>
      <c r="B94" s="223"/>
      <c r="C94" s="223"/>
      <c r="D94" s="223"/>
      <c r="E94" s="223"/>
      <c r="F94" s="225"/>
      <c r="G94" s="225"/>
      <c r="H94" s="225"/>
      <c r="I94" s="226"/>
      <c r="J94" s="225" t="s">
        <v>193</v>
      </c>
      <c r="K94" s="226"/>
      <c r="L94" s="226">
        <v>117</v>
      </c>
      <c r="M94" s="56">
        <f t="shared" si="13"/>
        <v>70.05988023952095</v>
      </c>
      <c r="N94" s="226"/>
      <c r="O94" s="226">
        <v>209.54773869346732</v>
      </c>
      <c r="P94" s="226">
        <f t="shared" si="18"/>
        <v>77.00831024930747</v>
      </c>
      <c r="Q94" s="223"/>
    </row>
    <row r="95" spans="1:22" x14ac:dyDescent="0.2">
      <c r="A95" s="223"/>
      <c r="B95" s="223"/>
      <c r="C95" s="223"/>
      <c r="D95" s="223"/>
      <c r="E95" s="223"/>
      <c r="F95" s="225"/>
      <c r="G95" s="225"/>
      <c r="H95" s="225"/>
      <c r="I95" s="226"/>
      <c r="J95" s="225" t="s">
        <v>194</v>
      </c>
      <c r="K95" s="226"/>
      <c r="L95" s="226">
        <v>167</v>
      </c>
      <c r="M95" s="56">
        <f t="shared" si="13"/>
        <v>100</v>
      </c>
      <c r="N95" s="226"/>
      <c r="O95" s="226">
        <v>272.1105527638191</v>
      </c>
      <c r="P95" s="226">
        <f t="shared" si="18"/>
        <v>100</v>
      </c>
      <c r="Q95" s="223"/>
    </row>
    <row r="96" spans="1:22" x14ac:dyDescent="0.2">
      <c r="A96" s="23"/>
      <c r="B96" s="23"/>
      <c r="C96" s="23"/>
      <c r="D96" s="23"/>
      <c r="E96" s="23"/>
      <c r="F96" s="20"/>
      <c r="G96" s="20"/>
      <c r="H96" s="20"/>
      <c r="I96" s="21"/>
      <c r="J96" s="20"/>
      <c r="K96" s="21"/>
      <c r="L96" s="21"/>
      <c r="M96" s="21"/>
      <c r="N96" s="21"/>
      <c r="O96" s="21"/>
      <c r="P96" s="21"/>
      <c r="Q96" s="23"/>
    </row>
    <row r="97" spans="1:26" x14ac:dyDescent="0.2">
      <c r="A97" s="23"/>
      <c r="B97" s="23"/>
      <c r="C97" s="23"/>
      <c r="D97" s="23"/>
      <c r="E97" s="23"/>
      <c r="F97" s="20"/>
      <c r="G97" s="20"/>
      <c r="H97" s="20"/>
      <c r="I97" s="21"/>
      <c r="J97" s="20"/>
      <c r="K97" s="21"/>
      <c r="L97" s="21"/>
      <c r="M97" s="21"/>
      <c r="N97" s="21"/>
      <c r="O97" s="21"/>
      <c r="P97" s="21"/>
      <c r="Q97" s="23"/>
    </row>
    <row r="98" spans="1:26" x14ac:dyDescent="0.2">
      <c r="A98" s="23" t="s">
        <v>163</v>
      </c>
      <c r="B98" s="23"/>
      <c r="C98" s="23"/>
      <c r="D98" s="23"/>
      <c r="E98" s="23"/>
      <c r="F98" s="20"/>
      <c r="G98" s="20"/>
      <c r="H98" s="20"/>
      <c r="I98" s="21"/>
      <c r="J98" s="20"/>
      <c r="K98" s="21"/>
      <c r="L98" s="21"/>
      <c r="M98" s="21"/>
      <c r="N98" s="226"/>
      <c r="O98" s="226"/>
      <c r="P98" s="226"/>
      <c r="Q98" s="23"/>
    </row>
    <row r="99" spans="1:26" x14ac:dyDescent="0.2">
      <c r="A99" s="23"/>
      <c r="B99" s="23"/>
      <c r="C99" s="23"/>
      <c r="D99" s="23"/>
      <c r="E99" s="23"/>
      <c r="F99" s="30"/>
      <c r="G99" s="30"/>
      <c r="H99" s="20"/>
      <c r="I99" s="21"/>
      <c r="J99" s="20"/>
      <c r="K99" s="21"/>
      <c r="L99" s="21"/>
      <c r="M99" s="21"/>
      <c r="N99" s="226"/>
      <c r="O99" s="226" t="s">
        <v>187</v>
      </c>
      <c r="P99" s="226"/>
      <c r="Q99" s="23"/>
    </row>
    <row r="100" spans="1:26" x14ac:dyDescent="0.2">
      <c r="A100" s="23"/>
      <c r="B100" s="23"/>
      <c r="C100" s="23"/>
      <c r="D100" s="23"/>
      <c r="E100" s="23"/>
      <c r="F100" s="20"/>
      <c r="G100" s="20"/>
      <c r="H100" s="20"/>
      <c r="I100" s="21"/>
      <c r="K100" s="30"/>
      <c r="L100" s="21"/>
      <c r="M100" s="30"/>
      <c r="N100" s="21"/>
      <c r="O100" s="21"/>
      <c r="P100" s="21"/>
      <c r="Q100" s="23"/>
    </row>
    <row r="101" spans="1:26" x14ac:dyDescent="0.2">
      <c r="A101" s="23"/>
      <c r="B101" s="23"/>
      <c r="C101" s="23"/>
      <c r="D101" s="23"/>
      <c r="E101" s="23"/>
      <c r="F101" s="20"/>
      <c r="G101" s="20"/>
      <c r="H101" s="20"/>
      <c r="I101" s="21"/>
      <c r="J101" s="20"/>
      <c r="K101" s="30"/>
      <c r="L101" s="21"/>
      <c r="M101" s="30"/>
      <c r="N101" s="21"/>
      <c r="O101" s="21"/>
      <c r="P101" s="21"/>
      <c r="Q101" s="23"/>
    </row>
    <row r="102" spans="1:26" x14ac:dyDescent="0.2">
      <c r="A102" s="23"/>
      <c r="B102" s="23"/>
      <c r="C102" s="23"/>
      <c r="D102" s="23"/>
      <c r="E102" s="23"/>
      <c r="F102" s="20"/>
      <c r="G102" s="20"/>
      <c r="H102" s="20"/>
      <c r="I102" s="21"/>
      <c r="J102" s="20"/>
      <c r="K102" s="30"/>
      <c r="L102" s="21"/>
      <c r="M102" s="30"/>
      <c r="N102" s="21"/>
      <c r="O102" s="21"/>
      <c r="P102" s="21"/>
      <c r="Q102" s="23"/>
    </row>
    <row r="103" spans="1:26" x14ac:dyDescent="0.2">
      <c r="A103" s="23"/>
      <c r="B103" s="23"/>
      <c r="C103" s="23"/>
      <c r="D103" s="23"/>
      <c r="E103" s="23"/>
      <c r="F103" s="20"/>
      <c r="G103" s="20"/>
      <c r="H103" s="20"/>
      <c r="I103" s="21"/>
      <c r="J103" s="20"/>
      <c r="K103" s="30"/>
      <c r="L103" s="21"/>
      <c r="M103" s="30"/>
      <c r="N103" s="21"/>
      <c r="O103" s="21"/>
      <c r="P103" s="21"/>
      <c r="Q103" s="23"/>
    </row>
    <row r="104" spans="1:26" x14ac:dyDescent="0.2">
      <c r="A104" s="23"/>
      <c r="B104" s="23"/>
      <c r="C104" s="23"/>
      <c r="D104" s="23"/>
      <c r="E104" s="23"/>
      <c r="F104" s="30"/>
      <c r="G104" s="30"/>
      <c r="H104" s="20"/>
      <c r="I104" s="21"/>
      <c r="J104" s="20"/>
      <c r="K104" s="30"/>
      <c r="L104" s="21"/>
      <c r="M104" s="30"/>
      <c r="N104" s="21"/>
      <c r="O104" s="21"/>
      <c r="P104" s="21"/>
      <c r="Q104" s="23"/>
    </row>
    <row r="105" spans="1:26" x14ac:dyDescent="0.2">
      <c r="A105" s="23"/>
      <c r="B105" s="23"/>
      <c r="C105" s="23"/>
      <c r="D105" s="23"/>
      <c r="E105" s="23"/>
      <c r="F105" s="20"/>
      <c r="G105" s="20"/>
      <c r="H105" s="20"/>
      <c r="I105" s="21"/>
      <c r="J105" s="20"/>
      <c r="K105" s="30"/>
      <c r="L105" s="21"/>
      <c r="M105" s="30"/>
      <c r="N105" s="21"/>
      <c r="O105" s="21"/>
      <c r="P105" s="21"/>
      <c r="Q105" s="23"/>
      <c r="W105" s="11"/>
    </row>
    <row r="106" spans="1:26" x14ac:dyDescent="0.2">
      <c r="A106" s="23"/>
      <c r="B106" s="23"/>
      <c r="C106" s="23"/>
      <c r="D106" s="23"/>
      <c r="E106" s="23"/>
      <c r="F106" s="20"/>
      <c r="G106" s="20"/>
      <c r="H106" s="20"/>
      <c r="I106" s="21"/>
      <c r="J106" s="20"/>
      <c r="K106" s="30"/>
      <c r="L106" s="21"/>
      <c r="M106" s="30"/>
      <c r="N106" s="21"/>
      <c r="O106" s="21"/>
      <c r="P106" s="21"/>
      <c r="Q106" s="23"/>
      <c r="W106" s="11"/>
    </row>
    <row r="107" spans="1:26" x14ac:dyDescent="0.2">
      <c r="A107" s="23"/>
      <c r="B107" s="23"/>
      <c r="C107" s="23"/>
      <c r="D107" s="23"/>
      <c r="E107" s="23"/>
      <c r="F107" s="20"/>
      <c r="G107" s="20"/>
      <c r="H107" s="20"/>
      <c r="I107" s="21"/>
      <c r="J107" s="20"/>
      <c r="K107" s="30"/>
      <c r="M107" s="21"/>
      <c r="N107" s="21"/>
      <c r="O107" s="21"/>
      <c r="P107" s="21"/>
      <c r="Q107" s="21"/>
      <c r="R107" s="21"/>
      <c r="S107" s="21"/>
      <c r="T107" s="88"/>
      <c r="U107" s="21"/>
      <c r="V107" s="21"/>
      <c r="W107" s="21"/>
      <c r="X107" s="21"/>
      <c r="Y107" s="21"/>
      <c r="Z107" s="21"/>
    </row>
    <row r="108" spans="1:26" x14ac:dyDescent="0.2">
      <c r="A108" s="23"/>
      <c r="B108" s="23"/>
      <c r="C108" s="23"/>
      <c r="D108" s="23"/>
      <c r="E108" s="23"/>
      <c r="F108" s="20"/>
      <c r="G108" s="20"/>
      <c r="H108" s="20"/>
      <c r="I108" s="21"/>
      <c r="J108" s="20"/>
      <c r="K108" s="30"/>
      <c r="L108" s="21"/>
      <c r="M108" s="21"/>
      <c r="N108" s="21"/>
      <c r="O108" s="21"/>
      <c r="P108" s="21"/>
      <c r="Q108" s="21"/>
      <c r="R108" s="21"/>
      <c r="T108" s="21"/>
      <c r="U108" s="21"/>
      <c r="V108" s="21"/>
      <c r="W108" s="21"/>
      <c r="X108" s="21"/>
      <c r="Y108" s="21"/>
      <c r="Z108" s="21"/>
    </row>
    <row r="109" spans="1:26" x14ac:dyDescent="0.2">
      <c r="A109" s="23"/>
      <c r="B109" s="23"/>
      <c r="C109" s="23"/>
      <c r="D109" s="23"/>
      <c r="E109" s="23"/>
      <c r="F109" s="30"/>
      <c r="G109" s="30"/>
      <c r="H109" s="20"/>
      <c r="I109" s="21"/>
      <c r="J109" s="20"/>
      <c r="K109" s="30"/>
      <c r="L109" s="21"/>
      <c r="M109" s="96"/>
      <c r="N109" s="96"/>
      <c r="O109" s="96"/>
      <c r="P109" s="96"/>
      <c r="Q109" s="96"/>
      <c r="R109" s="96"/>
      <c r="T109" s="21"/>
      <c r="U109" s="96"/>
      <c r="V109" s="96"/>
      <c r="W109" s="96"/>
      <c r="X109" s="96"/>
      <c r="Y109" s="96"/>
      <c r="Z109" s="96"/>
    </row>
    <row r="110" spans="1:26" x14ac:dyDescent="0.2">
      <c r="A110" s="23"/>
      <c r="B110" s="23"/>
      <c r="C110" s="23"/>
      <c r="D110" s="23"/>
      <c r="E110" s="23"/>
      <c r="F110" s="20"/>
      <c r="G110" s="20"/>
      <c r="H110" s="20"/>
      <c r="I110" s="21"/>
      <c r="J110" s="20"/>
      <c r="K110" s="21"/>
      <c r="L110" s="21"/>
      <c r="M110" s="96"/>
      <c r="N110" s="96"/>
      <c r="O110" s="96"/>
      <c r="P110" s="96"/>
      <c r="Q110" s="96"/>
      <c r="R110" s="96"/>
      <c r="T110" s="21"/>
      <c r="U110" s="96"/>
      <c r="V110" s="96"/>
      <c r="W110" s="96"/>
      <c r="X110" s="96"/>
      <c r="Y110" s="96"/>
      <c r="Z110" s="96"/>
    </row>
    <row r="111" spans="1:26" x14ac:dyDescent="0.2">
      <c r="A111" s="23"/>
      <c r="B111" s="23"/>
      <c r="C111" s="23"/>
      <c r="D111" s="23"/>
      <c r="E111" s="23"/>
      <c r="F111" s="20"/>
      <c r="G111" s="20"/>
      <c r="H111" s="20"/>
      <c r="I111" s="21"/>
      <c r="J111" s="20"/>
      <c r="K111" s="21"/>
      <c r="L111" s="21"/>
      <c r="M111" s="96"/>
      <c r="N111" s="96"/>
      <c r="O111" s="96"/>
      <c r="P111" s="96"/>
      <c r="Q111" s="96"/>
      <c r="R111" s="96"/>
      <c r="T111" s="21"/>
      <c r="U111" s="96"/>
      <c r="V111" s="96"/>
      <c r="W111" s="96"/>
      <c r="X111" s="96"/>
      <c r="Y111" s="96"/>
      <c r="Z111" s="96"/>
    </row>
    <row r="112" spans="1:26" x14ac:dyDescent="0.2">
      <c r="A112" s="23"/>
      <c r="B112" s="23"/>
      <c r="C112" s="23"/>
      <c r="D112" s="23"/>
      <c r="E112" s="23"/>
      <c r="F112" s="20"/>
      <c r="G112" s="20"/>
      <c r="H112" s="20"/>
      <c r="I112" s="21"/>
      <c r="J112" s="20"/>
      <c r="K112" s="21"/>
      <c r="L112" s="21"/>
      <c r="M112" s="96"/>
      <c r="N112" s="96"/>
      <c r="O112" s="96"/>
      <c r="P112" s="96"/>
      <c r="Q112" s="96"/>
      <c r="R112" s="96"/>
      <c r="T112" s="21"/>
      <c r="U112" s="96"/>
      <c r="V112" s="96"/>
      <c r="W112" s="96"/>
      <c r="X112" s="96"/>
      <c r="Y112" s="96"/>
      <c r="Z112" s="96"/>
    </row>
    <row r="113" spans="1:26" x14ac:dyDescent="0.2">
      <c r="A113" s="23"/>
      <c r="B113" s="23"/>
      <c r="C113" s="23"/>
      <c r="D113" s="23"/>
      <c r="E113" s="23"/>
      <c r="F113" s="20"/>
      <c r="G113" s="20"/>
      <c r="H113" s="20"/>
      <c r="I113" s="21"/>
      <c r="J113" s="20"/>
      <c r="K113" s="21"/>
      <c r="L113" s="21"/>
      <c r="M113" s="96"/>
      <c r="N113" s="96"/>
      <c r="O113" s="96"/>
      <c r="P113" s="96"/>
      <c r="Q113" s="96"/>
      <c r="R113" s="96"/>
      <c r="T113" s="21"/>
      <c r="U113" s="96"/>
      <c r="V113" s="96"/>
      <c r="W113" s="96"/>
      <c r="X113" s="96"/>
      <c r="Y113" s="96"/>
      <c r="Z113" s="96"/>
    </row>
    <row r="114" spans="1:26" x14ac:dyDescent="0.2">
      <c r="A114" s="23"/>
      <c r="B114" s="23"/>
      <c r="C114" s="23"/>
      <c r="D114" s="23"/>
      <c r="E114" s="23"/>
      <c r="F114" s="30"/>
      <c r="G114" s="30"/>
      <c r="H114" s="20"/>
      <c r="I114" s="21"/>
      <c r="J114" s="20"/>
      <c r="K114" s="21"/>
      <c r="L114" s="21"/>
      <c r="M114" s="21"/>
      <c r="N114" s="21"/>
      <c r="O114" s="21"/>
      <c r="P114" s="21"/>
      <c r="Q114" s="23"/>
    </row>
    <row r="115" spans="1:26" x14ac:dyDescent="0.2">
      <c r="A115" s="23"/>
      <c r="B115" s="23"/>
      <c r="C115" s="23"/>
      <c r="D115" s="23"/>
      <c r="E115" s="23"/>
      <c r="F115" s="20"/>
      <c r="G115" s="20"/>
      <c r="H115" s="20"/>
      <c r="I115" s="21"/>
      <c r="J115" s="20"/>
      <c r="K115" s="21"/>
      <c r="M115" s="21"/>
      <c r="N115" s="21"/>
      <c r="O115" s="21"/>
      <c r="P115" s="21"/>
      <c r="Q115" s="21"/>
      <c r="R115" s="21"/>
      <c r="S115" s="21"/>
      <c r="T115" s="88"/>
      <c r="U115" s="21"/>
      <c r="V115" s="21"/>
      <c r="W115" s="21"/>
      <c r="X115" s="21"/>
      <c r="Y115" s="21"/>
      <c r="Z115" s="21"/>
    </row>
    <row r="116" spans="1:26" x14ac:dyDescent="0.2">
      <c r="A116" s="23"/>
      <c r="B116" s="23"/>
      <c r="C116" s="23"/>
      <c r="D116" s="23"/>
      <c r="E116" s="23"/>
      <c r="F116" s="20"/>
      <c r="G116" s="20"/>
      <c r="H116" s="20"/>
      <c r="I116" s="21"/>
      <c r="J116" s="20"/>
      <c r="K116" s="21"/>
      <c r="L116" s="21"/>
      <c r="M116" s="21"/>
      <c r="N116" s="21"/>
      <c r="O116" s="21"/>
      <c r="P116" s="21"/>
      <c r="Q116" s="21"/>
      <c r="R116" s="21"/>
      <c r="T116" s="21"/>
      <c r="U116" s="21"/>
      <c r="V116" s="21"/>
      <c r="W116" s="21"/>
      <c r="X116" s="21"/>
      <c r="Y116" s="21"/>
      <c r="Z116" s="21"/>
    </row>
    <row r="117" spans="1:26" x14ac:dyDescent="0.2">
      <c r="A117" s="23"/>
      <c r="B117" s="23"/>
      <c r="C117" s="23"/>
      <c r="D117" s="23"/>
      <c r="E117" s="23"/>
      <c r="F117" s="20"/>
      <c r="G117" s="20"/>
      <c r="H117" s="20"/>
      <c r="I117" s="21"/>
      <c r="J117" s="20"/>
      <c r="K117" s="21"/>
      <c r="L117" s="21"/>
      <c r="M117" s="21"/>
      <c r="N117" s="21"/>
      <c r="O117" s="21"/>
      <c r="P117" s="21"/>
      <c r="Q117" s="21"/>
      <c r="R117" s="96"/>
      <c r="T117" s="21"/>
      <c r="U117" s="21"/>
      <c r="V117" s="21"/>
      <c r="W117" s="21"/>
      <c r="X117" s="21"/>
      <c r="Y117" s="21"/>
      <c r="Z117" s="21"/>
    </row>
    <row r="118" spans="1:26" x14ac:dyDescent="0.2">
      <c r="A118" s="23"/>
      <c r="B118" s="23"/>
      <c r="C118" s="23"/>
      <c r="D118" s="23"/>
      <c r="E118" s="23"/>
      <c r="F118" s="20"/>
      <c r="G118" s="20"/>
      <c r="H118" s="20"/>
      <c r="I118" s="21"/>
      <c r="J118" s="20"/>
      <c r="K118" s="21"/>
      <c r="L118" s="21"/>
      <c r="M118" s="21"/>
      <c r="N118" s="21"/>
      <c r="O118" s="21"/>
      <c r="P118" s="21"/>
      <c r="Q118" s="21"/>
      <c r="R118" s="96"/>
      <c r="T118" s="21"/>
      <c r="U118" s="21"/>
      <c r="V118" s="21"/>
      <c r="W118" s="21"/>
      <c r="X118" s="21"/>
      <c r="Y118" s="21"/>
      <c r="Z118" s="21"/>
    </row>
    <row r="119" spans="1:26" x14ac:dyDescent="0.2">
      <c r="A119" s="23"/>
      <c r="B119" s="23"/>
      <c r="C119" s="23"/>
      <c r="D119" s="23"/>
      <c r="E119" s="23"/>
      <c r="F119" s="30"/>
      <c r="G119" s="30"/>
      <c r="H119" s="20"/>
      <c r="I119" s="21"/>
      <c r="J119" s="20"/>
      <c r="K119" s="21"/>
      <c r="L119" s="21"/>
      <c r="M119" s="21"/>
      <c r="N119" s="21"/>
      <c r="O119" s="21"/>
      <c r="P119" s="21"/>
      <c r="Q119" s="21"/>
      <c r="R119" s="96"/>
      <c r="T119" s="21"/>
      <c r="U119" s="21"/>
      <c r="V119" s="21"/>
      <c r="W119" s="21"/>
      <c r="X119" s="21"/>
      <c r="Y119" s="21"/>
      <c r="Z119" s="21"/>
    </row>
    <row r="120" spans="1:26" x14ac:dyDescent="0.2">
      <c r="A120" s="23"/>
      <c r="B120" s="23"/>
      <c r="C120" s="23"/>
      <c r="D120" s="23"/>
      <c r="E120" s="23"/>
      <c r="F120" s="20"/>
      <c r="G120" s="20"/>
      <c r="H120" s="20"/>
      <c r="I120" s="21"/>
      <c r="J120" s="20"/>
      <c r="K120" s="21"/>
      <c r="L120" s="21"/>
      <c r="M120" s="21"/>
      <c r="N120" s="21"/>
      <c r="O120" s="21"/>
      <c r="P120" s="21"/>
      <c r="Q120" s="21"/>
      <c r="R120" s="96"/>
      <c r="T120" s="21"/>
      <c r="U120" s="21"/>
      <c r="V120" s="21"/>
      <c r="W120" s="21"/>
      <c r="X120" s="21"/>
      <c r="Y120" s="21"/>
      <c r="Z120" s="21"/>
    </row>
    <row r="121" spans="1:26" x14ac:dyDescent="0.2">
      <c r="A121" s="23"/>
      <c r="B121" s="23"/>
      <c r="C121" s="23"/>
      <c r="D121" s="23"/>
      <c r="E121" s="23"/>
      <c r="F121" s="20"/>
      <c r="G121" s="20"/>
      <c r="H121" s="20"/>
      <c r="I121" s="21"/>
      <c r="J121" s="20"/>
      <c r="K121" s="21"/>
      <c r="L121" s="21"/>
      <c r="M121" s="21"/>
      <c r="N121" s="21"/>
      <c r="O121" s="21"/>
      <c r="P121" s="21"/>
      <c r="Q121" s="21"/>
      <c r="R121" s="96"/>
      <c r="T121" s="21"/>
      <c r="U121" s="21"/>
      <c r="V121" s="21"/>
      <c r="W121" s="21"/>
      <c r="X121" s="21"/>
      <c r="Y121" s="21"/>
      <c r="Z121" s="21"/>
    </row>
    <row r="122" spans="1:26" x14ac:dyDescent="0.2">
      <c r="A122" s="23"/>
      <c r="B122" s="23"/>
      <c r="C122" s="23"/>
      <c r="D122" s="23"/>
      <c r="E122" s="23"/>
      <c r="F122" s="20"/>
      <c r="G122" s="20"/>
      <c r="H122" s="20"/>
      <c r="I122" s="21"/>
      <c r="J122" s="20"/>
      <c r="K122" s="21"/>
      <c r="L122" s="21"/>
      <c r="M122" s="21"/>
      <c r="N122" s="21"/>
      <c r="O122" s="21"/>
      <c r="P122" s="21"/>
      <c r="Q122" s="23"/>
    </row>
    <row r="123" spans="1:26" x14ac:dyDescent="0.2">
      <c r="A123" s="23"/>
      <c r="B123" s="23"/>
      <c r="C123" s="23"/>
      <c r="D123" s="23"/>
      <c r="E123" s="23"/>
      <c r="F123" s="20"/>
      <c r="G123" s="20"/>
      <c r="H123" s="20"/>
      <c r="I123" s="21"/>
      <c r="J123" s="20"/>
      <c r="K123" s="21"/>
      <c r="L123" s="21"/>
      <c r="M123" s="21"/>
      <c r="N123" s="21"/>
      <c r="O123" s="21"/>
      <c r="P123" s="21"/>
      <c r="Q123" s="23"/>
    </row>
    <row r="124" spans="1:26" x14ac:dyDescent="0.2">
      <c r="A124" s="23"/>
      <c r="B124" s="23"/>
      <c r="C124" s="23"/>
      <c r="D124" s="23"/>
      <c r="E124" s="23"/>
      <c r="F124" s="30"/>
      <c r="G124" s="30"/>
      <c r="H124" s="20"/>
      <c r="I124" s="21"/>
      <c r="J124" s="20"/>
      <c r="K124" s="21"/>
      <c r="L124" s="21"/>
      <c r="M124" s="21"/>
      <c r="N124" s="21"/>
      <c r="O124" s="21"/>
      <c r="P124" s="21"/>
      <c r="Q124" s="23"/>
    </row>
    <row r="125" spans="1:26" x14ac:dyDescent="0.2">
      <c r="A125" s="23"/>
      <c r="B125" s="23"/>
      <c r="C125" s="23"/>
      <c r="D125" s="23"/>
      <c r="E125" s="23"/>
      <c r="F125" s="20"/>
      <c r="G125" s="20"/>
      <c r="H125" s="20"/>
      <c r="I125" s="21"/>
      <c r="J125" s="20"/>
      <c r="K125" s="21"/>
      <c r="L125" s="21"/>
      <c r="M125" s="21"/>
      <c r="N125" s="21"/>
      <c r="O125" s="21"/>
      <c r="P125" s="21"/>
      <c r="Q125" s="23"/>
    </row>
    <row r="126" spans="1:26" x14ac:dyDescent="0.2">
      <c r="A126" s="23"/>
      <c r="B126" s="23"/>
      <c r="C126" s="23"/>
      <c r="D126" s="23"/>
      <c r="E126" s="23"/>
      <c r="F126" s="20"/>
      <c r="G126" s="20"/>
      <c r="H126" s="20"/>
      <c r="I126" s="21"/>
      <c r="J126" s="20"/>
      <c r="K126" s="21"/>
      <c r="L126" s="21"/>
      <c r="M126" s="21"/>
      <c r="N126" s="21"/>
      <c r="O126" s="21"/>
      <c r="P126" s="21"/>
      <c r="Q126" s="23"/>
    </row>
    <row r="127" spans="1:26" x14ac:dyDescent="0.2">
      <c r="A127" s="23"/>
      <c r="B127" s="23"/>
      <c r="C127" s="23"/>
      <c r="D127" s="23"/>
      <c r="E127" s="23"/>
      <c r="F127" s="20"/>
      <c r="G127" s="20"/>
      <c r="H127" s="20"/>
      <c r="I127" s="21"/>
      <c r="J127" s="20"/>
      <c r="K127" s="21"/>
      <c r="L127" s="21"/>
      <c r="M127" s="21"/>
      <c r="N127" s="21"/>
      <c r="O127" s="21"/>
      <c r="P127" s="21"/>
      <c r="Q127" s="23"/>
    </row>
    <row r="128" spans="1:26" x14ac:dyDescent="0.2">
      <c r="A128" s="23"/>
      <c r="B128" s="23"/>
      <c r="C128" s="23"/>
      <c r="D128" s="23"/>
      <c r="E128" s="23"/>
      <c r="F128" s="20"/>
      <c r="G128" s="20"/>
      <c r="H128" s="20"/>
      <c r="I128" s="21"/>
      <c r="J128" s="20"/>
      <c r="K128" s="21"/>
      <c r="L128" s="21"/>
      <c r="M128" s="21"/>
      <c r="N128" s="21"/>
      <c r="O128" s="21"/>
      <c r="P128" s="21"/>
      <c r="Q128" s="23"/>
    </row>
    <row r="129" spans="1:17" x14ac:dyDescent="0.2">
      <c r="A129" s="23"/>
      <c r="B129" s="23"/>
      <c r="C129" s="23"/>
      <c r="D129" s="17"/>
      <c r="E129" s="17"/>
      <c r="F129" s="30"/>
      <c r="G129" s="30"/>
      <c r="H129" s="20"/>
      <c r="I129" s="21"/>
      <c r="J129" s="20"/>
      <c r="K129" s="21"/>
      <c r="L129" s="21"/>
      <c r="M129" s="21"/>
      <c r="N129" s="21"/>
      <c r="O129" s="20"/>
      <c r="P129" s="21"/>
      <c r="Q129" s="23"/>
    </row>
    <row r="130" spans="1:17" x14ac:dyDescent="0.2">
      <c r="A130" s="23"/>
      <c r="B130" s="23"/>
      <c r="C130" s="23"/>
      <c r="D130" s="17"/>
      <c r="E130" s="17"/>
      <c r="F130" s="20"/>
      <c r="G130" s="20"/>
      <c r="H130" s="20"/>
      <c r="I130" s="21"/>
      <c r="J130" s="20"/>
      <c r="K130" s="21"/>
      <c r="L130" s="21"/>
      <c r="M130" s="21"/>
      <c r="N130" s="21"/>
      <c r="O130" s="21"/>
      <c r="P130" s="21"/>
      <c r="Q130" s="23"/>
    </row>
    <row r="131" spans="1:17" x14ac:dyDescent="0.2">
      <c r="A131" s="23"/>
      <c r="B131" s="23"/>
      <c r="C131" s="23"/>
      <c r="D131" s="17"/>
      <c r="E131" s="17"/>
      <c r="F131" s="20"/>
      <c r="G131" s="20"/>
      <c r="H131" s="20"/>
      <c r="I131" s="21"/>
      <c r="J131" s="20"/>
      <c r="K131" s="21"/>
      <c r="L131" s="21"/>
      <c r="M131" s="21"/>
      <c r="N131" s="21"/>
      <c r="O131" s="21"/>
      <c r="P131" s="21"/>
      <c r="Q131" s="23"/>
    </row>
    <row r="132" spans="1:17" x14ac:dyDescent="0.2">
      <c r="A132" s="23"/>
      <c r="B132" s="23"/>
      <c r="C132" s="23"/>
      <c r="D132" s="17"/>
      <c r="E132" s="17"/>
      <c r="F132" s="20"/>
      <c r="G132" s="20"/>
      <c r="H132" s="20"/>
      <c r="I132" s="21"/>
      <c r="J132" s="20"/>
      <c r="K132" s="21"/>
      <c r="L132" s="21"/>
      <c r="M132" s="21"/>
      <c r="N132" s="21"/>
      <c r="O132" s="21"/>
      <c r="P132" s="21"/>
      <c r="Q132" s="23"/>
    </row>
    <row r="133" spans="1:17" x14ac:dyDescent="0.2">
      <c r="A133" s="23"/>
      <c r="B133" s="23"/>
      <c r="C133" s="23"/>
      <c r="D133" s="17"/>
      <c r="E133" s="17"/>
      <c r="F133" s="20"/>
      <c r="G133" s="20"/>
      <c r="H133" s="20"/>
      <c r="I133" s="21"/>
      <c r="J133" s="20"/>
      <c r="K133" s="21"/>
      <c r="L133" s="21"/>
      <c r="M133" s="21"/>
      <c r="N133" s="21"/>
      <c r="O133" s="21"/>
      <c r="P133" s="21"/>
      <c r="Q133" s="23"/>
    </row>
    <row r="134" spans="1:17" x14ac:dyDescent="0.2">
      <c r="A134" s="23"/>
      <c r="B134" s="23"/>
      <c r="C134" s="23"/>
      <c r="D134" s="17"/>
      <c r="E134" s="17"/>
      <c r="F134" s="20"/>
      <c r="G134" s="20"/>
      <c r="H134" s="20"/>
      <c r="I134" s="21"/>
      <c r="J134" s="20"/>
      <c r="K134" s="21"/>
      <c r="L134" s="21"/>
      <c r="M134" s="21"/>
      <c r="N134" s="21"/>
      <c r="O134" s="21"/>
      <c r="P134" s="21"/>
      <c r="Q134" s="23"/>
    </row>
    <row r="135" spans="1:17" x14ac:dyDescent="0.2">
      <c r="A135" s="23"/>
      <c r="B135" s="23"/>
      <c r="C135" s="23"/>
      <c r="D135" s="17"/>
      <c r="E135" s="17"/>
      <c r="F135" s="20"/>
      <c r="G135" s="20"/>
      <c r="H135" s="20"/>
      <c r="I135" s="21"/>
      <c r="J135" s="20"/>
      <c r="K135" s="21"/>
      <c r="L135" s="21"/>
      <c r="M135" s="21"/>
      <c r="N135" s="21"/>
      <c r="O135" s="21"/>
      <c r="P135" s="21"/>
      <c r="Q135" s="23"/>
    </row>
    <row r="136" spans="1:17" x14ac:dyDescent="0.2">
      <c r="A136" s="23"/>
      <c r="B136" s="23"/>
      <c r="C136" s="23"/>
      <c r="D136" s="23"/>
      <c r="E136" s="23"/>
      <c r="F136" s="30"/>
      <c r="G136" s="30"/>
      <c r="H136" s="20"/>
      <c r="I136" s="21"/>
      <c r="J136" s="20"/>
      <c r="K136" s="21"/>
      <c r="L136" s="21"/>
      <c r="M136" s="21"/>
      <c r="N136" s="21"/>
      <c r="O136" s="20"/>
      <c r="P136" s="21"/>
      <c r="Q136" s="23"/>
    </row>
    <row r="137" spans="1:17" x14ac:dyDescent="0.2">
      <c r="A137" s="23"/>
      <c r="B137" s="23"/>
      <c r="C137" s="23"/>
      <c r="D137" s="23"/>
      <c r="E137" s="23"/>
      <c r="F137" s="20"/>
      <c r="G137" s="20"/>
      <c r="H137" s="20"/>
      <c r="I137" s="21"/>
      <c r="J137" s="20"/>
      <c r="K137" s="21"/>
      <c r="L137" s="21"/>
      <c r="M137" s="21"/>
      <c r="N137" s="21"/>
      <c r="O137" s="21"/>
      <c r="P137" s="21"/>
      <c r="Q137" s="23"/>
    </row>
    <row r="138" spans="1:17" x14ac:dyDescent="0.2">
      <c r="A138" s="23"/>
      <c r="B138" s="23"/>
      <c r="C138" s="23"/>
      <c r="D138" s="23"/>
      <c r="E138" s="23"/>
      <c r="F138" s="20"/>
      <c r="G138" s="20"/>
      <c r="H138" s="20"/>
      <c r="I138" s="21"/>
      <c r="J138" s="20"/>
      <c r="K138" s="21"/>
      <c r="L138" s="21"/>
      <c r="M138" s="21"/>
      <c r="N138" s="21"/>
      <c r="O138" s="21"/>
      <c r="P138" s="21"/>
      <c r="Q138" s="23"/>
    </row>
    <row r="139" spans="1:17" x14ac:dyDescent="0.2">
      <c r="A139" s="23"/>
      <c r="B139" s="23"/>
      <c r="C139" s="23"/>
      <c r="D139" s="23"/>
      <c r="E139" s="23"/>
      <c r="F139" s="20"/>
      <c r="G139" s="20"/>
      <c r="H139" s="20"/>
      <c r="I139" s="21"/>
      <c r="J139" s="20"/>
      <c r="K139" s="21"/>
      <c r="L139" s="21"/>
      <c r="M139" s="21"/>
      <c r="N139" s="21"/>
      <c r="O139" s="21"/>
      <c r="P139" s="21"/>
      <c r="Q139" s="23"/>
    </row>
    <row r="140" spans="1:17" x14ac:dyDescent="0.2">
      <c r="A140" s="23"/>
      <c r="B140" s="23"/>
      <c r="C140" s="23"/>
      <c r="D140" s="23"/>
      <c r="E140" s="23"/>
      <c r="F140" s="20"/>
      <c r="G140" s="20"/>
      <c r="H140" s="20"/>
      <c r="I140" s="21"/>
      <c r="J140" s="20"/>
      <c r="K140" s="21"/>
      <c r="L140" s="21"/>
      <c r="M140" s="21"/>
      <c r="N140" s="21"/>
      <c r="O140" s="21"/>
      <c r="P140" s="21"/>
      <c r="Q140" s="23"/>
    </row>
    <row r="141" spans="1:17" x14ac:dyDescent="0.2">
      <c r="A141" s="23"/>
      <c r="B141" s="23"/>
      <c r="C141" s="23"/>
      <c r="D141" s="23"/>
      <c r="E141" s="23"/>
      <c r="F141" s="20"/>
      <c r="G141" s="20"/>
      <c r="H141" s="20"/>
      <c r="I141" s="21"/>
      <c r="J141" s="20"/>
      <c r="K141" s="21"/>
      <c r="L141" s="21"/>
      <c r="M141" s="21"/>
      <c r="N141" s="21"/>
      <c r="O141" s="21"/>
      <c r="P141" s="21"/>
      <c r="Q141" s="23"/>
    </row>
    <row r="142" spans="1:17" x14ac:dyDescent="0.2">
      <c r="A142" s="23"/>
      <c r="B142" s="23"/>
      <c r="C142" s="23"/>
      <c r="D142" s="23"/>
      <c r="E142" s="23"/>
      <c r="F142" s="20"/>
      <c r="G142" s="20"/>
      <c r="H142" s="20"/>
      <c r="I142" s="21"/>
      <c r="J142" s="20"/>
      <c r="K142" s="21"/>
      <c r="L142" s="21"/>
      <c r="M142" s="21"/>
      <c r="N142" s="21"/>
      <c r="O142" s="21"/>
      <c r="P142" s="21"/>
      <c r="Q142" s="23"/>
    </row>
    <row r="145" spans="1:25" x14ac:dyDescent="0.2">
      <c r="A145" t="s">
        <v>37</v>
      </c>
      <c r="C145" s="232" t="s">
        <v>178</v>
      </c>
      <c r="D145" s="233"/>
      <c r="E145" s="233"/>
      <c r="F145" s="233"/>
      <c r="G145" s="233"/>
      <c r="H145" s="233"/>
      <c r="I145" s="233"/>
      <c r="J145" s="233"/>
      <c r="K145" s="233"/>
      <c r="L145" s="233"/>
      <c r="M145" s="234"/>
      <c r="N145" s="89"/>
    </row>
    <row r="146" spans="1:25" x14ac:dyDescent="0.2">
      <c r="C146" s="235"/>
      <c r="D146" s="236"/>
      <c r="E146" s="236"/>
      <c r="F146" s="236"/>
      <c r="G146" s="236"/>
      <c r="H146" s="236"/>
      <c r="I146" s="236"/>
      <c r="J146" s="236"/>
      <c r="K146" s="236"/>
      <c r="L146" s="236"/>
      <c r="M146" s="237"/>
      <c r="N146" s="89"/>
    </row>
    <row r="147" spans="1:25" x14ac:dyDescent="0.2">
      <c r="C147" s="238"/>
      <c r="D147" s="239"/>
      <c r="E147" s="239"/>
      <c r="F147" s="239"/>
      <c r="G147" s="239"/>
      <c r="H147" s="239"/>
      <c r="I147" s="239"/>
      <c r="J147" s="239"/>
      <c r="K147" s="239"/>
      <c r="L147" s="239"/>
      <c r="M147" s="240"/>
      <c r="N147" s="89"/>
    </row>
    <row r="148" spans="1:25" x14ac:dyDescent="0.2">
      <c r="C148" s="14"/>
      <c r="D148" s="14"/>
      <c r="E148" s="14"/>
      <c r="F148" s="14"/>
      <c r="G148" s="14"/>
      <c r="H148" s="14"/>
      <c r="I148" s="14"/>
      <c r="J148" s="14"/>
      <c r="K148" s="14"/>
      <c r="L148" s="14"/>
    </row>
    <row r="149" spans="1:25" x14ac:dyDescent="0.2">
      <c r="C149" s="232" t="s">
        <v>536</v>
      </c>
      <c r="D149" s="233"/>
      <c r="E149" s="233"/>
      <c r="F149" s="233"/>
      <c r="G149" s="233"/>
      <c r="H149" s="233"/>
      <c r="I149" s="233"/>
      <c r="J149" s="233"/>
      <c r="K149" s="233"/>
      <c r="L149" s="233"/>
      <c r="M149" s="233"/>
      <c r="N149" s="233"/>
      <c r="O149" s="233"/>
      <c r="P149" s="234"/>
    </row>
    <row r="150" spans="1:25" x14ac:dyDescent="0.2">
      <c r="C150" s="235"/>
      <c r="D150" s="236"/>
      <c r="E150" s="236"/>
      <c r="F150" s="236"/>
      <c r="G150" s="236"/>
      <c r="H150" s="236"/>
      <c r="I150" s="236"/>
      <c r="J150" s="236"/>
      <c r="K150" s="236"/>
      <c r="L150" s="236"/>
      <c r="M150" s="236"/>
      <c r="N150" s="236"/>
      <c r="O150" s="236"/>
      <c r="P150" s="237"/>
      <c r="Q150" s="241"/>
      <c r="R150" s="241"/>
      <c r="S150" s="241"/>
      <c r="T150" s="241"/>
      <c r="U150" s="241"/>
      <c r="V150" s="241"/>
      <c r="X150" s="241"/>
      <c r="Y150" s="241"/>
    </row>
    <row r="151" spans="1:25" x14ac:dyDescent="0.2">
      <c r="C151" s="238"/>
      <c r="D151" s="239"/>
      <c r="E151" s="239"/>
      <c r="F151" s="239"/>
      <c r="G151" s="239"/>
      <c r="H151" s="239"/>
      <c r="I151" s="239"/>
      <c r="J151" s="239"/>
      <c r="K151" s="239"/>
      <c r="L151" s="239"/>
      <c r="M151" s="239"/>
      <c r="N151" s="239"/>
      <c r="O151" s="239"/>
      <c r="P151" s="240"/>
      <c r="Q151" s="84"/>
      <c r="R151" s="84"/>
      <c r="U151" s="84"/>
      <c r="V151" s="84"/>
    </row>
    <row r="152" spans="1:25" x14ac:dyDescent="0.2">
      <c r="C152" s="86"/>
      <c r="D152" s="86"/>
      <c r="E152" s="86"/>
      <c r="F152" s="86"/>
      <c r="G152" s="86"/>
      <c r="H152" s="86"/>
      <c r="I152" s="86"/>
      <c r="J152" s="86"/>
      <c r="K152" s="86"/>
      <c r="L152" s="86"/>
      <c r="M152" s="86"/>
      <c r="N152" s="86"/>
      <c r="O152" s="86"/>
      <c r="P152" s="86"/>
      <c r="Q152" s="84"/>
      <c r="R152" s="84"/>
      <c r="U152" s="84"/>
      <c r="V152" s="84"/>
    </row>
    <row r="153" spans="1:25" x14ac:dyDescent="0.2">
      <c r="O153"/>
      <c r="P153" s="11"/>
      <c r="Q153" s="84"/>
      <c r="R153" s="11"/>
      <c r="T153" s="11"/>
      <c r="V153" s="11"/>
    </row>
    <row r="154" spans="1:25" x14ac:dyDescent="0.2">
      <c r="A154" s="1"/>
      <c r="B154" s="1"/>
      <c r="O154"/>
      <c r="P154" s="11"/>
      <c r="Q154" s="84"/>
      <c r="R154" s="11"/>
      <c r="T154" s="11"/>
      <c r="V154" s="11"/>
    </row>
    <row r="155" spans="1:25" x14ac:dyDescent="0.2">
      <c r="A155" s="1"/>
      <c r="B155" s="1"/>
      <c r="P155" s="11"/>
      <c r="Q155" s="84"/>
      <c r="R155" s="11"/>
      <c r="T155" s="11"/>
      <c r="V155" s="11"/>
    </row>
    <row r="156" spans="1:25" x14ac:dyDescent="0.2">
      <c r="P156" s="11"/>
      <c r="Q156" s="84"/>
      <c r="R156" s="11"/>
      <c r="T156" s="11"/>
      <c r="V156" s="11"/>
    </row>
    <row r="157" spans="1:25" x14ac:dyDescent="0.2">
      <c r="P157" s="11"/>
      <c r="Q157" s="84"/>
      <c r="R157" s="11"/>
      <c r="T157" s="11"/>
      <c r="V157" s="11"/>
    </row>
    <row r="158" spans="1:25" x14ac:dyDescent="0.2">
      <c r="P158" s="11"/>
      <c r="Q158" s="84"/>
      <c r="R158" s="11"/>
      <c r="T158" s="11"/>
      <c r="V158" s="11"/>
    </row>
  </sheetData>
  <mergeCells count="8">
    <mergeCell ref="K3:M3"/>
    <mergeCell ref="S3:Y10"/>
    <mergeCell ref="C145:M147"/>
    <mergeCell ref="C149:P151"/>
    <mergeCell ref="Q150:R150"/>
    <mergeCell ref="S150:T150"/>
    <mergeCell ref="U150:V150"/>
    <mergeCell ref="X150:Y150"/>
  </mergeCells>
  <pageMargins left="0.7" right="0.7" top="0.75" bottom="0.75" header="0.3" footer="0.3"/>
  <drawing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B115"/>
  <sheetViews>
    <sheetView topLeftCell="Q3" zoomScale="70" zoomScaleNormal="70" zoomScalePageLayoutView="70" workbookViewId="0">
      <selection activeCell="Z37" sqref="Z37"/>
    </sheetView>
  </sheetViews>
  <sheetFormatPr baseColWidth="10" defaultColWidth="8.83203125" defaultRowHeight="15" x14ac:dyDescent="0.2"/>
  <cols>
    <col min="1" max="2" width="20.6640625" customWidth="1"/>
    <col min="3" max="3" width="16.33203125" customWidth="1"/>
    <col min="4" max="4" width="10.1640625" customWidth="1"/>
    <col min="5" max="5" width="13.5" customWidth="1"/>
    <col min="6" max="6" width="13.5" style="123" customWidth="1"/>
    <col min="7" max="7" width="11.6640625" style="123" customWidth="1"/>
    <col min="8" max="8" width="10.1640625" style="123" customWidth="1"/>
    <col min="9" max="9" width="12.33203125" style="126" customWidth="1"/>
    <col min="10" max="10" width="10.1640625" style="123" customWidth="1"/>
    <col min="11" max="12" width="13.5" style="126" customWidth="1"/>
    <col min="13" max="14" width="10.1640625" style="126" customWidth="1"/>
    <col min="15" max="15" width="10.1640625" style="123" customWidth="1"/>
    <col min="16" max="16" width="16.33203125" style="123" customWidth="1"/>
    <col min="17" max="17" width="41.33203125" customWidth="1"/>
  </cols>
  <sheetData>
    <row r="3" spans="1:28" ht="30" x14ac:dyDescent="0.2">
      <c r="A3" s="57" t="s">
        <v>0</v>
      </c>
      <c r="B3" s="57" t="s">
        <v>42</v>
      </c>
      <c r="C3" s="57" t="s">
        <v>10</v>
      </c>
      <c r="D3" s="14" t="s">
        <v>13</v>
      </c>
      <c r="E3" s="14" t="s">
        <v>28</v>
      </c>
      <c r="F3" s="125" t="s">
        <v>1</v>
      </c>
      <c r="G3" s="125" t="s">
        <v>2</v>
      </c>
      <c r="H3" s="125" t="s">
        <v>4</v>
      </c>
      <c r="I3" s="120" t="s">
        <v>8</v>
      </c>
      <c r="J3" s="125" t="s">
        <v>3</v>
      </c>
      <c r="K3" s="230" t="s">
        <v>20</v>
      </c>
      <c r="L3" s="230"/>
      <c r="M3" s="230"/>
      <c r="N3" s="120"/>
      <c r="O3" s="14" t="s">
        <v>21</v>
      </c>
      <c r="P3" s="14"/>
      <c r="Q3" s="14"/>
      <c r="R3" s="14"/>
      <c r="S3" s="231" t="s">
        <v>293</v>
      </c>
      <c r="T3" s="231"/>
      <c r="U3" s="231"/>
      <c r="V3" s="231"/>
      <c r="W3" s="231"/>
      <c r="X3" s="231"/>
      <c r="Y3" s="231"/>
      <c r="Z3" s="14"/>
      <c r="AA3">
        <v>0</v>
      </c>
      <c r="AB3">
        <v>0</v>
      </c>
    </row>
    <row r="4" spans="1:28" x14ac:dyDescent="0.2">
      <c r="A4" s="2"/>
      <c r="B4" s="2"/>
      <c r="C4" s="2"/>
      <c r="D4" s="26"/>
      <c r="E4" s="26" t="s">
        <v>27</v>
      </c>
      <c r="F4" s="25"/>
      <c r="G4" s="25"/>
      <c r="H4" s="25" t="s">
        <v>7</v>
      </c>
      <c r="I4" s="27" t="s">
        <v>9</v>
      </c>
      <c r="J4" s="25"/>
      <c r="K4" s="8" t="s">
        <v>55</v>
      </c>
      <c r="L4" s="27" t="s">
        <v>56</v>
      </c>
      <c r="M4" s="27" t="s">
        <v>5</v>
      </c>
      <c r="N4" s="27" t="s">
        <v>55</v>
      </c>
      <c r="O4" s="25" t="s">
        <v>120</v>
      </c>
      <c r="P4" s="25" t="s">
        <v>12</v>
      </c>
      <c r="Q4" s="26" t="s">
        <v>22</v>
      </c>
      <c r="R4" s="14"/>
      <c r="S4" s="231"/>
      <c r="T4" s="231"/>
      <c r="U4" s="231"/>
      <c r="V4" s="231"/>
      <c r="W4" s="231"/>
      <c r="X4" s="231"/>
      <c r="Y4" s="231"/>
      <c r="Z4" s="14"/>
      <c r="AA4">
        <v>10</v>
      </c>
      <c r="AB4">
        <v>0</v>
      </c>
    </row>
    <row r="5" spans="1:28" x14ac:dyDescent="0.2">
      <c r="A5" t="s">
        <v>284</v>
      </c>
      <c r="B5" t="s">
        <v>287</v>
      </c>
      <c r="C5" t="s">
        <v>285</v>
      </c>
      <c r="D5" t="s">
        <v>121</v>
      </c>
      <c r="F5" s="5">
        <v>36265</v>
      </c>
      <c r="G5" s="5">
        <f>F5+L11</f>
        <v>36401.982758620688</v>
      </c>
      <c r="H5" s="126">
        <f>L11</f>
        <v>136.98275862068965</v>
      </c>
      <c r="I5" s="127"/>
      <c r="J5" s="64">
        <v>0</v>
      </c>
      <c r="K5" s="126" t="s">
        <v>290</v>
      </c>
      <c r="L5" s="127">
        <v>0</v>
      </c>
      <c r="M5" s="127">
        <v>0</v>
      </c>
      <c r="N5" s="126" t="s">
        <v>184</v>
      </c>
      <c r="O5" s="64">
        <v>0</v>
      </c>
      <c r="P5" s="64">
        <v>0</v>
      </c>
      <c r="Q5" s="57"/>
      <c r="R5" s="14"/>
      <c r="S5" s="231"/>
      <c r="T5" s="231"/>
      <c r="U5" s="231"/>
      <c r="V5" s="231"/>
      <c r="W5" s="231"/>
      <c r="X5" s="231"/>
      <c r="Y5" s="231"/>
      <c r="Z5" s="14"/>
      <c r="AA5">
        <v>20</v>
      </c>
      <c r="AB5">
        <v>0</v>
      </c>
    </row>
    <row r="6" spans="1:28" x14ac:dyDescent="0.2">
      <c r="J6" s="123">
        <v>1</v>
      </c>
      <c r="L6" s="126">
        <v>60.224137931034484</v>
      </c>
      <c r="M6" s="126">
        <f t="shared" ref="M6:M11" si="0">L6/$L$11*100</f>
        <v>43.964757709251103</v>
      </c>
      <c r="O6" s="126">
        <v>80.314960629921259</v>
      </c>
      <c r="P6" s="126">
        <f t="shared" ref="P6:P11" si="1">O6/O$11*100</f>
        <v>15.596330275229359</v>
      </c>
      <c r="S6" s="231"/>
      <c r="T6" s="231"/>
      <c r="U6" s="231"/>
      <c r="V6" s="231"/>
      <c r="W6" s="231"/>
      <c r="X6" s="231"/>
      <c r="Y6" s="231"/>
      <c r="AA6">
        <v>30</v>
      </c>
      <c r="AB6" s="11">
        <v>2.2624434389140275</v>
      </c>
    </row>
    <row r="7" spans="1:28" x14ac:dyDescent="0.2">
      <c r="A7" s="23"/>
      <c r="C7" s="23"/>
      <c r="D7" s="23"/>
      <c r="E7" s="23"/>
      <c r="G7" s="20"/>
      <c r="H7" s="20"/>
      <c r="J7" s="20">
        <v>2</v>
      </c>
      <c r="K7" s="21"/>
      <c r="L7" s="21">
        <v>67.465517241379317</v>
      </c>
      <c r="M7" s="126">
        <f t="shared" si="0"/>
        <v>49.251101321585914</v>
      </c>
      <c r="N7" s="21"/>
      <c r="O7" s="21">
        <v>130.70866141732284</v>
      </c>
      <c r="P7" s="126">
        <f t="shared" si="1"/>
        <v>25.382262996941897</v>
      </c>
      <c r="S7" s="231"/>
      <c r="T7" s="231"/>
      <c r="U7" s="231"/>
      <c r="V7" s="231"/>
      <c r="W7" s="231"/>
      <c r="X7" s="231"/>
      <c r="Y7" s="231"/>
      <c r="AA7">
        <v>40</v>
      </c>
      <c r="AB7" s="11">
        <v>9.0497737556561102</v>
      </c>
    </row>
    <row r="8" spans="1:28" x14ac:dyDescent="0.2">
      <c r="A8" s="23"/>
      <c r="C8" s="23"/>
      <c r="D8" s="23"/>
      <c r="E8" s="23"/>
      <c r="G8" s="20"/>
      <c r="H8" s="20"/>
      <c r="J8" s="20">
        <v>3</v>
      </c>
      <c r="K8" s="21"/>
      <c r="L8" s="21">
        <v>73.982758620689651</v>
      </c>
      <c r="M8" s="126">
        <f t="shared" si="0"/>
        <v>54.008810572687224</v>
      </c>
      <c r="N8" s="21"/>
      <c r="O8" s="21">
        <v>253.54330708661419</v>
      </c>
      <c r="P8" s="126">
        <f t="shared" si="1"/>
        <v>49.235474006116206</v>
      </c>
      <c r="S8" s="231"/>
      <c r="T8" s="231"/>
      <c r="U8" s="231"/>
      <c r="V8" s="231"/>
      <c r="W8" s="231"/>
      <c r="X8" s="231"/>
      <c r="Y8" s="231"/>
      <c r="AA8">
        <v>50</v>
      </c>
      <c r="AB8" s="11">
        <v>28.506787330316744</v>
      </c>
    </row>
    <row r="9" spans="1:28" x14ac:dyDescent="0.2">
      <c r="A9" s="23"/>
      <c r="B9" s="23"/>
      <c r="C9" s="23"/>
      <c r="D9" s="23"/>
      <c r="E9" s="23"/>
      <c r="F9" s="20"/>
      <c r="G9" s="20"/>
      <c r="H9" s="20"/>
      <c r="J9" s="20">
        <v>4</v>
      </c>
      <c r="K9" s="21"/>
      <c r="L9" s="21">
        <v>88.465517241379317</v>
      </c>
      <c r="M9" s="126">
        <f t="shared" si="0"/>
        <v>64.581497797356832</v>
      </c>
      <c r="N9" s="21"/>
      <c r="O9" s="21">
        <v>346.45669291338584</v>
      </c>
      <c r="P9" s="126">
        <f t="shared" si="1"/>
        <v>67.278287461773701</v>
      </c>
      <c r="S9" s="231"/>
      <c r="T9" s="231"/>
      <c r="U9" s="231"/>
      <c r="V9" s="231"/>
      <c r="W9" s="231"/>
      <c r="X9" s="231"/>
      <c r="Y9" s="231"/>
      <c r="AA9">
        <v>60</v>
      </c>
      <c r="AB9" s="11">
        <v>49.773755656108605</v>
      </c>
    </row>
    <row r="10" spans="1:28" x14ac:dyDescent="0.2">
      <c r="A10" s="23"/>
      <c r="B10" s="23"/>
      <c r="C10" s="29"/>
      <c r="D10" s="23"/>
      <c r="E10" s="23"/>
      <c r="F10" s="20"/>
      <c r="G10" s="20"/>
      <c r="H10" s="20"/>
      <c r="I10" s="21"/>
      <c r="J10" s="20">
        <v>5</v>
      </c>
      <c r="K10" s="21"/>
      <c r="L10" s="21">
        <v>101.13793103448276</v>
      </c>
      <c r="M10" s="126">
        <f t="shared" si="0"/>
        <v>73.832599118942738</v>
      </c>
      <c r="N10" s="21"/>
      <c r="O10" s="21">
        <v>437.79527559055117</v>
      </c>
      <c r="P10" s="126">
        <f t="shared" si="1"/>
        <v>85.015290519877666</v>
      </c>
      <c r="S10" s="231"/>
      <c r="T10" s="231"/>
      <c r="U10" s="231"/>
      <c r="V10" s="231"/>
      <c r="W10" s="231"/>
      <c r="X10" s="231"/>
      <c r="Y10" s="231"/>
      <c r="AA10">
        <v>70</v>
      </c>
      <c r="AB10" s="11">
        <v>70.135746606334848</v>
      </c>
    </row>
    <row r="11" spans="1:28" x14ac:dyDescent="0.2">
      <c r="A11" s="23"/>
      <c r="B11" s="23"/>
      <c r="C11" s="29"/>
      <c r="D11" s="23"/>
      <c r="E11" s="23"/>
      <c r="F11" s="30"/>
      <c r="G11" s="30"/>
      <c r="H11" s="20"/>
      <c r="I11" s="21"/>
      <c r="J11" s="20">
        <v>6</v>
      </c>
      <c r="K11" s="21"/>
      <c r="L11" s="21">
        <v>136.98275862068965</v>
      </c>
      <c r="M11" s="126">
        <f t="shared" si="0"/>
        <v>100</v>
      </c>
      <c r="N11" s="21"/>
      <c r="O11" s="21">
        <v>514.96062992125985</v>
      </c>
      <c r="P11" s="126">
        <f t="shared" si="1"/>
        <v>100</v>
      </c>
      <c r="Q11" s="23"/>
      <c r="S11" s="231"/>
      <c r="T11" s="231"/>
      <c r="U11" s="231"/>
      <c r="V11" s="231"/>
      <c r="W11" s="231"/>
      <c r="X11" s="231"/>
      <c r="Y11" s="231"/>
      <c r="AA11">
        <v>80</v>
      </c>
      <c r="AB11" s="11">
        <v>86.877828054298647</v>
      </c>
    </row>
    <row r="12" spans="1:28" x14ac:dyDescent="0.2">
      <c r="A12" s="23"/>
      <c r="B12" s="23" t="s">
        <v>288</v>
      </c>
      <c r="C12" s="29"/>
      <c r="D12" s="23"/>
      <c r="E12" s="23"/>
      <c r="F12" s="30">
        <v>36265</v>
      </c>
      <c r="G12" s="5">
        <f>F12+L18</f>
        <v>36402.493827160491</v>
      </c>
      <c r="H12" s="126">
        <f>L18</f>
        <v>137.49382716049382</v>
      </c>
      <c r="I12" s="21"/>
      <c r="J12" s="20">
        <v>0</v>
      </c>
      <c r="K12" s="21"/>
      <c r="L12" s="21">
        <v>0</v>
      </c>
      <c r="M12" s="126">
        <v>0</v>
      </c>
      <c r="N12" s="21"/>
      <c r="O12" s="21">
        <v>0</v>
      </c>
      <c r="P12" s="126">
        <v>0</v>
      </c>
      <c r="Q12" s="23"/>
      <c r="S12" s="121"/>
      <c r="T12" s="121"/>
      <c r="U12" s="121"/>
      <c r="V12" s="121"/>
      <c r="W12" s="121"/>
      <c r="X12" s="121"/>
      <c r="Y12" s="121"/>
      <c r="AA12">
        <v>90</v>
      </c>
      <c r="AB12" s="11">
        <v>97.285067873303163</v>
      </c>
    </row>
    <row r="13" spans="1:28" x14ac:dyDescent="0.2">
      <c r="A13" s="23"/>
      <c r="I13" s="21"/>
      <c r="J13" s="123">
        <v>1</v>
      </c>
      <c r="K13" s="21"/>
      <c r="L13" s="21">
        <v>61.79012345679012</v>
      </c>
      <c r="M13" s="126">
        <f t="shared" ref="M13:M18" si="2">L13/$L$18*100</f>
        <v>44.940289126335635</v>
      </c>
      <c r="N13" s="21"/>
      <c r="O13" s="126">
        <v>75.590551181102356</v>
      </c>
      <c r="P13" s="126">
        <f t="shared" ref="P13:P18" si="3">O13/O$18*100</f>
        <v>14.285714285714285</v>
      </c>
      <c r="Q13" s="23"/>
      <c r="AA13">
        <v>100</v>
      </c>
      <c r="AB13">
        <v>100</v>
      </c>
    </row>
    <row r="14" spans="1:28" x14ac:dyDescent="0.2">
      <c r="A14" s="23"/>
      <c r="B14" s="23"/>
      <c r="C14" s="23"/>
      <c r="D14" s="23"/>
      <c r="E14" s="23"/>
      <c r="G14" s="20"/>
      <c r="H14" s="20"/>
      <c r="I14" s="21"/>
      <c r="J14" s="20">
        <v>2</v>
      </c>
      <c r="K14" s="21"/>
      <c r="L14" s="21">
        <v>67.666666666666671</v>
      </c>
      <c r="M14" s="126">
        <f t="shared" si="2"/>
        <v>49.21433060967945</v>
      </c>
      <c r="N14" s="21"/>
      <c r="O14" s="21">
        <v>119.68503937007874</v>
      </c>
      <c r="P14" s="126">
        <f t="shared" si="3"/>
        <v>22.61904761904762</v>
      </c>
      <c r="Q14" s="23"/>
    </row>
    <row r="15" spans="1:28" x14ac:dyDescent="0.2">
      <c r="A15" s="23"/>
      <c r="B15" s="23"/>
      <c r="C15" s="23"/>
      <c r="D15" s="23"/>
      <c r="E15" s="23"/>
      <c r="G15" s="20"/>
      <c r="H15" s="20"/>
      <c r="I15" s="21"/>
      <c r="J15" s="20">
        <v>3</v>
      </c>
      <c r="K15" s="21"/>
      <c r="L15" s="21">
        <v>74.58024691358024</v>
      </c>
      <c r="M15" s="126">
        <f t="shared" si="2"/>
        <v>54.242614707730986</v>
      </c>
      <c r="N15" s="21"/>
      <c r="O15" s="21">
        <v>240.94488188976379</v>
      </c>
      <c r="P15" s="126">
        <f t="shared" si="3"/>
        <v>45.535714285714292</v>
      </c>
      <c r="Q15" s="23"/>
    </row>
    <row r="16" spans="1:28" x14ac:dyDescent="0.2">
      <c r="A16" s="23"/>
      <c r="B16" s="23"/>
      <c r="C16" s="23"/>
      <c r="D16" s="23"/>
      <c r="E16" s="23"/>
      <c r="G16" s="20"/>
      <c r="H16" s="20"/>
      <c r="I16" s="21"/>
      <c r="J16" s="20">
        <v>4</v>
      </c>
      <c r="K16" s="21"/>
      <c r="L16" s="21">
        <v>88.061728395061721</v>
      </c>
      <c r="M16" s="126">
        <f t="shared" si="2"/>
        <v>64.047768698931478</v>
      </c>
      <c r="N16" s="21"/>
      <c r="O16" s="21">
        <v>387.40157480314963</v>
      </c>
      <c r="P16" s="126">
        <f t="shared" si="3"/>
        <v>73.214285714285722</v>
      </c>
      <c r="Q16" s="23"/>
    </row>
    <row r="17" spans="1:20" x14ac:dyDescent="0.2">
      <c r="A17" s="23"/>
      <c r="B17" s="23"/>
      <c r="C17" s="23"/>
      <c r="D17" s="23"/>
      <c r="E17" s="23"/>
      <c r="G17" s="30"/>
      <c r="H17" s="20"/>
      <c r="I17" s="21"/>
      <c r="J17" s="20">
        <v>5</v>
      </c>
      <c r="K17" s="21"/>
      <c r="L17" s="21">
        <v>102.58024691358025</v>
      </c>
      <c r="M17" s="126">
        <f t="shared" si="2"/>
        <v>74.607165304839725</v>
      </c>
      <c r="N17" s="21"/>
      <c r="O17" s="21">
        <v>494.48818897637801</v>
      </c>
      <c r="P17" s="126">
        <f t="shared" si="3"/>
        <v>93.452380952380963</v>
      </c>
      <c r="Q17" s="23"/>
    </row>
    <row r="18" spans="1:20" x14ac:dyDescent="0.2">
      <c r="A18" s="23"/>
      <c r="B18" s="23"/>
      <c r="C18" s="23"/>
      <c r="D18" s="23"/>
      <c r="E18" s="23"/>
      <c r="G18" s="20"/>
      <c r="H18" s="20"/>
      <c r="I18" s="21"/>
      <c r="J18" s="20">
        <v>6</v>
      </c>
      <c r="K18" s="21"/>
      <c r="L18" s="21">
        <v>137.49382716049382</v>
      </c>
      <c r="M18" s="126">
        <f t="shared" si="2"/>
        <v>100</v>
      </c>
      <c r="N18" s="21"/>
      <c r="O18" s="21">
        <v>529.1338582677165</v>
      </c>
      <c r="P18" s="126">
        <f t="shared" si="3"/>
        <v>100</v>
      </c>
      <c r="Q18" s="23"/>
    </row>
    <row r="19" spans="1:20" x14ac:dyDescent="0.2">
      <c r="A19" s="23"/>
      <c r="B19" s="17" t="s">
        <v>289</v>
      </c>
      <c r="C19" s="23"/>
      <c r="D19" s="23"/>
      <c r="E19" s="23"/>
      <c r="F19" s="30">
        <v>35899</v>
      </c>
      <c r="G19" s="5">
        <f>F19+L24</f>
        <v>36000.888888888891</v>
      </c>
      <c r="H19" s="126">
        <f>L24</f>
        <v>101.88888888888889</v>
      </c>
      <c r="I19" s="21"/>
      <c r="J19" s="20">
        <v>0</v>
      </c>
      <c r="K19" s="21"/>
      <c r="L19" s="21">
        <v>0</v>
      </c>
      <c r="M19" s="126">
        <v>0</v>
      </c>
      <c r="N19" s="21"/>
      <c r="O19" s="21">
        <v>0</v>
      </c>
      <c r="P19" s="126">
        <v>0</v>
      </c>
      <c r="Q19" s="23"/>
    </row>
    <row r="20" spans="1:20" x14ac:dyDescent="0.2">
      <c r="A20" s="23"/>
      <c r="I20" s="21"/>
      <c r="J20" s="123">
        <v>1</v>
      </c>
      <c r="K20" s="21"/>
      <c r="L20" s="21">
        <v>61.79012345679012</v>
      </c>
      <c r="M20" s="126">
        <f>L20/$L$24*100</f>
        <v>60.644614079728584</v>
      </c>
      <c r="N20" s="21"/>
      <c r="O20" s="126">
        <v>86.614173228346459</v>
      </c>
      <c r="P20" s="126">
        <f>O20/O$24*100</f>
        <v>21.235521235521237</v>
      </c>
      <c r="Q20" s="23"/>
    </row>
    <row r="21" spans="1:20" x14ac:dyDescent="0.2">
      <c r="A21" s="23"/>
      <c r="C21" s="23"/>
      <c r="D21" s="23"/>
      <c r="E21" s="23"/>
      <c r="F21" s="20"/>
      <c r="G21" s="20"/>
      <c r="H21" s="20"/>
      <c r="I21" s="21"/>
      <c r="J21" s="20">
        <v>2</v>
      </c>
      <c r="K21" s="21"/>
      <c r="L21" s="21">
        <v>68.012345679012341</v>
      </c>
      <c r="M21" s="126">
        <f>L21/$L$24*100</f>
        <v>66.751484308736224</v>
      </c>
      <c r="N21" s="21"/>
      <c r="O21" s="21">
        <v>124.40944881889764</v>
      </c>
      <c r="P21" s="126">
        <f>O21/O$24*100</f>
        <v>30.501930501930509</v>
      </c>
      <c r="Q21" s="23"/>
    </row>
    <row r="22" spans="1:20" x14ac:dyDescent="0.2">
      <c r="A22" s="23"/>
      <c r="C22" s="23"/>
      <c r="D22" s="23"/>
      <c r="E22" s="23"/>
      <c r="F22" s="20"/>
      <c r="G22" s="20"/>
      <c r="H22" s="20"/>
      <c r="I22" s="21"/>
      <c r="J22" s="20">
        <v>3</v>
      </c>
      <c r="K22" s="21"/>
      <c r="L22" s="21">
        <v>75.271604938271608</v>
      </c>
      <c r="M22" s="126">
        <f>L22/$L$24*100</f>
        <v>73.876166242578449</v>
      </c>
      <c r="N22" s="21"/>
      <c r="O22" s="21">
        <v>244.09448818897638</v>
      </c>
      <c r="P22" s="126">
        <f>O22/O$24*100</f>
        <v>59.845559845559848</v>
      </c>
      <c r="Q22" s="23"/>
    </row>
    <row r="23" spans="1:20" x14ac:dyDescent="0.2">
      <c r="A23" s="23"/>
      <c r="B23" s="23"/>
      <c r="C23" s="23"/>
      <c r="D23" s="23"/>
      <c r="E23" s="23"/>
      <c r="F23" s="30"/>
      <c r="G23" s="30"/>
      <c r="H23" s="20"/>
      <c r="I23" s="21"/>
      <c r="J23" s="20">
        <v>4</v>
      </c>
      <c r="K23" s="21"/>
      <c r="L23" s="21">
        <v>89.790123456790127</v>
      </c>
      <c r="M23" s="126">
        <f>L23/$L$24*100</f>
        <v>88.125530110262943</v>
      </c>
      <c r="N23" s="21"/>
      <c r="O23" s="21">
        <v>403.14960629921262</v>
      </c>
      <c r="P23" s="126">
        <f>O23/O$24*100</f>
        <v>98.841698841698857</v>
      </c>
      <c r="Q23" s="23"/>
    </row>
    <row r="24" spans="1:20" x14ac:dyDescent="0.2">
      <c r="A24" s="23"/>
      <c r="B24" s="23"/>
      <c r="C24" s="23"/>
      <c r="D24" s="23"/>
      <c r="E24" s="23"/>
      <c r="F24" s="20"/>
      <c r="G24" s="20"/>
      <c r="H24" s="20"/>
      <c r="I24" s="21"/>
      <c r="J24" s="20">
        <v>5</v>
      </c>
      <c r="K24" s="21"/>
      <c r="L24" s="21">
        <v>101.88888888888889</v>
      </c>
      <c r="M24" s="126">
        <f>L24/$L$24*100</f>
        <v>100</v>
      </c>
      <c r="N24" s="21"/>
      <c r="O24" s="21">
        <v>407.87401574803147</v>
      </c>
      <c r="P24" s="126">
        <f>O24/O$24*100</f>
        <v>100</v>
      </c>
      <c r="Q24" s="23"/>
    </row>
    <row r="25" spans="1:20" x14ac:dyDescent="0.2">
      <c r="A25" s="23"/>
      <c r="B25" s="23" t="s">
        <v>287</v>
      </c>
      <c r="C25" s="23"/>
      <c r="D25" s="23"/>
      <c r="E25" s="23"/>
      <c r="F25" s="30">
        <v>35899</v>
      </c>
      <c r="G25" s="30">
        <f>F25+H25</f>
        <v>36022.896551724138</v>
      </c>
      <c r="H25" s="21">
        <f>L30</f>
        <v>123.89655172413794</v>
      </c>
      <c r="I25" s="21"/>
      <c r="J25" s="20">
        <v>0</v>
      </c>
      <c r="K25" s="21"/>
      <c r="L25" s="21">
        <v>0</v>
      </c>
      <c r="M25" s="126">
        <v>0</v>
      </c>
      <c r="N25" s="21"/>
      <c r="O25" s="21">
        <v>0</v>
      </c>
      <c r="P25" s="126">
        <v>0</v>
      </c>
      <c r="Q25" s="23"/>
    </row>
    <row r="26" spans="1:20" x14ac:dyDescent="0.2">
      <c r="A26" s="23"/>
      <c r="I26" s="21"/>
      <c r="J26" s="20">
        <v>1</v>
      </c>
      <c r="K26" s="21"/>
      <c r="L26" s="21">
        <v>54.793103448275865</v>
      </c>
      <c r="M26" s="126">
        <f>L26/$L$30*100</f>
        <v>44.224881714444756</v>
      </c>
      <c r="N26" s="21"/>
      <c r="O26" s="21">
        <v>62.068965517241381</v>
      </c>
      <c r="P26" s="126">
        <f>O26/O$30*100</f>
        <v>12.631578947368421</v>
      </c>
      <c r="Q26" s="23"/>
    </row>
    <row r="27" spans="1:20" x14ac:dyDescent="0.2">
      <c r="A27" s="23"/>
      <c r="B27" s="23"/>
      <c r="C27" s="23"/>
      <c r="D27" s="23"/>
      <c r="E27" s="23"/>
      <c r="F27" s="20"/>
      <c r="G27" s="20"/>
      <c r="H27" s="20"/>
      <c r="I27" s="21"/>
      <c r="J27" s="20">
        <v>2</v>
      </c>
      <c r="K27" s="21"/>
      <c r="L27" s="21">
        <v>68.448275862068968</v>
      </c>
      <c r="M27" s="126">
        <f>L27/$L$30*100</f>
        <v>55.246312273865847</v>
      </c>
      <c r="N27" s="21"/>
      <c r="O27" s="21">
        <v>184.48275862068968</v>
      </c>
      <c r="P27" s="126">
        <f>O27/O$30*100</f>
        <v>37.543859649122808</v>
      </c>
      <c r="Q27" s="23"/>
    </row>
    <row r="28" spans="1:20" x14ac:dyDescent="0.2">
      <c r="A28" s="23"/>
      <c r="B28" s="23"/>
      <c r="C28" s="23"/>
      <c r="D28" s="23"/>
      <c r="E28" s="23"/>
      <c r="F28" s="20"/>
      <c r="G28" s="20"/>
      <c r="H28" s="20"/>
      <c r="I28" s="21"/>
      <c r="J28" s="20">
        <v>3</v>
      </c>
      <c r="K28" s="21"/>
      <c r="L28" s="21">
        <v>84.586206896551715</v>
      </c>
      <c r="M28" s="126">
        <f>L28/$L$30*100</f>
        <v>68.271639298636217</v>
      </c>
      <c r="N28" s="21"/>
      <c r="O28" s="21">
        <v>332.75862068965517</v>
      </c>
      <c r="P28" s="126">
        <f>O28/O$30*100</f>
        <v>67.719298245614041</v>
      </c>
      <c r="Q28" s="23"/>
    </row>
    <row r="29" spans="1:20" x14ac:dyDescent="0.2">
      <c r="A29" s="23"/>
      <c r="B29" s="23"/>
      <c r="C29" s="23"/>
      <c r="D29" s="23"/>
      <c r="E29" s="23"/>
      <c r="F29" s="30"/>
      <c r="G29" s="30"/>
      <c r="H29" s="20"/>
      <c r="I29" s="21"/>
      <c r="J29" s="20">
        <v>4</v>
      </c>
      <c r="K29" s="21"/>
      <c r="L29" s="21">
        <v>97</v>
      </c>
      <c r="M29" s="126">
        <f>L29/$L$30*100</f>
        <v>78.291121625382686</v>
      </c>
      <c r="N29" s="21"/>
      <c r="O29" s="21">
        <v>422.41379310344831</v>
      </c>
      <c r="P29" s="126">
        <f>O29/O$30*100</f>
        <v>85.964912280701753</v>
      </c>
      <c r="Q29" s="23"/>
    </row>
    <row r="30" spans="1:20" x14ac:dyDescent="0.2">
      <c r="A30" s="23"/>
      <c r="B30" s="23"/>
      <c r="C30" s="23"/>
      <c r="D30" s="23"/>
      <c r="E30" s="23"/>
      <c r="F30" s="20"/>
      <c r="G30" s="20"/>
      <c r="H30" s="20"/>
      <c r="I30" s="21"/>
      <c r="J30" s="20">
        <v>5</v>
      </c>
      <c r="K30" s="21"/>
      <c r="L30" s="21">
        <v>123.89655172413794</v>
      </c>
      <c r="M30" s="126">
        <f>L30/$L$30*100</f>
        <v>100</v>
      </c>
      <c r="N30" s="21"/>
      <c r="O30" s="21">
        <v>491.37931034482762</v>
      </c>
      <c r="P30" s="126">
        <f>O30/O$30*100</f>
        <v>100</v>
      </c>
      <c r="Q30" s="23"/>
    </row>
    <row r="31" spans="1:20" x14ac:dyDescent="0.2">
      <c r="A31" s="23"/>
      <c r="B31" s="23"/>
      <c r="C31" s="23"/>
      <c r="D31" s="23"/>
      <c r="E31" s="23"/>
      <c r="F31" s="30">
        <v>35948</v>
      </c>
      <c r="G31" s="30">
        <f>F31+H31</f>
        <v>36058.574660633487</v>
      </c>
      <c r="H31" s="21">
        <f>L37</f>
        <v>110.57466063348417</v>
      </c>
      <c r="I31" s="21"/>
      <c r="J31" s="20">
        <v>0</v>
      </c>
      <c r="K31" s="21"/>
      <c r="L31" s="21">
        <v>0</v>
      </c>
      <c r="M31" s="126">
        <v>0</v>
      </c>
      <c r="N31" s="21"/>
      <c r="O31" s="21">
        <v>0</v>
      </c>
      <c r="P31" s="126">
        <v>0</v>
      </c>
      <c r="Q31" s="23"/>
      <c r="T31" t="s">
        <v>294</v>
      </c>
    </row>
    <row r="32" spans="1:20" x14ac:dyDescent="0.2">
      <c r="A32" s="23"/>
      <c r="B32" s="23"/>
      <c r="C32" s="23"/>
      <c r="D32" s="23"/>
      <c r="E32" s="23"/>
      <c r="I32" s="21"/>
      <c r="J32" s="20">
        <v>1</v>
      </c>
      <c r="K32" s="21"/>
      <c r="L32" s="21">
        <v>43.298642533936651</v>
      </c>
      <c r="M32" s="126">
        <f t="shared" ref="M32:M37" si="4">L32/$L$37*100</f>
        <v>39.15783443139501</v>
      </c>
      <c r="N32" s="21"/>
      <c r="O32" s="21">
        <v>60.344827586206897</v>
      </c>
      <c r="P32" s="126">
        <f t="shared" ref="P32:P37" si="5">O32/O$37*100</f>
        <v>12.5</v>
      </c>
      <c r="Q32" s="23"/>
    </row>
    <row r="33" spans="1:17" x14ac:dyDescent="0.2">
      <c r="A33" s="23"/>
      <c r="B33" s="23"/>
      <c r="C33" s="23"/>
      <c r="D33" s="23"/>
      <c r="E33" s="23"/>
      <c r="F33" s="20"/>
      <c r="G33" s="20"/>
      <c r="H33" s="20"/>
      <c r="I33" s="21"/>
      <c r="J33" s="20">
        <v>2</v>
      </c>
      <c r="K33" s="21"/>
      <c r="L33" s="21">
        <v>55.46153846153846</v>
      </c>
      <c r="M33" s="126">
        <f t="shared" si="4"/>
        <v>50.157547980521336</v>
      </c>
      <c r="N33" s="21"/>
      <c r="O33" s="21">
        <v>120.68965517241379</v>
      </c>
      <c r="P33" s="126">
        <f t="shared" si="5"/>
        <v>25</v>
      </c>
      <c r="Q33" s="23"/>
    </row>
    <row r="34" spans="1:17" x14ac:dyDescent="0.2">
      <c r="A34" s="23"/>
      <c r="B34" s="23"/>
      <c r="C34" s="23"/>
      <c r="D34" s="23"/>
      <c r="E34" s="23"/>
      <c r="F34" s="20"/>
      <c r="G34" s="20"/>
      <c r="H34" s="20"/>
      <c r="I34" s="21"/>
      <c r="J34" s="20">
        <v>3</v>
      </c>
      <c r="K34" s="21"/>
      <c r="L34" s="21">
        <v>69.144796380090497</v>
      </c>
      <c r="M34" s="126">
        <f t="shared" si="4"/>
        <v>62.532225723288448</v>
      </c>
      <c r="N34" s="21"/>
      <c r="O34" s="21">
        <v>305.17241379310349</v>
      </c>
      <c r="P34" s="126">
        <f t="shared" si="5"/>
        <v>63.214285714285722</v>
      </c>
      <c r="Q34" s="23"/>
    </row>
    <row r="35" spans="1:17" x14ac:dyDescent="0.2">
      <c r="A35" s="23"/>
      <c r="B35" s="23"/>
      <c r="C35" s="23"/>
      <c r="D35" s="23"/>
      <c r="E35" s="23"/>
      <c r="F35" s="30"/>
      <c r="G35" s="30"/>
      <c r="H35" s="20"/>
      <c r="I35" s="21"/>
      <c r="J35" s="20">
        <v>4</v>
      </c>
      <c r="K35" s="21"/>
      <c r="L35" s="21">
        <v>83.588235294117652</v>
      </c>
      <c r="M35" s="126">
        <f t="shared" si="4"/>
        <v>75.594385562875971</v>
      </c>
      <c r="N35" s="21"/>
      <c r="O35" s="21">
        <v>389.65517241379308</v>
      </c>
      <c r="P35" s="126">
        <f t="shared" si="5"/>
        <v>80.714285714285708</v>
      </c>
      <c r="Q35" s="23"/>
    </row>
    <row r="36" spans="1:17" x14ac:dyDescent="0.2">
      <c r="A36" s="23"/>
      <c r="B36" s="23"/>
      <c r="C36" s="23"/>
      <c r="D36" s="23"/>
      <c r="E36" s="23"/>
      <c r="F36" s="20"/>
      <c r="G36" s="20"/>
      <c r="H36" s="20"/>
      <c r="I36" s="21"/>
      <c r="J36" s="20">
        <v>5</v>
      </c>
      <c r="K36" s="21"/>
      <c r="L36" s="21">
        <v>96.511312217194572</v>
      </c>
      <c r="M36" s="126">
        <f t="shared" si="4"/>
        <v>87.281581208822672</v>
      </c>
      <c r="N36" s="21"/>
      <c r="O36" s="21">
        <v>468.96551724137936</v>
      </c>
      <c r="P36" s="126">
        <f t="shared" si="5"/>
        <v>97.142857142857153</v>
      </c>
      <c r="Q36" s="23"/>
    </row>
    <row r="37" spans="1:17" x14ac:dyDescent="0.2">
      <c r="A37" s="23"/>
      <c r="B37" s="23"/>
      <c r="C37" s="23"/>
      <c r="D37" s="23"/>
      <c r="E37" s="23"/>
      <c r="F37" s="20"/>
      <c r="G37" s="20"/>
      <c r="H37" s="20"/>
      <c r="I37" s="21"/>
      <c r="J37" s="20">
        <v>6</v>
      </c>
      <c r="K37" s="21"/>
      <c r="L37" s="21">
        <v>110.57466063348417</v>
      </c>
      <c r="M37" s="126">
        <f t="shared" si="4"/>
        <v>100</v>
      </c>
      <c r="N37" s="21"/>
      <c r="O37" s="21">
        <v>482.75862068965517</v>
      </c>
      <c r="P37" s="126">
        <f t="shared" si="5"/>
        <v>100</v>
      </c>
      <c r="Q37" s="23"/>
    </row>
    <row r="38" spans="1:17" x14ac:dyDescent="0.2">
      <c r="A38" s="23"/>
      <c r="B38" s="23"/>
      <c r="C38" s="23"/>
      <c r="D38" s="23"/>
      <c r="E38" s="23"/>
      <c r="F38" s="30">
        <v>35990</v>
      </c>
      <c r="G38" s="30">
        <f>F38+H38</f>
        <v>36081.580645161288</v>
      </c>
      <c r="H38" s="21">
        <f>L43</f>
        <v>91.580645161290334</v>
      </c>
      <c r="I38" s="21"/>
      <c r="J38" s="20">
        <v>0</v>
      </c>
      <c r="K38" s="21"/>
      <c r="L38" s="21">
        <v>0</v>
      </c>
      <c r="M38" s="126">
        <v>0</v>
      </c>
      <c r="N38" s="21"/>
      <c r="O38" s="21">
        <v>0</v>
      </c>
      <c r="P38" s="126">
        <v>0</v>
      </c>
      <c r="Q38" s="23"/>
    </row>
    <row r="39" spans="1:17" x14ac:dyDescent="0.2">
      <c r="A39" s="23"/>
      <c r="B39" s="23"/>
      <c r="C39" s="23"/>
      <c r="D39" s="23"/>
      <c r="E39" s="23"/>
      <c r="J39" s="20">
        <v>1</v>
      </c>
      <c r="K39" s="21"/>
      <c r="L39" s="21">
        <v>40.870967741935488</v>
      </c>
      <c r="M39" s="126">
        <f>L39/$L$43*100</f>
        <v>44.628390278266991</v>
      </c>
      <c r="N39" s="21"/>
      <c r="O39" s="21">
        <v>131.0344827586207</v>
      </c>
      <c r="P39" s="126">
        <f>O39/O$43*100</f>
        <v>31.275720164609051</v>
      </c>
      <c r="Q39" s="23"/>
    </row>
    <row r="40" spans="1:17" x14ac:dyDescent="0.2">
      <c r="A40" s="23"/>
      <c r="B40" s="23"/>
      <c r="C40" s="23"/>
      <c r="D40" s="23"/>
      <c r="E40" s="23"/>
      <c r="F40" s="20"/>
      <c r="G40" s="20"/>
      <c r="H40" s="20"/>
      <c r="I40" s="21"/>
      <c r="J40" s="20">
        <v>2</v>
      </c>
      <c r="K40" s="21"/>
      <c r="L40" s="21">
        <v>50.935483870967744</v>
      </c>
      <c r="M40" s="126">
        <f>L40/$L$43*100</f>
        <v>55.61817541387812</v>
      </c>
      <c r="N40" s="21"/>
      <c r="O40" s="21">
        <v>158.62068965517244</v>
      </c>
      <c r="P40" s="126">
        <f>O40/O$43*100</f>
        <v>37.860082304526749</v>
      </c>
      <c r="Q40" s="23"/>
    </row>
    <row r="41" spans="1:17" x14ac:dyDescent="0.2">
      <c r="A41" s="23"/>
      <c r="B41" s="23"/>
      <c r="C41" s="23"/>
      <c r="D41" s="23"/>
      <c r="E41" s="23"/>
      <c r="F41" s="30"/>
      <c r="G41" s="30"/>
      <c r="H41" s="20"/>
      <c r="I41" s="21"/>
      <c r="J41" s="20">
        <v>3</v>
      </c>
      <c r="K41" s="21"/>
      <c r="L41" s="21">
        <v>64.096774193548384</v>
      </c>
      <c r="M41" s="126">
        <f>L41/$L$43*100</f>
        <v>69.989432898908049</v>
      </c>
      <c r="N41" s="21"/>
      <c r="O41" s="21">
        <v>336.20689655172413</v>
      </c>
      <c r="P41" s="126">
        <f>O41/O$43*100</f>
        <v>80.246913580246897</v>
      </c>
      <c r="Q41" s="23"/>
    </row>
    <row r="42" spans="1:17" x14ac:dyDescent="0.2">
      <c r="A42" s="23"/>
      <c r="B42" s="23"/>
      <c r="C42" s="23"/>
      <c r="D42" s="23"/>
      <c r="E42" s="23"/>
      <c r="F42" s="20"/>
      <c r="G42" s="20"/>
      <c r="H42" s="20"/>
      <c r="I42" s="21"/>
      <c r="J42" s="20">
        <v>4</v>
      </c>
      <c r="K42" s="21"/>
      <c r="L42" s="21">
        <v>78.806451612903231</v>
      </c>
      <c r="M42" s="126">
        <f>L42/$L$43*100</f>
        <v>86.051426558647407</v>
      </c>
      <c r="N42" s="21"/>
      <c r="O42" s="21">
        <v>365.51724137931041</v>
      </c>
      <c r="P42" s="126">
        <f>O42/O$43*100</f>
        <v>87.242798353909464</v>
      </c>
      <c r="Q42" s="23"/>
    </row>
    <row r="43" spans="1:17" x14ac:dyDescent="0.2">
      <c r="A43" s="23"/>
      <c r="B43" s="23"/>
      <c r="C43" s="23"/>
      <c r="D43" s="23"/>
      <c r="E43" s="23"/>
      <c r="F43" s="20"/>
      <c r="G43" s="20"/>
      <c r="H43" s="20"/>
      <c r="I43" s="21"/>
      <c r="J43" s="20">
        <v>5</v>
      </c>
      <c r="K43" s="21"/>
      <c r="L43" s="21">
        <v>91.580645161290334</v>
      </c>
      <c r="M43" s="126">
        <f>L43/$L$43*100</f>
        <v>100</v>
      </c>
      <c r="N43" s="21"/>
      <c r="O43" s="21">
        <v>418.96551724137936</v>
      </c>
      <c r="P43" s="126">
        <f>O43/O$43*100</f>
        <v>100</v>
      </c>
      <c r="Q43" s="23"/>
    </row>
    <row r="44" spans="1:17" x14ac:dyDescent="0.2">
      <c r="A44" s="23"/>
      <c r="B44" s="23" t="s">
        <v>291</v>
      </c>
      <c r="C44" s="23"/>
      <c r="D44" s="23"/>
      <c r="E44" s="23"/>
      <c r="F44" s="30">
        <v>35948</v>
      </c>
      <c r="G44" s="5">
        <f>F44+L50</f>
        <v>36064.277777777781</v>
      </c>
      <c r="H44" s="126">
        <f>L50</f>
        <v>116.27777777777777</v>
      </c>
      <c r="I44" s="21">
        <f>100/1.12</f>
        <v>89.285714285714278</v>
      </c>
      <c r="J44" s="20">
        <v>0</v>
      </c>
      <c r="K44" s="21"/>
      <c r="L44" s="21">
        <v>0</v>
      </c>
      <c r="M44" s="126">
        <f>L44/$L$50*100</f>
        <v>0</v>
      </c>
      <c r="N44" s="21"/>
      <c r="O44" s="21">
        <v>0</v>
      </c>
      <c r="P44" s="126">
        <f>O44/O$50*100</f>
        <v>0</v>
      </c>
      <c r="Q44" s="23"/>
    </row>
    <row r="45" spans="1:17" x14ac:dyDescent="0.2">
      <c r="A45" s="23"/>
      <c r="J45" s="20">
        <v>1</v>
      </c>
      <c r="K45" s="21"/>
      <c r="L45" s="21">
        <v>43.555555555555557</v>
      </c>
      <c r="M45" s="126">
        <f t="shared" ref="M45:M50" si="6">L45/$L$50*100</f>
        <v>37.458193979933114</v>
      </c>
      <c r="O45" s="21">
        <v>42.372881355932201</v>
      </c>
      <c r="P45" s="126">
        <f t="shared" ref="P45:P50" si="7">O45/O$50*100</f>
        <v>12.254901960784313</v>
      </c>
    </row>
    <row r="46" spans="1:17" x14ac:dyDescent="0.2">
      <c r="A46" s="23"/>
      <c r="B46" s="23"/>
      <c r="C46" s="23"/>
      <c r="D46" s="23"/>
      <c r="E46" s="23"/>
      <c r="F46" s="20"/>
      <c r="G46" s="20"/>
      <c r="H46" s="20"/>
      <c r="I46" s="21"/>
      <c r="J46" s="20">
        <v>2</v>
      </c>
      <c r="K46" s="21"/>
      <c r="L46" s="21">
        <v>61.055555555555557</v>
      </c>
      <c r="M46" s="126">
        <f t="shared" si="6"/>
        <v>52.50836120401339</v>
      </c>
      <c r="O46" s="21">
        <v>89.830508474576263</v>
      </c>
      <c r="P46" s="126">
        <f t="shared" si="7"/>
        <v>25.980392156862749</v>
      </c>
    </row>
    <row r="47" spans="1:17" x14ac:dyDescent="0.2">
      <c r="A47" s="23"/>
      <c r="B47" s="23"/>
      <c r="C47" s="23"/>
      <c r="D47" s="23"/>
      <c r="E47" s="23"/>
      <c r="F47" s="30"/>
      <c r="G47" s="20"/>
      <c r="H47" s="20"/>
      <c r="I47" s="21"/>
      <c r="J47" s="20">
        <v>3</v>
      </c>
      <c r="K47" s="21"/>
      <c r="L47" s="21">
        <v>74.277777777777771</v>
      </c>
      <c r="M47" s="126">
        <f t="shared" si="6"/>
        <v>63.879598662207357</v>
      </c>
      <c r="O47" s="21">
        <v>225.42372881355931</v>
      </c>
      <c r="P47" s="126">
        <f t="shared" si="7"/>
        <v>65.196078431372555</v>
      </c>
    </row>
    <row r="48" spans="1:17" x14ac:dyDescent="0.2">
      <c r="A48" s="23"/>
      <c r="B48" s="23"/>
      <c r="C48" s="23"/>
      <c r="D48" s="23"/>
      <c r="E48" s="23"/>
      <c r="F48" s="20"/>
      <c r="G48" s="20"/>
      <c r="H48" s="20"/>
      <c r="I48" s="21"/>
      <c r="J48" s="20">
        <v>4</v>
      </c>
      <c r="K48" s="21"/>
      <c r="L48" s="21">
        <v>88.666666666666657</v>
      </c>
      <c r="M48" s="126">
        <f t="shared" si="6"/>
        <v>76.254180602006684</v>
      </c>
      <c r="O48" s="21">
        <v>281.35593220338978</v>
      </c>
      <c r="P48" s="126">
        <f t="shared" si="7"/>
        <v>81.372549019607831</v>
      </c>
    </row>
    <row r="49" spans="1:17" x14ac:dyDescent="0.2">
      <c r="A49" s="23"/>
      <c r="B49" s="23"/>
      <c r="C49" s="23"/>
      <c r="D49" s="23"/>
      <c r="E49" s="23"/>
      <c r="F49" s="20"/>
      <c r="G49" s="20"/>
      <c r="H49" s="20"/>
      <c r="I49" s="21"/>
      <c r="J49" s="20">
        <v>5</v>
      </c>
      <c r="K49" s="21"/>
      <c r="L49" s="21">
        <v>102.27777777777777</v>
      </c>
      <c r="M49" s="126">
        <f t="shared" si="6"/>
        <v>87.959866220735776</v>
      </c>
      <c r="O49" s="21">
        <v>345.76271186440675</v>
      </c>
      <c r="P49" s="126">
        <f t="shared" si="7"/>
        <v>100</v>
      </c>
    </row>
    <row r="50" spans="1:17" x14ac:dyDescent="0.2">
      <c r="A50" s="23"/>
      <c r="B50" s="23"/>
      <c r="C50" s="23"/>
      <c r="D50" s="23"/>
      <c r="E50" s="23"/>
      <c r="F50" s="20"/>
      <c r="G50" s="30"/>
      <c r="H50" s="20"/>
      <c r="I50" s="21"/>
      <c r="J50" s="20">
        <v>6</v>
      </c>
      <c r="K50" s="21"/>
      <c r="L50" s="21">
        <v>116.27777777777777</v>
      </c>
      <c r="M50" s="126">
        <f t="shared" si="6"/>
        <v>100</v>
      </c>
      <c r="O50" s="21">
        <v>345.76271186440675</v>
      </c>
      <c r="P50" s="126">
        <f t="shared" si="7"/>
        <v>100</v>
      </c>
    </row>
    <row r="51" spans="1:17" x14ac:dyDescent="0.2">
      <c r="A51" s="23"/>
      <c r="B51" s="23"/>
      <c r="C51" s="23"/>
      <c r="D51" s="23"/>
      <c r="E51" s="23"/>
      <c r="F51" s="30">
        <v>35948</v>
      </c>
      <c r="G51" s="5">
        <f>F51+L57</f>
        <v>36058.526315789473</v>
      </c>
      <c r="H51" s="126">
        <f>L57</f>
        <v>110.52631578947368</v>
      </c>
      <c r="I51" s="21">
        <f>175/1.12</f>
        <v>156.24999999999997</v>
      </c>
      <c r="J51" s="20">
        <v>0</v>
      </c>
      <c r="K51" s="21"/>
      <c r="L51" s="21">
        <v>0</v>
      </c>
      <c r="M51" s="126">
        <f>L51/$L$57*100</f>
        <v>0</v>
      </c>
      <c r="O51" s="21">
        <v>0</v>
      </c>
      <c r="P51" s="126">
        <f>O51/O$57*100</f>
        <v>0</v>
      </c>
      <c r="Q51" s="23"/>
    </row>
    <row r="52" spans="1:17" x14ac:dyDescent="0.2">
      <c r="A52" s="23"/>
      <c r="B52" s="23"/>
      <c r="C52" s="23"/>
      <c r="D52" s="23"/>
      <c r="E52" s="23"/>
      <c r="J52" s="20">
        <v>1</v>
      </c>
      <c r="K52" s="21"/>
      <c r="L52" s="21">
        <v>43.10526315789474</v>
      </c>
      <c r="M52" s="126">
        <f t="shared" ref="M52:M57" si="8">L52/$L$57*100</f>
        <v>39</v>
      </c>
      <c r="N52" s="21"/>
      <c r="O52" s="21">
        <v>58.823529411764703</v>
      </c>
      <c r="P52" s="126">
        <f t="shared" ref="P52:P57" si="9">O52/O$57*100</f>
        <v>11.74496644295302</v>
      </c>
      <c r="Q52" s="23"/>
    </row>
    <row r="53" spans="1:17" x14ac:dyDescent="0.2">
      <c r="A53" s="23"/>
      <c r="B53" s="23"/>
      <c r="C53" s="23"/>
      <c r="D53" s="23"/>
      <c r="E53" s="23"/>
      <c r="F53" s="20"/>
      <c r="G53" s="20"/>
      <c r="H53" s="20"/>
      <c r="I53" s="21"/>
      <c r="J53" s="20">
        <v>2</v>
      </c>
      <c r="K53" s="21"/>
      <c r="L53" s="21">
        <v>55.263157894736842</v>
      </c>
      <c r="M53" s="126">
        <f t="shared" si="8"/>
        <v>50</v>
      </c>
      <c r="N53" s="21"/>
      <c r="O53" s="21">
        <v>119.32773109243696</v>
      </c>
      <c r="P53" s="126">
        <f t="shared" si="9"/>
        <v>23.825503355704697</v>
      </c>
      <c r="Q53" s="23"/>
    </row>
    <row r="54" spans="1:17" x14ac:dyDescent="0.2">
      <c r="A54" s="23"/>
      <c r="B54" s="23"/>
      <c r="C54" s="23"/>
      <c r="D54" s="23"/>
      <c r="E54" s="23"/>
      <c r="F54" s="20"/>
      <c r="G54" s="20"/>
      <c r="H54" s="20"/>
      <c r="I54" s="21"/>
      <c r="J54" s="20">
        <v>3</v>
      </c>
      <c r="K54" s="21"/>
      <c r="L54" s="21">
        <v>68.526315789473685</v>
      </c>
      <c r="M54" s="126">
        <f t="shared" si="8"/>
        <v>62</v>
      </c>
      <c r="N54" s="21"/>
      <c r="O54" s="21">
        <v>278.99159663865544</v>
      </c>
      <c r="P54" s="126">
        <f t="shared" si="9"/>
        <v>55.70469798657718</v>
      </c>
      <c r="Q54" s="23"/>
    </row>
    <row r="55" spans="1:17" x14ac:dyDescent="0.2">
      <c r="A55" s="23"/>
      <c r="B55" s="23"/>
      <c r="C55" s="23"/>
      <c r="D55" s="23"/>
      <c r="E55" s="23"/>
      <c r="F55" s="20"/>
      <c r="G55" s="20"/>
      <c r="H55" s="20"/>
      <c r="I55" s="21"/>
      <c r="J55" s="20">
        <v>4</v>
      </c>
      <c r="K55" s="21"/>
      <c r="L55" s="21">
        <v>82.89473684210526</v>
      </c>
      <c r="M55" s="126">
        <f t="shared" si="8"/>
        <v>75</v>
      </c>
      <c r="N55" s="21"/>
      <c r="O55" s="21">
        <v>381.51260504201679</v>
      </c>
      <c r="P55" s="126">
        <f t="shared" si="9"/>
        <v>76.174496644295303</v>
      </c>
      <c r="Q55" s="23"/>
    </row>
    <row r="56" spans="1:17" x14ac:dyDescent="0.2">
      <c r="A56" s="23"/>
      <c r="B56" s="23"/>
      <c r="C56" s="23"/>
      <c r="D56" s="23"/>
      <c r="E56" s="23"/>
      <c r="F56" s="20"/>
      <c r="G56" s="20"/>
      <c r="H56" s="20"/>
      <c r="I56" s="21"/>
      <c r="J56" s="20">
        <v>5</v>
      </c>
      <c r="K56" s="21"/>
      <c r="L56" s="21">
        <v>96.526315789473699</v>
      </c>
      <c r="M56" s="126">
        <f t="shared" si="8"/>
        <v>87.333333333333357</v>
      </c>
      <c r="N56" s="21"/>
      <c r="O56" s="21">
        <v>475.63025210084032</v>
      </c>
      <c r="P56" s="126">
        <f t="shared" si="9"/>
        <v>94.966442953020135</v>
      </c>
      <c r="Q56" s="23"/>
    </row>
    <row r="57" spans="1:17" x14ac:dyDescent="0.2">
      <c r="A57" s="23"/>
      <c r="B57" s="23"/>
      <c r="C57" s="23"/>
      <c r="D57" s="23"/>
      <c r="E57" s="23"/>
      <c r="F57" s="20"/>
      <c r="G57" s="20"/>
      <c r="H57" s="20"/>
      <c r="I57" s="21"/>
      <c r="J57" s="20">
        <v>6</v>
      </c>
      <c r="K57" s="21"/>
      <c r="L57" s="21">
        <v>110.52631578947368</v>
      </c>
      <c r="M57" s="126">
        <f t="shared" si="8"/>
        <v>100</v>
      </c>
      <c r="N57" s="21"/>
      <c r="O57" s="21">
        <v>500.84033613445376</v>
      </c>
      <c r="P57" s="126">
        <f t="shared" si="9"/>
        <v>100</v>
      </c>
      <c r="Q57" s="23"/>
    </row>
    <row r="58" spans="1:17" x14ac:dyDescent="0.2">
      <c r="A58" s="23"/>
      <c r="B58" s="23"/>
      <c r="C58" s="23"/>
      <c r="D58" s="23"/>
      <c r="E58" s="23"/>
      <c r="F58" s="30">
        <v>35948</v>
      </c>
      <c r="G58" s="5">
        <f>F58+L64</f>
        <v>36058.2972972973</v>
      </c>
      <c r="H58" s="126">
        <f>L64</f>
        <v>110.29729729729729</v>
      </c>
      <c r="I58" s="21">
        <f>250/1.12</f>
        <v>223.21428571428569</v>
      </c>
      <c r="J58" s="20">
        <v>0</v>
      </c>
      <c r="K58" s="21"/>
      <c r="L58" s="21">
        <v>0</v>
      </c>
      <c r="M58" s="126">
        <f>L58/$L$64*100</f>
        <v>0</v>
      </c>
      <c r="N58" s="21"/>
      <c r="O58" s="21">
        <v>0</v>
      </c>
      <c r="P58" s="126">
        <f>O58/O$64*100</f>
        <v>0</v>
      </c>
      <c r="Q58" s="23"/>
    </row>
    <row r="59" spans="1:17" x14ac:dyDescent="0.2">
      <c r="A59" s="23"/>
      <c r="B59" s="23"/>
      <c r="C59" s="23"/>
      <c r="D59" s="23"/>
      <c r="E59" s="23"/>
      <c r="J59" s="20">
        <v>1</v>
      </c>
      <c r="K59" s="21"/>
      <c r="L59" s="21">
        <v>43.702702702702702</v>
      </c>
      <c r="M59" s="126">
        <f t="shared" ref="M59:M64" si="10">L59/$L$64*100</f>
        <v>39.622641509433961</v>
      </c>
      <c r="N59" s="21"/>
      <c r="O59" s="21">
        <v>58.988764044943814</v>
      </c>
      <c r="P59" s="126">
        <f t="shared" ref="P59:P64" si="11">O59/O$64*100</f>
        <v>11.217948717948717</v>
      </c>
      <c r="Q59" s="23"/>
    </row>
    <row r="60" spans="1:17" x14ac:dyDescent="0.2">
      <c r="A60" s="23"/>
      <c r="B60" s="23"/>
      <c r="C60" s="23"/>
      <c r="D60" s="23"/>
      <c r="E60" s="23"/>
      <c r="F60" s="20"/>
      <c r="G60" s="20"/>
      <c r="H60" s="20"/>
      <c r="I60" s="21"/>
      <c r="J60" s="20">
        <v>2</v>
      </c>
      <c r="K60" s="21"/>
      <c r="L60" s="21">
        <v>55.432432432432435</v>
      </c>
      <c r="M60" s="126">
        <f t="shared" si="10"/>
        <v>50.257289879931399</v>
      </c>
      <c r="N60" s="21"/>
      <c r="O60" s="21">
        <v>134.83146067415731</v>
      </c>
      <c r="P60" s="126">
        <f t="shared" si="11"/>
        <v>25.641025641025646</v>
      </c>
      <c r="Q60" s="23"/>
    </row>
    <row r="61" spans="1:17" x14ac:dyDescent="0.2">
      <c r="A61" s="23"/>
      <c r="B61" s="23"/>
      <c r="C61" s="23"/>
      <c r="D61" s="23"/>
      <c r="E61" s="23"/>
      <c r="F61" s="20"/>
      <c r="G61" s="20"/>
      <c r="H61" s="20"/>
      <c r="I61" s="21"/>
      <c r="J61" s="20">
        <v>3</v>
      </c>
      <c r="K61" s="21"/>
      <c r="L61" s="21">
        <v>69.810810810810807</v>
      </c>
      <c r="M61" s="126">
        <f t="shared" si="10"/>
        <v>63.293310463121784</v>
      </c>
      <c r="N61" s="21"/>
      <c r="O61" s="21">
        <v>326.96629213483146</v>
      </c>
      <c r="P61" s="126">
        <f t="shared" si="11"/>
        <v>62.179487179487182</v>
      </c>
      <c r="Q61" s="23"/>
    </row>
    <row r="62" spans="1:17" x14ac:dyDescent="0.2">
      <c r="A62" s="23"/>
      <c r="B62" s="23"/>
      <c r="C62" s="23"/>
      <c r="D62" s="23"/>
      <c r="E62" s="23"/>
      <c r="F62" s="20"/>
      <c r="G62" s="20"/>
      <c r="H62" s="20"/>
      <c r="I62" s="21"/>
      <c r="J62" s="20">
        <v>4</v>
      </c>
      <c r="K62" s="21"/>
      <c r="L62" s="21">
        <v>83.054054054054049</v>
      </c>
      <c r="M62" s="126">
        <f t="shared" si="10"/>
        <v>75.300171526586624</v>
      </c>
      <c r="N62" s="21"/>
      <c r="O62" s="21">
        <v>439.88764044943815</v>
      </c>
      <c r="P62" s="126">
        <f t="shared" si="11"/>
        <v>83.653846153846146</v>
      </c>
      <c r="Q62" s="23"/>
    </row>
    <row r="63" spans="1:17" x14ac:dyDescent="0.2">
      <c r="A63" s="23"/>
      <c r="B63" s="23"/>
      <c r="C63" s="23"/>
      <c r="D63" s="23"/>
      <c r="E63" s="23"/>
      <c r="F63" s="20"/>
      <c r="G63" s="20"/>
      <c r="H63" s="20"/>
      <c r="I63" s="21"/>
      <c r="J63" s="20">
        <v>5</v>
      </c>
      <c r="K63" s="21"/>
      <c r="L63" s="21">
        <v>96.675675675675677</v>
      </c>
      <c r="M63" s="126">
        <f t="shared" si="10"/>
        <v>87.650085763293319</v>
      </c>
      <c r="N63" s="21"/>
      <c r="O63" s="21">
        <v>532.58426966292132</v>
      </c>
      <c r="P63" s="126">
        <f t="shared" si="11"/>
        <v>101.28205128205127</v>
      </c>
      <c r="Q63" s="23"/>
    </row>
    <row r="64" spans="1:17" x14ac:dyDescent="0.2">
      <c r="A64" s="23"/>
      <c r="B64" s="23"/>
      <c r="C64" s="23"/>
      <c r="D64" s="23"/>
      <c r="E64" s="23"/>
      <c r="F64" s="20"/>
      <c r="G64" s="20"/>
      <c r="H64" s="20"/>
      <c r="I64" s="21"/>
      <c r="J64" s="20">
        <v>6</v>
      </c>
      <c r="K64" s="21"/>
      <c r="L64" s="21">
        <v>110.29729729729729</v>
      </c>
      <c r="M64" s="126">
        <f t="shared" si="10"/>
        <v>100</v>
      </c>
      <c r="N64" s="21"/>
      <c r="O64" s="21">
        <v>525.84269662921349</v>
      </c>
      <c r="P64" s="126">
        <f t="shared" si="11"/>
        <v>100</v>
      </c>
      <c r="Q64" s="23"/>
    </row>
    <row r="65" spans="1:17" x14ac:dyDescent="0.2">
      <c r="A65" s="23"/>
      <c r="B65" s="23"/>
      <c r="C65" s="23"/>
      <c r="D65" s="23"/>
      <c r="E65" s="23"/>
      <c r="F65" s="20"/>
      <c r="G65" s="20"/>
      <c r="H65" s="20"/>
      <c r="I65" s="21"/>
      <c r="J65" s="20"/>
      <c r="K65" s="21"/>
      <c r="L65" s="21"/>
      <c r="M65" s="21"/>
      <c r="N65" s="21"/>
      <c r="O65" s="21"/>
      <c r="P65" s="21"/>
      <c r="Q65" s="23"/>
    </row>
    <row r="66" spans="1:17" x14ac:dyDescent="0.2">
      <c r="A66" s="23"/>
      <c r="B66" s="23"/>
      <c r="C66" s="23"/>
      <c r="D66" s="23"/>
      <c r="E66" s="23"/>
      <c r="F66" s="30"/>
      <c r="G66" s="30"/>
      <c r="H66" s="20"/>
      <c r="I66" s="21"/>
      <c r="J66" s="20"/>
      <c r="K66" s="21"/>
      <c r="L66" s="21"/>
      <c r="M66" s="21"/>
      <c r="N66" s="21"/>
      <c r="O66" s="21"/>
      <c r="P66" s="21"/>
      <c r="Q66" s="23"/>
    </row>
    <row r="67" spans="1:17" x14ac:dyDescent="0.2">
      <c r="A67" s="23"/>
      <c r="B67" s="23"/>
      <c r="C67" s="23"/>
      <c r="D67" s="23"/>
      <c r="E67" s="23"/>
      <c r="F67" s="20"/>
      <c r="G67" s="20"/>
      <c r="H67" s="20"/>
      <c r="I67" s="21"/>
      <c r="J67" s="20"/>
      <c r="K67" s="21"/>
      <c r="L67" s="21"/>
      <c r="M67" s="21"/>
      <c r="N67" s="21"/>
      <c r="O67" s="21"/>
      <c r="P67" s="21"/>
      <c r="Q67" s="23"/>
    </row>
    <row r="68" spans="1:17" x14ac:dyDescent="0.2">
      <c r="A68" s="23"/>
      <c r="B68" s="23"/>
      <c r="C68" s="23"/>
      <c r="D68" s="23"/>
      <c r="E68" s="23"/>
      <c r="F68" s="20"/>
      <c r="G68" s="20"/>
      <c r="H68" s="20"/>
      <c r="I68" s="21"/>
      <c r="J68" s="20"/>
      <c r="K68" s="21"/>
      <c r="L68" s="21"/>
      <c r="M68" s="21"/>
      <c r="N68" s="21"/>
      <c r="O68" s="21"/>
      <c r="P68" s="21"/>
      <c r="Q68" s="23"/>
    </row>
    <row r="69" spans="1:17" x14ac:dyDescent="0.2">
      <c r="A69" s="23"/>
      <c r="B69" s="23"/>
      <c r="C69" s="23"/>
      <c r="D69" s="23"/>
      <c r="E69" s="23"/>
      <c r="F69" s="20"/>
      <c r="G69" s="20"/>
      <c r="H69" s="20"/>
      <c r="I69" s="21"/>
      <c r="J69" s="20"/>
      <c r="K69" s="21"/>
      <c r="L69" s="21"/>
      <c r="M69" s="21"/>
      <c r="N69" s="21"/>
      <c r="O69" s="21"/>
      <c r="P69" s="21"/>
      <c r="Q69" s="23"/>
    </row>
    <row r="70" spans="1:17" x14ac:dyDescent="0.2">
      <c r="A70" s="23"/>
      <c r="B70" s="23"/>
      <c r="C70" s="23"/>
      <c r="D70" s="23"/>
      <c r="E70" s="23"/>
      <c r="F70" s="20"/>
      <c r="G70" s="20"/>
      <c r="H70" s="20"/>
      <c r="I70" s="21"/>
      <c r="J70" s="20"/>
      <c r="K70" s="21"/>
      <c r="L70" s="21"/>
      <c r="M70" s="21"/>
      <c r="N70" s="21"/>
      <c r="O70" s="21"/>
      <c r="P70" s="21"/>
      <c r="Q70" s="23"/>
    </row>
    <row r="71" spans="1:17" x14ac:dyDescent="0.2">
      <c r="A71" s="23"/>
      <c r="B71" s="23"/>
      <c r="C71" s="23"/>
      <c r="D71" s="23"/>
      <c r="E71" s="23"/>
      <c r="F71" s="30"/>
      <c r="G71" s="30"/>
      <c r="H71" s="20"/>
      <c r="I71" s="21"/>
      <c r="J71" s="20"/>
      <c r="K71" s="21"/>
      <c r="L71" s="21"/>
      <c r="M71" s="21"/>
      <c r="N71" s="21"/>
      <c r="O71" s="21"/>
      <c r="P71" s="21"/>
      <c r="Q71" s="23"/>
    </row>
    <row r="72" spans="1:17" x14ac:dyDescent="0.2">
      <c r="A72" s="23"/>
      <c r="B72" s="23"/>
      <c r="C72" s="23"/>
      <c r="D72" s="23"/>
      <c r="E72" s="23"/>
      <c r="F72" s="20"/>
      <c r="G72" s="20"/>
      <c r="H72" s="20"/>
      <c r="I72" s="21"/>
      <c r="J72" s="20"/>
      <c r="K72" s="21"/>
      <c r="L72" s="21"/>
      <c r="M72" s="21"/>
      <c r="N72" s="21"/>
      <c r="O72" s="21"/>
      <c r="P72" s="21"/>
      <c r="Q72" s="23"/>
    </row>
    <row r="73" spans="1:17" x14ac:dyDescent="0.2">
      <c r="A73" s="23"/>
      <c r="B73" s="23"/>
      <c r="C73" s="23"/>
      <c r="D73" s="23"/>
      <c r="E73" s="23"/>
      <c r="F73" s="20"/>
      <c r="G73" s="20"/>
      <c r="H73" s="20"/>
      <c r="I73" s="21"/>
      <c r="J73" s="20"/>
      <c r="K73" s="21"/>
      <c r="L73" s="21"/>
      <c r="M73" s="21"/>
      <c r="N73" s="21"/>
      <c r="O73" s="21"/>
      <c r="P73" s="21"/>
      <c r="Q73" s="23"/>
    </row>
    <row r="74" spans="1:17" x14ac:dyDescent="0.2">
      <c r="A74" s="23"/>
      <c r="B74" s="23"/>
      <c r="C74" s="23"/>
      <c r="D74" s="23"/>
      <c r="E74" s="23"/>
      <c r="F74" s="20"/>
      <c r="G74" s="20"/>
      <c r="H74" s="20"/>
      <c r="I74" s="21"/>
      <c r="J74" s="20"/>
      <c r="K74" s="21"/>
      <c r="L74" s="21"/>
      <c r="M74" s="21"/>
      <c r="N74" s="21"/>
      <c r="O74" s="21"/>
      <c r="P74" s="21"/>
      <c r="Q74" s="23"/>
    </row>
    <row r="75" spans="1:17" x14ac:dyDescent="0.2">
      <c r="A75" s="23"/>
      <c r="B75" s="23"/>
      <c r="C75" s="23"/>
      <c r="D75" s="23"/>
      <c r="E75" s="23"/>
      <c r="F75" s="20"/>
      <c r="G75" s="20"/>
      <c r="H75" s="20"/>
      <c r="I75" s="21"/>
      <c r="J75" s="20"/>
      <c r="K75" s="21"/>
      <c r="L75" s="21"/>
      <c r="M75" s="21"/>
      <c r="N75" s="21"/>
      <c r="O75" s="21"/>
      <c r="P75" s="21"/>
      <c r="Q75" s="23"/>
    </row>
    <row r="76" spans="1:17" x14ac:dyDescent="0.2">
      <c r="A76" s="23"/>
      <c r="E76" s="96"/>
      <c r="F76" s="23"/>
      <c r="G76"/>
      <c r="H76"/>
      <c r="I76"/>
      <c r="J76" s="96"/>
      <c r="K76" s="23"/>
      <c r="L76"/>
      <c r="M76"/>
      <c r="N76"/>
      <c r="O76" s="96"/>
      <c r="P76" s="21"/>
      <c r="Q76" s="23"/>
    </row>
    <row r="77" spans="1:17" x14ac:dyDescent="0.2">
      <c r="A77" s="23"/>
      <c r="B77" s="253"/>
      <c r="C77" s="253"/>
      <c r="D77" s="23"/>
      <c r="E77" s="30"/>
      <c r="F77" s="23"/>
      <c r="G77" s="253"/>
      <c r="H77" s="253"/>
      <c r="I77" s="23"/>
      <c r="J77" s="30"/>
      <c r="K77" s="23"/>
      <c r="L77" s="253"/>
      <c r="M77" s="253"/>
      <c r="N77" s="23"/>
      <c r="O77" s="30"/>
      <c r="P77" s="21"/>
      <c r="Q77" s="23"/>
    </row>
    <row r="78" spans="1:17" x14ac:dyDescent="0.2">
      <c r="A78" s="23"/>
      <c r="B78" s="23"/>
      <c r="C78" s="23"/>
      <c r="D78" s="23"/>
      <c r="E78" s="96"/>
      <c r="F78" s="23"/>
      <c r="G78" s="23"/>
      <c r="H78" s="23"/>
      <c r="I78" s="23"/>
      <c r="J78" s="96"/>
      <c r="K78" s="23"/>
      <c r="L78" s="23"/>
      <c r="M78" s="23"/>
      <c r="N78" s="23"/>
      <c r="O78" s="96"/>
      <c r="P78" s="21"/>
      <c r="Q78" s="23"/>
    </row>
    <row r="79" spans="1:17" x14ac:dyDescent="0.2">
      <c r="A79" s="23"/>
      <c r="B79" s="23"/>
      <c r="C79" s="43"/>
      <c r="D79" s="23"/>
      <c r="E79" s="20"/>
      <c r="F79" s="23"/>
      <c r="G79" s="17"/>
      <c r="H79" s="43"/>
      <c r="I79" s="17"/>
      <c r="J79" s="20"/>
      <c r="K79" s="23"/>
      <c r="L79" s="17"/>
      <c r="M79" s="43"/>
      <c r="N79" s="17"/>
      <c r="O79" s="20"/>
      <c r="P79" s="21"/>
      <c r="Q79" s="23"/>
    </row>
    <row r="80" spans="1:17" x14ac:dyDescent="0.2">
      <c r="A80" s="23"/>
      <c r="B80" s="23"/>
      <c r="C80" s="43"/>
      <c r="D80" s="23"/>
      <c r="E80" s="20"/>
      <c r="F80" s="23"/>
      <c r="G80" s="17"/>
      <c r="H80" s="43"/>
      <c r="I80" s="17"/>
      <c r="J80" s="20"/>
      <c r="K80" s="23"/>
      <c r="L80" s="17"/>
      <c r="M80" s="43"/>
      <c r="N80" s="17"/>
      <c r="O80" s="20"/>
      <c r="P80" s="21"/>
      <c r="Q80" s="23"/>
    </row>
    <row r="81" spans="1:17" x14ac:dyDescent="0.2">
      <c r="A81" s="23"/>
      <c r="B81" s="17"/>
      <c r="C81" s="43"/>
      <c r="D81" s="17"/>
      <c r="E81" s="20"/>
      <c r="F81" s="23"/>
      <c r="G81" s="17"/>
      <c r="H81" s="43"/>
      <c r="I81" s="17"/>
      <c r="J81" s="20"/>
      <c r="K81" s="23"/>
      <c r="L81" s="17"/>
      <c r="M81" s="43"/>
      <c r="N81" s="17"/>
      <c r="O81" s="20"/>
      <c r="P81" s="21"/>
      <c r="Q81" s="23"/>
    </row>
    <row r="82" spans="1:17" x14ac:dyDescent="0.2">
      <c r="A82" s="17"/>
      <c r="B82" s="17"/>
      <c r="C82" s="43"/>
      <c r="D82" s="17"/>
      <c r="E82" s="20"/>
      <c r="F82" s="17"/>
      <c r="G82" s="17"/>
      <c r="H82" s="43"/>
      <c r="I82" s="17"/>
      <c r="J82" s="20"/>
      <c r="K82" s="17"/>
      <c r="L82" s="17"/>
      <c r="M82" s="43"/>
      <c r="N82" s="17"/>
      <c r="O82" s="20"/>
      <c r="P82" s="21"/>
      <c r="Q82" s="23"/>
    </row>
    <row r="83" spans="1:17" x14ac:dyDescent="0.2">
      <c r="A83" s="17"/>
      <c r="B83" s="17"/>
      <c r="C83" s="43"/>
      <c r="D83" s="17"/>
      <c r="E83" s="20"/>
      <c r="F83" s="17"/>
      <c r="G83" s="17"/>
      <c r="H83" s="43"/>
      <c r="I83" s="17"/>
      <c r="J83" s="20"/>
      <c r="K83" s="17"/>
      <c r="L83" s="17"/>
      <c r="M83" s="43"/>
      <c r="N83" s="17"/>
      <c r="O83" s="20"/>
      <c r="P83" s="21"/>
      <c r="Q83" s="23"/>
    </row>
    <row r="84" spans="1:17" x14ac:dyDescent="0.2">
      <c r="A84" s="17"/>
      <c r="B84" s="17"/>
      <c r="C84" s="43"/>
      <c r="D84" s="17"/>
      <c r="E84" s="20"/>
      <c r="F84" s="17"/>
      <c r="G84" s="17"/>
      <c r="H84" s="43"/>
      <c r="I84" s="17"/>
      <c r="J84" s="20"/>
      <c r="K84" s="17"/>
      <c r="L84" s="17"/>
      <c r="M84" s="43"/>
      <c r="N84" s="17"/>
      <c r="O84" s="20"/>
      <c r="P84" s="21"/>
      <c r="Q84" s="23"/>
    </row>
    <row r="85" spans="1:17" x14ac:dyDescent="0.2">
      <c r="A85" s="23"/>
      <c r="B85" s="23"/>
      <c r="C85" s="23"/>
      <c r="D85" s="23"/>
      <c r="E85" s="23"/>
      <c r="F85" s="20"/>
      <c r="G85" s="20"/>
      <c r="H85" s="20"/>
      <c r="I85" s="21"/>
      <c r="J85" s="20"/>
      <c r="K85" s="21"/>
      <c r="L85" s="21"/>
      <c r="M85" s="21"/>
      <c r="N85" s="21"/>
      <c r="O85" s="21"/>
      <c r="P85" s="21"/>
      <c r="Q85" s="23"/>
    </row>
    <row r="86" spans="1:17" x14ac:dyDescent="0.2">
      <c r="A86" s="23"/>
      <c r="B86" s="23"/>
      <c r="C86" s="23"/>
      <c r="D86" s="17"/>
      <c r="E86" s="17"/>
      <c r="F86" s="30"/>
      <c r="G86" s="30"/>
      <c r="H86" s="20"/>
      <c r="I86" s="21"/>
      <c r="J86" s="20"/>
      <c r="K86" s="21"/>
      <c r="L86" s="21"/>
      <c r="M86" s="21"/>
      <c r="N86" s="21"/>
      <c r="O86" s="20"/>
      <c r="P86" s="21"/>
      <c r="Q86" s="23"/>
    </row>
    <row r="87" spans="1:17" x14ac:dyDescent="0.2">
      <c r="A87" s="23"/>
      <c r="B87" s="23"/>
      <c r="C87" s="23"/>
      <c r="D87" s="17"/>
      <c r="E87" s="17"/>
      <c r="F87" s="20"/>
      <c r="G87" s="20"/>
      <c r="H87" s="20"/>
      <c r="I87" s="21"/>
      <c r="J87" s="20"/>
      <c r="K87" s="21"/>
      <c r="L87" s="21"/>
      <c r="M87" s="21"/>
      <c r="N87" s="21"/>
      <c r="O87" s="21"/>
      <c r="P87" s="21"/>
      <c r="Q87" s="23"/>
    </row>
    <row r="88" spans="1:17" x14ac:dyDescent="0.2">
      <c r="A88" s="23"/>
      <c r="B88" s="23"/>
      <c r="C88" s="23"/>
      <c r="D88" s="17"/>
      <c r="E88" s="17"/>
      <c r="F88" s="20"/>
      <c r="G88" s="20"/>
      <c r="H88" s="20"/>
      <c r="I88" s="21"/>
      <c r="J88" s="20"/>
      <c r="K88" s="21"/>
      <c r="L88" s="21"/>
      <c r="M88" s="21"/>
      <c r="N88" s="21"/>
      <c r="O88" s="21"/>
      <c r="P88" s="21"/>
      <c r="Q88" s="23"/>
    </row>
    <row r="89" spans="1:17" x14ac:dyDescent="0.2">
      <c r="A89" s="23"/>
      <c r="B89" s="23"/>
      <c r="C89" s="23"/>
      <c r="D89" s="17"/>
      <c r="E89" s="17"/>
      <c r="F89" s="20"/>
      <c r="G89" s="20"/>
      <c r="H89" s="20"/>
      <c r="I89" s="21"/>
      <c r="J89" s="20"/>
      <c r="K89" s="21"/>
      <c r="L89" s="21"/>
      <c r="M89" s="21"/>
      <c r="N89" s="21"/>
      <c r="O89" s="21"/>
      <c r="P89" s="21"/>
      <c r="Q89" s="23"/>
    </row>
    <row r="90" spans="1:17" x14ac:dyDescent="0.2">
      <c r="A90" s="23"/>
      <c r="B90" s="23"/>
      <c r="C90" s="23"/>
      <c r="D90" s="17"/>
      <c r="E90" s="17"/>
      <c r="F90" s="20"/>
      <c r="G90" s="20"/>
      <c r="H90" s="20"/>
      <c r="I90" s="21"/>
      <c r="J90" s="20"/>
      <c r="K90" s="21"/>
      <c r="L90" s="21"/>
      <c r="M90" s="21"/>
      <c r="N90" s="21"/>
      <c r="O90" s="21"/>
      <c r="P90" s="21"/>
      <c r="Q90" s="23"/>
    </row>
    <row r="91" spans="1:17" x14ac:dyDescent="0.2">
      <c r="A91" s="23"/>
      <c r="B91" s="23"/>
      <c r="C91" s="23"/>
      <c r="D91" s="17"/>
      <c r="E91" s="17"/>
      <c r="F91" s="20"/>
      <c r="G91" s="20"/>
      <c r="H91" s="20"/>
      <c r="I91" s="21"/>
      <c r="J91" s="20"/>
      <c r="K91" s="21"/>
      <c r="L91" s="21"/>
      <c r="M91" s="21"/>
      <c r="N91" s="21"/>
      <c r="O91" s="21"/>
      <c r="P91" s="21"/>
      <c r="Q91" s="23"/>
    </row>
    <row r="92" spans="1:17" x14ac:dyDescent="0.2">
      <c r="A92" s="23"/>
      <c r="B92" s="23"/>
      <c r="C92" s="23"/>
      <c r="D92" s="17"/>
      <c r="E92" s="17"/>
      <c r="F92" s="20"/>
      <c r="G92" s="20"/>
      <c r="H92" s="20"/>
      <c r="I92" s="21"/>
      <c r="J92" s="20"/>
      <c r="K92" s="21"/>
      <c r="L92" s="21"/>
      <c r="M92" s="21"/>
      <c r="N92" s="21"/>
      <c r="O92" s="21"/>
      <c r="P92" s="21"/>
      <c r="Q92" s="23"/>
    </row>
    <row r="93" spans="1:17" x14ac:dyDescent="0.2">
      <c r="A93" s="23"/>
      <c r="B93" s="23"/>
      <c r="C93" s="23"/>
      <c r="D93" s="23"/>
      <c r="E93" s="23"/>
      <c r="F93" s="30"/>
      <c r="G93" s="30"/>
      <c r="H93" s="20"/>
      <c r="I93" s="21"/>
      <c r="J93" s="20"/>
      <c r="K93" s="21"/>
      <c r="L93" s="21"/>
      <c r="M93" s="21"/>
      <c r="N93" s="21"/>
      <c r="O93" s="20"/>
      <c r="P93" s="21"/>
      <c r="Q93" s="23"/>
    </row>
    <row r="94" spans="1:17" x14ac:dyDescent="0.2">
      <c r="A94" s="23"/>
      <c r="B94" s="23"/>
      <c r="C94" s="23"/>
      <c r="D94" s="23"/>
      <c r="E94" s="23"/>
      <c r="F94" s="20"/>
      <c r="G94" s="20"/>
      <c r="H94" s="20"/>
      <c r="I94" s="21"/>
      <c r="J94" s="20"/>
      <c r="K94" s="21"/>
      <c r="L94" s="21"/>
      <c r="M94" s="21"/>
      <c r="N94" s="21"/>
      <c r="O94" s="21"/>
      <c r="P94" s="21"/>
      <c r="Q94" s="23"/>
    </row>
    <row r="95" spans="1:17" x14ac:dyDescent="0.2">
      <c r="A95" s="23"/>
      <c r="B95" s="23"/>
      <c r="C95" s="23"/>
      <c r="D95" s="23"/>
      <c r="E95" s="23"/>
      <c r="F95" s="20"/>
      <c r="G95" s="20"/>
      <c r="H95" s="20"/>
      <c r="I95" s="21"/>
      <c r="J95" s="20"/>
      <c r="K95" s="21"/>
      <c r="L95" s="21"/>
      <c r="M95" s="21"/>
      <c r="N95" s="21"/>
      <c r="O95" s="21"/>
      <c r="P95" s="21"/>
      <c r="Q95" s="23"/>
    </row>
    <row r="96" spans="1:17" x14ac:dyDescent="0.2">
      <c r="A96" s="23"/>
      <c r="B96" s="23"/>
      <c r="C96" s="23"/>
      <c r="D96" s="23"/>
      <c r="E96" s="23"/>
      <c r="F96" s="20"/>
      <c r="G96" s="20"/>
      <c r="H96" s="20"/>
      <c r="I96" s="21"/>
      <c r="J96" s="20"/>
      <c r="K96" s="21"/>
      <c r="L96" s="21"/>
      <c r="M96" s="21"/>
      <c r="N96" s="21"/>
      <c r="O96" s="21"/>
      <c r="P96" s="21"/>
      <c r="Q96" s="23"/>
    </row>
    <row r="97" spans="1:25" x14ac:dyDescent="0.2">
      <c r="A97" s="23"/>
      <c r="B97" s="23"/>
      <c r="C97" s="23"/>
      <c r="D97" s="23"/>
      <c r="E97" s="23"/>
      <c r="F97" s="20"/>
      <c r="G97" s="20"/>
      <c r="H97" s="20"/>
      <c r="I97" s="21"/>
      <c r="J97" s="20"/>
      <c r="K97" s="21"/>
      <c r="L97" s="21"/>
      <c r="M97" s="21"/>
      <c r="N97" s="21"/>
      <c r="O97" s="21"/>
      <c r="P97" s="21"/>
      <c r="Q97" s="23"/>
    </row>
    <row r="98" spans="1:25" x14ac:dyDescent="0.2">
      <c r="A98" s="23"/>
      <c r="B98" s="23"/>
      <c r="C98" s="23"/>
      <c r="D98" s="23"/>
      <c r="E98" s="23"/>
      <c r="F98" s="20"/>
      <c r="G98" s="20"/>
      <c r="H98" s="20"/>
      <c r="I98" s="21"/>
      <c r="J98" s="20"/>
      <c r="K98" s="21"/>
      <c r="L98" s="21"/>
      <c r="M98" s="21"/>
      <c r="N98" s="21"/>
      <c r="O98" s="21"/>
      <c r="P98" s="21"/>
      <c r="Q98" s="23"/>
    </row>
    <row r="99" spans="1:25" x14ac:dyDescent="0.2">
      <c r="A99" s="23"/>
      <c r="B99" s="23"/>
      <c r="C99" s="23"/>
      <c r="D99" s="23"/>
      <c r="E99" s="23"/>
      <c r="F99" s="20"/>
      <c r="G99" s="20"/>
      <c r="H99" s="20"/>
      <c r="I99" s="21"/>
      <c r="J99" s="20"/>
      <c r="K99" s="21"/>
      <c r="L99" s="21"/>
      <c r="M99" s="21"/>
      <c r="N99" s="21"/>
      <c r="O99" s="21"/>
      <c r="P99" s="21"/>
      <c r="Q99" s="23"/>
    </row>
    <row r="102" spans="1:25" x14ac:dyDescent="0.2">
      <c r="A102" t="s">
        <v>37</v>
      </c>
      <c r="C102" s="232" t="s">
        <v>286</v>
      </c>
      <c r="D102" s="233"/>
      <c r="E102" s="233"/>
      <c r="F102" s="233"/>
      <c r="G102" s="233"/>
      <c r="H102" s="233"/>
      <c r="I102" s="233"/>
      <c r="J102" s="233"/>
      <c r="K102" s="233"/>
      <c r="L102" s="233"/>
      <c r="M102" s="234"/>
      <c r="N102" s="122"/>
    </row>
    <row r="103" spans="1:25" x14ac:dyDescent="0.2">
      <c r="C103" s="235"/>
      <c r="D103" s="236"/>
      <c r="E103" s="236"/>
      <c r="F103" s="236"/>
      <c r="G103" s="236"/>
      <c r="H103" s="236"/>
      <c r="I103" s="236"/>
      <c r="J103" s="236"/>
      <c r="K103" s="236"/>
      <c r="L103" s="236"/>
      <c r="M103" s="237"/>
      <c r="N103" s="122"/>
    </row>
    <row r="104" spans="1:25" x14ac:dyDescent="0.2">
      <c r="C104" s="238"/>
      <c r="D104" s="239"/>
      <c r="E104" s="239"/>
      <c r="F104" s="239"/>
      <c r="G104" s="239"/>
      <c r="H104" s="239"/>
      <c r="I104" s="239"/>
      <c r="J104" s="239"/>
      <c r="K104" s="239"/>
      <c r="L104" s="239"/>
      <c r="M104" s="240"/>
      <c r="N104" s="122"/>
    </row>
    <row r="105" spans="1:25" x14ac:dyDescent="0.2">
      <c r="C105" s="14"/>
      <c r="D105" s="14"/>
      <c r="E105" s="14"/>
      <c r="F105" s="14"/>
      <c r="G105" s="14"/>
      <c r="H105" s="14"/>
      <c r="I105" s="14"/>
      <c r="J105" s="14"/>
      <c r="K105" s="14"/>
      <c r="L105" s="14"/>
    </row>
    <row r="106" spans="1:25" x14ac:dyDescent="0.2">
      <c r="C106" s="232"/>
      <c r="D106" s="233"/>
      <c r="E106" s="233"/>
      <c r="F106" s="233"/>
      <c r="G106" s="233"/>
      <c r="H106" s="233"/>
      <c r="I106" s="233"/>
      <c r="J106" s="233"/>
      <c r="K106" s="233"/>
      <c r="L106" s="233"/>
      <c r="M106" s="233"/>
      <c r="N106" s="233"/>
      <c r="O106" s="233"/>
      <c r="P106" s="234"/>
    </row>
    <row r="107" spans="1:25" x14ac:dyDescent="0.2">
      <c r="C107" s="235"/>
      <c r="D107" s="236"/>
      <c r="E107" s="236"/>
      <c r="F107" s="236"/>
      <c r="G107" s="236"/>
      <c r="H107" s="236"/>
      <c r="I107" s="236"/>
      <c r="J107" s="236"/>
      <c r="K107" s="236"/>
      <c r="L107" s="236"/>
      <c r="M107" s="236"/>
      <c r="N107" s="236"/>
      <c r="O107" s="236"/>
      <c r="P107" s="237"/>
      <c r="Q107" s="241"/>
      <c r="R107" s="241"/>
      <c r="S107" s="241"/>
      <c r="T107" s="241"/>
      <c r="U107" s="241"/>
      <c r="V107" s="241"/>
      <c r="X107" s="241"/>
      <c r="Y107" s="241"/>
    </row>
    <row r="108" spans="1:25" x14ac:dyDescent="0.2">
      <c r="C108" s="238"/>
      <c r="D108" s="239"/>
      <c r="E108" s="239"/>
      <c r="F108" s="239"/>
      <c r="G108" s="239"/>
      <c r="H108" s="239"/>
      <c r="I108" s="239"/>
      <c r="J108" s="239"/>
      <c r="K108" s="239"/>
      <c r="L108" s="239"/>
      <c r="M108" s="239"/>
      <c r="N108" s="239"/>
      <c r="O108" s="239"/>
      <c r="P108" s="240"/>
      <c r="Q108" s="123"/>
      <c r="R108" s="123"/>
      <c r="U108" s="123"/>
      <c r="V108" s="123"/>
    </row>
    <row r="109" spans="1:25" x14ac:dyDescent="0.2">
      <c r="C109" s="124"/>
      <c r="D109" s="124"/>
      <c r="E109" s="124"/>
      <c r="F109" s="124"/>
      <c r="G109" s="124"/>
      <c r="H109" s="124"/>
      <c r="I109" s="124"/>
      <c r="J109" s="124"/>
      <c r="K109" s="124"/>
      <c r="L109" s="124"/>
      <c r="M109" s="124"/>
      <c r="N109" s="124"/>
      <c r="O109" s="124"/>
      <c r="P109" s="124"/>
      <c r="Q109" s="123"/>
      <c r="R109" s="123"/>
      <c r="U109" s="123"/>
      <c r="V109" s="123"/>
    </row>
    <row r="110" spans="1:25" x14ac:dyDescent="0.2">
      <c r="O110"/>
      <c r="P110" s="11"/>
      <c r="Q110" s="123"/>
      <c r="R110" s="11"/>
      <c r="T110" s="11"/>
      <c r="V110" s="11"/>
    </row>
    <row r="111" spans="1:25" x14ac:dyDescent="0.2">
      <c r="A111" s="1"/>
      <c r="B111" s="1"/>
      <c r="O111"/>
      <c r="P111" s="11"/>
      <c r="Q111" s="123"/>
      <c r="R111" s="11"/>
      <c r="T111" s="11"/>
      <c r="V111" s="11"/>
    </row>
    <row r="112" spans="1:25" x14ac:dyDescent="0.2">
      <c r="A112" s="1"/>
      <c r="B112" s="1"/>
      <c r="P112" s="11"/>
      <c r="Q112" s="123"/>
      <c r="R112" s="11"/>
      <c r="T112" s="11"/>
      <c r="V112" s="11"/>
    </row>
    <row r="113" spans="16:22" x14ac:dyDescent="0.2">
      <c r="P113" s="11"/>
      <c r="Q113" s="123"/>
      <c r="R113" s="11"/>
      <c r="T113" s="11"/>
      <c r="V113" s="11"/>
    </row>
    <row r="114" spans="16:22" x14ac:dyDescent="0.2">
      <c r="P114" s="11"/>
      <c r="Q114" s="123"/>
      <c r="R114" s="11"/>
      <c r="T114" s="11"/>
      <c r="V114" s="11"/>
    </row>
    <row r="115" spans="16:22" x14ac:dyDescent="0.2">
      <c r="P115" s="11"/>
      <c r="Q115" s="123"/>
      <c r="R115" s="11"/>
      <c r="T115" s="11"/>
      <c r="V115" s="11"/>
    </row>
  </sheetData>
  <mergeCells count="11">
    <mergeCell ref="L77:M77"/>
    <mergeCell ref="K3:M3"/>
    <mergeCell ref="S3:Y11"/>
    <mergeCell ref="C102:M104"/>
    <mergeCell ref="C106:P108"/>
    <mergeCell ref="Q107:R107"/>
    <mergeCell ref="S107:T107"/>
    <mergeCell ref="U107:V107"/>
    <mergeCell ref="X107:Y107"/>
    <mergeCell ref="B77:C77"/>
    <mergeCell ref="G77:H77"/>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21</vt:i4>
      </vt:variant>
    </vt:vector>
  </HeadingPairs>
  <TitlesOfParts>
    <vt:vector size="21" baseType="lpstr">
      <vt:lpstr>Cabbage_White</vt:lpstr>
      <vt:lpstr>Cucumber</vt:lpstr>
      <vt:lpstr>Eggplant</vt:lpstr>
      <vt:lpstr>Peppers_Bell</vt:lpstr>
      <vt:lpstr>Peppers_Chili</vt:lpstr>
      <vt:lpstr>Sugarbeet</vt:lpstr>
      <vt:lpstr>Tomatoes_Fresh</vt:lpstr>
      <vt:lpstr>Wheat_Durum</vt:lpstr>
      <vt:lpstr>Beetroot</vt:lpstr>
      <vt:lpstr>Pumpkin</vt:lpstr>
      <vt:lpstr>Zucchini&amp;Summer squash</vt:lpstr>
      <vt:lpstr>Watermelon</vt:lpstr>
      <vt:lpstr>Corn_Sweet</vt:lpstr>
      <vt:lpstr>Sweetpotato</vt:lpstr>
      <vt:lpstr>Oat_Grain</vt:lpstr>
      <vt:lpstr>Rye_Grain</vt:lpstr>
      <vt:lpstr>Triticale_Grain</vt:lpstr>
      <vt:lpstr>Sorghum_Grain</vt:lpstr>
      <vt:lpstr>Hay_SmallGrain</vt:lpstr>
      <vt:lpstr>Template</vt:lpstr>
      <vt:lpstr>Progress</vt:lpstr>
    </vt:vector>
  </TitlesOfParts>
  <Company>UC Davis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Patricia Ann Lazicki</dc:creator>
  <cp:lastModifiedBy>Microsoft Office User</cp:lastModifiedBy>
  <dcterms:created xsi:type="dcterms:W3CDTF">2017-03-23T22:00:44Z</dcterms:created>
  <dcterms:modified xsi:type="dcterms:W3CDTF">2018-06-10T22:36:32Z</dcterms:modified>
</cp:coreProperties>
</file>