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20" yWindow="1215" windowWidth="14355" windowHeight="664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Blad1!$A$2:$AC$141</definedName>
  </definedNames>
  <calcPr calcId="145621"/>
</workbook>
</file>

<file path=xl/calcChain.xml><?xml version="1.0" encoding="utf-8"?>
<calcChain xmlns="http://schemas.openxmlformats.org/spreadsheetml/2006/main">
  <c r="X143" i="1" l="1"/>
  <c r="AA143" i="1" s="1"/>
  <c r="T84" i="1" l="1"/>
  <c r="X84" i="1" s="1"/>
  <c r="AA84" i="1" s="1"/>
  <c r="T85" i="1"/>
  <c r="X85" i="1" s="1"/>
  <c r="AA85" i="1" s="1"/>
  <c r="T86" i="1"/>
  <c r="X86" i="1" s="1"/>
  <c r="AA86" i="1" s="1"/>
  <c r="X142" i="1" l="1"/>
  <c r="AA142" i="1" s="1"/>
  <c r="X141" i="1" l="1"/>
  <c r="AA141" i="1" s="1"/>
  <c r="X114" i="1" l="1"/>
  <c r="AA114" i="1" s="1"/>
  <c r="X115" i="1"/>
  <c r="AA115" i="1" s="1"/>
  <c r="X116" i="1"/>
  <c r="AA116" i="1" s="1"/>
  <c r="X117" i="1"/>
  <c r="AA117" i="1" s="1"/>
  <c r="X118" i="1"/>
  <c r="AA118" i="1" s="1"/>
  <c r="X119" i="1"/>
  <c r="AA119" i="1" s="1"/>
  <c r="X120" i="1"/>
  <c r="AA120" i="1" s="1"/>
  <c r="X121" i="1"/>
  <c r="AA121" i="1" s="1"/>
  <c r="X122" i="1"/>
  <c r="AA122" i="1" s="1"/>
  <c r="X123" i="1"/>
  <c r="AA123" i="1" s="1"/>
  <c r="T124" i="1"/>
  <c r="X124" i="1" s="1"/>
  <c r="AA124" i="1" s="1"/>
  <c r="T125" i="1"/>
  <c r="X125" i="1" s="1"/>
  <c r="AA125" i="1" s="1"/>
  <c r="T126" i="1"/>
  <c r="X126" i="1" s="1"/>
  <c r="AA126" i="1" s="1"/>
  <c r="T127" i="1"/>
  <c r="X127" i="1" s="1"/>
  <c r="AA127" i="1" s="1"/>
  <c r="T128" i="1"/>
  <c r="X128" i="1" s="1"/>
  <c r="AA128" i="1" s="1"/>
  <c r="T129" i="1"/>
  <c r="X129" i="1" s="1"/>
  <c r="AA129" i="1" s="1"/>
  <c r="T130" i="1"/>
  <c r="X130" i="1" s="1"/>
  <c r="AA130" i="1" s="1"/>
  <c r="T131" i="1"/>
  <c r="X131" i="1" s="1"/>
  <c r="AA131" i="1" s="1"/>
  <c r="T132" i="1"/>
  <c r="X132" i="1" s="1"/>
  <c r="AA132" i="1" s="1"/>
  <c r="T133" i="1"/>
  <c r="X133" i="1" s="1"/>
  <c r="AA133" i="1" s="1"/>
  <c r="T134" i="1"/>
  <c r="X134" i="1" s="1"/>
  <c r="AA134" i="1" s="1"/>
  <c r="T135" i="1"/>
  <c r="X135" i="1" s="1"/>
  <c r="AA135" i="1" s="1"/>
  <c r="T136" i="1"/>
  <c r="X136" i="1" s="1"/>
  <c r="AA136" i="1" s="1"/>
  <c r="T137" i="1"/>
  <c r="X137" i="1" s="1"/>
  <c r="AA137" i="1" s="1"/>
  <c r="T138" i="1"/>
  <c r="X138" i="1" s="1"/>
  <c r="AA138" i="1" s="1"/>
  <c r="T139" i="1"/>
  <c r="X139" i="1" s="1"/>
  <c r="AA139" i="1" s="1"/>
  <c r="T140" i="1"/>
  <c r="X140" i="1" s="1"/>
  <c r="AA140" i="1" s="1"/>
  <c r="X113" i="1"/>
  <c r="AA113" i="1" s="1"/>
  <c r="X112" i="1"/>
  <c r="AA112" i="1" s="1"/>
  <c r="X111" i="1"/>
  <c r="AA111" i="1" s="1"/>
  <c r="X110" i="1"/>
  <c r="AA110" i="1" s="1"/>
  <c r="X109" i="1"/>
  <c r="AA109" i="1" s="1"/>
  <c r="X108" i="1"/>
  <c r="AA108" i="1" s="1"/>
  <c r="X107" i="1"/>
  <c r="AA107" i="1" s="1"/>
  <c r="X106" i="1"/>
  <c r="AA106" i="1" s="1"/>
  <c r="X105" i="1"/>
  <c r="AA105" i="1" s="1"/>
  <c r="X104" i="1"/>
  <c r="AA104" i="1" s="1"/>
  <c r="X103" i="1"/>
  <c r="AA103" i="1" s="1"/>
  <c r="X102" i="1"/>
  <c r="AA102" i="1" s="1"/>
  <c r="X101" i="1"/>
  <c r="AA101" i="1" s="1"/>
  <c r="X83" i="1" l="1"/>
  <c r="AA83" i="1" s="1"/>
  <c r="X100" i="1"/>
  <c r="AA100" i="1" s="1"/>
  <c r="X99" i="1"/>
  <c r="AA99" i="1" s="1"/>
  <c r="X98" i="1"/>
  <c r="AA98" i="1" s="1"/>
  <c r="X97" i="1"/>
  <c r="AA97" i="1" s="1"/>
  <c r="X96" i="1"/>
  <c r="AA96" i="1" s="1"/>
  <c r="X95" i="1"/>
  <c r="AA95" i="1" s="1"/>
  <c r="X94" i="1"/>
  <c r="AA94" i="1" s="1"/>
  <c r="U93" i="1"/>
  <c r="X93" i="1" s="1"/>
  <c r="AA93" i="1" s="1"/>
  <c r="U92" i="1"/>
  <c r="X92" i="1" s="1"/>
  <c r="AA92" i="1" s="1"/>
  <c r="U91" i="1"/>
  <c r="X91" i="1" s="1"/>
  <c r="AA91" i="1" s="1"/>
  <c r="U90" i="1"/>
  <c r="X90" i="1" s="1"/>
  <c r="AA90" i="1" s="1"/>
  <c r="U89" i="1"/>
  <c r="X89" i="1" s="1"/>
  <c r="AA89" i="1" s="1"/>
  <c r="U88" i="1"/>
  <c r="X88" i="1" s="1"/>
  <c r="AA88" i="1" s="1"/>
  <c r="U87" i="1"/>
  <c r="X87" i="1" s="1"/>
  <c r="AA87" i="1" s="1"/>
  <c r="X82" i="1" l="1"/>
  <c r="AA82" i="1" s="1"/>
  <c r="X81" i="1"/>
  <c r="AA81" i="1" s="1"/>
  <c r="X80" i="1" l="1"/>
  <c r="X79" i="1"/>
  <c r="AA79" i="1" s="1"/>
  <c r="X78" i="1"/>
  <c r="X77" i="1"/>
  <c r="AA77" i="1" s="1"/>
  <c r="X76" i="1"/>
  <c r="AA76" i="1" s="1"/>
  <c r="X75" i="1"/>
  <c r="AA75" i="1" s="1"/>
  <c r="X73" i="1"/>
  <c r="AA73" i="1" s="1"/>
  <c r="X74" i="1"/>
  <c r="AA74" i="1" s="1"/>
  <c r="X72" i="1"/>
  <c r="AA72" i="1" s="1"/>
  <c r="X71" i="1"/>
  <c r="AA71" i="1" s="1"/>
  <c r="X70" i="1" l="1"/>
  <c r="AA70" i="1" s="1"/>
  <c r="X69" i="1"/>
  <c r="AA69" i="1" s="1"/>
  <c r="X68" i="1"/>
  <c r="AA68" i="1" s="1"/>
  <c r="X67" i="1"/>
  <c r="AA67" i="1" s="1"/>
  <c r="X66" i="1"/>
  <c r="X65" i="1"/>
  <c r="X64" i="1"/>
  <c r="AA64" i="1" s="1"/>
  <c r="X63" i="1"/>
  <c r="AA63" i="1" s="1"/>
  <c r="X62" i="1"/>
  <c r="AA62" i="1" s="1"/>
  <c r="X61" i="1"/>
  <c r="X60" i="1"/>
  <c r="X59" i="1"/>
  <c r="X58" i="1"/>
  <c r="X57" i="1"/>
  <c r="X56" i="1"/>
  <c r="V53" i="1" l="1"/>
  <c r="X53" i="1" s="1"/>
  <c r="AA53" i="1" s="1"/>
  <c r="X52" i="1"/>
  <c r="AA52" i="1" s="1"/>
  <c r="X51" i="1"/>
  <c r="AA51" i="1" s="1"/>
  <c r="X50" i="1"/>
  <c r="AA50" i="1" s="1"/>
  <c r="X49" i="1"/>
  <c r="AA49" i="1" s="1"/>
  <c r="X48" i="1"/>
  <c r="AA48" i="1" s="1"/>
  <c r="X47" i="1"/>
  <c r="AA47" i="1" s="1"/>
  <c r="X46" i="1"/>
  <c r="AA46" i="1" s="1"/>
  <c r="X45" i="1"/>
  <c r="AA45" i="1" s="1"/>
  <c r="X44" i="1"/>
  <c r="AA44" i="1" s="1"/>
  <c r="X43" i="1"/>
  <c r="AA43" i="1" s="1"/>
  <c r="X42" i="1"/>
  <c r="AA42" i="1" s="1"/>
  <c r="X41" i="1"/>
  <c r="AA41" i="1" s="1"/>
  <c r="X40" i="1"/>
  <c r="AA40" i="1" s="1"/>
  <c r="X39" i="1"/>
  <c r="AA39" i="1" s="1"/>
  <c r="X38" i="1"/>
  <c r="AA38" i="1" s="1"/>
  <c r="X37" i="1"/>
  <c r="AA37" i="1" s="1"/>
  <c r="V36" i="1"/>
  <c r="X36" i="1" s="1"/>
  <c r="AA36" i="1" s="1"/>
  <c r="V35" i="1"/>
  <c r="X35" i="1" s="1"/>
  <c r="AA35" i="1" s="1"/>
  <c r="X34" i="1"/>
  <c r="AA34" i="1" s="1"/>
  <c r="X33" i="1"/>
  <c r="AA33" i="1" s="1"/>
  <c r="X32" i="1"/>
  <c r="AA32" i="1" s="1"/>
  <c r="X31" i="1"/>
  <c r="AA31" i="1" s="1"/>
  <c r="X30" i="1"/>
  <c r="AA30" i="1" s="1"/>
  <c r="X29" i="1"/>
  <c r="AA29" i="1" s="1"/>
  <c r="X28" i="1"/>
  <c r="AA28" i="1" s="1"/>
  <c r="X27" i="1"/>
  <c r="W27" i="1"/>
  <c r="X26" i="1"/>
  <c r="W26" i="1"/>
  <c r="X25" i="1"/>
  <c r="AA25" i="1" s="1"/>
  <c r="W25" i="1"/>
  <c r="X24" i="1"/>
  <c r="AA24" i="1" s="1"/>
  <c r="X23" i="1"/>
  <c r="AA23" i="1" s="1"/>
  <c r="X22" i="1"/>
  <c r="AA22" i="1" s="1"/>
  <c r="X21" i="1"/>
  <c r="AA21" i="1" s="1"/>
  <c r="X20" i="1"/>
  <c r="AA20" i="1" s="1"/>
  <c r="X19" i="1"/>
  <c r="AA19" i="1" s="1"/>
  <c r="X18" i="1"/>
  <c r="AA18" i="1" s="1"/>
  <c r="X17" i="1"/>
  <c r="AA17" i="1" s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<sst xmlns="http://schemas.openxmlformats.org/spreadsheetml/2006/main" count="1511" uniqueCount="304">
  <si>
    <t>Division</t>
  </si>
  <si>
    <t>Class</t>
  </si>
  <si>
    <t>Order</t>
  </si>
  <si>
    <t>Species</t>
  </si>
  <si>
    <t>Author</t>
  </si>
  <si>
    <t>Trophy</t>
  </si>
  <si>
    <t>Geometric shape</t>
  </si>
  <si>
    <t>FORMULA</t>
  </si>
  <si>
    <t>Unit</t>
  </si>
  <si>
    <t>No. of cells/ counting unit</t>
  </si>
  <si>
    <t>Comment</t>
  </si>
  <si>
    <t>Filament: length of cell (µm)</t>
  </si>
  <si>
    <t>Comment on Carbon calculation</t>
  </si>
  <si>
    <t>Ciliophora</t>
  </si>
  <si>
    <t>Litostomatea</t>
  </si>
  <si>
    <t>HAPTORIDA</t>
  </si>
  <si>
    <t>HT</t>
  </si>
  <si>
    <t>sphere</t>
  </si>
  <si>
    <t>π/6*d^3</t>
  </si>
  <si>
    <t>cell</t>
  </si>
  <si>
    <t xml:space="preserve"> 5-15</t>
  </si>
  <si>
    <t>smhi_extended_peg_version_2010-10-26</t>
  </si>
  <si>
    <t>15-25</t>
  </si>
  <si>
    <t>25-35</t>
  </si>
  <si>
    <t>35-45</t>
  </si>
  <si>
    <t>45-55</t>
  </si>
  <si>
    <t>55-65</t>
  </si>
  <si>
    <t>65-75</t>
  </si>
  <si>
    <t>75-85</t>
  </si>
  <si>
    <t>85-95</t>
  </si>
  <si>
    <t>95-105</t>
  </si>
  <si>
    <t>105-115</t>
  </si>
  <si>
    <t>115-125</t>
  </si>
  <si>
    <t>125-135</t>
  </si>
  <si>
    <t>135-145</t>
  </si>
  <si>
    <t>145-155</t>
  </si>
  <si>
    <t>CHLOROPHYTA</t>
  </si>
  <si>
    <t>AU</t>
  </si>
  <si>
    <t>CHRYSOPHYTA (HETEROKONTOPHYTA)</t>
  </si>
  <si>
    <t>Dictyochophyceae</t>
  </si>
  <si>
    <t>FLORENCIELLALES</t>
  </si>
  <si>
    <t>Pseudochattonella farcimen</t>
  </si>
  <si>
    <t>Eikrem, Edvardsen et Throndsen</t>
  </si>
  <si>
    <t>5-10</t>
  </si>
  <si>
    <t>-</t>
  </si>
  <si>
    <t>earlier: Verrucophora farcimen/Chattonella verruculosa/smhi_extended_peg_version_2010-10-26</t>
  </si>
  <si>
    <t>10-15</t>
  </si>
  <si>
    <t>15-20</t>
  </si>
  <si>
    <t>20-25</t>
  </si>
  <si>
    <t>truncated cone + half sphere</t>
  </si>
  <si>
    <r>
      <t>(π/12*(l-d</t>
    </r>
    <r>
      <rPr>
        <vertAlign val="subscript"/>
        <sz val="9"/>
        <color indexed="8"/>
        <rFont val="Arial"/>
        <family val="2"/>
        <charset val="186"/>
      </rPr>
      <t>1</t>
    </r>
    <r>
      <rPr>
        <sz val="9"/>
        <rFont val="Arial"/>
        <family val="2"/>
        <charset val="186"/>
      </rPr>
      <t>/2)*(d</t>
    </r>
    <r>
      <rPr>
        <vertAlign val="subscript"/>
        <sz val="9"/>
        <rFont val="Arial"/>
        <family val="2"/>
        <charset val="186"/>
      </rPr>
      <t>1</t>
    </r>
    <r>
      <rPr>
        <sz val="9"/>
        <rFont val="Arial"/>
        <family val="2"/>
        <charset val="186"/>
      </rPr>
      <t>^2+d</t>
    </r>
    <r>
      <rPr>
        <vertAlign val="subscript"/>
        <sz val="9"/>
        <rFont val="Arial"/>
        <family val="2"/>
        <charset val="186"/>
      </rPr>
      <t>1</t>
    </r>
    <r>
      <rPr>
        <sz val="9"/>
        <rFont val="Arial"/>
        <family val="2"/>
        <charset val="186"/>
      </rPr>
      <t>*d</t>
    </r>
    <r>
      <rPr>
        <vertAlign val="subscript"/>
        <sz val="9"/>
        <rFont val="Arial"/>
        <family val="2"/>
        <charset val="186"/>
      </rPr>
      <t>2</t>
    </r>
    <r>
      <rPr>
        <sz val="9"/>
        <rFont val="Arial"/>
        <family val="2"/>
        <charset val="186"/>
      </rPr>
      <t>+d</t>
    </r>
    <r>
      <rPr>
        <vertAlign val="subscript"/>
        <sz val="9"/>
        <rFont val="Arial"/>
        <family val="2"/>
        <charset val="186"/>
      </rPr>
      <t>2</t>
    </r>
    <r>
      <rPr>
        <sz val="9"/>
        <rFont val="Arial"/>
        <family val="2"/>
        <charset val="186"/>
      </rPr>
      <t>^2))+(π/12*d</t>
    </r>
    <r>
      <rPr>
        <vertAlign val="subscript"/>
        <sz val="9"/>
        <rFont val="Arial"/>
        <family val="2"/>
        <charset val="186"/>
      </rPr>
      <t>2</t>
    </r>
    <r>
      <rPr>
        <sz val="9"/>
        <rFont val="Arial"/>
        <family val="2"/>
        <charset val="186"/>
      </rPr>
      <t>^3)</t>
    </r>
  </si>
  <si>
    <t>10-20x8-12</t>
  </si>
  <si>
    <t>20-30x8-12</t>
  </si>
  <si>
    <t>30-40x10-20</t>
  </si>
  <si>
    <t>40-50x15-20</t>
  </si>
  <si>
    <t>CYANOPHYTA (CYANOBACTERIA)</t>
  </si>
  <si>
    <t>Nostocophyceae (Cyanophyceae)</t>
  </si>
  <si>
    <t>OSCILLATORIALES</t>
  </si>
  <si>
    <t>Cyanobacteria</t>
  </si>
  <si>
    <t>cylinder</t>
  </si>
  <si>
    <t>π/4*d^2*h</t>
  </si>
  <si>
    <t>filament</t>
  </si>
  <si>
    <t>0.5x100</t>
  </si>
  <si>
    <t>based on individual cell</t>
  </si>
  <si>
    <t>1.5x100</t>
  </si>
  <si>
    <t>2.5x100</t>
  </si>
  <si>
    <t>Diatomophyceae (Bacillariophyceae)</t>
  </si>
  <si>
    <t>EUPODISCALES (BIDDULPHIALES, CENTRALES)</t>
  </si>
  <si>
    <t>oval cylinder</t>
  </si>
  <si>
    <t>π/4*d1*d2*h</t>
  </si>
  <si>
    <t>BACILLARIALES (PENNALES)</t>
  </si>
  <si>
    <t>Skeletonema marinoi</t>
  </si>
  <si>
    <t>Sarno &amp; Zingone, 2005 </t>
  </si>
  <si>
    <t xml:space="preserve"> 4x7-8</t>
  </si>
  <si>
    <t xml:space="preserve"> 5x9-14</t>
  </si>
  <si>
    <t xml:space="preserve"> 6x15-25</t>
  </si>
  <si>
    <t xml:space="preserve"> 10x15-25</t>
  </si>
  <si>
    <t>DINOPHYTA (PYRROPHYTA)</t>
  </si>
  <si>
    <t>Dinophyceae</t>
  </si>
  <si>
    <t>GONYAULACALES</t>
  </si>
  <si>
    <t>π/12*d^2*h</t>
  </si>
  <si>
    <t>flattened ellipsoid</t>
  </si>
  <si>
    <t>π/6*l*d1*d2</t>
  </si>
  <si>
    <t>Chlorophyceae</t>
  </si>
  <si>
    <t>rotational ellipsoid</t>
  </si>
  <si>
    <t>π/6*d^2*l</t>
  </si>
  <si>
    <t>PERIDINIALES</t>
  </si>
  <si>
    <t>Ceratium arietinum</t>
  </si>
  <si>
    <t>girdle diameter</t>
  </si>
  <si>
    <t>2.3038*d^2.532</t>
  </si>
  <si>
    <t>width: 60</t>
  </si>
  <si>
    <t>Ann-Turi 2011-02-28;smhi_extended_peg_version_2011-02-28</t>
  </si>
  <si>
    <t>Ann-Turi 2011-02-09;smhi_extended_peg_version_2011-01-25</t>
  </si>
  <si>
    <t>0.32359*d^2.9953</t>
  </si>
  <si>
    <t>Nitzschia</t>
  </si>
  <si>
    <t>half parallelepiped</t>
  </si>
  <si>
    <t>l*w*h/2</t>
  </si>
  <si>
    <t xml:space="preserve"> 10x120-180</t>
  </si>
  <si>
    <t xml:space="preserve"> 10x180-240</t>
  </si>
  <si>
    <t>PROROCENTRALES</t>
  </si>
  <si>
    <t>Prorocentrum aporum</t>
  </si>
  <si>
    <t>(Schiller) Dodge 1975</t>
  </si>
  <si>
    <t>Prorocentrum triestinum</t>
  </si>
  <si>
    <t>J.Schiller 1918</t>
  </si>
  <si>
    <t>10-15x25-35</t>
  </si>
  <si>
    <t>40-60</t>
  </si>
  <si>
    <t>Bacillariophyta</t>
  </si>
  <si>
    <t>Pseudochattonella</t>
  </si>
  <si>
    <t>OTHERS</t>
  </si>
  <si>
    <t>Unicell</t>
  </si>
  <si>
    <t>20-40</t>
  </si>
  <si>
    <t>60-80</t>
  </si>
  <si>
    <t>80-100</t>
  </si>
  <si>
    <t>Diplopsalopsis bomba</t>
  </si>
  <si>
    <t>(Stein ex Jorgensen) J.D.Dodge &amp; S.Toriumi 1993</t>
  </si>
  <si>
    <t>50-60</t>
  </si>
  <si>
    <t>Diplopsalopsis orbicularis</t>
  </si>
  <si>
    <t>(Paulsen) Meunier 1910</t>
  </si>
  <si>
    <t>Diplopelta bomba</t>
  </si>
  <si>
    <t>Stein ex Jorgensen 1912</t>
  </si>
  <si>
    <t>60-95</t>
  </si>
  <si>
    <t>cone</t>
  </si>
  <si>
    <t>based on individual cell size</t>
  </si>
  <si>
    <t>Lars Edler 2011-03-11;smhi_extended_peg_version_2011-02-28</t>
  </si>
  <si>
    <t>ellipsoid</t>
  </si>
  <si>
    <t>HAPTOPHYTA</t>
  </si>
  <si>
    <t>Prymnesiophyceae (Haptophyceae)</t>
  </si>
  <si>
    <t>PRYMNESIALES</t>
  </si>
  <si>
    <t>Prymnesiophyceae</t>
  </si>
  <si>
    <t>10-20x6-10</t>
  </si>
  <si>
    <t>HD fac.=0.75</t>
  </si>
  <si>
    <t>Eukaryotic picoplankton</t>
  </si>
  <si>
    <t>1x2</t>
  </si>
  <si>
    <t>2011-03-11;smhi_extended_peg_version_2011-02-28</t>
  </si>
  <si>
    <t>Spirotrichea</t>
  </si>
  <si>
    <t>Tintinnida</t>
  </si>
  <si>
    <t>Tintinnopsis</t>
  </si>
  <si>
    <t>30-50</t>
  </si>
  <si>
    <t>Eutintinnus</t>
  </si>
  <si>
    <t>30x60</t>
  </si>
  <si>
    <t>TINTINNIDA</t>
  </si>
  <si>
    <t>Stenosemella</t>
  </si>
  <si>
    <t>45-55x55-65</t>
  </si>
  <si>
    <t>smhi_extended_peg_version_2012-03-07</t>
  </si>
  <si>
    <t>Helicostomella subulata</t>
  </si>
  <si>
    <t>(Ehrenberg) Jörgensen</t>
  </si>
  <si>
    <t>20-30x50-100</t>
  </si>
  <si>
    <t>Leprotintinnus pellucidus</t>
  </si>
  <si>
    <t>(Cleve, 1899) Jörgensen</t>
  </si>
  <si>
    <t>20-30x70-80</t>
  </si>
  <si>
    <t>Salpingella acuminata</t>
  </si>
  <si>
    <t xml:space="preserve">(Claparéde &amp; Lachmann, 1858) Jörgensen, 1924 </t>
  </si>
  <si>
    <t>15-25x100-200</t>
  </si>
  <si>
    <t>Choreotrichida</t>
  </si>
  <si>
    <t>Favella</t>
  </si>
  <si>
    <t>spp</t>
  </si>
  <si>
    <t xml:space="preserve"> 30-50x50-100</t>
  </si>
  <si>
    <t>Tiarina fusus</t>
  </si>
  <si>
    <t>(Claparède &amp; Lachmann) Bergh</t>
  </si>
  <si>
    <t>20-40x50-100</t>
  </si>
  <si>
    <t>Didinium nasutum</t>
  </si>
  <si>
    <t>(Müller, 1773) Stein, 1859</t>
  </si>
  <si>
    <t xml:space="preserve"> 30-70x30-90</t>
  </si>
  <si>
    <t>parallelepiped</t>
  </si>
  <si>
    <t>l*w*h</t>
  </si>
  <si>
    <t>Amoeboidea</t>
  </si>
  <si>
    <t>Vanella</t>
  </si>
  <si>
    <t>9-11</t>
  </si>
  <si>
    <t>Bicosta minor</t>
  </si>
  <si>
    <t>(Reynolds) Leadbeater</t>
  </si>
  <si>
    <t>2.5x5-7</t>
  </si>
  <si>
    <t>Bicosta spinifera</t>
  </si>
  <si>
    <t>3x8-12</t>
  </si>
  <si>
    <t>Oligotrichida</t>
  </si>
  <si>
    <t>15-30x25-45</t>
  </si>
  <si>
    <t>Oligohymenophorea</t>
  </si>
  <si>
    <t>Scuticociliatida</t>
  </si>
  <si>
    <t>Uronema</t>
  </si>
  <si>
    <t>Dujardin, 1841</t>
  </si>
  <si>
    <t>7-15x15-30</t>
  </si>
  <si>
    <t>Craspedophyceae</t>
  </si>
  <si>
    <t>Craspedomonadales</t>
  </si>
  <si>
    <t>Craspedophyta</t>
  </si>
  <si>
    <t>width: 50-60</t>
  </si>
  <si>
    <t>width: 60-70</t>
  </si>
  <si>
    <t>Ceratium bucephalum</t>
  </si>
  <si>
    <t>Cleve, 1897</t>
  </si>
  <si>
    <t xml:space="preserve">Daturella </t>
  </si>
  <si>
    <t>Didinium</t>
  </si>
  <si>
    <t xml:space="preserve"> 60-70x90-100</t>
  </si>
  <si>
    <t xml:space="preserve"> 30-70x50-90</t>
  </si>
  <si>
    <t>Lioloma elongatum</t>
  </si>
  <si>
    <t>(Grunow) Hasle in Hasle &amp; Syvertsen 1997</t>
  </si>
  <si>
    <t>3-4x1500</t>
  </si>
  <si>
    <t>Tintinnidium</t>
  </si>
  <si>
    <t>Hyalodiscus</t>
  </si>
  <si>
    <t>Melosirales</t>
  </si>
  <si>
    <t>10*30</t>
  </si>
  <si>
    <t>Trigonium alternans</t>
  </si>
  <si>
    <t>Biddulphiales</t>
  </si>
  <si>
    <t>prism on triangle base</t>
  </si>
  <si>
    <t>40x40</t>
  </si>
  <si>
    <t>Tintinnopsis nana</t>
  </si>
  <si>
    <t>10-20*15-25</t>
  </si>
  <si>
    <t>Unicells_and_flagellates</t>
  </si>
  <si>
    <t>Lars Edler och Ann-Turi 2013-01-24</t>
  </si>
  <si>
    <t>Tintinnidium mucicola</t>
  </si>
  <si>
    <t>Leegardiella ovalis</t>
  </si>
  <si>
    <t>Lynn &amp; Montagnes, 1988</t>
  </si>
  <si>
    <t xml:space="preserve"> 20-30</t>
  </si>
  <si>
    <t>Entomoneis</t>
  </si>
  <si>
    <t>Strombidium</t>
  </si>
  <si>
    <t>MX</t>
  </si>
  <si>
    <t>sp</t>
  </si>
  <si>
    <t xml:space="preserve"> &lt;2</t>
  </si>
  <si>
    <t xml:space="preserve"> 2-3</t>
  </si>
  <si>
    <t xml:space="preserve"> 3-5</t>
  </si>
  <si>
    <t xml:space="preserve"> 5-7</t>
  </si>
  <si>
    <t xml:space="preserve"> 7-10</t>
  </si>
  <si>
    <t xml:space="preserve"> 10-15</t>
  </si>
  <si>
    <t xml:space="preserve"> 15-20</t>
  </si>
  <si>
    <t>20-30x90-110</t>
  </si>
  <si>
    <t>(J.W.Bailey) A.Mann 1907</t>
  </si>
  <si>
    <r>
      <t>(Claparède &amp; Lachmann, 1858) Daday, 1887</t>
    </r>
    <r>
      <rPr>
        <sz val="8"/>
        <color rgb="FF002F2F"/>
        <rFont val="Verdana"/>
        <family val="2"/>
      </rPr>
      <t> </t>
    </r>
  </si>
  <si>
    <t>Lohmann, 1908</t>
  </si>
  <si>
    <t>Bacillariophyceae</t>
  </si>
  <si>
    <t>Coscinodiscophyceae</t>
  </si>
  <si>
    <t>3-5x7-11</t>
  </si>
  <si>
    <t>40-50x1-3</t>
  </si>
  <si>
    <t>110-130</t>
  </si>
  <si>
    <t>130-150</t>
  </si>
  <si>
    <t>150-170</t>
  </si>
  <si>
    <t>170-190</t>
  </si>
  <si>
    <t xml:space="preserve"> 4-5x10-15</t>
  </si>
  <si>
    <t xml:space="preserve"> 4-6x15-25</t>
  </si>
  <si>
    <t xml:space="preserve"> 4-6x25-35</t>
  </si>
  <si>
    <t xml:space="preserve"> 4-6x35-50</t>
  </si>
  <si>
    <t xml:space="preserve"> 4-6x50-70</t>
  </si>
  <si>
    <t xml:space="preserve"> 4-6x70-100</t>
  </si>
  <si>
    <t xml:space="preserve"> 7-9x25-35</t>
  </si>
  <si>
    <t xml:space="preserve"> 7-9x35-50</t>
  </si>
  <si>
    <t xml:space="preserve"> 7-9x50-70</t>
  </si>
  <si>
    <t xml:space="preserve"> 7-9x70-100</t>
  </si>
  <si>
    <t xml:space="preserve"> 9-12x25-35</t>
  </si>
  <si>
    <t xml:space="preserve"> 9-12x35-50</t>
  </si>
  <si>
    <t xml:space="preserve"> 9-12x50-70</t>
  </si>
  <si>
    <t xml:space="preserve"> 9-12x70-100</t>
  </si>
  <si>
    <t xml:space="preserve"> 12-20x40-60</t>
  </si>
  <si>
    <t xml:space="preserve"> 12-20x60-90</t>
  </si>
  <si>
    <t xml:space="preserve"> 12-20x90-120</t>
  </si>
  <si>
    <t xml:space="preserve"> 20-30x40-60</t>
  </si>
  <si>
    <t xml:space="preserve"> 20-30x60-90</t>
  </si>
  <si>
    <t xml:space="preserve"> 20-30x90-120</t>
  </si>
  <si>
    <t xml:space="preserve"> 2x15-25</t>
  </si>
  <si>
    <t xml:space="preserve"> 3-7 </t>
  </si>
  <si>
    <t>6; HD fac.=0.65</t>
  </si>
  <si>
    <t xml:space="preserve"> 7-12 </t>
  </si>
  <si>
    <t xml:space="preserve"> 12-17</t>
  </si>
  <si>
    <t xml:space="preserve"> 17-22 </t>
  </si>
  <si>
    <t>6; HD fac.=0.5</t>
  </si>
  <si>
    <t xml:space="preserve"> 22-27 </t>
  </si>
  <si>
    <t xml:space="preserve"> 27-32 </t>
  </si>
  <si>
    <t xml:space="preserve"> 32-40 </t>
  </si>
  <si>
    <t xml:space="preserve"> 40-50 </t>
  </si>
  <si>
    <t xml:space="preserve"> 50-60 </t>
  </si>
  <si>
    <t xml:space="preserve"> 60-70 </t>
  </si>
  <si>
    <t>6; HD fac.=0.3</t>
  </si>
  <si>
    <t xml:space="preserve"> 70-90 </t>
  </si>
  <si>
    <t xml:space="preserve"> 90-110 </t>
  </si>
  <si>
    <t xml:space="preserve"> 2-4 </t>
  </si>
  <si>
    <t>h= 1,25 x d. Lars Edler och Ann-Turi Skjevik 2013-03-01</t>
  </si>
  <si>
    <t>10-40</t>
  </si>
  <si>
    <t>40-70</t>
  </si>
  <si>
    <t>70-100</t>
  </si>
  <si>
    <t>Strobilidium</t>
  </si>
  <si>
    <t xml:space="preserve">Oligotrichea </t>
  </si>
  <si>
    <t>Strombidium sulcatum</t>
  </si>
  <si>
    <t>Claparède &amp; Lachmann, 1859</t>
  </si>
  <si>
    <t>Balanion comatum</t>
  </si>
  <si>
    <t>Wulff, 1919</t>
  </si>
  <si>
    <t>10-30x10-20</t>
  </si>
  <si>
    <t>Prorodontida</t>
  </si>
  <si>
    <t>Prostomatea</t>
  </si>
  <si>
    <t>Tintinnidae</t>
  </si>
  <si>
    <t>GYMNODINIALES</t>
  </si>
  <si>
    <t xml:space="preserve"> 13-17x10</t>
  </si>
  <si>
    <t>Karlodinium veneficum</t>
  </si>
  <si>
    <t>(D.Ballantine) J.Larsen</t>
  </si>
  <si>
    <t>SFLAG</t>
  </si>
  <si>
    <t>STAGE</t>
  </si>
  <si>
    <t>AphiaID</t>
  </si>
  <si>
    <t>SizeClassNo</t>
  </si>
  <si>
    <t>Nonvalid_SIZCL</t>
  </si>
  <si>
    <t>Not_accepted</t>
  </si>
  <si>
    <t>Size range</t>
  </si>
  <si>
    <t>Length(l1)µm</t>
  </si>
  <si>
    <t>Length(l2)µm</t>
  </si>
  <si>
    <t>Width(w)µm</t>
  </si>
  <si>
    <t>Height(h)µm</t>
  </si>
  <si>
    <t>Diameter(d1)µm</t>
  </si>
  <si>
    <t>Diameter(d2)µm</t>
  </si>
  <si>
    <t>Calculated  volume µm3</t>
  </si>
  <si>
    <t>Calculated Carbon pg/counting unit</t>
  </si>
  <si>
    <t>Corrections/Additions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</si>
</sst>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name val="Arial"/>
      <family val="2"/>
      <charset val="186"/>
    </font>
    <font>
      <sz val="9"/>
      <name val="Arial"/>
      <family val="2"/>
      <charset val="186"/>
    </font>
    <font>
      <sz val="10"/>
      <name val="Geneva"/>
      <family val="2"/>
    </font>
    <font>
      <vertAlign val="subscript"/>
      <sz val="9"/>
      <color indexed="8"/>
      <name val="Arial"/>
      <family val="2"/>
      <charset val="186"/>
    </font>
    <font>
      <vertAlign val="subscript"/>
      <sz val="9"/>
      <name val="Arial"/>
      <family val="2"/>
      <charset val="186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  <scheme val="minor"/>
    </font>
    <font>
      <sz val="9"/>
      <color indexed="8"/>
      <name val="Arial"/>
      <family val="2"/>
      <charset val="186"/>
    </font>
    <font>
      <sz val="9"/>
      <color indexed="63"/>
      <name val="Verdana"/>
      <family val="2"/>
    </font>
    <font>
      <sz val="9"/>
      <name val="Arial"/>
      <family val="2"/>
      <scheme val="minor"/>
    </font>
    <font>
      <sz val="8"/>
      <color rgb="FF002F2F"/>
      <name val="Verdana"/>
      <family val="2"/>
    </font>
    <font>
      <b/>
      <sz val="18"/>
      <color theme="3"/>
      <name val="Arial Black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0" borderId="0"/>
    <xf numFmtId="0" fontId="5" fillId="0" borderId="0"/>
    <xf numFmtId="0" fontId="2" fillId="0" borderId="0"/>
    <xf numFmtId="0" fontId="9" fillId="0" borderId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7" applyNumberFormat="0" applyAlignment="0" applyProtection="0"/>
    <xf numFmtId="0" fontId="23" fillId="8" borderId="8" applyNumberFormat="0" applyAlignment="0" applyProtection="0"/>
    <xf numFmtId="0" fontId="24" fillId="8" borderId="7" applyNumberFormat="0" applyAlignment="0" applyProtection="0"/>
    <xf numFmtId="0" fontId="25" fillId="0" borderId="9" applyNumberFormat="0" applyFill="0" applyAlignment="0" applyProtection="0"/>
    <xf numFmtId="0" fontId="26" fillId="9" borderId="10" applyNumberFormat="0" applyAlignment="0" applyProtection="0"/>
    <xf numFmtId="0" fontId="27" fillId="0" borderId="0" applyNumberFormat="0" applyFill="0" applyBorder="0" applyAlignment="0" applyProtection="0"/>
    <xf numFmtId="0" fontId="2" fillId="10" borderId="11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4" fillId="0" borderId="0" xfId="0" applyFont="1" applyFill="1" applyBorder="1" applyAlignment="1"/>
    <xf numFmtId="11" fontId="8" fillId="3" borderId="1" xfId="0" applyNumberFormat="1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3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164" fontId="4" fillId="3" borderId="1" xfId="0" applyNumberFormat="1" applyFont="1" applyFill="1" applyBorder="1" applyAlignment="1"/>
    <xf numFmtId="0" fontId="4" fillId="3" borderId="0" xfId="0" applyFont="1" applyFill="1" applyBorder="1" applyAlignment="1"/>
    <xf numFmtId="164" fontId="4" fillId="3" borderId="1" xfId="0" applyNumberFormat="1" applyFont="1" applyFill="1" applyBorder="1" applyAlignment="1">
      <alignment horizontal="right"/>
    </xf>
    <xf numFmtId="0" fontId="4" fillId="3" borderId="1" xfId="1" applyFont="1" applyFill="1" applyBorder="1" applyAlignment="1"/>
    <xf numFmtId="11" fontId="4" fillId="3" borderId="1" xfId="0" applyNumberFormat="1" applyFont="1" applyFill="1" applyBorder="1" applyAlignment="1"/>
    <xf numFmtId="3" fontId="4" fillId="3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/>
    <xf numFmtId="0" fontId="3" fillId="3" borderId="1" xfId="0" applyFont="1" applyFill="1" applyBorder="1" applyAlignment="1"/>
    <xf numFmtId="3" fontId="4" fillId="3" borderId="1" xfId="0" applyNumberFormat="1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/>
    <xf numFmtId="1" fontId="8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1" xfId="2" applyFont="1" applyFill="1" applyBorder="1" applyAlignment="1"/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/>
    <xf numFmtId="0" fontId="11" fillId="3" borderId="1" xfId="0" applyFont="1" applyFill="1" applyBorder="1" applyAlignment="1"/>
    <xf numFmtId="0" fontId="10" fillId="3" borderId="1" xfId="0" applyFont="1" applyFill="1" applyBorder="1" applyAlignment="1"/>
    <xf numFmtId="0" fontId="12" fillId="3" borderId="1" xfId="0" applyFont="1" applyFill="1" applyBorder="1" applyAlignment="1"/>
    <xf numFmtId="0" fontId="12" fillId="3" borderId="0" xfId="0" applyFont="1" applyFill="1" applyAlignment="1"/>
    <xf numFmtId="0" fontId="10" fillId="3" borderId="0" xfId="0" applyFont="1" applyFill="1" applyAlignment="1"/>
    <xf numFmtId="0" fontId="13" fillId="3" borderId="1" xfId="0" applyFont="1" applyFill="1" applyBorder="1" applyAlignment="1"/>
    <xf numFmtId="0" fontId="8" fillId="3" borderId="1" xfId="0" applyFont="1" applyFill="1" applyBorder="1" applyAlignment="1" applyProtection="1">
      <alignment horizontal="left"/>
      <protection locked="0"/>
    </xf>
    <xf numFmtId="3" fontId="8" fillId="3" borderId="1" xfId="0" applyNumberFormat="1" applyFont="1" applyFill="1" applyBorder="1" applyAlignment="1"/>
    <xf numFmtId="0" fontId="13" fillId="3" borderId="1" xfId="2" applyFont="1" applyFill="1" applyBorder="1" applyAlignment="1"/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left"/>
    </xf>
    <xf numFmtId="11" fontId="13" fillId="3" borderId="1" xfId="0" applyNumberFormat="1" applyFont="1" applyFill="1" applyBorder="1" applyAlignment="1">
      <alignment horizontal="right"/>
    </xf>
    <xf numFmtId="1" fontId="13" fillId="3" borderId="1" xfId="0" applyNumberFormat="1" applyFont="1" applyFill="1" applyBorder="1" applyAlignment="1">
      <alignment horizontal="right"/>
    </xf>
    <xf numFmtId="1" fontId="13" fillId="3" borderId="1" xfId="0" applyNumberFormat="1" applyFont="1" applyFill="1" applyBorder="1" applyAlignment="1"/>
    <xf numFmtId="164" fontId="13" fillId="3" borderId="1" xfId="0" applyNumberFormat="1" applyFont="1" applyFill="1" applyBorder="1" applyAlignment="1"/>
    <xf numFmtId="0" fontId="13" fillId="3" borderId="1" xfId="4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1" applyFont="1" applyFill="1" applyBorder="1" applyAlignment="1"/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3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 wrapText="1"/>
    </xf>
    <xf numFmtId="1" fontId="4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wrapText="1" indent="1"/>
    </xf>
    <xf numFmtId="0" fontId="4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/>
    <xf numFmtId="0" fontId="8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1" fontId="4" fillId="0" borderId="1" xfId="0" applyNumberFormat="1" applyFont="1" applyFill="1" applyBorder="1" applyAlignment="1"/>
    <xf numFmtId="164" fontId="4" fillId="0" borderId="1" xfId="0" applyNumberFormat="1" applyFont="1" applyFill="1" applyBorder="1" applyAlignment="1"/>
    <xf numFmtId="3" fontId="4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right"/>
    </xf>
    <xf numFmtId="0" fontId="8" fillId="3" borderId="0" xfId="0" applyFont="1" applyFill="1" applyBorder="1" applyAlignment="1"/>
    <xf numFmtId="0" fontId="8" fillId="0" borderId="1" xfId="0" applyFont="1" applyFill="1" applyBorder="1" applyAlignment="1">
      <alignment horizontal="right"/>
    </xf>
    <xf numFmtId="16" fontId="11" fillId="0" borderId="1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/>
    <xf numFmtId="1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16" fontId="11" fillId="0" borderId="1" xfId="0" quotePrefix="1" applyNumberFormat="1" applyFont="1" applyFill="1" applyBorder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textRotation="90" wrapText="1"/>
    </xf>
    <xf numFmtId="49" fontId="3" fillId="2" borderId="1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</cellXfs>
  <cellStyles count="46">
    <cellStyle name="20% - Dekorfärg1" xfId="23" builtinId="30" customBuiltin="1"/>
    <cellStyle name="20% - Dekorfärg2" xfId="27" builtinId="34" customBuiltin="1"/>
    <cellStyle name="20% - Dekorfärg3" xfId="31" builtinId="38" customBuiltin="1"/>
    <cellStyle name="20% - Dekorfärg4" xfId="35" builtinId="42" customBuiltin="1"/>
    <cellStyle name="20% - Dekorfärg5" xfId="39" builtinId="46" customBuiltin="1"/>
    <cellStyle name="20% - Dekorfärg6" xfId="43" builtinId="50" customBuiltin="1"/>
    <cellStyle name="40% - Dekorfärg1" xfId="24" builtinId="31" customBuiltin="1"/>
    <cellStyle name="40% - Dekorfärg2" xfId="28" builtinId="35" customBuiltin="1"/>
    <cellStyle name="40% - Dekorfärg3" xfId="32" builtinId="39" customBuiltin="1"/>
    <cellStyle name="40% - Dekorfärg4" xfId="36" builtinId="43" customBuiltin="1"/>
    <cellStyle name="40% - Dekorfärg5" xfId="40" builtinId="47" customBuiltin="1"/>
    <cellStyle name="40% - Dekorfärg6" xfId="44" builtinId="51" customBuiltin="1"/>
    <cellStyle name="60% - Dekorfärg1" xfId="25" builtinId="32" customBuiltin="1"/>
    <cellStyle name="60% - Dekorfärg2" xfId="29" builtinId="36" customBuiltin="1"/>
    <cellStyle name="60% - Dekorfärg3" xfId="33" builtinId="40" customBuiltin="1"/>
    <cellStyle name="60% - Dekorfärg4" xfId="37" builtinId="44" customBuiltin="1"/>
    <cellStyle name="60% - Dekorfärg5" xfId="41" builtinId="48" customBuiltin="1"/>
    <cellStyle name="60% - Dekorfärg6" xfId="45" builtinId="52" customBuiltin="1"/>
    <cellStyle name="Anteckning" xfId="19" builtinId="10" customBuiltin="1"/>
    <cellStyle name="Beräkning" xfId="15" builtinId="22" customBuiltin="1"/>
    <cellStyle name="Bra" xfId="10" builtinId="26" customBuiltin="1"/>
    <cellStyle name="Dålig" xfId="11" builtinId="27" customBuiltin="1"/>
    <cellStyle name="Färg1" xfId="22" builtinId="29" customBuiltin="1"/>
    <cellStyle name="Färg2" xfId="26" builtinId="33" customBuiltin="1"/>
    <cellStyle name="Färg3" xfId="30" builtinId="37" customBuiltin="1"/>
    <cellStyle name="Färg4" xfId="34" builtinId="41" customBuiltin="1"/>
    <cellStyle name="Färg5" xfId="38" builtinId="45" customBuiltin="1"/>
    <cellStyle name="Färg6" xfId="42" builtinId="49" customBuiltin="1"/>
    <cellStyle name="Förklarande text" xfId="20" builtinId="53" customBuiltin="1"/>
    <cellStyle name="Indata" xfId="13" builtinId="20" customBuiltin="1"/>
    <cellStyle name="Kontrollcell" xfId="17" builtinId="23" customBuiltin="1"/>
    <cellStyle name="Länkad cell" xfId="16" builtinId="24" customBuiltin="1"/>
    <cellStyle name="Neutral" xfId="12" builtinId="28" customBuiltin="1"/>
    <cellStyle name="Normal" xfId="0" builtinId="0"/>
    <cellStyle name="Normal 15 2" xfId="3"/>
    <cellStyle name="Normal_165/02plank-Wink" xfId="1"/>
    <cellStyle name="Normal_165/02plank-Wink 2" xfId="2"/>
    <cellStyle name="Normal_rostock2 2" xfId="4"/>
    <cellStyle name="Rubrik" xfId="5" builtinId="15" customBuiltin="1"/>
    <cellStyle name="Rubrik 1" xfId="6" builtinId="16" customBuiltin="1"/>
    <cellStyle name="Rubrik 2" xfId="7" builtinId="17" customBuiltin="1"/>
    <cellStyle name="Rubrik 3" xfId="8" builtinId="18" customBuiltin="1"/>
    <cellStyle name="Rubrik 4" xfId="9" builtinId="19" customBuiltin="1"/>
    <cellStyle name="Summa" xfId="21" builtinId="25" customBuiltin="1"/>
    <cellStyle name="Utdata" xfId="14" builtinId="21" customBuiltin="1"/>
    <cellStyle name="Varnings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yntaxa.se/Taxon/Info/3000839?changeRoot=True" TargetMode="External"/><Relationship Id="rId1" Type="http://schemas.openxmlformats.org/officeDocument/2006/relationships/hyperlink" Target="http://www.dyntaxa.se/Taxon/Info/3000839?changeRoo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3"/>
  <sheetViews>
    <sheetView tabSelected="1" workbookViewId="0"/>
  </sheetViews>
  <sheetFormatPr defaultRowHeight="12.75"/>
  <cols>
    <col min="1" max="1" width="30.25" style="1" bestFit="1" customWidth="1"/>
    <col min="2" max="2" width="27.75" style="1" bestFit="1" customWidth="1"/>
    <col min="3" max="3" width="39.125" style="1" bestFit="1" customWidth="1"/>
    <col min="4" max="4" width="26.25" style="1" bestFit="1" customWidth="1"/>
    <col min="5" max="6" width="9" style="1"/>
    <col min="7" max="7" width="40.125" style="1" bestFit="1" customWidth="1"/>
    <col min="8" max="8" width="9" style="1"/>
    <col min="9" max="10" width="20.625" style="1" bestFit="1" customWidth="1"/>
    <col min="11" max="11" width="15.875" style="1" bestFit="1" customWidth="1"/>
    <col min="12" max="12" width="9" style="1"/>
    <col min="13" max="13" width="13.75" style="1" bestFit="1" customWidth="1"/>
    <col min="14" max="20" width="9" style="1"/>
    <col min="21" max="21" width="9" style="1" customWidth="1"/>
    <col min="22" max="16384" width="9" style="1"/>
  </cols>
  <sheetData>
    <row r="1" spans="1:33" s="88" customFormat="1" ht="62.25" customHeight="1">
      <c r="A1" s="81" t="s">
        <v>0</v>
      </c>
      <c r="B1" s="81" t="s">
        <v>1</v>
      </c>
      <c r="C1" s="82" t="s">
        <v>2</v>
      </c>
      <c r="D1" s="82" t="s">
        <v>3</v>
      </c>
      <c r="E1" s="81" t="s">
        <v>288</v>
      </c>
      <c r="F1" s="81" t="s">
        <v>289</v>
      </c>
      <c r="G1" s="81" t="s">
        <v>4</v>
      </c>
      <c r="H1" s="81" t="s">
        <v>290</v>
      </c>
      <c r="I1" s="83" t="s">
        <v>5</v>
      </c>
      <c r="J1" s="82" t="s">
        <v>6</v>
      </c>
      <c r="K1" s="81" t="s">
        <v>7</v>
      </c>
      <c r="L1" s="83" t="s">
        <v>291</v>
      </c>
      <c r="M1" s="83" t="s">
        <v>292</v>
      </c>
      <c r="N1" s="83" t="s">
        <v>293</v>
      </c>
      <c r="O1" s="81" t="s">
        <v>8</v>
      </c>
      <c r="P1" s="84" t="s">
        <v>294</v>
      </c>
      <c r="Q1" s="85" t="s">
        <v>295</v>
      </c>
      <c r="R1" s="81" t="s">
        <v>296</v>
      </c>
      <c r="S1" s="81" t="s">
        <v>297</v>
      </c>
      <c r="T1" s="85" t="s">
        <v>298</v>
      </c>
      <c r="U1" s="85" t="s">
        <v>299</v>
      </c>
      <c r="V1" s="85" t="s">
        <v>300</v>
      </c>
      <c r="W1" s="81" t="s">
        <v>9</v>
      </c>
      <c r="X1" s="85" t="s">
        <v>301</v>
      </c>
      <c r="Y1" s="86" t="s">
        <v>10</v>
      </c>
      <c r="Z1" s="81" t="s">
        <v>11</v>
      </c>
      <c r="AA1" s="85" t="s">
        <v>302</v>
      </c>
      <c r="AB1" s="87" t="s">
        <v>12</v>
      </c>
      <c r="AC1" s="87" t="s">
        <v>303</v>
      </c>
    </row>
    <row r="2" spans="1:33" s="2" customFormat="1" ht="12">
      <c r="A2" s="8" t="s">
        <v>13</v>
      </c>
      <c r="B2" s="8"/>
      <c r="C2" s="8"/>
      <c r="D2" s="8" t="s">
        <v>13</v>
      </c>
      <c r="E2" s="8" t="s">
        <v>155</v>
      </c>
      <c r="F2" s="8"/>
      <c r="G2" s="8"/>
      <c r="H2" s="8"/>
      <c r="I2" s="9" t="s">
        <v>16</v>
      </c>
      <c r="J2" s="27" t="s">
        <v>17</v>
      </c>
      <c r="K2" s="8" t="s">
        <v>18</v>
      </c>
      <c r="L2" s="8">
        <v>1</v>
      </c>
      <c r="M2" s="8"/>
      <c r="N2" s="8"/>
      <c r="O2" s="9" t="s">
        <v>19</v>
      </c>
      <c r="P2" s="10" t="s">
        <v>20</v>
      </c>
      <c r="Q2" s="10"/>
      <c r="R2" s="10"/>
      <c r="S2" s="10"/>
      <c r="T2" s="10"/>
      <c r="U2" s="10">
        <v>10</v>
      </c>
      <c r="V2" s="10"/>
      <c r="W2" s="10">
        <v>1</v>
      </c>
      <c r="X2" s="16">
        <f t="shared" ref="X2:X16" si="0">3.14/6*U2^3*W2</f>
        <v>523.33333333333337</v>
      </c>
      <c r="Y2" s="27"/>
      <c r="Z2" s="10"/>
      <c r="AA2" s="11"/>
      <c r="AB2" s="8"/>
      <c r="AC2" s="8" t="s">
        <v>21</v>
      </c>
      <c r="AD2" s="12"/>
      <c r="AE2" s="12"/>
      <c r="AF2" s="12"/>
      <c r="AG2" s="12"/>
    </row>
    <row r="3" spans="1:33" s="2" customFormat="1" ht="12">
      <c r="A3" s="8" t="s">
        <v>13</v>
      </c>
      <c r="B3" s="8"/>
      <c r="C3" s="8"/>
      <c r="D3" s="8" t="s">
        <v>13</v>
      </c>
      <c r="E3" s="8" t="s">
        <v>155</v>
      </c>
      <c r="F3" s="8"/>
      <c r="G3" s="8"/>
      <c r="H3" s="8"/>
      <c r="I3" s="9" t="s">
        <v>16</v>
      </c>
      <c r="J3" s="27" t="s">
        <v>17</v>
      </c>
      <c r="K3" s="8" t="s">
        <v>18</v>
      </c>
      <c r="L3" s="8">
        <v>2</v>
      </c>
      <c r="M3" s="8"/>
      <c r="N3" s="8"/>
      <c r="O3" s="9" t="s">
        <v>19</v>
      </c>
      <c r="P3" s="10" t="s">
        <v>22</v>
      </c>
      <c r="Q3" s="10"/>
      <c r="R3" s="10"/>
      <c r="S3" s="10"/>
      <c r="T3" s="10"/>
      <c r="U3" s="10">
        <v>20</v>
      </c>
      <c r="V3" s="10"/>
      <c r="W3" s="10">
        <v>1</v>
      </c>
      <c r="X3" s="16">
        <f t="shared" si="0"/>
        <v>4186.666666666667</v>
      </c>
      <c r="Y3" s="27"/>
      <c r="Z3" s="10"/>
      <c r="AA3" s="11"/>
      <c r="AB3" s="8"/>
      <c r="AC3" s="8" t="s">
        <v>21</v>
      </c>
      <c r="AD3" s="12"/>
      <c r="AE3" s="12"/>
      <c r="AF3" s="12"/>
      <c r="AG3" s="12"/>
    </row>
    <row r="4" spans="1:33" s="2" customFormat="1" ht="12">
      <c r="A4" s="8" t="s">
        <v>13</v>
      </c>
      <c r="B4" s="8"/>
      <c r="C4" s="8"/>
      <c r="D4" s="8" t="s">
        <v>13</v>
      </c>
      <c r="E4" s="8" t="s">
        <v>155</v>
      </c>
      <c r="F4" s="8"/>
      <c r="G4" s="8"/>
      <c r="H4" s="8"/>
      <c r="I4" s="9" t="s">
        <v>16</v>
      </c>
      <c r="J4" s="27" t="s">
        <v>17</v>
      </c>
      <c r="K4" s="8" t="s">
        <v>18</v>
      </c>
      <c r="L4" s="8">
        <v>3</v>
      </c>
      <c r="M4" s="8"/>
      <c r="N4" s="8"/>
      <c r="O4" s="9" t="s">
        <v>19</v>
      </c>
      <c r="P4" s="10" t="s">
        <v>23</v>
      </c>
      <c r="Q4" s="10"/>
      <c r="R4" s="10"/>
      <c r="S4" s="10"/>
      <c r="T4" s="10"/>
      <c r="U4" s="10">
        <v>30</v>
      </c>
      <c r="V4" s="10"/>
      <c r="W4" s="10">
        <v>1</v>
      </c>
      <c r="X4" s="16">
        <f t="shared" si="0"/>
        <v>14130</v>
      </c>
      <c r="Y4" s="27"/>
      <c r="Z4" s="10"/>
      <c r="AA4" s="11"/>
      <c r="AB4" s="8"/>
      <c r="AC4" s="8" t="s">
        <v>21</v>
      </c>
      <c r="AD4" s="12"/>
      <c r="AE4" s="12"/>
      <c r="AF4" s="12"/>
      <c r="AG4" s="12"/>
    </row>
    <row r="5" spans="1:33" s="2" customFormat="1" ht="12">
      <c r="A5" s="8" t="s">
        <v>13</v>
      </c>
      <c r="B5" s="8"/>
      <c r="C5" s="8"/>
      <c r="D5" s="8" t="s">
        <v>13</v>
      </c>
      <c r="E5" s="8" t="s">
        <v>155</v>
      </c>
      <c r="F5" s="8"/>
      <c r="G5" s="8"/>
      <c r="H5" s="8"/>
      <c r="I5" s="9" t="s">
        <v>16</v>
      </c>
      <c r="J5" s="27" t="s">
        <v>17</v>
      </c>
      <c r="K5" s="8" t="s">
        <v>18</v>
      </c>
      <c r="L5" s="8">
        <v>4</v>
      </c>
      <c r="M5" s="8"/>
      <c r="N5" s="8"/>
      <c r="O5" s="9" t="s">
        <v>19</v>
      </c>
      <c r="P5" s="10" t="s">
        <v>24</v>
      </c>
      <c r="Q5" s="10"/>
      <c r="R5" s="10"/>
      <c r="S5" s="10"/>
      <c r="T5" s="10"/>
      <c r="U5" s="10">
        <v>40</v>
      </c>
      <c r="V5" s="10"/>
      <c r="W5" s="10">
        <v>1</v>
      </c>
      <c r="X5" s="16">
        <f t="shared" si="0"/>
        <v>33493.333333333336</v>
      </c>
      <c r="Y5" s="27"/>
      <c r="Z5" s="10"/>
      <c r="AA5" s="11"/>
      <c r="AB5" s="8"/>
      <c r="AC5" s="8" t="s">
        <v>21</v>
      </c>
      <c r="AD5" s="12"/>
      <c r="AE5" s="12"/>
      <c r="AF5" s="12"/>
      <c r="AG5" s="12"/>
    </row>
    <row r="6" spans="1:33" s="2" customFormat="1" ht="12">
      <c r="A6" s="8" t="s">
        <v>13</v>
      </c>
      <c r="B6" s="8"/>
      <c r="C6" s="8"/>
      <c r="D6" s="8" t="s">
        <v>13</v>
      </c>
      <c r="E6" s="8" t="s">
        <v>155</v>
      </c>
      <c r="F6" s="8"/>
      <c r="G6" s="8"/>
      <c r="H6" s="8"/>
      <c r="I6" s="9" t="s">
        <v>16</v>
      </c>
      <c r="J6" s="27" t="s">
        <v>17</v>
      </c>
      <c r="K6" s="8" t="s">
        <v>18</v>
      </c>
      <c r="L6" s="8">
        <v>5</v>
      </c>
      <c r="M6" s="8"/>
      <c r="N6" s="8"/>
      <c r="O6" s="9" t="s">
        <v>19</v>
      </c>
      <c r="P6" s="10" t="s">
        <v>25</v>
      </c>
      <c r="Q6" s="10"/>
      <c r="R6" s="10"/>
      <c r="S6" s="10"/>
      <c r="T6" s="10"/>
      <c r="U6" s="10">
        <v>50</v>
      </c>
      <c r="V6" s="10"/>
      <c r="W6" s="10">
        <v>1</v>
      </c>
      <c r="X6" s="16">
        <f t="shared" si="0"/>
        <v>65416.666666666664</v>
      </c>
      <c r="Y6" s="27"/>
      <c r="Z6" s="10"/>
      <c r="AA6" s="11"/>
      <c r="AB6" s="8"/>
      <c r="AC6" s="8" t="s">
        <v>21</v>
      </c>
      <c r="AD6" s="12"/>
      <c r="AE6" s="12"/>
      <c r="AF6" s="12"/>
      <c r="AG6" s="12"/>
    </row>
    <row r="7" spans="1:33" s="2" customFormat="1" ht="12">
      <c r="A7" s="8" t="s">
        <v>13</v>
      </c>
      <c r="B7" s="8"/>
      <c r="C7" s="8"/>
      <c r="D7" s="8" t="s">
        <v>13</v>
      </c>
      <c r="E7" s="8" t="s">
        <v>155</v>
      </c>
      <c r="F7" s="8"/>
      <c r="G7" s="8"/>
      <c r="H7" s="8"/>
      <c r="I7" s="9" t="s">
        <v>16</v>
      </c>
      <c r="J7" s="27" t="s">
        <v>17</v>
      </c>
      <c r="K7" s="8" t="s">
        <v>18</v>
      </c>
      <c r="L7" s="8">
        <v>6</v>
      </c>
      <c r="M7" s="8"/>
      <c r="N7" s="8"/>
      <c r="O7" s="9" t="s">
        <v>19</v>
      </c>
      <c r="P7" s="10" t="s">
        <v>26</v>
      </c>
      <c r="Q7" s="10"/>
      <c r="R7" s="10"/>
      <c r="S7" s="10"/>
      <c r="T7" s="10"/>
      <c r="U7" s="10">
        <v>60</v>
      </c>
      <c r="V7" s="10"/>
      <c r="W7" s="10">
        <v>1</v>
      </c>
      <c r="X7" s="16">
        <f t="shared" si="0"/>
        <v>113040</v>
      </c>
      <c r="Y7" s="27"/>
      <c r="Z7" s="10"/>
      <c r="AA7" s="11"/>
      <c r="AB7" s="8"/>
      <c r="AC7" s="8" t="s">
        <v>21</v>
      </c>
      <c r="AD7" s="12"/>
      <c r="AE7" s="12"/>
      <c r="AF7" s="12"/>
      <c r="AG7" s="12"/>
    </row>
    <row r="8" spans="1:33" s="2" customFormat="1" ht="12">
      <c r="A8" s="8" t="s">
        <v>13</v>
      </c>
      <c r="B8" s="8"/>
      <c r="C8" s="8"/>
      <c r="D8" s="8" t="s">
        <v>13</v>
      </c>
      <c r="E8" s="8" t="s">
        <v>155</v>
      </c>
      <c r="F8" s="8"/>
      <c r="G8" s="8"/>
      <c r="H8" s="8"/>
      <c r="I8" s="9" t="s">
        <v>16</v>
      </c>
      <c r="J8" s="27" t="s">
        <v>17</v>
      </c>
      <c r="K8" s="8" t="s">
        <v>18</v>
      </c>
      <c r="L8" s="8">
        <v>7</v>
      </c>
      <c r="M8" s="8"/>
      <c r="N8" s="8"/>
      <c r="O8" s="9" t="s">
        <v>19</v>
      </c>
      <c r="P8" s="10" t="s">
        <v>27</v>
      </c>
      <c r="Q8" s="10"/>
      <c r="R8" s="10"/>
      <c r="S8" s="10"/>
      <c r="T8" s="10"/>
      <c r="U8" s="10">
        <v>70</v>
      </c>
      <c r="V8" s="10"/>
      <c r="W8" s="10">
        <v>1</v>
      </c>
      <c r="X8" s="16">
        <f t="shared" si="0"/>
        <v>179503.33333333331</v>
      </c>
      <c r="Y8" s="27"/>
      <c r="Z8" s="10"/>
      <c r="AA8" s="11"/>
      <c r="AB8" s="8"/>
      <c r="AC8" s="8" t="s">
        <v>21</v>
      </c>
      <c r="AD8" s="12"/>
      <c r="AE8" s="12"/>
      <c r="AF8" s="12"/>
      <c r="AG8" s="12"/>
    </row>
    <row r="9" spans="1:33" s="2" customFormat="1" ht="12">
      <c r="A9" s="8" t="s">
        <v>13</v>
      </c>
      <c r="B9" s="8"/>
      <c r="C9" s="8"/>
      <c r="D9" s="8" t="s">
        <v>13</v>
      </c>
      <c r="E9" s="8" t="s">
        <v>155</v>
      </c>
      <c r="F9" s="8"/>
      <c r="G9" s="8"/>
      <c r="H9" s="8"/>
      <c r="I9" s="9" t="s">
        <v>16</v>
      </c>
      <c r="J9" s="27" t="s">
        <v>17</v>
      </c>
      <c r="K9" s="8" t="s">
        <v>18</v>
      </c>
      <c r="L9" s="8">
        <v>8</v>
      </c>
      <c r="M9" s="8"/>
      <c r="N9" s="8"/>
      <c r="O9" s="9" t="s">
        <v>19</v>
      </c>
      <c r="P9" s="10" t="s">
        <v>28</v>
      </c>
      <c r="Q9" s="10"/>
      <c r="R9" s="10"/>
      <c r="S9" s="10"/>
      <c r="T9" s="10"/>
      <c r="U9" s="10">
        <v>80</v>
      </c>
      <c r="V9" s="10"/>
      <c r="W9" s="10">
        <v>1</v>
      </c>
      <c r="X9" s="16">
        <f t="shared" si="0"/>
        <v>267946.66666666669</v>
      </c>
      <c r="Y9" s="27"/>
      <c r="Z9" s="10"/>
      <c r="AA9" s="11"/>
      <c r="AB9" s="8"/>
      <c r="AC9" s="8" t="s">
        <v>21</v>
      </c>
      <c r="AD9" s="12"/>
      <c r="AE9" s="12"/>
      <c r="AF9" s="12"/>
      <c r="AG9" s="12"/>
    </row>
    <row r="10" spans="1:33" s="2" customFormat="1" ht="12">
      <c r="A10" s="8" t="s">
        <v>13</v>
      </c>
      <c r="B10" s="8"/>
      <c r="C10" s="8"/>
      <c r="D10" s="8" t="s">
        <v>13</v>
      </c>
      <c r="E10" s="8" t="s">
        <v>155</v>
      </c>
      <c r="F10" s="8"/>
      <c r="G10" s="8"/>
      <c r="H10" s="8"/>
      <c r="I10" s="9" t="s">
        <v>16</v>
      </c>
      <c r="J10" s="27" t="s">
        <v>17</v>
      </c>
      <c r="K10" s="8" t="s">
        <v>18</v>
      </c>
      <c r="L10" s="8">
        <v>9</v>
      </c>
      <c r="M10" s="8"/>
      <c r="N10" s="8"/>
      <c r="O10" s="9" t="s">
        <v>19</v>
      </c>
      <c r="P10" s="10" t="s">
        <v>29</v>
      </c>
      <c r="Q10" s="10"/>
      <c r="R10" s="10"/>
      <c r="S10" s="10"/>
      <c r="T10" s="10"/>
      <c r="U10" s="10">
        <v>90</v>
      </c>
      <c r="V10" s="10"/>
      <c r="W10" s="10">
        <v>1</v>
      </c>
      <c r="X10" s="16">
        <f t="shared" si="0"/>
        <v>381510</v>
      </c>
      <c r="Y10" s="27"/>
      <c r="Z10" s="10"/>
      <c r="AA10" s="11"/>
      <c r="AB10" s="8"/>
      <c r="AC10" s="8" t="s">
        <v>21</v>
      </c>
      <c r="AD10" s="12"/>
      <c r="AE10" s="12"/>
      <c r="AF10" s="12"/>
      <c r="AG10" s="12"/>
    </row>
    <row r="11" spans="1:33" s="2" customFormat="1" ht="12">
      <c r="A11" s="8" t="s">
        <v>13</v>
      </c>
      <c r="B11" s="8"/>
      <c r="C11" s="8"/>
      <c r="D11" s="8" t="s">
        <v>13</v>
      </c>
      <c r="E11" s="8" t="s">
        <v>155</v>
      </c>
      <c r="F11" s="8"/>
      <c r="G11" s="8"/>
      <c r="H11" s="8"/>
      <c r="I11" s="9" t="s">
        <v>16</v>
      </c>
      <c r="J11" s="27" t="s">
        <v>17</v>
      </c>
      <c r="K11" s="8" t="s">
        <v>18</v>
      </c>
      <c r="L11" s="8">
        <v>10</v>
      </c>
      <c r="M11" s="8"/>
      <c r="N11" s="8"/>
      <c r="O11" s="9" t="s">
        <v>19</v>
      </c>
      <c r="P11" s="10" t="s">
        <v>30</v>
      </c>
      <c r="Q11" s="10"/>
      <c r="R11" s="10"/>
      <c r="S11" s="10"/>
      <c r="T11" s="10"/>
      <c r="U11" s="10">
        <v>100</v>
      </c>
      <c r="V11" s="10"/>
      <c r="W11" s="10">
        <v>1</v>
      </c>
      <c r="X11" s="16">
        <f t="shared" si="0"/>
        <v>523333.33333333331</v>
      </c>
      <c r="Y11" s="27"/>
      <c r="Z11" s="10"/>
      <c r="AA11" s="11"/>
      <c r="AB11" s="8"/>
      <c r="AC11" s="8" t="s">
        <v>21</v>
      </c>
      <c r="AD11" s="12"/>
      <c r="AE11" s="12"/>
      <c r="AF11" s="12"/>
      <c r="AG11" s="12"/>
    </row>
    <row r="12" spans="1:33" s="2" customFormat="1" ht="12">
      <c r="A12" s="8" t="s">
        <v>13</v>
      </c>
      <c r="B12" s="8"/>
      <c r="C12" s="8"/>
      <c r="D12" s="8" t="s">
        <v>13</v>
      </c>
      <c r="E12" s="8" t="s">
        <v>155</v>
      </c>
      <c r="F12" s="8"/>
      <c r="G12" s="8"/>
      <c r="H12" s="8"/>
      <c r="I12" s="9" t="s">
        <v>16</v>
      </c>
      <c r="J12" s="27" t="s">
        <v>17</v>
      </c>
      <c r="K12" s="8" t="s">
        <v>18</v>
      </c>
      <c r="L12" s="8">
        <v>11</v>
      </c>
      <c r="M12" s="8"/>
      <c r="N12" s="8"/>
      <c r="O12" s="9" t="s">
        <v>19</v>
      </c>
      <c r="P12" s="10" t="s">
        <v>31</v>
      </c>
      <c r="Q12" s="10"/>
      <c r="R12" s="10"/>
      <c r="S12" s="10"/>
      <c r="T12" s="10"/>
      <c r="U12" s="10">
        <v>110</v>
      </c>
      <c r="V12" s="10"/>
      <c r="W12" s="10">
        <v>1</v>
      </c>
      <c r="X12" s="16">
        <f t="shared" si="0"/>
        <v>696556.66666666663</v>
      </c>
      <c r="Y12" s="27"/>
      <c r="Z12" s="10"/>
      <c r="AA12" s="11"/>
      <c r="AB12" s="8"/>
      <c r="AC12" s="8" t="s">
        <v>21</v>
      </c>
      <c r="AD12" s="12"/>
      <c r="AE12" s="12"/>
      <c r="AF12" s="12"/>
      <c r="AG12" s="12"/>
    </row>
    <row r="13" spans="1:33" s="2" customFormat="1" ht="12">
      <c r="A13" s="8" t="s">
        <v>13</v>
      </c>
      <c r="B13" s="8"/>
      <c r="C13" s="8"/>
      <c r="D13" s="8" t="s">
        <v>13</v>
      </c>
      <c r="E13" s="8" t="s">
        <v>155</v>
      </c>
      <c r="F13" s="8"/>
      <c r="G13" s="8"/>
      <c r="H13" s="8"/>
      <c r="I13" s="9" t="s">
        <v>16</v>
      </c>
      <c r="J13" s="27" t="s">
        <v>17</v>
      </c>
      <c r="K13" s="8" t="s">
        <v>18</v>
      </c>
      <c r="L13" s="8">
        <v>12</v>
      </c>
      <c r="M13" s="8"/>
      <c r="N13" s="8"/>
      <c r="O13" s="9" t="s">
        <v>19</v>
      </c>
      <c r="P13" s="10" t="s">
        <v>32</v>
      </c>
      <c r="Q13" s="10"/>
      <c r="R13" s="10"/>
      <c r="S13" s="10"/>
      <c r="T13" s="10"/>
      <c r="U13" s="10">
        <v>120</v>
      </c>
      <c r="V13" s="10"/>
      <c r="W13" s="10">
        <v>1</v>
      </c>
      <c r="X13" s="16">
        <f t="shared" si="0"/>
        <v>904320</v>
      </c>
      <c r="Y13" s="27"/>
      <c r="Z13" s="10"/>
      <c r="AA13" s="11"/>
      <c r="AB13" s="8"/>
      <c r="AC13" s="8" t="s">
        <v>21</v>
      </c>
      <c r="AD13" s="12"/>
      <c r="AE13" s="12"/>
      <c r="AF13" s="12"/>
      <c r="AG13" s="12"/>
    </row>
    <row r="14" spans="1:33" s="2" customFormat="1" ht="12">
      <c r="A14" s="8" t="s">
        <v>13</v>
      </c>
      <c r="B14" s="8"/>
      <c r="C14" s="8"/>
      <c r="D14" s="8" t="s">
        <v>13</v>
      </c>
      <c r="E14" s="8" t="s">
        <v>155</v>
      </c>
      <c r="F14" s="8"/>
      <c r="G14" s="8"/>
      <c r="H14" s="8"/>
      <c r="I14" s="9" t="s">
        <v>16</v>
      </c>
      <c r="J14" s="27" t="s">
        <v>17</v>
      </c>
      <c r="K14" s="8" t="s">
        <v>18</v>
      </c>
      <c r="L14" s="8">
        <v>13</v>
      </c>
      <c r="M14" s="8"/>
      <c r="N14" s="8"/>
      <c r="O14" s="9" t="s">
        <v>19</v>
      </c>
      <c r="P14" s="10" t="s">
        <v>33</v>
      </c>
      <c r="Q14" s="10"/>
      <c r="R14" s="10"/>
      <c r="S14" s="10"/>
      <c r="T14" s="10"/>
      <c r="U14" s="10">
        <v>130</v>
      </c>
      <c r="V14" s="10"/>
      <c r="W14" s="10">
        <v>1</v>
      </c>
      <c r="X14" s="16">
        <f t="shared" si="0"/>
        <v>1149763.3333333333</v>
      </c>
      <c r="Y14" s="27"/>
      <c r="Z14" s="10"/>
      <c r="AA14" s="11"/>
      <c r="AB14" s="8"/>
      <c r="AC14" s="8" t="s">
        <v>21</v>
      </c>
      <c r="AD14" s="12"/>
      <c r="AE14" s="12"/>
      <c r="AF14" s="12"/>
      <c r="AG14" s="12"/>
    </row>
    <row r="15" spans="1:33" s="2" customFormat="1" ht="12">
      <c r="A15" s="8" t="s">
        <v>13</v>
      </c>
      <c r="B15" s="8"/>
      <c r="C15" s="8"/>
      <c r="D15" s="8" t="s">
        <v>13</v>
      </c>
      <c r="E15" s="8" t="s">
        <v>155</v>
      </c>
      <c r="F15" s="8"/>
      <c r="G15" s="8"/>
      <c r="H15" s="8"/>
      <c r="I15" s="9" t="s">
        <v>16</v>
      </c>
      <c r="J15" s="27" t="s">
        <v>17</v>
      </c>
      <c r="K15" s="8" t="s">
        <v>18</v>
      </c>
      <c r="L15" s="8">
        <v>14</v>
      </c>
      <c r="M15" s="8"/>
      <c r="N15" s="8"/>
      <c r="O15" s="9" t="s">
        <v>19</v>
      </c>
      <c r="P15" s="10" t="s">
        <v>34</v>
      </c>
      <c r="Q15" s="10"/>
      <c r="R15" s="10"/>
      <c r="S15" s="10"/>
      <c r="T15" s="10"/>
      <c r="U15" s="10">
        <v>140</v>
      </c>
      <c r="V15" s="10"/>
      <c r="W15" s="10">
        <v>1</v>
      </c>
      <c r="X15" s="16">
        <f t="shared" si="0"/>
        <v>1436026.6666666665</v>
      </c>
      <c r="Y15" s="27"/>
      <c r="Z15" s="10"/>
      <c r="AA15" s="11"/>
      <c r="AB15" s="8"/>
      <c r="AC15" s="8" t="s">
        <v>21</v>
      </c>
      <c r="AD15" s="12"/>
      <c r="AE15" s="12"/>
      <c r="AF15" s="12"/>
      <c r="AG15" s="12"/>
    </row>
    <row r="16" spans="1:33" s="2" customFormat="1" ht="12">
      <c r="A16" s="8" t="s">
        <v>13</v>
      </c>
      <c r="B16" s="8"/>
      <c r="C16" s="8"/>
      <c r="D16" s="8" t="s">
        <v>13</v>
      </c>
      <c r="E16" s="8" t="s">
        <v>155</v>
      </c>
      <c r="F16" s="8"/>
      <c r="G16" s="8"/>
      <c r="H16" s="8"/>
      <c r="I16" s="9" t="s">
        <v>16</v>
      </c>
      <c r="J16" s="27" t="s">
        <v>17</v>
      </c>
      <c r="K16" s="8" t="s">
        <v>18</v>
      </c>
      <c r="L16" s="8">
        <v>15</v>
      </c>
      <c r="M16" s="8"/>
      <c r="N16" s="8"/>
      <c r="O16" s="9" t="s">
        <v>19</v>
      </c>
      <c r="P16" s="10" t="s">
        <v>35</v>
      </c>
      <c r="Q16" s="10"/>
      <c r="R16" s="10"/>
      <c r="S16" s="10"/>
      <c r="T16" s="10"/>
      <c r="U16" s="10">
        <v>150</v>
      </c>
      <c r="V16" s="10"/>
      <c r="W16" s="10">
        <v>1</v>
      </c>
      <c r="X16" s="16">
        <f t="shared" si="0"/>
        <v>1766250</v>
      </c>
      <c r="Y16" s="27"/>
      <c r="Z16" s="10"/>
      <c r="AA16" s="11"/>
      <c r="AB16" s="8"/>
      <c r="AC16" s="8" t="s">
        <v>21</v>
      </c>
      <c r="AD16" s="12"/>
      <c r="AE16" s="12"/>
      <c r="AF16" s="12"/>
      <c r="AG16" s="12"/>
    </row>
    <row r="17" spans="1:33" s="2" customFormat="1" ht="12">
      <c r="A17" s="8" t="s">
        <v>38</v>
      </c>
      <c r="B17" s="8" t="s">
        <v>39</v>
      </c>
      <c r="C17" s="8" t="s">
        <v>40</v>
      </c>
      <c r="D17" s="30" t="s">
        <v>41</v>
      </c>
      <c r="E17" s="14"/>
      <c r="F17" s="14"/>
      <c r="G17" s="27" t="s">
        <v>42</v>
      </c>
      <c r="H17" s="27"/>
      <c r="I17" s="9" t="s">
        <v>37</v>
      </c>
      <c r="J17" s="27" t="s">
        <v>17</v>
      </c>
      <c r="K17" s="15" t="s">
        <v>18</v>
      </c>
      <c r="L17" s="9">
        <v>1</v>
      </c>
      <c r="M17" s="9"/>
      <c r="N17" s="9"/>
      <c r="O17" s="9" t="s">
        <v>19</v>
      </c>
      <c r="P17" s="28" t="s">
        <v>43</v>
      </c>
      <c r="Q17" s="10"/>
      <c r="R17" s="10"/>
      <c r="S17" s="10"/>
      <c r="T17" s="10"/>
      <c r="U17" s="8">
        <v>7.5</v>
      </c>
      <c r="V17" s="20"/>
      <c r="W17" s="10">
        <v>1</v>
      </c>
      <c r="X17" s="16">
        <f>3.14/6*U17^3</f>
        <v>220.78125</v>
      </c>
      <c r="Y17" s="27"/>
      <c r="Z17" s="9" t="s">
        <v>44</v>
      </c>
      <c r="AA17" s="17">
        <f t="shared" ref="AA17:AA24" si="1">0.216 * X17^0.939</f>
        <v>34.311068712042065</v>
      </c>
      <c r="AB17" s="8"/>
      <c r="AC17" s="18" t="s">
        <v>45</v>
      </c>
      <c r="AD17" s="12"/>
      <c r="AE17" s="12"/>
      <c r="AF17" s="12"/>
      <c r="AG17" s="12"/>
    </row>
    <row r="18" spans="1:33" s="2" customFormat="1" ht="12">
      <c r="A18" s="8" t="s">
        <v>38</v>
      </c>
      <c r="B18" s="8" t="s">
        <v>39</v>
      </c>
      <c r="C18" s="8" t="s">
        <v>40</v>
      </c>
      <c r="D18" s="30" t="s">
        <v>41</v>
      </c>
      <c r="E18" s="14"/>
      <c r="F18" s="14"/>
      <c r="G18" s="27" t="s">
        <v>42</v>
      </c>
      <c r="H18" s="27"/>
      <c r="I18" s="9" t="s">
        <v>37</v>
      </c>
      <c r="J18" s="27" t="s">
        <v>17</v>
      </c>
      <c r="K18" s="15" t="s">
        <v>18</v>
      </c>
      <c r="L18" s="9">
        <v>2</v>
      </c>
      <c r="M18" s="9"/>
      <c r="N18" s="9"/>
      <c r="O18" s="9" t="s">
        <v>19</v>
      </c>
      <c r="P18" s="28" t="s">
        <v>46</v>
      </c>
      <c r="Q18" s="10"/>
      <c r="R18" s="10"/>
      <c r="S18" s="10"/>
      <c r="T18" s="10"/>
      <c r="U18" s="8">
        <v>12.5</v>
      </c>
      <c r="V18" s="20"/>
      <c r="W18" s="10">
        <v>1</v>
      </c>
      <c r="X18" s="16">
        <f>3.14/6*U18^3</f>
        <v>1022.1354166666666</v>
      </c>
      <c r="Y18" s="27"/>
      <c r="Z18" s="9" t="s">
        <v>44</v>
      </c>
      <c r="AA18" s="17">
        <f t="shared" si="1"/>
        <v>144.67122978656218</v>
      </c>
      <c r="AB18" s="8"/>
      <c r="AC18" s="18" t="s">
        <v>45</v>
      </c>
      <c r="AD18" s="12"/>
      <c r="AE18" s="12"/>
      <c r="AF18" s="12"/>
      <c r="AG18" s="12"/>
    </row>
    <row r="19" spans="1:33" s="2" customFormat="1" ht="12">
      <c r="A19" s="8" t="s">
        <v>38</v>
      </c>
      <c r="B19" s="8" t="s">
        <v>39</v>
      </c>
      <c r="C19" s="8" t="s">
        <v>40</v>
      </c>
      <c r="D19" s="30" t="s">
        <v>41</v>
      </c>
      <c r="E19" s="14"/>
      <c r="F19" s="14"/>
      <c r="G19" s="27" t="s">
        <v>42</v>
      </c>
      <c r="H19" s="27"/>
      <c r="I19" s="9" t="s">
        <v>37</v>
      </c>
      <c r="J19" s="27" t="s">
        <v>17</v>
      </c>
      <c r="K19" s="15" t="s">
        <v>18</v>
      </c>
      <c r="L19" s="9">
        <v>3</v>
      </c>
      <c r="M19" s="9"/>
      <c r="N19" s="9"/>
      <c r="O19" s="9" t="s">
        <v>19</v>
      </c>
      <c r="P19" s="28" t="s">
        <v>47</v>
      </c>
      <c r="Q19" s="10"/>
      <c r="R19" s="10"/>
      <c r="S19" s="10"/>
      <c r="T19" s="10"/>
      <c r="U19" s="8">
        <v>17.5</v>
      </c>
      <c r="V19" s="20"/>
      <c r="W19" s="10">
        <v>1</v>
      </c>
      <c r="X19" s="16">
        <f>3.14/6*U19^3</f>
        <v>2804.739583333333</v>
      </c>
      <c r="Y19" s="27"/>
      <c r="Z19" s="9" t="s">
        <v>44</v>
      </c>
      <c r="AA19" s="17">
        <f t="shared" si="1"/>
        <v>373.27151526551023</v>
      </c>
      <c r="AB19" s="8"/>
      <c r="AC19" s="18" t="s">
        <v>45</v>
      </c>
      <c r="AD19" s="12"/>
      <c r="AE19" s="12"/>
      <c r="AF19" s="12"/>
      <c r="AG19" s="12"/>
    </row>
    <row r="20" spans="1:33" s="2" customFormat="1" ht="12">
      <c r="A20" s="8" t="s">
        <v>38</v>
      </c>
      <c r="B20" s="8" t="s">
        <v>39</v>
      </c>
      <c r="C20" s="8" t="s">
        <v>40</v>
      </c>
      <c r="D20" s="30" t="s">
        <v>41</v>
      </c>
      <c r="E20" s="14"/>
      <c r="F20" s="14"/>
      <c r="G20" s="27" t="s">
        <v>42</v>
      </c>
      <c r="H20" s="27"/>
      <c r="I20" s="9" t="s">
        <v>37</v>
      </c>
      <c r="J20" s="27" t="s">
        <v>17</v>
      </c>
      <c r="K20" s="15" t="s">
        <v>18</v>
      </c>
      <c r="L20" s="9">
        <v>4</v>
      </c>
      <c r="M20" s="9"/>
      <c r="N20" s="9"/>
      <c r="O20" s="9" t="s">
        <v>19</v>
      </c>
      <c r="P20" s="28" t="s">
        <v>48</v>
      </c>
      <c r="Q20" s="10"/>
      <c r="R20" s="10"/>
      <c r="S20" s="10"/>
      <c r="T20" s="10"/>
      <c r="U20" s="8">
        <v>22.5</v>
      </c>
      <c r="V20" s="20"/>
      <c r="W20" s="10">
        <v>1</v>
      </c>
      <c r="X20" s="16">
        <f>3.14/6*U20^3</f>
        <v>5961.09375</v>
      </c>
      <c r="Y20" s="27"/>
      <c r="Z20" s="9" t="s">
        <v>44</v>
      </c>
      <c r="AA20" s="17">
        <f t="shared" si="1"/>
        <v>757.67824926849892</v>
      </c>
      <c r="AB20" s="8"/>
      <c r="AC20" s="18" t="s">
        <v>45</v>
      </c>
      <c r="AD20" s="12"/>
      <c r="AE20" s="12"/>
      <c r="AF20" s="12"/>
      <c r="AG20" s="12"/>
    </row>
    <row r="21" spans="1:33" s="2" customFormat="1" ht="13.5">
      <c r="A21" s="8" t="s">
        <v>38</v>
      </c>
      <c r="B21" s="8" t="s">
        <v>39</v>
      </c>
      <c r="C21" s="8" t="s">
        <v>40</v>
      </c>
      <c r="D21" s="30" t="s">
        <v>41</v>
      </c>
      <c r="E21" s="14"/>
      <c r="F21" s="14"/>
      <c r="G21" s="27" t="s">
        <v>42</v>
      </c>
      <c r="H21" s="27"/>
      <c r="I21" s="9" t="s">
        <v>37</v>
      </c>
      <c r="J21" s="8" t="s">
        <v>49</v>
      </c>
      <c r="K21" s="19" t="s">
        <v>50</v>
      </c>
      <c r="L21" s="9">
        <v>5</v>
      </c>
      <c r="M21" s="9"/>
      <c r="N21" s="9"/>
      <c r="O21" s="9" t="s">
        <v>19</v>
      </c>
      <c r="P21" s="28" t="s">
        <v>51</v>
      </c>
      <c r="Q21" s="8">
        <v>15</v>
      </c>
      <c r="R21" s="10"/>
      <c r="S21" s="10"/>
      <c r="T21" s="10"/>
      <c r="U21" s="8">
        <v>10</v>
      </c>
      <c r="V21" s="8">
        <v>4</v>
      </c>
      <c r="W21" s="8"/>
      <c r="X21" s="16">
        <f>(3.14/12*(Q21-U21/2)*(U21^2+U21*V21+V21^2))+(3.14/12*V21^3)</f>
        <v>424.94666666666666</v>
      </c>
      <c r="Y21" s="27"/>
      <c r="Z21" s="9" t="s">
        <v>44</v>
      </c>
      <c r="AA21" s="17">
        <f t="shared" si="1"/>
        <v>63.454113055788817</v>
      </c>
      <c r="AB21" s="8"/>
      <c r="AC21" s="18" t="s">
        <v>45</v>
      </c>
      <c r="AD21" s="12"/>
      <c r="AE21" s="12"/>
      <c r="AF21" s="12"/>
      <c r="AG21" s="12"/>
    </row>
    <row r="22" spans="1:33" s="2" customFormat="1" ht="13.5">
      <c r="A22" s="8" t="s">
        <v>38</v>
      </c>
      <c r="B22" s="8" t="s">
        <v>39</v>
      </c>
      <c r="C22" s="8" t="s">
        <v>40</v>
      </c>
      <c r="D22" s="30" t="s">
        <v>41</v>
      </c>
      <c r="E22" s="14"/>
      <c r="F22" s="14"/>
      <c r="G22" s="27" t="s">
        <v>42</v>
      </c>
      <c r="H22" s="27"/>
      <c r="I22" s="9" t="s">
        <v>37</v>
      </c>
      <c r="J22" s="8" t="s">
        <v>49</v>
      </c>
      <c r="K22" s="19" t="s">
        <v>50</v>
      </c>
      <c r="L22" s="9">
        <v>6</v>
      </c>
      <c r="M22" s="9"/>
      <c r="N22" s="9"/>
      <c r="O22" s="9" t="s">
        <v>19</v>
      </c>
      <c r="P22" s="28" t="s">
        <v>52</v>
      </c>
      <c r="Q22" s="8">
        <v>25</v>
      </c>
      <c r="R22" s="10"/>
      <c r="S22" s="10"/>
      <c r="T22" s="10"/>
      <c r="U22" s="8">
        <v>10</v>
      </c>
      <c r="V22" s="8">
        <v>5</v>
      </c>
      <c r="W22" s="8"/>
      <c r="X22" s="16">
        <f>(3.14/12*(Q22-U22/2)*(U22^2+U22*V22+V22^2))+(3.14/12*V22^3)</f>
        <v>948.54166666666674</v>
      </c>
      <c r="Y22" s="27"/>
      <c r="Z22" s="9" t="s">
        <v>44</v>
      </c>
      <c r="AA22" s="17">
        <f t="shared" si="1"/>
        <v>134.86825018524846</v>
      </c>
      <c r="AB22" s="8"/>
      <c r="AC22" s="18" t="s">
        <v>45</v>
      </c>
      <c r="AD22" s="12"/>
      <c r="AE22" s="12"/>
      <c r="AF22" s="12"/>
      <c r="AG22" s="12"/>
    </row>
    <row r="23" spans="1:33" s="2" customFormat="1" ht="13.5">
      <c r="A23" s="8" t="s">
        <v>38</v>
      </c>
      <c r="B23" s="8" t="s">
        <v>39</v>
      </c>
      <c r="C23" s="8" t="s">
        <v>40</v>
      </c>
      <c r="D23" s="30" t="s">
        <v>41</v>
      </c>
      <c r="E23" s="14"/>
      <c r="F23" s="14"/>
      <c r="G23" s="27" t="s">
        <v>42</v>
      </c>
      <c r="H23" s="27"/>
      <c r="I23" s="9" t="s">
        <v>37</v>
      </c>
      <c r="J23" s="8" t="s">
        <v>49</v>
      </c>
      <c r="K23" s="19" t="s">
        <v>50</v>
      </c>
      <c r="L23" s="9">
        <v>7</v>
      </c>
      <c r="M23" s="9"/>
      <c r="N23" s="9"/>
      <c r="O23" s="9" t="s">
        <v>19</v>
      </c>
      <c r="P23" s="28" t="s">
        <v>53</v>
      </c>
      <c r="Q23" s="8">
        <v>35</v>
      </c>
      <c r="R23" s="10"/>
      <c r="S23" s="10"/>
      <c r="T23" s="10"/>
      <c r="U23" s="8">
        <v>15</v>
      </c>
      <c r="V23" s="8">
        <v>7</v>
      </c>
      <c r="W23" s="8"/>
      <c r="X23" s="16">
        <f>(3.14/12*(Q23-U23/2)*(U23^2+U23*V23+V23^2))+(3.14/12*V23^3)</f>
        <v>2816.9724999999999</v>
      </c>
      <c r="Y23" s="27"/>
      <c r="Z23" s="9" t="s">
        <v>44</v>
      </c>
      <c r="AA23" s="17">
        <f t="shared" si="1"/>
        <v>374.80003210621794</v>
      </c>
      <c r="AB23" s="8"/>
      <c r="AC23" s="18" t="s">
        <v>45</v>
      </c>
      <c r="AD23" s="12"/>
      <c r="AE23" s="12"/>
      <c r="AF23" s="12"/>
      <c r="AG23" s="12"/>
    </row>
    <row r="24" spans="1:33" s="2" customFormat="1" ht="13.5">
      <c r="A24" s="8" t="s">
        <v>38</v>
      </c>
      <c r="B24" s="8" t="s">
        <v>39</v>
      </c>
      <c r="C24" s="8" t="s">
        <v>40</v>
      </c>
      <c r="D24" s="30" t="s">
        <v>41</v>
      </c>
      <c r="E24" s="14"/>
      <c r="F24" s="14"/>
      <c r="G24" s="27" t="s">
        <v>42</v>
      </c>
      <c r="H24" s="27"/>
      <c r="I24" s="9" t="s">
        <v>37</v>
      </c>
      <c r="J24" s="8" t="s">
        <v>49</v>
      </c>
      <c r="K24" s="19" t="s">
        <v>50</v>
      </c>
      <c r="L24" s="9">
        <v>8</v>
      </c>
      <c r="M24" s="9"/>
      <c r="N24" s="9"/>
      <c r="O24" s="9" t="s">
        <v>19</v>
      </c>
      <c r="P24" s="28" t="s">
        <v>54</v>
      </c>
      <c r="Q24" s="8">
        <v>45</v>
      </c>
      <c r="R24" s="10"/>
      <c r="S24" s="10"/>
      <c r="T24" s="10"/>
      <c r="U24" s="8">
        <v>17.5</v>
      </c>
      <c r="V24" s="8">
        <v>10</v>
      </c>
      <c r="W24" s="8"/>
      <c r="X24" s="16">
        <f>(3.14/12*(Q24-U24/2)*(U24^2+U24*V24+V24^2))+(3.14/12*V24^3)</f>
        <v>5775.0651041666661</v>
      </c>
      <c r="Y24" s="27"/>
      <c r="Z24" s="9" t="s">
        <v>44</v>
      </c>
      <c r="AA24" s="17">
        <f t="shared" si="1"/>
        <v>735.45425633844366</v>
      </c>
      <c r="AB24" s="8"/>
      <c r="AC24" s="18" t="s">
        <v>45</v>
      </c>
      <c r="AD24" s="12"/>
      <c r="AE24" s="12"/>
      <c r="AF24" s="12"/>
      <c r="AG24" s="12"/>
    </row>
    <row r="25" spans="1:33" s="2" customFormat="1" ht="12">
      <c r="A25" s="8" t="s">
        <v>55</v>
      </c>
      <c r="B25" s="8" t="s">
        <v>56</v>
      </c>
      <c r="C25" s="8" t="s">
        <v>57</v>
      </c>
      <c r="D25" s="30" t="s">
        <v>58</v>
      </c>
      <c r="E25" s="8" t="s">
        <v>155</v>
      </c>
      <c r="F25" s="8"/>
      <c r="G25" s="8"/>
      <c r="H25" s="8"/>
      <c r="I25" s="9" t="s">
        <v>37</v>
      </c>
      <c r="J25" s="27" t="s">
        <v>59</v>
      </c>
      <c r="K25" s="8" t="s">
        <v>60</v>
      </c>
      <c r="L25" s="9">
        <v>1</v>
      </c>
      <c r="M25" s="9"/>
      <c r="N25" s="9"/>
      <c r="O25" s="9" t="s">
        <v>61</v>
      </c>
      <c r="P25" s="10" t="s">
        <v>62</v>
      </c>
      <c r="Q25" s="10"/>
      <c r="R25" s="10"/>
      <c r="S25" s="10"/>
      <c r="T25" s="10">
        <v>100</v>
      </c>
      <c r="U25" s="13">
        <v>0.5</v>
      </c>
      <c r="V25" s="10"/>
      <c r="W25" s="20">
        <f>100/Z25</f>
        <v>100</v>
      </c>
      <c r="X25" s="16">
        <f>3.14/4*U25^2*T25</f>
        <v>19.625</v>
      </c>
      <c r="Y25" s="27"/>
      <c r="Z25" s="10">
        <v>1</v>
      </c>
      <c r="AA25" s="17">
        <f>0.216*(POWER((X25*Z25/100),0.939))*(100/Z25)</f>
        <v>4.6816832479603869</v>
      </c>
      <c r="AB25" s="27" t="s">
        <v>63</v>
      </c>
      <c r="AC25" s="8" t="s">
        <v>21</v>
      </c>
      <c r="AD25" s="12"/>
      <c r="AE25" s="12"/>
      <c r="AF25" s="12"/>
      <c r="AG25" s="12"/>
    </row>
    <row r="26" spans="1:33" s="2" customFormat="1" ht="12">
      <c r="A26" s="8" t="s">
        <v>55</v>
      </c>
      <c r="B26" s="8" t="s">
        <v>56</v>
      </c>
      <c r="C26" s="8" t="s">
        <v>57</v>
      </c>
      <c r="D26" s="30" t="s">
        <v>58</v>
      </c>
      <c r="E26" s="8" t="s">
        <v>155</v>
      </c>
      <c r="F26" s="8"/>
      <c r="G26" s="8"/>
      <c r="H26" s="8"/>
      <c r="I26" s="9" t="s">
        <v>37</v>
      </c>
      <c r="J26" s="27" t="s">
        <v>59</v>
      </c>
      <c r="K26" s="8" t="s">
        <v>60</v>
      </c>
      <c r="L26" s="9">
        <v>2</v>
      </c>
      <c r="M26" s="9"/>
      <c r="N26" s="9"/>
      <c r="O26" s="9" t="s">
        <v>61</v>
      </c>
      <c r="P26" s="10" t="s">
        <v>64</v>
      </c>
      <c r="Q26" s="10"/>
      <c r="R26" s="10"/>
      <c r="S26" s="10"/>
      <c r="T26" s="10">
        <v>100</v>
      </c>
      <c r="U26" s="10">
        <v>1.5</v>
      </c>
      <c r="V26" s="10"/>
      <c r="W26" s="20">
        <f>100/Z26</f>
        <v>100</v>
      </c>
      <c r="X26" s="16">
        <f>3.14/4*U26^2*T26</f>
        <v>176.625</v>
      </c>
      <c r="Y26" s="27"/>
      <c r="Z26" s="10">
        <v>1</v>
      </c>
      <c r="AA26" s="11"/>
      <c r="AB26" s="8"/>
      <c r="AC26" s="8" t="s">
        <v>21</v>
      </c>
      <c r="AD26" s="12"/>
      <c r="AE26" s="12"/>
      <c r="AF26" s="12"/>
      <c r="AG26" s="12"/>
    </row>
    <row r="27" spans="1:33" s="2" customFormat="1" ht="12">
      <c r="A27" s="8" t="s">
        <v>55</v>
      </c>
      <c r="B27" s="8" t="s">
        <v>56</v>
      </c>
      <c r="C27" s="8" t="s">
        <v>57</v>
      </c>
      <c r="D27" s="30" t="s">
        <v>58</v>
      </c>
      <c r="E27" s="8" t="s">
        <v>155</v>
      </c>
      <c r="F27" s="8"/>
      <c r="G27" s="8"/>
      <c r="H27" s="8"/>
      <c r="I27" s="9" t="s">
        <v>37</v>
      </c>
      <c r="J27" s="27" t="s">
        <v>59</v>
      </c>
      <c r="K27" s="8" t="s">
        <v>60</v>
      </c>
      <c r="L27" s="9">
        <v>3</v>
      </c>
      <c r="M27" s="9"/>
      <c r="N27" s="9"/>
      <c r="O27" s="9" t="s">
        <v>61</v>
      </c>
      <c r="P27" s="10" t="s">
        <v>65</v>
      </c>
      <c r="Q27" s="10"/>
      <c r="R27" s="10"/>
      <c r="S27" s="10"/>
      <c r="T27" s="10">
        <v>100</v>
      </c>
      <c r="U27" s="10">
        <v>2.5</v>
      </c>
      <c r="V27" s="10"/>
      <c r="W27" s="20">
        <f>100/Z27</f>
        <v>100</v>
      </c>
      <c r="X27" s="16">
        <f>3.14/4*U27^2*T27</f>
        <v>490.625</v>
      </c>
      <c r="Y27" s="27"/>
      <c r="Z27" s="10">
        <v>1</v>
      </c>
      <c r="AA27" s="11"/>
      <c r="AB27" s="8"/>
      <c r="AC27" s="8" t="s">
        <v>21</v>
      </c>
      <c r="AD27" s="12"/>
      <c r="AE27" s="12"/>
      <c r="AF27" s="12"/>
      <c r="AG27" s="12"/>
    </row>
    <row r="28" spans="1:33" s="2" customFormat="1" ht="12">
      <c r="A28" s="8" t="s">
        <v>38</v>
      </c>
      <c r="B28" s="8" t="s">
        <v>66</v>
      </c>
      <c r="C28" s="8" t="s">
        <v>67</v>
      </c>
      <c r="D28" s="7" t="s">
        <v>71</v>
      </c>
      <c r="E28" s="14"/>
      <c r="F28" s="14"/>
      <c r="G28" s="7" t="s">
        <v>72</v>
      </c>
      <c r="H28" s="7"/>
      <c r="I28" s="9" t="s">
        <v>37</v>
      </c>
      <c r="J28" s="27" t="s">
        <v>59</v>
      </c>
      <c r="K28" s="8" t="s">
        <v>60</v>
      </c>
      <c r="L28" s="9">
        <v>4</v>
      </c>
      <c r="M28" s="9"/>
      <c r="N28" s="9"/>
      <c r="O28" s="9" t="s">
        <v>19</v>
      </c>
      <c r="P28" s="10" t="s">
        <v>73</v>
      </c>
      <c r="Q28" s="10"/>
      <c r="R28" s="10"/>
      <c r="S28" s="10"/>
      <c r="T28" s="10">
        <v>7.5</v>
      </c>
      <c r="U28" s="20">
        <v>4</v>
      </c>
      <c r="V28" s="10"/>
      <c r="W28" s="10">
        <v>1</v>
      </c>
      <c r="X28" s="16">
        <f t="shared" ref="X28:X31" si="2">3.14/4*U28^2*T28</f>
        <v>94.2</v>
      </c>
      <c r="Y28" s="27"/>
      <c r="Z28" s="9" t="s">
        <v>44</v>
      </c>
      <c r="AA28" s="17">
        <f>0.288 * X28^0.811</f>
        <v>11.49073396507441</v>
      </c>
      <c r="AB28" s="8"/>
      <c r="AC28" s="8" t="s">
        <v>21</v>
      </c>
      <c r="AD28" s="12"/>
      <c r="AE28" s="12"/>
      <c r="AF28" s="12"/>
      <c r="AG28" s="12"/>
    </row>
    <row r="29" spans="1:33" s="2" customFormat="1" ht="12">
      <c r="A29" s="8" t="s">
        <v>38</v>
      </c>
      <c r="B29" s="8" t="s">
        <v>66</v>
      </c>
      <c r="C29" s="8" t="s">
        <v>67</v>
      </c>
      <c r="D29" s="7" t="s">
        <v>71</v>
      </c>
      <c r="E29" s="14"/>
      <c r="F29" s="14"/>
      <c r="G29" s="7" t="s">
        <v>72</v>
      </c>
      <c r="H29" s="7"/>
      <c r="I29" s="9" t="s">
        <v>37</v>
      </c>
      <c r="J29" s="27" t="s">
        <v>59</v>
      </c>
      <c r="K29" s="8" t="s">
        <v>60</v>
      </c>
      <c r="L29" s="9">
        <v>14</v>
      </c>
      <c r="M29" s="9"/>
      <c r="N29" s="9"/>
      <c r="O29" s="9" t="s">
        <v>19</v>
      </c>
      <c r="P29" s="10" t="s">
        <v>74</v>
      </c>
      <c r="Q29" s="10"/>
      <c r="R29" s="10"/>
      <c r="S29" s="10"/>
      <c r="T29" s="10">
        <v>11</v>
      </c>
      <c r="U29" s="20">
        <v>5</v>
      </c>
      <c r="V29" s="10"/>
      <c r="W29" s="10">
        <v>1</v>
      </c>
      <c r="X29" s="16">
        <f t="shared" si="2"/>
        <v>215.875</v>
      </c>
      <c r="Y29" s="27"/>
      <c r="Z29" s="9" t="s">
        <v>44</v>
      </c>
      <c r="AA29" s="17">
        <f>0.288 * X29^0.811</f>
        <v>22.512856031842094</v>
      </c>
      <c r="AB29" s="8"/>
      <c r="AC29" s="8" t="s">
        <v>21</v>
      </c>
      <c r="AD29" s="12"/>
      <c r="AE29" s="12"/>
      <c r="AF29" s="12"/>
      <c r="AG29" s="12"/>
    </row>
    <row r="30" spans="1:33" s="2" customFormat="1" ht="12">
      <c r="A30" s="8" t="s">
        <v>38</v>
      </c>
      <c r="B30" s="8" t="s">
        <v>66</v>
      </c>
      <c r="C30" s="8" t="s">
        <v>67</v>
      </c>
      <c r="D30" s="7" t="s">
        <v>71</v>
      </c>
      <c r="E30" s="14"/>
      <c r="F30" s="14"/>
      <c r="G30" s="7" t="s">
        <v>72</v>
      </c>
      <c r="H30" s="7"/>
      <c r="I30" s="9" t="s">
        <v>37</v>
      </c>
      <c r="J30" s="27" t="s">
        <v>59</v>
      </c>
      <c r="K30" s="8" t="s">
        <v>60</v>
      </c>
      <c r="L30" s="9">
        <v>17</v>
      </c>
      <c r="M30" s="9"/>
      <c r="N30" s="9"/>
      <c r="O30" s="9" t="s">
        <v>19</v>
      </c>
      <c r="P30" s="10" t="s">
        <v>75</v>
      </c>
      <c r="Q30" s="10"/>
      <c r="R30" s="10"/>
      <c r="S30" s="10"/>
      <c r="T30" s="10">
        <v>19</v>
      </c>
      <c r="U30" s="20">
        <v>6</v>
      </c>
      <c r="V30" s="10"/>
      <c r="W30" s="10">
        <v>1</v>
      </c>
      <c r="X30" s="16">
        <f t="shared" si="2"/>
        <v>536.94000000000005</v>
      </c>
      <c r="Y30" s="27"/>
      <c r="Z30" s="9" t="s">
        <v>44</v>
      </c>
      <c r="AA30" s="17">
        <f>0.288 * X30^0.811</f>
        <v>47.137036811677</v>
      </c>
      <c r="AB30" s="8"/>
      <c r="AC30" s="8" t="s">
        <v>21</v>
      </c>
      <c r="AD30" s="12"/>
      <c r="AE30" s="12"/>
      <c r="AF30" s="12"/>
      <c r="AG30" s="12"/>
    </row>
    <row r="31" spans="1:33" s="2" customFormat="1" ht="12">
      <c r="A31" s="8" t="s">
        <v>38</v>
      </c>
      <c r="B31" s="8" t="s">
        <v>66</v>
      </c>
      <c r="C31" s="8" t="s">
        <v>67</v>
      </c>
      <c r="D31" s="7" t="s">
        <v>71</v>
      </c>
      <c r="E31" s="14"/>
      <c r="F31" s="14"/>
      <c r="G31" s="7" t="s">
        <v>72</v>
      </c>
      <c r="H31" s="7"/>
      <c r="I31" s="9" t="s">
        <v>37</v>
      </c>
      <c r="J31" s="27" t="s">
        <v>59</v>
      </c>
      <c r="K31" s="8" t="s">
        <v>60</v>
      </c>
      <c r="L31" s="9">
        <v>23</v>
      </c>
      <c r="M31" s="9"/>
      <c r="N31" s="9"/>
      <c r="O31" s="9" t="s">
        <v>19</v>
      </c>
      <c r="P31" s="10" t="s">
        <v>76</v>
      </c>
      <c r="Q31" s="10"/>
      <c r="R31" s="10"/>
      <c r="S31" s="10"/>
      <c r="T31" s="10">
        <v>21</v>
      </c>
      <c r="U31" s="20">
        <v>10</v>
      </c>
      <c r="V31" s="10"/>
      <c r="W31" s="10">
        <v>1</v>
      </c>
      <c r="X31" s="16">
        <f t="shared" si="2"/>
        <v>1648.5</v>
      </c>
      <c r="Y31" s="27"/>
      <c r="Z31" s="9" t="s">
        <v>44</v>
      </c>
      <c r="AA31" s="17">
        <f>0.288 * X31^0.811</f>
        <v>117.07161983378795</v>
      </c>
      <c r="AB31" s="8"/>
      <c r="AC31" s="8" t="s">
        <v>21</v>
      </c>
      <c r="AD31" s="12"/>
      <c r="AE31" s="12"/>
      <c r="AF31" s="12"/>
      <c r="AG31" s="12"/>
    </row>
    <row r="32" spans="1:33" s="2" customFormat="1" ht="12">
      <c r="A32" s="8" t="s">
        <v>77</v>
      </c>
      <c r="B32" s="8" t="s">
        <v>78</v>
      </c>
      <c r="C32" s="8" t="s">
        <v>79</v>
      </c>
      <c r="D32" s="7" t="s">
        <v>87</v>
      </c>
      <c r="E32" s="14"/>
      <c r="F32" s="14"/>
      <c r="G32" s="31"/>
      <c r="H32" s="31"/>
      <c r="I32" s="9" t="s">
        <v>37</v>
      </c>
      <c r="J32" s="27" t="s">
        <v>88</v>
      </c>
      <c r="K32" s="17" t="s">
        <v>89</v>
      </c>
      <c r="L32" s="9">
        <v>1</v>
      </c>
      <c r="M32" s="9"/>
      <c r="N32" s="9"/>
      <c r="O32" s="9" t="s">
        <v>19</v>
      </c>
      <c r="P32" s="10" t="s">
        <v>90</v>
      </c>
      <c r="Q32" s="10"/>
      <c r="R32" s="10"/>
      <c r="S32" s="10"/>
      <c r="T32" s="10"/>
      <c r="U32" s="10">
        <v>60</v>
      </c>
      <c r="V32" s="20"/>
      <c r="W32" s="10">
        <v>1</v>
      </c>
      <c r="X32" s="16">
        <f>2.3038*U32^2.532</f>
        <v>73235.852262933506</v>
      </c>
      <c r="Y32" s="27"/>
      <c r="Z32" s="9" t="s">
        <v>44</v>
      </c>
      <c r="AA32" s="17">
        <f>0.216 * X32^0.939</f>
        <v>7987.8397380001807</v>
      </c>
      <c r="AB32" s="27"/>
      <c r="AC32" s="8" t="s">
        <v>91</v>
      </c>
      <c r="AD32" s="12"/>
      <c r="AE32" s="12"/>
      <c r="AF32" s="12"/>
      <c r="AG32" s="12"/>
    </row>
    <row r="33" spans="1:33" s="2" customFormat="1" ht="12">
      <c r="A33" s="8" t="s">
        <v>38</v>
      </c>
      <c r="B33" s="8" t="s">
        <v>66</v>
      </c>
      <c r="C33" s="8" t="s">
        <v>70</v>
      </c>
      <c r="D33" s="7" t="s">
        <v>94</v>
      </c>
      <c r="E33" s="14" t="s">
        <v>155</v>
      </c>
      <c r="F33" s="14"/>
      <c r="G33" s="27"/>
      <c r="H33" s="27"/>
      <c r="I33" s="9" t="s">
        <v>37</v>
      </c>
      <c r="J33" s="27" t="s">
        <v>95</v>
      </c>
      <c r="K33" s="8" t="s">
        <v>96</v>
      </c>
      <c r="L33" s="9">
        <v>13</v>
      </c>
      <c r="M33" s="9"/>
      <c r="N33" s="9"/>
      <c r="O33" s="9" t="s">
        <v>19</v>
      </c>
      <c r="P33" s="10" t="s">
        <v>97</v>
      </c>
      <c r="Q33" s="10">
        <v>150</v>
      </c>
      <c r="R33" s="10"/>
      <c r="S33" s="10">
        <v>10</v>
      </c>
      <c r="T33" s="10">
        <v>10</v>
      </c>
      <c r="U33" s="10"/>
      <c r="V33" s="20"/>
      <c r="W33" s="10">
        <v>1</v>
      </c>
      <c r="X33" s="16">
        <f>Q33*S33*T33/2*W33</f>
        <v>7500</v>
      </c>
      <c r="Y33" s="27"/>
      <c r="Z33" s="9" t="s">
        <v>44</v>
      </c>
      <c r="AA33" s="17">
        <f>0.288 * X33^0.811</f>
        <v>400.00661403872834</v>
      </c>
      <c r="AB33" s="27"/>
      <c r="AC33" s="8" t="s">
        <v>92</v>
      </c>
      <c r="AD33" s="12"/>
      <c r="AE33" s="12"/>
      <c r="AF33" s="12"/>
      <c r="AG33" s="12"/>
    </row>
    <row r="34" spans="1:33" s="2" customFormat="1" ht="12">
      <c r="A34" s="8" t="s">
        <v>38</v>
      </c>
      <c r="B34" s="8" t="s">
        <v>66</v>
      </c>
      <c r="C34" s="8" t="s">
        <v>70</v>
      </c>
      <c r="D34" s="7" t="s">
        <v>94</v>
      </c>
      <c r="E34" s="14" t="s">
        <v>155</v>
      </c>
      <c r="F34" s="14"/>
      <c r="G34" s="27"/>
      <c r="H34" s="27"/>
      <c r="I34" s="9" t="s">
        <v>37</v>
      </c>
      <c r="J34" s="27" t="s">
        <v>95</v>
      </c>
      <c r="K34" s="8" t="s">
        <v>96</v>
      </c>
      <c r="L34" s="9">
        <v>14</v>
      </c>
      <c r="M34" s="9"/>
      <c r="N34" s="9"/>
      <c r="O34" s="9" t="s">
        <v>19</v>
      </c>
      <c r="P34" s="10" t="s">
        <v>98</v>
      </c>
      <c r="Q34" s="10">
        <v>210</v>
      </c>
      <c r="R34" s="10"/>
      <c r="S34" s="10">
        <v>10</v>
      </c>
      <c r="T34" s="10">
        <v>10</v>
      </c>
      <c r="U34" s="10"/>
      <c r="V34" s="20"/>
      <c r="W34" s="10">
        <v>1</v>
      </c>
      <c r="X34" s="16">
        <f>Q34*S34*T34/2*W34</f>
        <v>10500</v>
      </c>
      <c r="Y34" s="27"/>
      <c r="Z34" s="9" t="s">
        <v>44</v>
      </c>
      <c r="AA34" s="17">
        <f>0.288 * X34^0.811</f>
        <v>525.50518968017195</v>
      </c>
      <c r="AB34" s="27"/>
      <c r="AC34" s="8" t="s">
        <v>92</v>
      </c>
      <c r="AD34" s="12"/>
      <c r="AE34" s="12"/>
      <c r="AF34" s="12"/>
      <c r="AG34" s="12"/>
    </row>
    <row r="35" spans="1:33" s="2" customFormat="1" ht="12">
      <c r="A35" s="8" t="s">
        <v>77</v>
      </c>
      <c r="B35" s="8" t="s">
        <v>78</v>
      </c>
      <c r="C35" s="8" t="s">
        <v>99</v>
      </c>
      <c r="D35" s="30" t="s">
        <v>100</v>
      </c>
      <c r="E35" s="8"/>
      <c r="F35" s="8"/>
      <c r="G35" s="8" t="s">
        <v>101</v>
      </c>
      <c r="H35" s="8"/>
      <c r="I35" s="9" t="s">
        <v>37</v>
      </c>
      <c r="J35" s="27" t="s">
        <v>81</v>
      </c>
      <c r="K35" s="8" t="s">
        <v>82</v>
      </c>
      <c r="L35" s="9">
        <v>1</v>
      </c>
      <c r="M35" s="9"/>
      <c r="N35" s="9"/>
      <c r="O35" s="9" t="s">
        <v>19</v>
      </c>
      <c r="P35" s="10" t="s">
        <v>23</v>
      </c>
      <c r="Q35" s="10">
        <v>30</v>
      </c>
      <c r="R35" s="10"/>
      <c r="S35" s="10"/>
      <c r="T35" s="10"/>
      <c r="U35" s="10">
        <v>12</v>
      </c>
      <c r="V35" s="10">
        <f>0.55*U35</f>
        <v>6.6000000000000005</v>
      </c>
      <c r="W35" s="10">
        <v>1</v>
      </c>
      <c r="X35" s="16">
        <f>3.14/6*Q35*U35*V35</f>
        <v>1243.44</v>
      </c>
      <c r="Y35" s="27"/>
      <c r="Z35" s="9" t="s">
        <v>44</v>
      </c>
      <c r="AA35" s="17">
        <f>0.216 * X35^0.939</f>
        <v>173.90275822104203</v>
      </c>
      <c r="AB35" s="27"/>
      <c r="AC35" s="8" t="s">
        <v>91</v>
      </c>
      <c r="AD35" s="12"/>
      <c r="AE35" s="12"/>
      <c r="AF35" s="12"/>
      <c r="AG35" s="12"/>
    </row>
    <row r="36" spans="1:33" s="2" customFormat="1" ht="12">
      <c r="A36" s="8" t="s">
        <v>77</v>
      </c>
      <c r="B36" s="8" t="s">
        <v>78</v>
      </c>
      <c r="C36" s="8" t="s">
        <v>99</v>
      </c>
      <c r="D36" s="30" t="s">
        <v>102</v>
      </c>
      <c r="E36" s="8"/>
      <c r="F36" s="8"/>
      <c r="G36" s="8" t="s">
        <v>103</v>
      </c>
      <c r="H36" s="8"/>
      <c r="I36" s="9" t="s">
        <v>37</v>
      </c>
      <c r="J36" s="27" t="s">
        <v>81</v>
      </c>
      <c r="K36" s="8" t="s">
        <v>82</v>
      </c>
      <c r="L36" s="9">
        <v>1</v>
      </c>
      <c r="M36" s="9"/>
      <c r="N36" s="9"/>
      <c r="O36" s="9" t="s">
        <v>19</v>
      </c>
      <c r="P36" s="10" t="s">
        <v>104</v>
      </c>
      <c r="Q36" s="10">
        <v>30</v>
      </c>
      <c r="R36" s="10"/>
      <c r="S36" s="10"/>
      <c r="T36" s="10"/>
      <c r="U36" s="10">
        <v>12</v>
      </c>
      <c r="V36" s="10">
        <f>0.55*U36</f>
        <v>6.6000000000000005</v>
      </c>
      <c r="W36" s="10">
        <v>1</v>
      </c>
      <c r="X36" s="16">
        <f>3.14/6*Q36*U36*V36</f>
        <v>1243.44</v>
      </c>
      <c r="Y36" s="27"/>
      <c r="Z36" s="9" t="s">
        <v>44</v>
      </c>
      <c r="AA36" s="17">
        <f>0.216 * X36^0.939</f>
        <v>173.90275822104203</v>
      </c>
      <c r="AB36" s="27"/>
      <c r="AC36" s="8" t="s">
        <v>91</v>
      </c>
      <c r="AD36" s="12"/>
      <c r="AE36" s="12"/>
      <c r="AF36" s="12"/>
      <c r="AG36" s="12"/>
    </row>
    <row r="37" spans="1:33" s="2" customFormat="1" ht="12">
      <c r="A37" s="8" t="s">
        <v>38</v>
      </c>
      <c r="B37" s="8" t="s">
        <v>66</v>
      </c>
      <c r="C37" s="8" t="s">
        <v>67</v>
      </c>
      <c r="D37" s="30" t="s">
        <v>106</v>
      </c>
      <c r="E37" s="8" t="s">
        <v>155</v>
      </c>
      <c r="F37" s="8"/>
      <c r="G37" s="8"/>
      <c r="H37" s="8"/>
      <c r="I37" s="9" t="s">
        <v>37</v>
      </c>
      <c r="J37" s="27" t="s">
        <v>59</v>
      </c>
      <c r="K37" s="8" t="s">
        <v>60</v>
      </c>
      <c r="L37" s="9">
        <v>1</v>
      </c>
      <c r="M37" s="9"/>
      <c r="N37" s="9"/>
      <c r="O37" s="9" t="s">
        <v>19</v>
      </c>
      <c r="P37" s="10" t="s">
        <v>22</v>
      </c>
      <c r="Q37" s="10"/>
      <c r="R37" s="10"/>
      <c r="S37" s="10"/>
      <c r="T37" s="20">
        <v>20</v>
      </c>
      <c r="U37" s="20">
        <v>8.4</v>
      </c>
      <c r="V37" s="20"/>
      <c r="W37" s="10">
        <v>1</v>
      </c>
      <c r="X37" s="16">
        <f>3.14/4*U37^2*T37</f>
        <v>1107.7919999999999</v>
      </c>
      <c r="Y37" s="27"/>
      <c r="Z37" s="9" t="s">
        <v>44</v>
      </c>
      <c r="AA37" s="17">
        <f>0.288 * X37^0.811</f>
        <v>84.810204001118521</v>
      </c>
      <c r="AB37" s="8"/>
      <c r="AC37" s="8" t="s">
        <v>91</v>
      </c>
      <c r="AD37" s="12"/>
      <c r="AE37" s="12"/>
      <c r="AF37" s="12"/>
      <c r="AG37" s="12"/>
    </row>
    <row r="38" spans="1:33" s="2" customFormat="1" ht="12">
      <c r="A38" s="8" t="s">
        <v>38</v>
      </c>
      <c r="B38" s="8" t="s">
        <v>39</v>
      </c>
      <c r="C38" s="8" t="s">
        <v>40</v>
      </c>
      <c r="D38" s="30" t="s">
        <v>107</v>
      </c>
      <c r="E38" s="14" t="s">
        <v>155</v>
      </c>
      <c r="F38" s="14"/>
      <c r="G38" s="27"/>
      <c r="H38" s="27"/>
      <c r="I38" s="9" t="s">
        <v>37</v>
      </c>
      <c r="J38" s="27" t="s">
        <v>17</v>
      </c>
      <c r="K38" s="15" t="s">
        <v>18</v>
      </c>
      <c r="L38" s="9">
        <v>1</v>
      </c>
      <c r="M38" s="9"/>
      <c r="N38" s="9"/>
      <c r="O38" s="9" t="s">
        <v>19</v>
      </c>
      <c r="P38" s="28" t="s">
        <v>43</v>
      </c>
      <c r="Q38" s="10"/>
      <c r="R38" s="10"/>
      <c r="S38" s="10"/>
      <c r="T38" s="10"/>
      <c r="U38" s="8">
        <v>7.5</v>
      </c>
      <c r="V38" s="20"/>
      <c r="W38" s="10">
        <v>1</v>
      </c>
      <c r="X38" s="16">
        <f>3.14/6*U38^3</f>
        <v>220.78125</v>
      </c>
      <c r="Y38" s="27"/>
      <c r="Z38" s="9" t="s">
        <v>44</v>
      </c>
      <c r="AA38" s="17">
        <f t="shared" ref="AA38:AA52" si="3">0.216 * X38^0.939</f>
        <v>34.311068712042065</v>
      </c>
      <c r="AB38" s="8"/>
      <c r="AC38" s="8" t="s">
        <v>91</v>
      </c>
      <c r="AD38" s="12"/>
      <c r="AE38" s="12"/>
      <c r="AF38" s="12"/>
      <c r="AG38" s="12"/>
    </row>
    <row r="39" spans="1:33" s="2" customFormat="1" ht="12">
      <c r="A39" s="8" t="s">
        <v>38</v>
      </c>
      <c r="B39" s="8" t="s">
        <v>39</v>
      </c>
      <c r="C39" s="8" t="s">
        <v>40</v>
      </c>
      <c r="D39" s="30" t="s">
        <v>107</v>
      </c>
      <c r="E39" s="14" t="s">
        <v>155</v>
      </c>
      <c r="F39" s="14"/>
      <c r="G39" s="27"/>
      <c r="H39" s="27"/>
      <c r="I39" s="9" t="s">
        <v>37</v>
      </c>
      <c r="J39" s="27" t="s">
        <v>17</v>
      </c>
      <c r="K39" s="15" t="s">
        <v>18</v>
      </c>
      <c r="L39" s="9">
        <v>2</v>
      </c>
      <c r="M39" s="9"/>
      <c r="N39" s="9"/>
      <c r="O39" s="9" t="s">
        <v>19</v>
      </c>
      <c r="P39" s="28" t="s">
        <v>46</v>
      </c>
      <c r="Q39" s="10"/>
      <c r="R39" s="10"/>
      <c r="S39" s="10"/>
      <c r="T39" s="10"/>
      <c r="U39" s="8">
        <v>12.5</v>
      </c>
      <c r="V39" s="20"/>
      <c r="W39" s="10">
        <v>1</v>
      </c>
      <c r="X39" s="16">
        <f>3.14/6*U39^3</f>
        <v>1022.1354166666666</v>
      </c>
      <c r="Y39" s="27"/>
      <c r="Z39" s="9" t="s">
        <v>44</v>
      </c>
      <c r="AA39" s="17">
        <f t="shared" si="3"/>
        <v>144.67122978656218</v>
      </c>
      <c r="AB39" s="8"/>
      <c r="AC39" s="8" t="s">
        <v>91</v>
      </c>
      <c r="AD39" s="12"/>
      <c r="AE39" s="12"/>
      <c r="AF39" s="12"/>
      <c r="AG39" s="12"/>
    </row>
    <row r="40" spans="1:33" s="2" customFormat="1" ht="12">
      <c r="A40" s="8" t="s">
        <v>38</v>
      </c>
      <c r="B40" s="8" t="s">
        <v>39</v>
      </c>
      <c r="C40" s="8" t="s">
        <v>40</v>
      </c>
      <c r="D40" s="30" t="s">
        <v>107</v>
      </c>
      <c r="E40" s="14" t="s">
        <v>155</v>
      </c>
      <c r="F40" s="14"/>
      <c r="G40" s="27"/>
      <c r="H40" s="27"/>
      <c r="I40" s="9" t="s">
        <v>37</v>
      </c>
      <c r="J40" s="27" t="s">
        <v>17</v>
      </c>
      <c r="K40" s="15" t="s">
        <v>18</v>
      </c>
      <c r="L40" s="9">
        <v>3</v>
      </c>
      <c r="M40" s="9"/>
      <c r="N40" s="9"/>
      <c r="O40" s="9" t="s">
        <v>19</v>
      </c>
      <c r="P40" s="28" t="s">
        <v>47</v>
      </c>
      <c r="Q40" s="10"/>
      <c r="R40" s="10"/>
      <c r="S40" s="10"/>
      <c r="T40" s="10"/>
      <c r="U40" s="8">
        <v>17.5</v>
      </c>
      <c r="V40" s="20"/>
      <c r="W40" s="10">
        <v>1</v>
      </c>
      <c r="X40" s="16">
        <f>3.14/6*U40^3</f>
        <v>2804.739583333333</v>
      </c>
      <c r="Y40" s="27"/>
      <c r="Z40" s="9" t="s">
        <v>44</v>
      </c>
      <c r="AA40" s="17">
        <f t="shared" si="3"/>
        <v>373.27151526551023</v>
      </c>
      <c r="AB40" s="8"/>
      <c r="AC40" s="8" t="s">
        <v>91</v>
      </c>
      <c r="AD40" s="12"/>
      <c r="AE40" s="12"/>
      <c r="AF40" s="12"/>
      <c r="AG40" s="12"/>
    </row>
    <row r="41" spans="1:33" s="2" customFormat="1" ht="12">
      <c r="A41" s="8" t="s">
        <v>38</v>
      </c>
      <c r="B41" s="8" t="s">
        <v>39</v>
      </c>
      <c r="C41" s="8" t="s">
        <v>40</v>
      </c>
      <c r="D41" s="30" t="s">
        <v>107</v>
      </c>
      <c r="E41" s="14" t="s">
        <v>155</v>
      </c>
      <c r="F41" s="14"/>
      <c r="G41" s="27"/>
      <c r="H41" s="27"/>
      <c r="I41" s="9" t="s">
        <v>37</v>
      </c>
      <c r="J41" s="27" t="s">
        <v>17</v>
      </c>
      <c r="K41" s="15" t="s">
        <v>18</v>
      </c>
      <c r="L41" s="9">
        <v>4</v>
      </c>
      <c r="M41" s="9"/>
      <c r="N41" s="9"/>
      <c r="O41" s="9" t="s">
        <v>19</v>
      </c>
      <c r="P41" s="28" t="s">
        <v>48</v>
      </c>
      <c r="Q41" s="10"/>
      <c r="R41" s="10"/>
      <c r="S41" s="10"/>
      <c r="T41" s="10"/>
      <c r="U41" s="8">
        <v>22.5</v>
      </c>
      <c r="V41" s="20"/>
      <c r="W41" s="10">
        <v>1</v>
      </c>
      <c r="X41" s="16">
        <f>3.14/6*U41^3</f>
        <v>5961.09375</v>
      </c>
      <c r="Y41" s="27"/>
      <c r="Z41" s="9" t="s">
        <v>44</v>
      </c>
      <c r="AA41" s="17">
        <f t="shared" si="3"/>
        <v>757.67824926849892</v>
      </c>
      <c r="AB41" s="8"/>
      <c r="AC41" s="8" t="s">
        <v>91</v>
      </c>
      <c r="AD41" s="12"/>
      <c r="AE41" s="12"/>
      <c r="AF41" s="12"/>
      <c r="AG41" s="12"/>
    </row>
    <row r="42" spans="1:33" s="2" customFormat="1" ht="13.5">
      <c r="A42" s="8" t="s">
        <v>38</v>
      </c>
      <c r="B42" s="8" t="s">
        <v>39</v>
      </c>
      <c r="C42" s="8" t="s">
        <v>40</v>
      </c>
      <c r="D42" s="30" t="s">
        <v>107</v>
      </c>
      <c r="E42" s="14" t="s">
        <v>155</v>
      </c>
      <c r="F42" s="14"/>
      <c r="G42" s="27"/>
      <c r="H42" s="27"/>
      <c r="I42" s="9" t="s">
        <v>37</v>
      </c>
      <c r="J42" s="8" t="s">
        <v>49</v>
      </c>
      <c r="K42" s="19" t="s">
        <v>50</v>
      </c>
      <c r="L42" s="9">
        <v>5</v>
      </c>
      <c r="M42" s="9"/>
      <c r="N42" s="9"/>
      <c r="O42" s="9" t="s">
        <v>19</v>
      </c>
      <c r="P42" s="28" t="s">
        <v>51</v>
      </c>
      <c r="Q42" s="8">
        <v>15</v>
      </c>
      <c r="R42" s="10"/>
      <c r="S42" s="10"/>
      <c r="T42" s="10"/>
      <c r="U42" s="8">
        <v>10</v>
      </c>
      <c r="V42" s="8">
        <v>4</v>
      </c>
      <c r="W42" s="8"/>
      <c r="X42" s="16">
        <f>(3.14/12*(Q42-U42/2)*(U42^2+U42*V42+V42^2))+(3.14/12*V42^3)</f>
        <v>424.94666666666666</v>
      </c>
      <c r="Y42" s="27"/>
      <c r="Z42" s="9" t="s">
        <v>44</v>
      </c>
      <c r="AA42" s="17">
        <f t="shared" si="3"/>
        <v>63.454113055788817</v>
      </c>
      <c r="AB42" s="8"/>
      <c r="AC42" s="8" t="s">
        <v>91</v>
      </c>
      <c r="AD42" s="12"/>
      <c r="AE42" s="12"/>
      <c r="AF42" s="12"/>
      <c r="AG42" s="12"/>
    </row>
    <row r="43" spans="1:33" s="2" customFormat="1" ht="13.5">
      <c r="A43" s="8" t="s">
        <v>38</v>
      </c>
      <c r="B43" s="8" t="s">
        <v>39</v>
      </c>
      <c r="C43" s="8" t="s">
        <v>40</v>
      </c>
      <c r="D43" s="30" t="s">
        <v>107</v>
      </c>
      <c r="E43" s="14" t="s">
        <v>155</v>
      </c>
      <c r="F43" s="14"/>
      <c r="G43" s="27"/>
      <c r="H43" s="27"/>
      <c r="I43" s="9" t="s">
        <v>37</v>
      </c>
      <c r="J43" s="8" t="s">
        <v>49</v>
      </c>
      <c r="K43" s="19" t="s">
        <v>50</v>
      </c>
      <c r="L43" s="9">
        <v>6</v>
      </c>
      <c r="M43" s="9"/>
      <c r="N43" s="9"/>
      <c r="O43" s="9" t="s">
        <v>19</v>
      </c>
      <c r="P43" s="28" t="s">
        <v>52</v>
      </c>
      <c r="Q43" s="8">
        <v>25</v>
      </c>
      <c r="R43" s="10"/>
      <c r="S43" s="10"/>
      <c r="T43" s="10"/>
      <c r="U43" s="8">
        <v>10</v>
      </c>
      <c r="V43" s="8">
        <v>5</v>
      </c>
      <c r="W43" s="8"/>
      <c r="X43" s="16">
        <f>(3.14/12*(Q43-U43/2)*(U43^2+U43*V43+V43^2))+(3.14/12*V43^3)</f>
        <v>948.54166666666674</v>
      </c>
      <c r="Y43" s="27"/>
      <c r="Z43" s="9" t="s">
        <v>44</v>
      </c>
      <c r="AA43" s="17">
        <f t="shared" si="3"/>
        <v>134.86825018524846</v>
      </c>
      <c r="AB43" s="8"/>
      <c r="AC43" s="8" t="s">
        <v>91</v>
      </c>
      <c r="AD43" s="12"/>
      <c r="AE43" s="12"/>
      <c r="AF43" s="12"/>
      <c r="AG43" s="12"/>
    </row>
    <row r="44" spans="1:33" s="2" customFormat="1" ht="13.5">
      <c r="A44" s="8" t="s">
        <v>38</v>
      </c>
      <c r="B44" s="8" t="s">
        <v>39</v>
      </c>
      <c r="C44" s="8" t="s">
        <v>40</v>
      </c>
      <c r="D44" s="30" t="s">
        <v>107</v>
      </c>
      <c r="E44" s="14" t="s">
        <v>155</v>
      </c>
      <c r="F44" s="14"/>
      <c r="G44" s="27"/>
      <c r="H44" s="27"/>
      <c r="I44" s="9" t="s">
        <v>37</v>
      </c>
      <c r="J44" s="8" t="s">
        <v>49</v>
      </c>
      <c r="K44" s="19" t="s">
        <v>50</v>
      </c>
      <c r="L44" s="9">
        <v>7</v>
      </c>
      <c r="M44" s="9"/>
      <c r="N44" s="9"/>
      <c r="O44" s="9" t="s">
        <v>19</v>
      </c>
      <c r="P44" s="28" t="s">
        <v>53</v>
      </c>
      <c r="Q44" s="8">
        <v>35</v>
      </c>
      <c r="R44" s="10"/>
      <c r="S44" s="10"/>
      <c r="T44" s="10"/>
      <c r="U44" s="8">
        <v>15</v>
      </c>
      <c r="V44" s="8">
        <v>7</v>
      </c>
      <c r="W44" s="8"/>
      <c r="X44" s="16">
        <f>(3.14/12*(Q44-U44/2)*(U44^2+U44*V44+V44^2))+(3.14/12*V44^3)</f>
        <v>2816.9724999999999</v>
      </c>
      <c r="Y44" s="27"/>
      <c r="Z44" s="9" t="s">
        <v>44</v>
      </c>
      <c r="AA44" s="17">
        <f t="shared" si="3"/>
        <v>374.80003210621794</v>
      </c>
      <c r="AB44" s="8"/>
      <c r="AC44" s="8" t="s">
        <v>91</v>
      </c>
      <c r="AD44" s="12"/>
      <c r="AE44" s="12"/>
      <c r="AF44" s="12"/>
      <c r="AG44" s="12"/>
    </row>
    <row r="45" spans="1:33" s="2" customFormat="1" ht="13.5">
      <c r="A45" s="8" t="s">
        <v>38</v>
      </c>
      <c r="B45" s="8" t="s">
        <v>39</v>
      </c>
      <c r="C45" s="8" t="s">
        <v>40</v>
      </c>
      <c r="D45" s="30" t="s">
        <v>107</v>
      </c>
      <c r="E45" s="14" t="s">
        <v>155</v>
      </c>
      <c r="F45" s="14"/>
      <c r="G45" s="27"/>
      <c r="H45" s="27"/>
      <c r="I45" s="9" t="s">
        <v>37</v>
      </c>
      <c r="J45" s="8" t="s">
        <v>49</v>
      </c>
      <c r="K45" s="19" t="s">
        <v>50</v>
      </c>
      <c r="L45" s="9">
        <v>8</v>
      </c>
      <c r="M45" s="9"/>
      <c r="N45" s="9"/>
      <c r="O45" s="9" t="s">
        <v>19</v>
      </c>
      <c r="P45" s="28" t="s">
        <v>54</v>
      </c>
      <c r="Q45" s="8">
        <v>45</v>
      </c>
      <c r="R45" s="10"/>
      <c r="S45" s="10"/>
      <c r="T45" s="10"/>
      <c r="U45" s="8">
        <v>17.5</v>
      </c>
      <c r="V45" s="8">
        <v>10</v>
      </c>
      <c r="W45" s="8"/>
      <c r="X45" s="16">
        <f>(3.14/12*(Q45-U45/2)*(U45^2+U45*V45+V45^2))+(3.14/12*V45^3)</f>
        <v>5775.0651041666661</v>
      </c>
      <c r="Y45" s="27"/>
      <c r="Z45" s="9" t="s">
        <v>44</v>
      </c>
      <c r="AA45" s="17">
        <f t="shared" si="3"/>
        <v>735.45425633844366</v>
      </c>
      <c r="AB45" s="8"/>
      <c r="AC45" s="8" t="s">
        <v>91</v>
      </c>
      <c r="AD45" s="12"/>
      <c r="AE45" s="12"/>
      <c r="AF45" s="12"/>
      <c r="AG45" s="12"/>
    </row>
    <row r="46" spans="1:33" s="2" customFormat="1" ht="12">
      <c r="A46" s="8" t="s">
        <v>108</v>
      </c>
      <c r="B46" s="8"/>
      <c r="C46" s="8"/>
      <c r="D46" s="7" t="s">
        <v>109</v>
      </c>
      <c r="E46" s="14" t="s">
        <v>155</v>
      </c>
      <c r="F46" s="14"/>
      <c r="G46" s="27"/>
      <c r="H46" s="27"/>
      <c r="I46" s="9" t="s">
        <v>37</v>
      </c>
      <c r="J46" s="27" t="s">
        <v>17</v>
      </c>
      <c r="K46" s="8" t="s">
        <v>18</v>
      </c>
      <c r="L46" s="9">
        <v>9</v>
      </c>
      <c r="M46" s="9"/>
      <c r="N46" s="9"/>
      <c r="O46" s="9" t="s">
        <v>19</v>
      </c>
      <c r="P46" s="10" t="s">
        <v>110</v>
      </c>
      <c r="Q46" s="10"/>
      <c r="R46" s="10"/>
      <c r="S46" s="10"/>
      <c r="T46" s="10"/>
      <c r="U46" s="10">
        <v>30</v>
      </c>
      <c r="V46" s="10"/>
      <c r="W46" s="10">
        <v>1</v>
      </c>
      <c r="X46" s="16">
        <f t="shared" ref="X46:X52" si="4">3.14/6*U46^3*W46</f>
        <v>14130</v>
      </c>
      <c r="Y46" s="27">
        <v>11</v>
      </c>
      <c r="Z46" s="9" t="s">
        <v>44</v>
      </c>
      <c r="AA46" s="11">
        <f t="shared" si="3"/>
        <v>1703.8730788363557</v>
      </c>
      <c r="AB46" s="27"/>
      <c r="AC46" s="8" t="s">
        <v>91</v>
      </c>
      <c r="AD46" s="12"/>
      <c r="AE46" s="12"/>
      <c r="AF46" s="12"/>
      <c r="AG46" s="12"/>
    </row>
    <row r="47" spans="1:33" s="2" customFormat="1" ht="12">
      <c r="A47" s="8" t="s">
        <v>108</v>
      </c>
      <c r="B47" s="8"/>
      <c r="C47" s="8"/>
      <c r="D47" s="7" t="s">
        <v>109</v>
      </c>
      <c r="E47" s="14" t="s">
        <v>155</v>
      </c>
      <c r="F47" s="14"/>
      <c r="G47" s="27"/>
      <c r="H47" s="27"/>
      <c r="I47" s="9" t="s">
        <v>37</v>
      </c>
      <c r="J47" s="27" t="s">
        <v>17</v>
      </c>
      <c r="K47" s="8" t="s">
        <v>18</v>
      </c>
      <c r="L47" s="9">
        <v>10</v>
      </c>
      <c r="M47" s="9"/>
      <c r="N47" s="9"/>
      <c r="O47" s="9" t="s">
        <v>19</v>
      </c>
      <c r="P47" s="10" t="s">
        <v>105</v>
      </c>
      <c r="Q47" s="10"/>
      <c r="R47" s="10"/>
      <c r="S47" s="10"/>
      <c r="T47" s="10"/>
      <c r="U47" s="10">
        <v>50</v>
      </c>
      <c r="V47" s="10"/>
      <c r="W47" s="10">
        <v>1</v>
      </c>
      <c r="X47" s="16">
        <f t="shared" si="4"/>
        <v>65416.666666666664</v>
      </c>
      <c r="Y47" s="27">
        <v>11</v>
      </c>
      <c r="Z47" s="9" t="s">
        <v>44</v>
      </c>
      <c r="AA47" s="11">
        <f t="shared" si="3"/>
        <v>7184.3117387059938</v>
      </c>
      <c r="AB47" s="27"/>
      <c r="AC47" s="8" t="s">
        <v>91</v>
      </c>
      <c r="AD47" s="12"/>
      <c r="AE47" s="12"/>
      <c r="AF47" s="12"/>
      <c r="AG47" s="12"/>
    </row>
    <row r="48" spans="1:33" s="2" customFormat="1" ht="12">
      <c r="A48" s="8" t="s">
        <v>108</v>
      </c>
      <c r="B48" s="8"/>
      <c r="C48" s="8"/>
      <c r="D48" s="7" t="s">
        <v>109</v>
      </c>
      <c r="E48" s="14" t="s">
        <v>155</v>
      </c>
      <c r="F48" s="14"/>
      <c r="G48" s="27"/>
      <c r="H48" s="27"/>
      <c r="I48" s="9" t="s">
        <v>37</v>
      </c>
      <c r="J48" s="27" t="s">
        <v>17</v>
      </c>
      <c r="K48" s="8" t="s">
        <v>18</v>
      </c>
      <c r="L48" s="9">
        <v>11</v>
      </c>
      <c r="M48" s="9"/>
      <c r="N48" s="9"/>
      <c r="O48" s="9" t="s">
        <v>19</v>
      </c>
      <c r="P48" s="10" t="s">
        <v>111</v>
      </c>
      <c r="Q48" s="10"/>
      <c r="R48" s="10"/>
      <c r="S48" s="10"/>
      <c r="T48" s="10"/>
      <c r="U48" s="10">
        <v>70</v>
      </c>
      <c r="V48" s="10"/>
      <c r="W48" s="10">
        <v>1</v>
      </c>
      <c r="X48" s="16">
        <f t="shared" si="4"/>
        <v>179503.33333333331</v>
      </c>
      <c r="Y48" s="27">
        <v>11</v>
      </c>
      <c r="Z48" s="9" t="s">
        <v>44</v>
      </c>
      <c r="AA48" s="11">
        <f t="shared" si="3"/>
        <v>18536.504685852004</v>
      </c>
      <c r="AB48" s="27"/>
      <c r="AC48" s="8" t="s">
        <v>91</v>
      </c>
      <c r="AD48" s="12"/>
      <c r="AE48" s="12"/>
      <c r="AF48" s="12"/>
      <c r="AG48" s="12"/>
    </row>
    <row r="49" spans="1:33" s="2" customFormat="1" ht="12">
      <c r="A49" s="8" t="s">
        <v>108</v>
      </c>
      <c r="B49" s="8"/>
      <c r="C49" s="8"/>
      <c r="D49" s="7" t="s">
        <v>109</v>
      </c>
      <c r="E49" s="14" t="s">
        <v>155</v>
      </c>
      <c r="F49" s="14"/>
      <c r="G49" s="27"/>
      <c r="H49" s="27"/>
      <c r="I49" s="9" t="s">
        <v>37</v>
      </c>
      <c r="J49" s="27" t="s">
        <v>17</v>
      </c>
      <c r="K49" s="8" t="s">
        <v>18</v>
      </c>
      <c r="L49" s="9">
        <v>12</v>
      </c>
      <c r="M49" s="9"/>
      <c r="N49" s="9"/>
      <c r="O49" s="9" t="s">
        <v>19</v>
      </c>
      <c r="P49" s="10" t="s">
        <v>112</v>
      </c>
      <c r="Q49" s="10"/>
      <c r="R49" s="10"/>
      <c r="S49" s="10"/>
      <c r="T49" s="10"/>
      <c r="U49" s="10">
        <v>90</v>
      </c>
      <c r="V49" s="10"/>
      <c r="W49" s="10">
        <v>1</v>
      </c>
      <c r="X49" s="16">
        <f t="shared" si="4"/>
        <v>381510</v>
      </c>
      <c r="Y49" s="27">
        <v>11</v>
      </c>
      <c r="Z49" s="9" t="s">
        <v>44</v>
      </c>
      <c r="AA49" s="11">
        <f t="shared" si="3"/>
        <v>37625.979598104546</v>
      </c>
      <c r="AB49" s="27"/>
      <c r="AC49" s="8" t="s">
        <v>91</v>
      </c>
      <c r="AD49" s="12"/>
      <c r="AE49" s="12"/>
      <c r="AF49" s="12"/>
      <c r="AG49" s="12"/>
    </row>
    <row r="50" spans="1:33" s="2" customFormat="1" ht="12">
      <c r="A50" s="8" t="s">
        <v>77</v>
      </c>
      <c r="B50" s="8" t="s">
        <v>78</v>
      </c>
      <c r="C50" s="8" t="s">
        <v>86</v>
      </c>
      <c r="D50" s="67" t="s">
        <v>113</v>
      </c>
      <c r="E50" s="12"/>
      <c r="F50" s="12"/>
      <c r="G50" s="32" t="s">
        <v>114</v>
      </c>
      <c r="H50" s="32"/>
      <c r="I50" s="9" t="s">
        <v>16</v>
      </c>
      <c r="J50" s="27" t="s">
        <v>17</v>
      </c>
      <c r="K50" s="8" t="s">
        <v>18</v>
      </c>
      <c r="L50" s="9">
        <v>1</v>
      </c>
      <c r="M50" s="9"/>
      <c r="N50" s="9"/>
      <c r="O50" s="9" t="s">
        <v>19</v>
      </c>
      <c r="P50" s="10" t="s">
        <v>115</v>
      </c>
      <c r="Q50" s="10"/>
      <c r="R50" s="10"/>
      <c r="S50" s="10"/>
      <c r="T50" s="10"/>
      <c r="U50" s="10">
        <v>55</v>
      </c>
      <c r="V50" s="10"/>
      <c r="W50" s="10">
        <v>1</v>
      </c>
      <c r="X50" s="16">
        <f t="shared" si="4"/>
        <v>87069.583333333328</v>
      </c>
      <c r="Y50" s="27"/>
      <c r="Z50" s="9" t="s">
        <v>44</v>
      </c>
      <c r="AA50" s="17">
        <f t="shared" si="3"/>
        <v>9396.9813059906573</v>
      </c>
      <c r="AB50" s="27"/>
      <c r="AC50" s="8" t="s">
        <v>91</v>
      </c>
      <c r="AD50" s="12"/>
      <c r="AE50" s="12"/>
      <c r="AF50" s="12"/>
      <c r="AG50" s="12"/>
    </row>
    <row r="51" spans="1:33" s="2" customFormat="1" ht="12">
      <c r="A51" s="8" t="s">
        <v>77</v>
      </c>
      <c r="B51" s="8" t="s">
        <v>78</v>
      </c>
      <c r="C51" s="8" t="s">
        <v>86</v>
      </c>
      <c r="D51" s="67" t="s">
        <v>116</v>
      </c>
      <c r="E51" s="12"/>
      <c r="F51" s="12"/>
      <c r="G51" s="32" t="s">
        <v>117</v>
      </c>
      <c r="H51" s="32"/>
      <c r="I51" s="24" t="s">
        <v>16</v>
      </c>
      <c r="J51" s="27" t="s">
        <v>17</v>
      </c>
      <c r="K51" s="8" t="s">
        <v>18</v>
      </c>
      <c r="L51" s="9">
        <v>1</v>
      </c>
      <c r="M51" s="9"/>
      <c r="N51" s="9"/>
      <c r="O51" s="9" t="s">
        <v>19</v>
      </c>
      <c r="P51" s="10" t="s">
        <v>115</v>
      </c>
      <c r="Q51" s="10"/>
      <c r="R51" s="10"/>
      <c r="S51" s="10"/>
      <c r="T51" s="10"/>
      <c r="U51" s="10">
        <v>55</v>
      </c>
      <c r="V51" s="10"/>
      <c r="W51" s="10">
        <v>1</v>
      </c>
      <c r="X51" s="16">
        <f t="shared" si="4"/>
        <v>87069.583333333328</v>
      </c>
      <c r="Y51" s="27"/>
      <c r="Z51" s="9" t="s">
        <v>44</v>
      </c>
      <c r="AA51" s="17">
        <f t="shared" si="3"/>
        <v>9396.9813059906573</v>
      </c>
      <c r="AB51" s="27"/>
      <c r="AC51" s="8" t="s">
        <v>91</v>
      </c>
      <c r="AD51" s="12"/>
      <c r="AE51" s="12"/>
      <c r="AF51" s="12"/>
      <c r="AG51" s="12"/>
    </row>
    <row r="52" spans="1:33" s="2" customFormat="1" ht="12">
      <c r="A52" s="8" t="s">
        <v>77</v>
      </c>
      <c r="B52" s="8" t="s">
        <v>78</v>
      </c>
      <c r="C52" s="8" t="s">
        <v>86</v>
      </c>
      <c r="D52" s="67" t="s">
        <v>118</v>
      </c>
      <c r="E52" s="12"/>
      <c r="F52" s="12"/>
      <c r="G52" s="32" t="s">
        <v>119</v>
      </c>
      <c r="H52" s="32"/>
      <c r="I52" s="9" t="s">
        <v>16</v>
      </c>
      <c r="J52" s="27" t="s">
        <v>17</v>
      </c>
      <c r="K52" s="8" t="s">
        <v>18</v>
      </c>
      <c r="L52" s="9">
        <v>1</v>
      </c>
      <c r="M52" s="9"/>
      <c r="N52" s="9"/>
      <c r="O52" s="9" t="s">
        <v>19</v>
      </c>
      <c r="P52" s="10" t="s">
        <v>120</v>
      </c>
      <c r="Q52" s="10"/>
      <c r="R52" s="10"/>
      <c r="S52" s="10"/>
      <c r="T52" s="10"/>
      <c r="U52" s="10">
        <v>75</v>
      </c>
      <c r="V52" s="10"/>
      <c r="W52" s="10">
        <v>1</v>
      </c>
      <c r="X52" s="16">
        <f t="shared" si="4"/>
        <v>220781.25</v>
      </c>
      <c r="Y52" s="27"/>
      <c r="Z52" s="9" t="s">
        <v>44</v>
      </c>
      <c r="AA52" s="17">
        <f t="shared" si="3"/>
        <v>22513.045317200133</v>
      </c>
      <c r="AB52" s="27"/>
      <c r="AC52" s="8" t="s">
        <v>91</v>
      </c>
      <c r="AD52" s="12"/>
      <c r="AE52" s="12"/>
      <c r="AF52" s="12"/>
      <c r="AG52" s="12"/>
    </row>
    <row r="53" spans="1:33" s="2" customFormat="1" ht="12">
      <c r="A53" s="8" t="s">
        <v>125</v>
      </c>
      <c r="B53" s="8" t="s">
        <v>126</v>
      </c>
      <c r="C53" s="8" t="s">
        <v>127</v>
      </c>
      <c r="D53" s="30" t="s">
        <v>128</v>
      </c>
      <c r="E53" s="8" t="s">
        <v>155</v>
      </c>
      <c r="F53" s="8"/>
      <c r="G53" s="8"/>
      <c r="H53" s="8"/>
      <c r="I53" s="9" t="s">
        <v>37</v>
      </c>
      <c r="J53" s="27" t="s">
        <v>81</v>
      </c>
      <c r="K53" s="8" t="s">
        <v>82</v>
      </c>
      <c r="L53" s="9">
        <v>1</v>
      </c>
      <c r="M53" s="9"/>
      <c r="N53" s="9"/>
      <c r="O53" s="9" t="s">
        <v>19</v>
      </c>
      <c r="P53" s="10" t="s">
        <v>129</v>
      </c>
      <c r="Q53" s="10">
        <v>15</v>
      </c>
      <c r="R53" s="10"/>
      <c r="S53" s="10"/>
      <c r="T53" s="10"/>
      <c r="U53" s="10">
        <v>8</v>
      </c>
      <c r="V53" s="10">
        <f>U53*0.75</f>
        <v>6</v>
      </c>
      <c r="W53" s="10">
        <v>1</v>
      </c>
      <c r="X53" s="16">
        <f>3.14/6*Q53*U53*V53</f>
        <v>376.79999999999995</v>
      </c>
      <c r="Y53" s="27" t="s">
        <v>130</v>
      </c>
      <c r="Z53" s="9" t="s">
        <v>44</v>
      </c>
      <c r="AA53" s="17">
        <f>0.216 * X53^0.939</f>
        <v>56.678961035474302</v>
      </c>
      <c r="AB53" s="27" t="s">
        <v>122</v>
      </c>
      <c r="AC53" s="8" t="s">
        <v>123</v>
      </c>
      <c r="AD53" s="12"/>
      <c r="AE53" s="12"/>
      <c r="AF53" s="12"/>
      <c r="AG53" s="12"/>
    </row>
    <row r="54" spans="1:33" s="2" customFormat="1" ht="12">
      <c r="A54" s="8" t="s">
        <v>108</v>
      </c>
      <c r="B54" s="8"/>
      <c r="C54" s="8"/>
      <c r="D54" s="21" t="s">
        <v>131</v>
      </c>
      <c r="E54" s="8" t="s">
        <v>155</v>
      </c>
      <c r="F54" s="8"/>
      <c r="G54" s="8"/>
      <c r="H54" s="8"/>
      <c r="I54" s="9" t="s">
        <v>37</v>
      </c>
      <c r="J54" s="8" t="s">
        <v>124</v>
      </c>
      <c r="K54" s="8"/>
      <c r="L54" s="9">
        <v>1</v>
      </c>
      <c r="M54" s="9"/>
      <c r="N54" s="9"/>
      <c r="O54" s="9" t="s">
        <v>19</v>
      </c>
      <c r="P54" s="10" t="s">
        <v>132</v>
      </c>
      <c r="Q54" s="10"/>
      <c r="R54" s="10"/>
      <c r="S54" s="10"/>
      <c r="T54" s="10"/>
      <c r="U54" s="10"/>
      <c r="V54" s="10"/>
      <c r="W54" s="10"/>
      <c r="X54" s="13"/>
      <c r="Y54" s="27"/>
      <c r="Z54" s="10"/>
      <c r="AA54" s="11"/>
      <c r="AB54" s="8"/>
      <c r="AC54" s="25" t="s">
        <v>133</v>
      </c>
      <c r="AD54" s="12"/>
      <c r="AE54" s="12"/>
      <c r="AF54" s="12"/>
      <c r="AG54" s="12"/>
    </row>
    <row r="55" spans="1:33" s="2" customFormat="1" ht="12">
      <c r="A55" s="8" t="s">
        <v>108</v>
      </c>
      <c r="B55" s="8"/>
      <c r="C55" s="8"/>
      <c r="D55" s="21" t="s">
        <v>131</v>
      </c>
      <c r="E55" s="8" t="s">
        <v>155</v>
      </c>
      <c r="F55" s="8"/>
      <c r="G55" s="8"/>
      <c r="H55" s="8"/>
      <c r="I55" s="9" t="s">
        <v>37</v>
      </c>
      <c r="J55" s="8" t="s">
        <v>17</v>
      </c>
      <c r="K55" s="8"/>
      <c r="L55" s="9">
        <v>1</v>
      </c>
      <c r="M55" s="9"/>
      <c r="N55" s="9"/>
      <c r="O55" s="9" t="s">
        <v>19</v>
      </c>
      <c r="P55" s="10">
        <v>2</v>
      </c>
      <c r="Q55" s="10"/>
      <c r="R55" s="10"/>
      <c r="S55" s="10"/>
      <c r="T55" s="10"/>
      <c r="U55" s="10"/>
      <c r="V55" s="10"/>
      <c r="W55" s="10"/>
      <c r="X55" s="13"/>
      <c r="Y55" s="27"/>
      <c r="Z55" s="10"/>
      <c r="AA55" s="11"/>
      <c r="AB55" s="8"/>
      <c r="AC55" s="25" t="s">
        <v>133</v>
      </c>
      <c r="AD55" s="12"/>
      <c r="AE55" s="12"/>
      <c r="AF55" s="12"/>
      <c r="AG55" s="12"/>
    </row>
    <row r="56" spans="1:33">
      <c r="A56" s="8" t="s">
        <v>13</v>
      </c>
      <c r="B56" s="8" t="s">
        <v>134</v>
      </c>
      <c r="C56" s="8" t="s">
        <v>135</v>
      </c>
      <c r="D56" s="21" t="s">
        <v>136</v>
      </c>
      <c r="E56" s="26" t="s">
        <v>155</v>
      </c>
      <c r="F56" s="26"/>
      <c r="G56" s="8"/>
      <c r="H56" s="8"/>
      <c r="I56" s="9" t="s">
        <v>16</v>
      </c>
      <c r="J56" s="27" t="s">
        <v>17</v>
      </c>
      <c r="K56" s="8" t="s">
        <v>18</v>
      </c>
      <c r="L56" s="9">
        <v>1</v>
      </c>
      <c r="M56" s="9"/>
      <c r="N56" s="9"/>
      <c r="O56" s="9" t="s">
        <v>19</v>
      </c>
      <c r="P56" s="10" t="s">
        <v>137</v>
      </c>
      <c r="Q56" s="10"/>
      <c r="R56" s="10"/>
      <c r="S56" s="10"/>
      <c r="T56" s="10"/>
      <c r="U56" s="10">
        <v>40</v>
      </c>
      <c r="V56" s="10"/>
      <c r="W56" s="10">
        <v>1</v>
      </c>
      <c r="X56" s="16">
        <f>3.14/6*U56^3*W56</f>
        <v>33493.333333333336</v>
      </c>
      <c r="Y56" s="27"/>
      <c r="Z56" s="9"/>
      <c r="AA56" s="13">
        <v>3831.6837939932511</v>
      </c>
      <c r="AB56" s="27"/>
      <c r="AC56" s="25"/>
      <c r="AD56" s="33"/>
      <c r="AE56" s="33"/>
      <c r="AF56" s="33"/>
      <c r="AG56" s="33"/>
    </row>
    <row r="57" spans="1:33">
      <c r="A57" s="8" t="s">
        <v>13</v>
      </c>
      <c r="B57" s="8" t="s">
        <v>134</v>
      </c>
      <c r="C57" s="8" t="s">
        <v>135</v>
      </c>
      <c r="D57" s="21" t="s">
        <v>138</v>
      </c>
      <c r="E57" s="26" t="s">
        <v>155</v>
      </c>
      <c r="F57" s="26"/>
      <c r="G57" s="8"/>
      <c r="H57" s="8"/>
      <c r="I57" s="9" t="s">
        <v>16</v>
      </c>
      <c r="J57" s="27" t="s">
        <v>59</v>
      </c>
      <c r="K57" s="8" t="s">
        <v>60</v>
      </c>
      <c r="L57" s="9">
        <v>1</v>
      </c>
      <c r="M57" s="9"/>
      <c r="N57" s="9"/>
      <c r="O57" s="9" t="s">
        <v>19</v>
      </c>
      <c r="P57" s="10" t="s">
        <v>139</v>
      </c>
      <c r="Q57" s="10"/>
      <c r="R57" s="10"/>
      <c r="S57" s="10"/>
      <c r="T57" s="10">
        <v>60</v>
      </c>
      <c r="U57" s="10">
        <v>30</v>
      </c>
      <c r="V57" s="10"/>
      <c r="W57" s="20">
        <v>1</v>
      </c>
      <c r="X57" s="16">
        <f>3.14/4*U57^2*T57</f>
        <v>42390</v>
      </c>
      <c r="Y57" s="27"/>
      <c r="Z57" s="10">
        <v>8</v>
      </c>
      <c r="AA57" s="17">
        <v>5576.5501234343446</v>
      </c>
      <c r="AB57" s="27" t="s">
        <v>63</v>
      </c>
      <c r="AC57" s="25"/>
      <c r="AD57" s="33"/>
      <c r="AE57" s="33"/>
      <c r="AF57" s="33"/>
      <c r="AG57" s="33"/>
    </row>
    <row r="58" spans="1:33">
      <c r="A58" s="8" t="s">
        <v>13</v>
      </c>
      <c r="B58" s="8" t="s">
        <v>134</v>
      </c>
      <c r="C58" s="8" t="s">
        <v>140</v>
      </c>
      <c r="D58" s="21" t="s">
        <v>141</v>
      </c>
      <c r="E58" s="8" t="s">
        <v>155</v>
      </c>
      <c r="F58" s="8"/>
      <c r="G58" s="8"/>
      <c r="H58" s="8"/>
      <c r="I58" s="9" t="s">
        <v>16</v>
      </c>
      <c r="J58" s="8" t="s">
        <v>84</v>
      </c>
      <c r="K58" s="3" t="s">
        <v>85</v>
      </c>
      <c r="L58" s="4">
        <v>1</v>
      </c>
      <c r="M58" s="4"/>
      <c r="N58" s="4"/>
      <c r="O58" s="4" t="s">
        <v>19</v>
      </c>
      <c r="P58" s="5" t="s">
        <v>142</v>
      </c>
      <c r="Q58" s="5">
        <v>60</v>
      </c>
      <c r="R58" s="5"/>
      <c r="S58" s="5"/>
      <c r="T58" s="5"/>
      <c r="U58" s="5">
        <v>50</v>
      </c>
      <c r="V58" s="5"/>
      <c r="W58" s="5">
        <v>1</v>
      </c>
      <c r="X58" s="6">
        <f t="shared" ref="X58:X64" si="5">3.14/6*U58^2*Q58*W58</f>
        <v>78500</v>
      </c>
      <c r="Y58" s="7"/>
      <c r="Z58" s="5"/>
      <c r="AA58" s="11"/>
      <c r="AB58" s="8"/>
      <c r="AC58" s="25" t="s">
        <v>143</v>
      </c>
      <c r="AD58" s="33"/>
      <c r="AE58" s="33"/>
      <c r="AF58" s="33"/>
      <c r="AG58" s="33"/>
    </row>
    <row r="59" spans="1:33">
      <c r="A59" s="8" t="s">
        <v>13</v>
      </c>
      <c r="B59" s="8" t="s">
        <v>134</v>
      </c>
      <c r="C59" s="8" t="s">
        <v>140</v>
      </c>
      <c r="D59" s="21" t="s">
        <v>144</v>
      </c>
      <c r="E59" s="8"/>
      <c r="F59" s="8"/>
      <c r="G59" s="8" t="s">
        <v>145</v>
      </c>
      <c r="H59" s="8"/>
      <c r="I59" s="9" t="s">
        <v>16</v>
      </c>
      <c r="J59" s="8" t="s">
        <v>84</v>
      </c>
      <c r="K59" s="3" t="s">
        <v>85</v>
      </c>
      <c r="L59" s="4">
        <v>1</v>
      </c>
      <c r="M59" s="4"/>
      <c r="N59" s="4"/>
      <c r="O59" s="4" t="s">
        <v>19</v>
      </c>
      <c r="P59" s="5" t="s">
        <v>146</v>
      </c>
      <c r="Q59" s="5">
        <v>75</v>
      </c>
      <c r="R59" s="5"/>
      <c r="S59" s="5"/>
      <c r="T59" s="5"/>
      <c r="U59" s="5">
        <v>25</v>
      </c>
      <c r="V59" s="5"/>
      <c r="W59" s="5">
        <v>1</v>
      </c>
      <c r="X59" s="6">
        <f t="shared" si="5"/>
        <v>24531.25</v>
      </c>
      <c r="Y59" s="27"/>
      <c r="Z59" s="10"/>
      <c r="AA59" s="11"/>
      <c r="AB59" s="8"/>
      <c r="AC59" s="25" t="s">
        <v>143</v>
      </c>
      <c r="AD59" s="33"/>
      <c r="AE59" s="33"/>
      <c r="AF59" s="33"/>
      <c r="AG59" s="33"/>
    </row>
    <row r="60" spans="1:33">
      <c r="A60" s="8" t="s">
        <v>13</v>
      </c>
      <c r="B60" s="8" t="s">
        <v>134</v>
      </c>
      <c r="C60" s="8" t="s">
        <v>140</v>
      </c>
      <c r="D60" s="21" t="s">
        <v>147</v>
      </c>
      <c r="E60" s="8"/>
      <c r="F60" s="8"/>
      <c r="G60" s="8" t="s">
        <v>148</v>
      </c>
      <c r="H60" s="8"/>
      <c r="I60" s="9" t="s">
        <v>16</v>
      </c>
      <c r="J60" s="8" t="s">
        <v>84</v>
      </c>
      <c r="K60" s="3" t="s">
        <v>85</v>
      </c>
      <c r="L60" s="4">
        <v>1</v>
      </c>
      <c r="M60" s="4"/>
      <c r="N60" s="4"/>
      <c r="O60" s="4" t="s">
        <v>19</v>
      </c>
      <c r="P60" s="5" t="s">
        <v>149</v>
      </c>
      <c r="Q60" s="5">
        <v>75</v>
      </c>
      <c r="R60" s="5"/>
      <c r="S60" s="5"/>
      <c r="T60" s="5"/>
      <c r="U60" s="5">
        <v>25</v>
      </c>
      <c r="V60" s="5"/>
      <c r="W60" s="5">
        <v>1</v>
      </c>
      <c r="X60" s="6">
        <f t="shared" si="5"/>
        <v>24531.25</v>
      </c>
      <c r="Y60" s="27"/>
      <c r="Z60" s="10"/>
      <c r="AA60" s="11"/>
      <c r="AB60" s="8"/>
      <c r="AC60" s="25" t="s">
        <v>143</v>
      </c>
      <c r="AD60" s="33"/>
      <c r="AE60" s="33"/>
      <c r="AF60" s="33"/>
      <c r="AG60" s="33"/>
    </row>
    <row r="61" spans="1:33">
      <c r="A61" s="8" t="s">
        <v>13</v>
      </c>
      <c r="B61" s="8" t="s">
        <v>134</v>
      </c>
      <c r="C61" s="8" t="s">
        <v>140</v>
      </c>
      <c r="D61" s="21" t="s">
        <v>150</v>
      </c>
      <c r="E61" s="8"/>
      <c r="F61" s="8"/>
      <c r="G61" s="8" t="s">
        <v>151</v>
      </c>
      <c r="H61" s="8"/>
      <c r="I61" s="9" t="s">
        <v>16</v>
      </c>
      <c r="J61" s="8" t="s">
        <v>84</v>
      </c>
      <c r="K61" s="3" t="s">
        <v>85</v>
      </c>
      <c r="L61" s="4">
        <v>1</v>
      </c>
      <c r="M61" s="4"/>
      <c r="N61" s="4"/>
      <c r="O61" s="4" t="s">
        <v>19</v>
      </c>
      <c r="P61" s="10" t="s">
        <v>152</v>
      </c>
      <c r="Q61" s="10">
        <v>150</v>
      </c>
      <c r="R61" s="10"/>
      <c r="S61" s="10"/>
      <c r="T61" s="10"/>
      <c r="U61" s="10">
        <v>20</v>
      </c>
      <c r="V61" s="10"/>
      <c r="W61" s="10">
        <v>1</v>
      </c>
      <c r="X61" s="6">
        <f t="shared" si="5"/>
        <v>31399.999999999996</v>
      </c>
      <c r="Y61" s="27"/>
      <c r="Z61" s="10"/>
      <c r="AA61" s="11"/>
      <c r="AB61" s="8"/>
      <c r="AC61" s="25" t="s">
        <v>143</v>
      </c>
      <c r="AD61" s="33"/>
      <c r="AE61" s="33"/>
      <c r="AF61" s="33"/>
      <c r="AG61" s="33"/>
    </row>
    <row r="62" spans="1:33">
      <c r="A62" s="8" t="s">
        <v>13</v>
      </c>
      <c r="B62" s="8" t="s">
        <v>134</v>
      </c>
      <c r="C62" s="8" t="s">
        <v>153</v>
      </c>
      <c r="D62" s="34" t="s">
        <v>154</v>
      </c>
      <c r="E62" s="34" t="s">
        <v>155</v>
      </c>
      <c r="F62" s="34"/>
      <c r="G62" s="34"/>
      <c r="H62" s="34"/>
      <c r="I62" s="34" t="s">
        <v>16</v>
      </c>
      <c r="J62" s="27" t="s">
        <v>84</v>
      </c>
      <c r="K62" s="15" t="s">
        <v>85</v>
      </c>
      <c r="L62" s="4">
        <v>1</v>
      </c>
      <c r="M62" s="4"/>
      <c r="N62" s="4"/>
      <c r="O62" s="9" t="s">
        <v>19</v>
      </c>
      <c r="P62" s="10" t="s">
        <v>156</v>
      </c>
      <c r="Q62" s="10">
        <v>75</v>
      </c>
      <c r="R62" s="10"/>
      <c r="S62" s="10"/>
      <c r="T62" s="10"/>
      <c r="U62" s="10">
        <v>40</v>
      </c>
      <c r="V62" s="10"/>
      <c r="W62" s="10">
        <v>1</v>
      </c>
      <c r="X62" s="6">
        <f t="shared" si="5"/>
        <v>62799.999999999993</v>
      </c>
      <c r="Y62" s="27"/>
      <c r="Z62" s="9" t="s">
        <v>44</v>
      </c>
      <c r="AA62" s="17">
        <f>0.216 * X62^0.939</f>
        <v>6914.1350260476493</v>
      </c>
      <c r="AB62" s="27"/>
      <c r="AC62" s="25"/>
      <c r="AD62" s="33"/>
      <c r="AE62" s="33"/>
      <c r="AF62" s="33"/>
      <c r="AG62" s="33"/>
    </row>
    <row r="63" spans="1:33">
      <c r="A63" s="8" t="s">
        <v>13</v>
      </c>
      <c r="B63" s="8" t="s">
        <v>134</v>
      </c>
      <c r="C63" s="8" t="s">
        <v>153</v>
      </c>
      <c r="D63" s="30" t="s">
        <v>157</v>
      </c>
      <c r="E63" s="30"/>
      <c r="F63" s="30"/>
      <c r="G63" s="30" t="s">
        <v>158</v>
      </c>
      <c r="H63" s="30"/>
      <c r="I63" s="30" t="s">
        <v>16</v>
      </c>
      <c r="J63" s="27" t="s">
        <v>84</v>
      </c>
      <c r="K63" s="15" t="s">
        <v>85</v>
      </c>
      <c r="L63" s="4">
        <v>1</v>
      </c>
      <c r="M63" s="4"/>
      <c r="N63" s="4"/>
      <c r="O63" s="9" t="s">
        <v>19</v>
      </c>
      <c r="P63" s="10" t="s">
        <v>159</v>
      </c>
      <c r="Q63" s="10">
        <v>75</v>
      </c>
      <c r="R63" s="10"/>
      <c r="S63" s="10"/>
      <c r="T63" s="10"/>
      <c r="U63" s="10">
        <v>30</v>
      </c>
      <c r="V63" s="10"/>
      <c r="W63" s="10">
        <v>1</v>
      </c>
      <c r="X63" s="6">
        <f t="shared" si="5"/>
        <v>35325</v>
      </c>
      <c r="Y63" s="27"/>
      <c r="Z63" s="9" t="s">
        <v>44</v>
      </c>
      <c r="AA63" s="17">
        <f>0.216 * X63^0.939</f>
        <v>4028.1247239384516</v>
      </c>
      <c r="AB63" s="27"/>
      <c r="AC63" s="25"/>
      <c r="AD63" s="33"/>
      <c r="AE63" s="33"/>
      <c r="AF63" s="33"/>
      <c r="AG63" s="33"/>
    </row>
    <row r="64" spans="1:33">
      <c r="A64" s="30" t="s">
        <v>13</v>
      </c>
      <c r="B64" s="30" t="s">
        <v>14</v>
      </c>
      <c r="C64" s="8" t="s">
        <v>15</v>
      </c>
      <c r="D64" s="34" t="s">
        <v>160</v>
      </c>
      <c r="E64" s="34"/>
      <c r="F64" s="34"/>
      <c r="G64" s="34" t="s">
        <v>161</v>
      </c>
      <c r="H64" s="34"/>
      <c r="I64" s="34" t="s">
        <v>16</v>
      </c>
      <c r="J64" s="27" t="s">
        <v>84</v>
      </c>
      <c r="K64" s="15" t="s">
        <v>85</v>
      </c>
      <c r="L64" s="4">
        <v>1</v>
      </c>
      <c r="M64" s="4"/>
      <c r="N64" s="4"/>
      <c r="O64" s="9" t="s">
        <v>19</v>
      </c>
      <c r="P64" s="10" t="s">
        <v>162</v>
      </c>
      <c r="Q64" s="10">
        <v>60</v>
      </c>
      <c r="R64" s="10"/>
      <c r="S64" s="10"/>
      <c r="T64" s="10"/>
      <c r="U64" s="10">
        <v>50</v>
      </c>
      <c r="V64" s="10"/>
      <c r="W64" s="10">
        <v>1</v>
      </c>
      <c r="X64" s="6">
        <f t="shared" si="5"/>
        <v>78500</v>
      </c>
      <c r="Y64" s="27"/>
      <c r="Z64" s="9" t="s">
        <v>44</v>
      </c>
      <c r="AA64" s="17">
        <f>0.216 * X64^0.939</f>
        <v>8525.8239144884556</v>
      </c>
      <c r="AB64" s="27"/>
      <c r="AC64" s="25"/>
      <c r="AD64" s="33"/>
      <c r="AE64" s="33"/>
      <c r="AF64" s="33"/>
      <c r="AG64" s="33"/>
    </row>
    <row r="65" spans="1:33">
      <c r="A65" s="35" t="s">
        <v>165</v>
      </c>
      <c r="B65" s="35"/>
      <c r="C65" s="35"/>
      <c r="D65" s="21" t="s">
        <v>166</v>
      </c>
      <c r="E65" s="26" t="s">
        <v>213</v>
      </c>
      <c r="F65" s="26"/>
      <c r="G65" s="8"/>
      <c r="H65" s="8"/>
      <c r="I65" s="9" t="s">
        <v>16</v>
      </c>
      <c r="J65" s="27" t="s">
        <v>17</v>
      </c>
      <c r="K65" s="8" t="s">
        <v>18</v>
      </c>
      <c r="L65" s="9">
        <v>1</v>
      </c>
      <c r="M65" s="9"/>
      <c r="N65" s="9"/>
      <c r="O65" s="9" t="s">
        <v>19</v>
      </c>
      <c r="P65" s="10" t="s">
        <v>110</v>
      </c>
      <c r="Q65" s="10"/>
      <c r="R65" s="10"/>
      <c r="S65" s="10"/>
      <c r="T65" s="10"/>
      <c r="U65" s="10">
        <v>30</v>
      </c>
      <c r="V65" s="10"/>
      <c r="W65" s="10">
        <v>1</v>
      </c>
      <c r="X65" s="16">
        <f>3.14/6*U65^3*W65</f>
        <v>14130</v>
      </c>
      <c r="Y65" s="27"/>
      <c r="Z65" s="9"/>
      <c r="AA65" s="13">
        <v>1703.8730788363557</v>
      </c>
      <c r="AB65" s="27"/>
      <c r="AC65" s="25"/>
      <c r="AD65" s="33"/>
      <c r="AE65" s="33"/>
      <c r="AF65" s="33"/>
      <c r="AG65" s="33"/>
    </row>
    <row r="66" spans="1:33">
      <c r="A66" s="29" t="s">
        <v>36</v>
      </c>
      <c r="B66" s="29" t="s">
        <v>83</v>
      </c>
      <c r="C66" s="8"/>
      <c r="D66" s="21" t="s">
        <v>83</v>
      </c>
      <c r="E66" s="21" t="s">
        <v>155</v>
      </c>
      <c r="F66" s="22"/>
      <c r="G66" s="8"/>
      <c r="H66" s="8"/>
      <c r="I66" s="9" t="s">
        <v>37</v>
      </c>
      <c r="J66" s="27" t="s">
        <v>17</v>
      </c>
      <c r="K66" s="8" t="s">
        <v>18</v>
      </c>
      <c r="L66" s="9">
        <v>1</v>
      </c>
      <c r="M66" s="9"/>
      <c r="N66" s="9"/>
      <c r="O66" s="9" t="s">
        <v>19</v>
      </c>
      <c r="P66" s="23" t="s">
        <v>167</v>
      </c>
      <c r="Q66" s="10"/>
      <c r="R66" s="10"/>
      <c r="S66" s="10"/>
      <c r="T66" s="10"/>
      <c r="U66" s="10">
        <v>10</v>
      </c>
      <c r="V66" s="10"/>
      <c r="W66" s="10">
        <v>1</v>
      </c>
      <c r="X66" s="16">
        <f>3.14/6*U66^3*W66</f>
        <v>523.33333333333337</v>
      </c>
      <c r="Y66" s="27"/>
      <c r="Z66" s="10"/>
      <c r="AA66" s="11">
        <v>77</v>
      </c>
      <c r="AB66" s="8"/>
      <c r="AC66" s="25"/>
      <c r="AD66" s="33"/>
      <c r="AE66" s="33"/>
      <c r="AF66" s="33"/>
      <c r="AG66" s="33"/>
    </row>
    <row r="67" spans="1:33">
      <c r="A67" s="34" t="s">
        <v>182</v>
      </c>
      <c r="B67" s="34" t="s">
        <v>180</v>
      </c>
      <c r="C67" s="34" t="s">
        <v>181</v>
      </c>
      <c r="D67" s="40" t="s">
        <v>168</v>
      </c>
      <c r="E67" s="37"/>
      <c r="F67" s="37"/>
      <c r="G67" s="40" t="s">
        <v>169</v>
      </c>
      <c r="H67" s="40"/>
      <c r="I67" s="38" t="s">
        <v>16</v>
      </c>
      <c r="J67" s="40" t="s">
        <v>84</v>
      </c>
      <c r="K67" s="41" t="s">
        <v>85</v>
      </c>
      <c r="L67" s="34">
        <v>1</v>
      </c>
      <c r="M67" s="34"/>
      <c r="N67" s="34"/>
      <c r="O67" s="38" t="s">
        <v>19</v>
      </c>
      <c r="P67" s="39" t="s">
        <v>170</v>
      </c>
      <c r="Q67" s="39">
        <v>6</v>
      </c>
      <c r="R67" s="39"/>
      <c r="S67" s="39"/>
      <c r="T67" s="39"/>
      <c r="U67" s="39">
        <v>2.5</v>
      </c>
      <c r="V67" s="42"/>
      <c r="W67" s="39">
        <v>1</v>
      </c>
      <c r="X67" s="43">
        <f>3.14/6*U67^2*Q67</f>
        <v>19.625</v>
      </c>
      <c r="Y67" s="34"/>
      <c r="Z67" s="34"/>
      <c r="AA67" s="44">
        <f>0.216*X67^0.939</f>
        <v>3.5351026329263515</v>
      </c>
      <c r="AB67" s="34"/>
      <c r="AC67" s="25"/>
      <c r="AD67" s="33"/>
      <c r="AE67" s="33"/>
      <c r="AF67" s="33"/>
      <c r="AG67" s="33"/>
    </row>
    <row r="68" spans="1:33">
      <c r="A68" s="34" t="s">
        <v>182</v>
      </c>
      <c r="B68" s="34" t="s">
        <v>180</v>
      </c>
      <c r="C68" s="34" t="s">
        <v>181</v>
      </c>
      <c r="D68" s="40" t="s">
        <v>171</v>
      </c>
      <c r="E68" s="37"/>
      <c r="F68" s="37"/>
      <c r="G68" s="40" t="s">
        <v>169</v>
      </c>
      <c r="H68" s="40"/>
      <c r="I68" s="38" t="s">
        <v>16</v>
      </c>
      <c r="J68" s="40" t="s">
        <v>84</v>
      </c>
      <c r="K68" s="41" t="s">
        <v>85</v>
      </c>
      <c r="L68" s="34">
        <v>1</v>
      </c>
      <c r="M68" s="34"/>
      <c r="N68" s="34"/>
      <c r="O68" s="38" t="s">
        <v>19</v>
      </c>
      <c r="P68" s="39" t="s">
        <v>172</v>
      </c>
      <c r="Q68" s="39">
        <v>10</v>
      </c>
      <c r="R68" s="39"/>
      <c r="S68" s="39"/>
      <c r="T68" s="39"/>
      <c r="U68" s="39">
        <v>3</v>
      </c>
      <c r="V68" s="42"/>
      <c r="W68" s="39">
        <v>1</v>
      </c>
      <c r="X68" s="43">
        <f>3.14/6*U68^2*Q68</f>
        <v>47.1</v>
      </c>
      <c r="Y68" s="34"/>
      <c r="Z68" s="34"/>
      <c r="AA68" s="44">
        <f>0.216*X68^0.939</f>
        <v>8.0430428591708427</v>
      </c>
      <c r="AB68" s="34"/>
      <c r="AC68" s="25"/>
      <c r="AD68" s="33"/>
      <c r="AE68" s="33"/>
      <c r="AF68" s="33"/>
      <c r="AG68" s="33"/>
    </row>
    <row r="69" spans="1:33">
      <c r="A69" s="34" t="s">
        <v>13</v>
      </c>
      <c r="B69" s="34" t="s">
        <v>275</v>
      </c>
      <c r="C69" s="45" t="s">
        <v>173</v>
      </c>
      <c r="D69" s="40" t="s">
        <v>276</v>
      </c>
      <c r="E69" s="37"/>
      <c r="F69" s="37"/>
      <c r="G69" s="40" t="s">
        <v>277</v>
      </c>
      <c r="H69" s="40"/>
      <c r="I69" s="38" t="s">
        <v>16</v>
      </c>
      <c r="J69" s="40" t="s">
        <v>84</v>
      </c>
      <c r="K69" s="41" t="s">
        <v>85</v>
      </c>
      <c r="L69" s="34">
        <v>1</v>
      </c>
      <c r="M69" s="34"/>
      <c r="N69" s="34"/>
      <c r="O69" s="38" t="s">
        <v>19</v>
      </c>
      <c r="P69" s="39" t="s">
        <v>174</v>
      </c>
      <c r="Q69" s="39">
        <v>35</v>
      </c>
      <c r="R69" s="39"/>
      <c r="S69" s="39"/>
      <c r="T69" s="39"/>
      <c r="U69" s="39">
        <v>22.5</v>
      </c>
      <c r="V69" s="42"/>
      <c r="W69" s="39">
        <v>1</v>
      </c>
      <c r="X69" s="43">
        <f>3.14/6*U69^2*Q69</f>
        <v>9272.8125</v>
      </c>
      <c r="Y69" s="34"/>
      <c r="Z69" s="34"/>
      <c r="AA69" s="43">
        <f>0.216*X69^0.939</f>
        <v>1147.2691860611346</v>
      </c>
      <c r="AB69" s="34"/>
      <c r="AC69" s="25"/>
      <c r="AD69" s="33"/>
      <c r="AE69" s="33"/>
      <c r="AF69" s="33"/>
      <c r="AG69" s="33"/>
    </row>
    <row r="70" spans="1:33">
      <c r="A70" s="34" t="s">
        <v>13</v>
      </c>
      <c r="B70" s="34" t="s">
        <v>175</v>
      </c>
      <c r="C70" s="45" t="s">
        <v>176</v>
      </c>
      <c r="D70" s="40" t="s">
        <v>177</v>
      </c>
      <c r="E70" s="34" t="s">
        <v>155</v>
      </c>
      <c r="F70" s="34"/>
      <c r="G70" s="34" t="s">
        <v>178</v>
      </c>
      <c r="H70" s="34"/>
      <c r="I70" s="38" t="s">
        <v>16</v>
      </c>
      <c r="J70" s="40" t="s">
        <v>84</v>
      </c>
      <c r="K70" s="41" t="s">
        <v>85</v>
      </c>
      <c r="L70" s="34">
        <v>1</v>
      </c>
      <c r="M70" s="34"/>
      <c r="N70" s="34"/>
      <c r="O70" s="38" t="s">
        <v>19</v>
      </c>
      <c r="P70" s="39" t="s">
        <v>179</v>
      </c>
      <c r="Q70" s="39">
        <v>22.5</v>
      </c>
      <c r="R70" s="39"/>
      <c r="S70" s="39"/>
      <c r="T70" s="39"/>
      <c r="U70" s="39">
        <v>11</v>
      </c>
      <c r="V70" s="42"/>
      <c r="W70" s="39">
        <v>1</v>
      </c>
      <c r="X70" s="43">
        <f>3.14/6*U70^2*Q70</f>
        <v>1424.7749999999999</v>
      </c>
      <c r="Y70" s="34"/>
      <c r="Z70" s="34"/>
      <c r="AA70" s="43">
        <f>0.216*X70^0.939</f>
        <v>197.61573127999722</v>
      </c>
      <c r="AB70" s="34"/>
      <c r="AC70" s="25"/>
      <c r="AD70" s="33"/>
      <c r="AE70" s="33"/>
      <c r="AF70" s="33"/>
      <c r="AG70" s="33"/>
    </row>
    <row r="71" spans="1:33" s="2" customFormat="1" ht="24">
      <c r="A71" s="46" t="s">
        <v>77</v>
      </c>
      <c r="B71" s="46" t="s">
        <v>78</v>
      </c>
      <c r="C71" s="46" t="s">
        <v>79</v>
      </c>
      <c r="D71" s="58" t="s">
        <v>185</v>
      </c>
      <c r="E71" s="47"/>
      <c r="F71" s="47"/>
      <c r="G71" s="48" t="s">
        <v>186</v>
      </c>
      <c r="H71" s="48"/>
      <c r="I71" s="49" t="s">
        <v>37</v>
      </c>
      <c r="J71" s="48" t="s">
        <v>88</v>
      </c>
      <c r="K71" s="50" t="s">
        <v>93</v>
      </c>
      <c r="L71" s="49">
        <v>1</v>
      </c>
      <c r="M71" s="49"/>
      <c r="N71" s="49"/>
      <c r="O71" s="49" t="s">
        <v>19</v>
      </c>
      <c r="P71" s="52" t="s">
        <v>183</v>
      </c>
      <c r="Q71" s="52"/>
      <c r="R71" s="52"/>
      <c r="S71" s="52"/>
      <c r="T71" s="52"/>
      <c r="U71" s="53">
        <v>55</v>
      </c>
      <c r="V71" s="52"/>
      <c r="W71" s="52">
        <v>1</v>
      </c>
      <c r="X71" s="54">
        <f t="shared" ref="X71:X72" si="6">0.32359*U71^2.9953</f>
        <v>52832.779086656265</v>
      </c>
      <c r="Y71" s="55"/>
      <c r="Z71" s="49"/>
      <c r="AA71" s="50">
        <f t="shared" ref="AA71:AA72" si="7">0.216 * X71^0.939</f>
        <v>5878.4130154086188</v>
      </c>
      <c r="AB71" s="56"/>
      <c r="AC71" s="57" t="s">
        <v>205</v>
      </c>
    </row>
    <row r="72" spans="1:33" s="2" customFormat="1" ht="24">
      <c r="A72" s="46" t="s">
        <v>77</v>
      </c>
      <c r="B72" s="46" t="s">
        <v>78</v>
      </c>
      <c r="C72" s="46" t="s">
        <v>79</v>
      </c>
      <c r="D72" s="58" t="s">
        <v>185</v>
      </c>
      <c r="E72" s="47"/>
      <c r="F72" s="47"/>
      <c r="G72" s="48" t="s">
        <v>186</v>
      </c>
      <c r="H72" s="48"/>
      <c r="I72" s="49" t="s">
        <v>37</v>
      </c>
      <c r="J72" s="48" t="s">
        <v>88</v>
      </c>
      <c r="K72" s="50" t="s">
        <v>93</v>
      </c>
      <c r="L72" s="49">
        <v>2</v>
      </c>
      <c r="M72" s="49"/>
      <c r="N72" s="49"/>
      <c r="O72" s="49" t="s">
        <v>19</v>
      </c>
      <c r="P72" s="52" t="s">
        <v>184</v>
      </c>
      <c r="Q72" s="52"/>
      <c r="R72" s="52"/>
      <c r="S72" s="52"/>
      <c r="T72" s="52"/>
      <c r="U72" s="53">
        <v>65</v>
      </c>
      <c r="V72" s="52"/>
      <c r="W72" s="52">
        <v>1</v>
      </c>
      <c r="X72" s="54">
        <f t="shared" si="6"/>
        <v>87139.380717661581</v>
      </c>
      <c r="Y72" s="55"/>
      <c r="Z72" s="49"/>
      <c r="AA72" s="50">
        <f t="shared" si="7"/>
        <v>9404.0545073409721</v>
      </c>
      <c r="AB72" s="56"/>
      <c r="AC72" s="57" t="s">
        <v>205</v>
      </c>
    </row>
    <row r="73" spans="1:33">
      <c r="A73" s="8" t="s">
        <v>13</v>
      </c>
      <c r="B73" s="8" t="s">
        <v>134</v>
      </c>
      <c r="C73" s="8" t="s">
        <v>140</v>
      </c>
      <c r="D73" s="1" t="s">
        <v>187</v>
      </c>
      <c r="E73" s="1" t="s">
        <v>155</v>
      </c>
      <c r="I73" s="34" t="s">
        <v>16</v>
      </c>
      <c r="J73" s="27" t="s">
        <v>84</v>
      </c>
      <c r="K73" s="15" t="s">
        <v>85</v>
      </c>
      <c r="L73" s="4">
        <v>1</v>
      </c>
      <c r="M73" s="4"/>
      <c r="N73" s="4"/>
      <c r="O73" s="9" t="s">
        <v>19</v>
      </c>
      <c r="P73" s="10" t="s">
        <v>189</v>
      </c>
      <c r="Q73" s="10">
        <v>65</v>
      </c>
      <c r="R73" s="10"/>
      <c r="S73" s="10"/>
      <c r="T73" s="10"/>
      <c r="U73" s="10">
        <v>95</v>
      </c>
      <c r="V73" s="10"/>
      <c r="W73" s="10">
        <v>1</v>
      </c>
      <c r="X73" s="6">
        <f t="shared" ref="X73" si="8">3.14/6*U73^2*Q73*W73</f>
        <v>307000.41666666663</v>
      </c>
      <c r="Y73" s="27"/>
      <c r="Z73" s="9" t="s">
        <v>44</v>
      </c>
      <c r="AA73" s="17">
        <f>0.216 * X73^0.939</f>
        <v>30681.545991833929</v>
      </c>
      <c r="AC73" s="57" t="s">
        <v>205</v>
      </c>
    </row>
    <row r="74" spans="1:33" ht="12" customHeight="1">
      <c r="A74" s="30" t="s">
        <v>13</v>
      </c>
      <c r="B74" s="30" t="s">
        <v>14</v>
      </c>
      <c r="C74" s="8" t="s">
        <v>15</v>
      </c>
      <c r="D74" s="1" t="s">
        <v>188</v>
      </c>
      <c r="E74" s="1" t="s">
        <v>155</v>
      </c>
      <c r="I74" s="34" t="s">
        <v>16</v>
      </c>
      <c r="J74" s="27" t="s">
        <v>84</v>
      </c>
      <c r="K74" s="15" t="s">
        <v>85</v>
      </c>
      <c r="L74" s="4">
        <v>1</v>
      </c>
      <c r="M74" s="4"/>
      <c r="N74" s="4"/>
      <c r="O74" s="9" t="s">
        <v>19</v>
      </c>
      <c r="P74" s="10" t="s">
        <v>190</v>
      </c>
      <c r="Q74" s="10">
        <v>50</v>
      </c>
      <c r="R74" s="10"/>
      <c r="S74" s="10"/>
      <c r="T74" s="10"/>
      <c r="U74" s="10">
        <v>70</v>
      </c>
      <c r="V74" s="10"/>
      <c r="W74" s="10">
        <v>1</v>
      </c>
      <c r="X74" s="6">
        <f t="shared" ref="X74" si="9">3.14/6*U74^2*Q74*W74</f>
        <v>128216.66666666666</v>
      </c>
      <c r="Y74" s="27"/>
      <c r="Z74" s="9" t="s">
        <v>44</v>
      </c>
      <c r="AA74" s="17">
        <f>0.216 * X74^0.939</f>
        <v>13514.924372665002</v>
      </c>
      <c r="AC74" s="57" t="s">
        <v>205</v>
      </c>
    </row>
    <row r="75" spans="1:33" ht="12" customHeight="1">
      <c r="A75" s="46" t="s">
        <v>38</v>
      </c>
      <c r="B75" s="46" t="s">
        <v>66</v>
      </c>
      <c r="C75" s="46" t="s">
        <v>70</v>
      </c>
      <c r="D75" s="58" t="s">
        <v>191</v>
      </c>
      <c r="E75" s="47"/>
      <c r="F75" s="47"/>
      <c r="G75" s="48" t="s">
        <v>192</v>
      </c>
      <c r="H75" s="48"/>
      <c r="I75" s="49" t="s">
        <v>37</v>
      </c>
      <c r="J75" s="48" t="s">
        <v>163</v>
      </c>
      <c r="K75" s="57" t="s">
        <v>164</v>
      </c>
      <c r="L75" s="49">
        <v>1</v>
      </c>
      <c r="M75" s="49"/>
      <c r="N75" s="49"/>
      <c r="O75" s="51" t="s">
        <v>19</v>
      </c>
      <c r="P75" s="52" t="s">
        <v>193</v>
      </c>
      <c r="Q75" s="52">
        <v>1500</v>
      </c>
      <c r="R75" s="52"/>
      <c r="S75" s="52">
        <v>3.5</v>
      </c>
      <c r="T75" s="52">
        <v>3.5</v>
      </c>
      <c r="U75" s="52"/>
      <c r="V75" s="52"/>
      <c r="W75" s="52">
        <v>1</v>
      </c>
      <c r="X75" s="54">
        <f>Q75*S75*T75*W75</f>
        <v>18375</v>
      </c>
      <c r="Y75" s="55"/>
      <c r="Z75" s="49"/>
      <c r="AA75" s="50">
        <f>0.288 * X75^0.811</f>
        <v>827.33398931551051</v>
      </c>
      <c r="AC75" s="57" t="s">
        <v>205</v>
      </c>
    </row>
    <row r="76" spans="1:33" ht="12" customHeight="1">
      <c r="A76" s="8" t="s">
        <v>13</v>
      </c>
      <c r="B76" s="8" t="s">
        <v>134</v>
      </c>
      <c r="C76" s="8" t="s">
        <v>140</v>
      </c>
      <c r="D76" s="1" t="s">
        <v>194</v>
      </c>
      <c r="E76" s="1" t="s">
        <v>155</v>
      </c>
      <c r="I76" s="34" t="s">
        <v>16</v>
      </c>
      <c r="J76" s="27" t="s">
        <v>84</v>
      </c>
      <c r="K76" s="15" t="s">
        <v>85</v>
      </c>
      <c r="L76" s="4">
        <v>1</v>
      </c>
      <c r="M76" s="4"/>
      <c r="N76" s="4"/>
      <c r="O76" s="9" t="s">
        <v>19</v>
      </c>
      <c r="P76" s="10" t="s">
        <v>189</v>
      </c>
      <c r="Q76" s="10">
        <v>65</v>
      </c>
      <c r="R76" s="10"/>
      <c r="S76" s="10"/>
      <c r="T76" s="10"/>
      <c r="U76" s="10">
        <v>95</v>
      </c>
      <c r="V76" s="10"/>
      <c r="W76" s="10">
        <v>1</v>
      </c>
      <c r="X76" s="6">
        <f t="shared" ref="X76" si="10">3.14/6*U76^2*Q76*W76</f>
        <v>307000.41666666663</v>
      </c>
      <c r="Y76" s="27"/>
      <c r="Z76" s="9" t="s">
        <v>44</v>
      </c>
      <c r="AA76" s="17">
        <f>0.216 * X76^0.939</f>
        <v>30681.545991833929</v>
      </c>
      <c r="AC76" s="57" t="s">
        <v>205</v>
      </c>
    </row>
    <row r="77" spans="1:33">
      <c r="A77" s="8" t="s">
        <v>13</v>
      </c>
      <c r="B77" s="8" t="s">
        <v>134</v>
      </c>
      <c r="C77" s="8" t="s">
        <v>140</v>
      </c>
      <c r="D77" s="8" t="s">
        <v>283</v>
      </c>
      <c r="E77" s="1" t="s">
        <v>155</v>
      </c>
      <c r="I77" s="34" t="s">
        <v>16</v>
      </c>
      <c r="J77" s="27" t="s">
        <v>84</v>
      </c>
      <c r="K77" s="15" t="s">
        <v>85</v>
      </c>
      <c r="L77" s="4">
        <v>1</v>
      </c>
      <c r="M77" s="4"/>
      <c r="N77" s="4"/>
      <c r="O77" s="9" t="s">
        <v>19</v>
      </c>
      <c r="P77" s="10" t="s">
        <v>189</v>
      </c>
      <c r="Q77" s="10">
        <v>65</v>
      </c>
      <c r="R77" s="10"/>
      <c r="S77" s="10"/>
      <c r="T77" s="10"/>
      <c r="U77" s="10">
        <v>95</v>
      </c>
      <c r="V77" s="10"/>
      <c r="W77" s="10">
        <v>1</v>
      </c>
      <c r="X77" s="6">
        <f t="shared" ref="X77" si="11">3.14/6*U77^2*Q77*W77</f>
        <v>307000.41666666663</v>
      </c>
      <c r="Y77" s="27"/>
      <c r="Z77" s="9" t="s">
        <v>44</v>
      </c>
      <c r="AA77" s="17">
        <f>0.216 * X77^0.939</f>
        <v>30681.545991833929</v>
      </c>
      <c r="AC77" s="57" t="s">
        <v>205</v>
      </c>
    </row>
    <row r="78" spans="1:33">
      <c r="A78" s="8" t="s">
        <v>38</v>
      </c>
      <c r="B78" s="8" t="s">
        <v>66</v>
      </c>
      <c r="C78" s="1" t="s">
        <v>196</v>
      </c>
      <c r="D78" s="1" t="s">
        <v>195</v>
      </c>
      <c r="E78" s="1" t="s">
        <v>155</v>
      </c>
      <c r="I78" s="1" t="s">
        <v>37</v>
      </c>
      <c r="J78" s="48" t="s">
        <v>59</v>
      </c>
      <c r="K78" s="57" t="s">
        <v>60</v>
      </c>
      <c r="L78" s="49">
        <v>1</v>
      </c>
      <c r="M78" s="49"/>
      <c r="N78" s="49"/>
      <c r="O78" s="51" t="s">
        <v>19</v>
      </c>
      <c r="P78" s="52" t="s">
        <v>197</v>
      </c>
      <c r="Q78" s="52"/>
      <c r="R78" s="52"/>
      <c r="S78" s="52"/>
      <c r="T78" s="52">
        <v>10</v>
      </c>
      <c r="U78" s="52">
        <v>30</v>
      </c>
      <c r="V78" s="52"/>
      <c r="W78" s="52">
        <v>1</v>
      </c>
      <c r="X78" s="54">
        <f>3.14/4*U78^2*T78</f>
        <v>7065</v>
      </c>
      <c r="AC78" s="57" t="s">
        <v>205</v>
      </c>
    </row>
    <row r="79" spans="1:33" ht="36">
      <c r="A79" s="8" t="s">
        <v>38</v>
      </c>
      <c r="B79" s="8" t="s">
        <v>66</v>
      </c>
      <c r="C79" s="1" t="s">
        <v>199</v>
      </c>
      <c r="D79" s="1" t="s">
        <v>198</v>
      </c>
      <c r="G79" s="48" t="s">
        <v>222</v>
      </c>
      <c r="H79" s="48"/>
      <c r="I79" s="49" t="s">
        <v>37</v>
      </c>
      <c r="J79" s="48" t="s">
        <v>200</v>
      </c>
      <c r="K79" s="57" t="s">
        <v>96</v>
      </c>
      <c r="L79" s="49">
        <v>1</v>
      </c>
      <c r="M79" s="49"/>
      <c r="N79" s="49"/>
      <c r="O79" s="51" t="s">
        <v>19</v>
      </c>
      <c r="P79" s="59" t="s">
        <v>201</v>
      </c>
      <c r="Q79" s="60">
        <v>35</v>
      </c>
      <c r="R79" s="59"/>
      <c r="S79" s="59">
        <v>40</v>
      </c>
      <c r="T79" s="60">
        <v>40</v>
      </c>
      <c r="U79" s="59"/>
      <c r="V79" s="59"/>
      <c r="W79" s="60">
        <v>1</v>
      </c>
      <c r="X79" s="54">
        <f t="shared" ref="X79" si="12">T79*Q79*S79/2*W79</f>
        <v>28000</v>
      </c>
      <c r="Y79" s="55"/>
      <c r="Z79" s="49"/>
      <c r="AA79" s="50">
        <f t="shared" ref="AA79" si="13">0.288 * X79^0.811</f>
        <v>1164.2269577388838</v>
      </c>
      <c r="AC79" s="57" t="s">
        <v>205</v>
      </c>
    </row>
    <row r="80" spans="1:33">
      <c r="A80" s="8" t="s">
        <v>13</v>
      </c>
      <c r="B80" s="8" t="s">
        <v>134</v>
      </c>
      <c r="C80" s="8" t="s">
        <v>135</v>
      </c>
      <c r="D80" s="1" t="s">
        <v>202</v>
      </c>
      <c r="G80" s="1" t="s">
        <v>224</v>
      </c>
      <c r="I80" s="9" t="s">
        <v>16</v>
      </c>
      <c r="J80" s="27" t="s">
        <v>84</v>
      </c>
      <c r="K80" s="15" t="s">
        <v>85</v>
      </c>
      <c r="L80" s="9">
        <v>1</v>
      </c>
      <c r="M80" s="9"/>
      <c r="N80" s="9"/>
      <c r="O80" s="9" t="s">
        <v>19</v>
      </c>
      <c r="P80" s="10" t="s">
        <v>203</v>
      </c>
      <c r="Q80" s="10">
        <v>15</v>
      </c>
      <c r="R80" s="10"/>
      <c r="S80" s="10"/>
      <c r="T80" s="10"/>
      <c r="U80" s="10">
        <v>20</v>
      </c>
      <c r="V80" s="10"/>
      <c r="W80" s="10">
        <v>1</v>
      </c>
      <c r="X80" s="16">
        <f>3.14/6*U80^3*W80</f>
        <v>4186.666666666667</v>
      </c>
      <c r="Y80" s="27"/>
      <c r="Z80" s="9"/>
      <c r="AA80" s="13">
        <v>3831.6837939932511</v>
      </c>
      <c r="AC80" s="57" t="s">
        <v>205</v>
      </c>
    </row>
    <row r="81" spans="1:30">
      <c r="A81" s="8" t="s">
        <v>13</v>
      </c>
      <c r="B81" s="8" t="s">
        <v>134</v>
      </c>
      <c r="C81" s="8" t="s">
        <v>140</v>
      </c>
      <c r="D81" s="1" t="s">
        <v>206</v>
      </c>
      <c r="G81" s="1" t="s">
        <v>223</v>
      </c>
      <c r="I81" s="34" t="s">
        <v>16</v>
      </c>
      <c r="J81" s="27" t="s">
        <v>84</v>
      </c>
      <c r="K81" s="15" t="s">
        <v>85</v>
      </c>
      <c r="L81" s="4">
        <v>1</v>
      </c>
      <c r="M81" s="4"/>
      <c r="N81" s="4"/>
      <c r="O81" s="9" t="s">
        <v>19</v>
      </c>
      <c r="P81" s="10" t="s">
        <v>189</v>
      </c>
      <c r="Q81" s="10">
        <v>65</v>
      </c>
      <c r="R81" s="10"/>
      <c r="S81" s="10"/>
      <c r="T81" s="10"/>
      <c r="U81" s="10">
        <v>95</v>
      </c>
      <c r="V81" s="10"/>
      <c r="W81" s="10">
        <v>1</v>
      </c>
      <c r="X81" s="6">
        <f t="shared" ref="X81" si="14">3.14/6*U81^2*Q81*W81</f>
        <v>307000.41666666663</v>
      </c>
      <c r="Y81" s="27"/>
      <c r="Z81" s="9" t="s">
        <v>44</v>
      </c>
      <c r="AA81" s="17">
        <f>0.216 * X81^0.939</f>
        <v>30681.545991833929</v>
      </c>
      <c r="AC81" s="57" t="s">
        <v>205</v>
      </c>
    </row>
    <row r="82" spans="1:30">
      <c r="A82" s="8" t="s">
        <v>13</v>
      </c>
      <c r="B82" s="8" t="s">
        <v>14</v>
      </c>
      <c r="C82" s="8" t="s">
        <v>15</v>
      </c>
      <c r="D82" s="1" t="s">
        <v>207</v>
      </c>
      <c r="G82" s="1" t="s">
        <v>208</v>
      </c>
      <c r="I82" s="34" t="s">
        <v>16</v>
      </c>
      <c r="J82" s="27" t="s">
        <v>17</v>
      </c>
      <c r="K82" s="8" t="s">
        <v>18</v>
      </c>
      <c r="L82" s="4">
        <v>1</v>
      </c>
      <c r="M82" s="4"/>
      <c r="N82" s="4"/>
      <c r="O82" s="9" t="s">
        <v>19</v>
      </c>
      <c r="P82" s="10" t="s">
        <v>209</v>
      </c>
      <c r="Q82" s="10"/>
      <c r="R82" s="10"/>
      <c r="S82" s="10"/>
      <c r="T82" s="10"/>
      <c r="U82" s="10">
        <v>25</v>
      </c>
      <c r="V82" s="10"/>
      <c r="W82" s="10">
        <v>1</v>
      </c>
      <c r="X82" s="16">
        <f>3.14/6*U82^3*W82</f>
        <v>8177.083333333333</v>
      </c>
      <c r="Y82" s="27"/>
      <c r="Z82" s="9" t="s">
        <v>44</v>
      </c>
      <c r="AA82" s="17">
        <f>0.216 * X82^0.939</f>
        <v>1019.4916450901542</v>
      </c>
      <c r="AC82" s="57" t="s">
        <v>205</v>
      </c>
    </row>
    <row r="83" spans="1:30" ht="24">
      <c r="A83" s="46" t="s">
        <v>38</v>
      </c>
      <c r="B83" s="46" t="s">
        <v>66</v>
      </c>
      <c r="C83" s="46" t="s">
        <v>70</v>
      </c>
      <c r="D83" s="1" t="s">
        <v>210</v>
      </c>
      <c r="E83" s="1" t="s">
        <v>155</v>
      </c>
      <c r="I83" s="1" t="s">
        <v>37</v>
      </c>
      <c r="J83" s="48" t="s">
        <v>68</v>
      </c>
      <c r="K83" s="57" t="s">
        <v>69</v>
      </c>
      <c r="L83" s="49">
        <v>1</v>
      </c>
      <c r="M83" s="49"/>
      <c r="N83" s="49"/>
      <c r="O83" s="9" t="s">
        <v>19</v>
      </c>
      <c r="P83" s="51" t="s">
        <v>221</v>
      </c>
      <c r="T83" s="52">
        <v>25</v>
      </c>
      <c r="U83" s="52">
        <v>100</v>
      </c>
      <c r="V83" s="53">
        <v>20</v>
      </c>
      <c r="W83" s="1">
        <v>1</v>
      </c>
      <c r="X83" s="63">
        <f t="shared" ref="X83" si="15">3.14/4*T83*U83*V83*W83</f>
        <v>39250</v>
      </c>
      <c r="AA83" s="50">
        <f t="shared" ref="AA83:AA86" si="16">0.288 * X83^0.811</f>
        <v>1531.0749565632916</v>
      </c>
    </row>
    <row r="84" spans="1:30">
      <c r="A84" s="34" t="s">
        <v>13</v>
      </c>
      <c r="B84" s="34" t="s">
        <v>275</v>
      </c>
      <c r="C84" s="45" t="s">
        <v>173</v>
      </c>
      <c r="D84" s="1" t="s">
        <v>211</v>
      </c>
      <c r="E84" s="1" t="s">
        <v>155</v>
      </c>
      <c r="I84" s="1" t="s">
        <v>212</v>
      </c>
      <c r="J84" s="21" t="s">
        <v>121</v>
      </c>
      <c r="K84" s="6" t="s">
        <v>80</v>
      </c>
      <c r="L84" s="9">
        <v>1</v>
      </c>
      <c r="M84" s="9"/>
      <c r="N84" s="9"/>
      <c r="O84" s="4" t="s">
        <v>19</v>
      </c>
      <c r="P84" s="23" t="s">
        <v>271</v>
      </c>
      <c r="Q84" s="5"/>
      <c r="R84" s="5"/>
      <c r="S84" s="5"/>
      <c r="T84" s="5">
        <f>U84*1.25</f>
        <v>31.25</v>
      </c>
      <c r="U84" s="5">
        <v>25</v>
      </c>
      <c r="V84" s="5"/>
      <c r="W84" s="5">
        <v>1</v>
      </c>
      <c r="X84" s="6">
        <f>3.14/12*U84^2*T84</f>
        <v>5110.677083333333</v>
      </c>
      <c r="Y84" s="5"/>
      <c r="Z84" s="6"/>
      <c r="AA84" s="50">
        <f t="shared" si="16"/>
        <v>293.06806943650969</v>
      </c>
      <c r="AB84" s="36"/>
      <c r="AC84" s="25" t="s">
        <v>270</v>
      </c>
      <c r="AD84" s="33"/>
    </row>
    <row r="85" spans="1:30">
      <c r="A85" s="34" t="s">
        <v>13</v>
      </c>
      <c r="B85" s="34" t="s">
        <v>275</v>
      </c>
      <c r="C85" s="45" t="s">
        <v>173</v>
      </c>
      <c r="D85" s="1" t="s">
        <v>211</v>
      </c>
      <c r="E85" s="1" t="s">
        <v>155</v>
      </c>
      <c r="I85" s="1" t="s">
        <v>212</v>
      </c>
      <c r="J85" s="21" t="s">
        <v>121</v>
      </c>
      <c r="K85" s="6" t="s">
        <v>80</v>
      </c>
      <c r="L85" s="9">
        <v>2</v>
      </c>
      <c r="M85" s="9"/>
      <c r="N85" s="9"/>
      <c r="O85" s="4" t="s">
        <v>19</v>
      </c>
      <c r="P85" s="23" t="s">
        <v>272</v>
      </c>
      <c r="Q85" s="5"/>
      <c r="R85" s="5"/>
      <c r="S85" s="5"/>
      <c r="T85" s="5">
        <f t="shared" ref="T85:T86" si="17">U85*1.25</f>
        <v>68.75</v>
      </c>
      <c r="U85" s="5">
        <v>55</v>
      </c>
      <c r="V85" s="5"/>
      <c r="W85" s="5">
        <v>1</v>
      </c>
      <c r="X85" s="6">
        <f t="shared" ref="X85:X86" si="18">3.14/12*U85^2*T85</f>
        <v>54418.489583333328</v>
      </c>
      <c r="Y85" s="5"/>
      <c r="Z85" s="6"/>
      <c r="AA85" s="50">
        <f t="shared" si="16"/>
        <v>1995.6431507476618</v>
      </c>
      <c r="AC85" s="25" t="s">
        <v>270</v>
      </c>
    </row>
    <row r="86" spans="1:30">
      <c r="A86" s="34" t="s">
        <v>13</v>
      </c>
      <c r="B86" s="34" t="s">
        <v>275</v>
      </c>
      <c r="C86" s="45" t="s">
        <v>173</v>
      </c>
      <c r="D86" s="1" t="s">
        <v>211</v>
      </c>
      <c r="E86" s="1" t="s">
        <v>155</v>
      </c>
      <c r="I86" s="1" t="s">
        <v>212</v>
      </c>
      <c r="J86" s="21" t="s">
        <v>121</v>
      </c>
      <c r="K86" s="6" t="s">
        <v>80</v>
      </c>
      <c r="L86" s="9">
        <v>3</v>
      </c>
      <c r="M86" s="9"/>
      <c r="N86" s="9"/>
      <c r="O86" s="4" t="s">
        <v>19</v>
      </c>
      <c r="P86" s="23" t="s">
        <v>273</v>
      </c>
      <c r="Q86" s="5"/>
      <c r="R86" s="5"/>
      <c r="S86" s="5"/>
      <c r="T86" s="5">
        <f t="shared" si="17"/>
        <v>106.25</v>
      </c>
      <c r="U86" s="5">
        <v>85</v>
      </c>
      <c r="V86" s="5"/>
      <c r="W86" s="5">
        <v>1</v>
      </c>
      <c r="X86" s="6">
        <f t="shared" si="18"/>
        <v>200870.05208333331</v>
      </c>
      <c r="Y86" s="5"/>
      <c r="Z86" s="6"/>
      <c r="AA86" s="50">
        <f t="shared" si="16"/>
        <v>5755.1508112432466</v>
      </c>
      <c r="AC86" s="25" t="s">
        <v>270</v>
      </c>
    </row>
    <row r="87" spans="1:30" s="2" customFormat="1">
      <c r="A87" s="57" t="s">
        <v>108</v>
      </c>
      <c r="B87" s="57"/>
      <c r="C87" s="57"/>
      <c r="D87" s="1" t="s">
        <v>204</v>
      </c>
      <c r="E87" s="1" t="s">
        <v>155</v>
      </c>
      <c r="F87" s="47"/>
      <c r="G87" s="64"/>
      <c r="H87" s="64"/>
      <c r="I87" s="51" t="s">
        <v>37</v>
      </c>
      <c r="J87" s="64" t="s">
        <v>84</v>
      </c>
      <c r="K87" s="61" t="s">
        <v>85</v>
      </c>
      <c r="L87" s="51">
        <v>1</v>
      </c>
      <c r="M87" s="51"/>
      <c r="N87" s="51"/>
      <c r="O87" s="51" t="s">
        <v>19</v>
      </c>
      <c r="P87" s="59" t="s">
        <v>214</v>
      </c>
      <c r="Q87" s="59">
        <v>2</v>
      </c>
      <c r="R87" s="59"/>
      <c r="S87" s="59"/>
      <c r="T87" s="59"/>
      <c r="U87" s="59">
        <f t="shared" ref="U87:U93" si="19">Q87*0.75</f>
        <v>1.5</v>
      </c>
      <c r="V87" s="59"/>
      <c r="W87" s="59">
        <v>1</v>
      </c>
      <c r="X87" s="54">
        <f t="shared" ref="X87:X93" si="20">3.14/6*U87^2*Q87*W87</f>
        <v>2.355</v>
      </c>
      <c r="Y87" s="64">
        <v>10</v>
      </c>
      <c r="Z87" s="51"/>
      <c r="AA87" s="62">
        <f t="shared" ref="AA87:AA100" si="21">0.216 * X87^0.939</f>
        <v>0.48278438725052475</v>
      </c>
      <c r="AB87" s="65"/>
      <c r="AC87" s="57"/>
    </row>
    <row r="88" spans="1:30" s="2" customFormat="1">
      <c r="A88" s="57" t="s">
        <v>108</v>
      </c>
      <c r="B88" s="57"/>
      <c r="C88" s="57"/>
      <c r="D88" s="1" t="s">
        <v>204</v>
      </c>
      <c r="E88" s="1" t="s">
        <v>155</v>
      </c>
      <c r="F88" s="47"/>
      <c r="G88" s="64"/>
      <c r="H88" s="64"/>
      <c r="I88" s="51" t="s">
        <v>37</v>
      </c>
      <c r="J88" s="64" t="s">
        <v>84</v>
      </c>
      <c r="K88" s="61" t="s">
        <v>85</v>
      </c>
      <c r="L88" s="51">
        <v>2</v>
      </c>
      <c r="M88" s="51"/>
      <c r="N88" s="51"/>
      <c r="O88" s="51" t="s">
        <v>19</v>
      </c>
      <c r="P88" s="59" t="s">
        <v>215</v>
      </c>
      <c r="Q88" s="59">
        <v>2.5</v>
      </c>
      <c r="R88" s="59"/>
      <c r="S88" s="59"/>
      <c r="T88" s="59"/>
      <c r="U88" s="66">
        <f t="shared" si="19"/>
        <v>1.875</v>
      </c>
      <c r="V88" s="59"/>
      <c r="W88" s="59">
        <v>1</v>
      </c>
      <c r="X88" s="54">
        <f t="shared" si="20"/>
        <v>4.599609375</v>
      </c>
      <c r="Y88" s="64">
        <v>10</v>
      </c>
      <c r="Z88" s="51"/>
      <c r="AA88" s="62">
        <f t="shared" si="21"/>
        <v>0.9052087090342068</v>
      </c>
      <c r="AB88" s="65"/>
      <c r="AC88" s="57"/>
    </row>
    <row r="89" spans="1:30" s="2" customFormat="1">
      <c r="A89" s="57" t="s">
        <v>108</v>
      </c>
      <c r="B89" s="57"/>
      <c r="C89" s="57"/>
      <c r="D89" s="1" t="s">
        <v>204</v>
      </c>
      <c r="E89" s="1" t="s">
        <v>155</v>
      </c>
      <c r="F89" s="47"/>
      <c r="G89" s="64"/>
      <c r="H89" s="64"/>
      <c r="I89" s="51" t="s">
        <v>37</v>
      </c>
      <c r="J89" s="64" t="s">
        <v>84</v>
      </c>
      <c r="K89" s="61" t="s">
        <v>85</v>
      </c>
      <c r="L89" s="51">
        <v>3</v>
      </c>
      <c r="M89" s="51"/>
      <c r="N89" s="51"/>
      <c r="O89" s="51" t="s">
        <v>19</v>
      </c>
      <c r="P89" s="59" t="s">
        <v>216</v>
      </c>
      <c r="Q89" s="59">
        <v>4</v>
      </c>
      <c r="R89" s="59"/>
      <c r="S89" s="59"/>
      <c r="T89" s="59"/>
      <c r="U89" s="59">
        <f t="shared" si="19"/>
        <v>3</v>
      </c>
      <c r="V89" s="59"/>
      <c r="W89" s="59">
        <v>1</v>
      </c>
      <c r="X89" s="54">
        <f t="shared" si="20"/>
        <v>18.84</v>
      </c>
      <c r="Y89" s="64">
        <v>10</v>
      </c>
      <c r="Z89" s="51"/>
      <c r="AA89" s="50">
        <f t="shared" si="21"/>
        <v>3.4021598482851751</v>
      </c>
      <c r="AB89" s="65"/>
      <c r="AC89" s="57"/>
    </row>
    <row r="90" spans="1:30" s="2" customFormat="1">
      <c r="A90" s="57" t="s">
        <v>108</v>
      </c>
      <c r="B90" s="57"/>
      <c r="C90" s="57"/>
      <c r="D90" s="1" t="s">
        <v>204</v>
      </c>
      <c r="E90" s="1" t="s">
        <v>155</v>
      </c>
      <c r="F90" s="47"/>
      <c r="G90" s="64"/>
      <c r="H90" s="64"/>
      <c r="I90" s="51" t="s">
        <v>37</v>
      </c>
      <c r="J90" s="64" t="s">
        <v>84</v>
      </c>
      <c r="K90" s="61" t="s">
        <v>85</v>
      </c>
      <c r="L90" s="51">
        <v>4</v>
      </c>
      <c r="M90" s="51"/>
      <c r="N90" s="51"/>
      <c r="O90" s="51" t="s">
        <v>19</v>
      </c>
      <c r="P90" s="59" t="s">
        <v>217</v>
      </c>
      <c r="Q90" s="59">
        <v>6</v>
      </c>
      <c r="R90" s="59"/>
      <c r="S90" s="59"/>
      <c r="T90" s="59"/>
      <c r="U90" s="59">
        <f t="shared" si="19"/>
        <v>4.5</v>
      </c>
      <c r="V90" s="59"/>
      <c r="W90" s="59">
        <v>1</v>
      </c>
      <c r="X90" s="54">
        <f t="shared" si="20"/>
        <v>63.585000000000001</v>
      </c>
      <c r="Y90" s="64">
        <v>10</v>
      </c>
      <c r="Z90" s="51"/>
      <c r="AA90" s="50">
        <f t="shared" si="21"/>
        <v>10.661143562041268</v>
      </c>
      <c r="AB90" s="65"/>
      <c r="AC90" s="57"/>
    </row>
    <row r="91" spans="1:30" s="2" customFormat="1">
      <c r="A91" s="57" t="s">
        <v>108</v>
      </c>
      <c r="B91" s="57"/>
      <c r="C91" s="57"/>
      <c r="D91" s="1" t="s">
        <v>204</v>
      </c>
      <c r="E91" s="1" t="s">
        <v>155</v>
      </c>
      <c r="F91" s="47"/>
      <c r="G91" s="64"/>
      <c r="H91" s="64"/>
      <c r="I91" s="51" t="s">
        <v>37</v>
      </c>
      <c r="J91" s="64" t="s">
        <v>84</v>
      </c>
      <c r="K91" s="61" t="s">
        <v>85</v>
      </c>
      <c r="L91" s="51">
        <v>5</v>
      </c>
      <c r="M91" s="51"/>
      <c r="N91" s="51"/>
      <c r="O91" s="51" t="s">
        <v>19</v>
      </c>
      <c r="P91" s="59" t="s">
        <v>218</v>
      </c>
      <c r="Q91" s="59">
        <v>8.5</v>
      </c>
      <c r="R91" s="59"/>
      <c r="S91" s="59"/>
      <c r="T91" s="59"/>
      <c r="U91" s="66">
        <f t="shared" si="19"/>
        <v>6.375</v>
      </c>
      <c r="V91" s="59"/>
      <c r="W91" s="59">
        <v>1</v>
      </c>
      <c r="X91" s="54">
        <f t="shared" si="20"/>
        <v>180.783046875</v>
      </c>
      <c r="Y91" s="64">
        <v>10</v>
      </c>
      <c r="Z91" s="51"/>
      <c r="AA91" s="50">
        <f t="shared" si="21"/>
        <v>28.439688350255732</v>
      </c>
      <c r="AB91" s="65"/>
      <c r="AC91" s="57"/>
    </row>
    <row r="92" spans="1:30" s="2" customFormat="1">
      <c r="A92" s="57" t="s">
        <v>108</v>
      </c>
      <c r="B92" s="57"/>
      <c r="C92" s="57"/>
      <c r="D92" s="1" t="s">
        <v>204</v>
      </c>
      <c r="E92" s="1" t="s">
        <v>155</v>
      </c>
      <c r="F92" s="47"/>
      <c r="G92" s="64"/>
      <c r="H92" s="64"/>
      <c r="I92" s="51" t="s">
        <v>37</v>
      </c>
      <c r="J92" s="64" t="s">
        <v>84</v>
      </c>
      <c r="K92" s="61" t="s">
        <v>85</v>
      </c>
      <c r="L92" s="51">
        <v>6</v>
      </c>
      <c r="M92" s="51"/>
      <c r="N92" s="51"/>
      <c r="O92" s="51" t="s">
        <v>19</v>
      </c>
      <c r="P92" s="59" t="s">
        <v>219</v>
      </c>
      <c r="Q92" s="59">
        <v>12.5</v>
      </c>
      <c r="R92" s="59"/>
      <c r="S92" s="59"/>
      <c r="T92" s="59"/>
      <c r="U92" s="66">
        <f t="shared" si="19"/>
        <v>9.375</v>
      </c>
      <c r="V92" s="59"/>
      <c r="W92" s="59">
        <v>1</v>
      </c>
      <c r="X92" s="54">
        <f t="shared" si="20"/>
        <v>574.951171875</v>
      </c>
      <c r="Y92" s="64">
        <v>10</v>
      </c>
      <c r="Z92" s="51"/>
      <c r="AA92" s="50">
        <f t="shared" si="21"/>
        <v>84.284405113643345</v>
      </c>
      <c r="AB92" s="65"/>
      <c r="AC92" s="57"/>
    </row>
    <row r="93" spans="1:30" s="2" customFormat="1">
      <c r="A93" s="57" t="s">
        <v>108</v>
      </c>
      <c r="B93" s="57"/>
      <c r="C93" s="57"/>
      <c r="D93" s="1" t="s">
        <v>204</v>
      </c>
      <c r="E93" s="1" t="s">
        <v>155</v>
      </c>
      <c r="F93" s="47"/>
      <c r="G93" s="64"/>
      <c r="H93" s="64"/>
      <c r="I93" s="51" t="s">
        <v>37</v>
      </c>
      <c r="J93" s="64" t="s">
        <v>84</v>
      </c>
      <c r="K93" s="61" t="s">
        <v>85</v>
      </c>
      <c r="L93" s="51">
        <v>7</v>
      </c>
      <c r="M93" s="51"/>
      <c r="N93" s="51"/>
      <c r="O93" s="51" t="s">
        <v>19</v>
      </c>
      <c r="P93" s="59" t="s">
        <v>220</v>
      </c>
      <c r="Q93" s="59">
        <v>17.5</v>
      </c>
      <c r="R93" s="59"/>
      <c r="S93" s="59"/>
      <c r="T93" s="59"/>
      <c r="U93" s="66">
        <f t="shared" si="19"/>
        <v>13.125</v>
      </c>
      <c r="V93" s="59"/>
      <c r="W93" s="59">
        <v>1</v>
      </c>
      <c r="X93" s="54">
        <f t="shared" si="20"/>
        <v>1577.666015625</v>
      </c>
      <c r="Y93" s="64">
        <v>10</v>
      </c>
      <c r="Z93" s="51"/>
      <c r="AA93" s="50">
        <f t="shared" si="21"/>
        <v>217.46526698112086</v>
      </c>
      <c r="AB93" s="65"/>
      <c r="AC93" s="57"/>
    </row>
    <row r="94" spans="1:30" s="2" customFormat="1">
      <c r="A94" s="57" t="s">
        <v>108</v>
      </c>
      <c r="B94" s="57"/>
      <c r="C94" s="57"/>
      <c r="D94" s="1" t="s">
        <v>204</v>
      </c>
      <c r="E94" s="1" t="s">
        <v>155</v>
      </c>
      <c r="F94" s="47"/>
      <c r="G94" s="64"/>
      <c r="H94" s="64"/>
      <c r="I94" s="51" t="s">
        <v>37</v>
      </c>
      <c r="J94" s="64" t="s">
        <v>17</v>
      </c>
      <c r="K94" s="57" t="s">
        <v>18</v>
      </c>
      <c r="L94" s="51">
        <v>8</v>
      </c>
      <c r="M94" s="51"/>
      <c r="N94" s="51"/>
      <c r="O94" s="51" t="s">
        <v>19</v>
      </c>
      <c r="P94" s="59" t="s">
        <v>214</v>
      </c>
      <c r="Q94" s="59"/>
      <c r="R94" s="59"/>
      <c r="S94" s="59"/>
      <c r="T94" s="59"/>
      <c r="U94" s="59">
        <v>2</v>
      </c>
      <c r="V94" s="59"/>
      <c r="W94" s="59">
        <v>1</v>
      </c>
      <c r="X94" s="54">
        <f t="shared" ref="X94:X100" si="22">3.14/6*U94^3*W94</f>
        <v>4.1866666666666665</v>
      </c>
      <c r="Y94" s="64">
        <v>10</v>
      </c>
      <c r="Z94" s="51"/>
      <c r="AA94" s="62">
        <f t="shared" si="21"/>
        <v>0.82868249388615756</v>
      </c>
      <c r="AB94" s="65"/>
      <c r="AC94" s="57"/>
    </row>
    <row r="95" spans="1:30" s="2" customFormat="1">
      <c r="A95" s="57" t="s">
        <v>108</v>
      </c>
      <c r="B95" s="57"/>
      <c r="C95" s="57"/>
      <c r="D95" s="1" t="s">
        <v>204</v>
      </c>
      <c r="E95" s="1" t="s">
        <v>155</v>
      </c>
      <c r="F95" s="47"/>
      <c r="G95" s="64"/>
      <c r="H95" s="64"/>
      <c r="I95" s="51" t="s">
        <v>37</v>
      </c>
      <c r="J95" s="64" t="s">
        <v>17</v>
      </c>
      <c r="K95" s="57" t="s">
        <v>18</v>
      </c>
      <c r="L95" s="51">
        <v>9</v>
      </c>
      <c r="M95" s="51"/>
      <c r="N95" s="51"/>
      <c r="O95" s="51" t="s">
        <v>19</v>
      </c>
      <c r="P95" s="59" t="s">
        <v>215</v>
      </c>
      <c r="Q95" s="59"/>
      <c r="R95" s="59"/>
      <c r="S95" s="59"/>
      <c r="T95" s="59"/>
      <c r="U95" s="59">
        <v>2.5</v>
      </c>
      <c r="V95" s="59"/>
      <c r="W95" s="59">
        <v>1</v>
      </c>
      <c r="X95" s="54">
        <f t="shared" si="22"/>
        <v>8.1770833333333339</v>
      </c>
      <c r="Y95" s="64">
        <v>10</v>
      </c>
      <c r="Z95" s="51"/>
      <c r="AA95" s="62">
        <f t="shared" si="21"/>
        <v>1.5537590491729809</v>
      </c>
      <c r="AB95" s="65"/>
      <c r="AC95" s="57"/>
    </row>
    <row r="96" spans="1:30" s="2" customFormat="1">
      <c r="A96" s="57" t="s">
        <v>108</v>
      </c>
      <c r="B96" s="57"/>
      <c r="C96" s="57"/>
      <c r="D96" s="1" t="s">
        <v>204</v>
      </c>
      <c r="E96" s="1" t="s">
        <v>155</v>
      </c>
      <c r="F96" s="47"/>
      <c r="G96" s="64"/>
      <c r="H96" s="64"/>
      <c r="I96" s="51" t="s">
        <v>37</v>
      </c>
      <c r="J96" s="64" t="s">
        <v>17</v>
      </c>
      <c r="K96" s="57" t="s">
        <v>18</v>
      </c>
      <c r="L96" s="51">
        <v>10</v>
      </c>
      <c r="M96" s="51"/>
      <c r="N96" s="51"/>
      <c r="O96" s="51" t="s">
        <v>19</v>
      </c>
      <c r="P96" s="59" t="s">
        <v>216</v>
      </c>
      <c r="Q96" s="59"/>
      <c r="R96" s="59"/>
      <c r="S96" s="59"/>
      <c r="T96" s="59"/>
      <c r="U96" s="59">
        <v>4</v>
      </c>
      <c r="V96" s="59"/>
      <c r="W96" s="59">
        <v>1</v>
      </c>
      <c r="X96" s="54">
        <f t="shared" si="22"/>
        <v>33.493333333333332</v>
      </c>
      <c r="Y96" s="64">
        <v>10</v>
      </c>
      <c r="Z96" s="51"/>
      <c r="AA96" s="50">
        <f t="shared" si="21"/>
        <v>5.839688237915869</v>
      </c>
      <c r="AB96" s="65"/>
      <c r="AC96" s="57"/>
    </row>
    <row r="97" spans="1:29" s="2" customFormat="1">
      <c r="A97" s="57" t="s">
        <v>108</v>
      </c>
      <c r="B97" s="57"/>
      <c r="C97" s="57"/>
      <c r="D97" s="1" t="s">
        <v>204</v>
      </c>
      <c r="E97" s="1" t="s">
        <v>155</v>
      </c>
      <c r="F97" s="47"/>
      <c r="G97" s="64"/>
      <c r="H97" s="64"/>
      <c r="I97" s="51" t="s">
        <v>37</v>
      </c>
      <c r="J97" s="64" t="s">
        <v>17</v>
      </c>
      <c r="K97" s="57" t="s">
        <v>18</v>
      </c>
      <c r="L97" s="51">
        <v>11</v>
      </c>
      <c r="M97" s="51"/>
      <c r="N97" s="51"/>
      <c r="O97" s="51" t="s">
        <v>19</v>
      </c>
      <c r="P97" s="59" t="s">
        <v>217</v>
      </c>
      <c r="Q97" s="59"/>
      <c r="R97" s="59"/>
      <c r="S97" s="59"/>
      <c r="T97" s="59"/>
      <c r="U97" s="59">
        <v>6</v>
      </c>
      <c r="V97" s="59"/>
      <c r="W97" s="59">
        <v>1</v>
      </c>
      <c r="X97" s="54">
        <f t="shared" si="22"/>
        <v>113.03999999999999</v>
      </c>
      <c r="Y97" s="64">
        <v>10</v>
      </c>
      <c r="Z97" s="51"/>
      <c r="AA97" s="50">
        <f t="shared" si="21"/>
        <v>18.299479577176623</v>
      </c>
      <c r="AB97" s="65"/>
      <c r="AC97" s="57"/>
    </row>
    <row r="98" spans="1:29" s="2" customFormat="1">
      <c r="A98" s="57" t="s">
        <v>108</v>
      </c>
      <c r="B98" s="57"/>
      <c r="C98" s="57"/>
      <c r="D98" s="1" t="s">
        <v>204</v>
      </c>
      <c r="E98" s="1" t="s">
        <v>155</v>
      </c>
      <c r="F98" s="47"/>
      <c r="G98" s="64"/>
      <c r="H98" s="64"/>
      <c r="I98" s="51" t="s">
        <v>37</v>
      </c>
      <c r="J98" s="64" t="s">
        <v>17</v>
      </c>
      <c r="K98" s="57" t="s">
        <v>18</v>
      </c>
      <c r="L98" s="51">
        <v>12</v>
      </c>
      <c r="M98" s="51"/>
      <c r="N98" s="51"/>
      <c r="O98" s="51" t="s">
        <v>19</v>
      </c>
      <c r="P98" s="59" t="s">
        <v>218</v>
      </c>
      <c r="Q98" s="59"/>
      <c r="R98" s="59"/>
      <c r="S98" s="59"/>
      <c r="T98" s="59"/>
      <c r="U98" s="59">
        <v>8.5</v>
      </c>
      <c r="V98" s="59"/>
      <c r="W98" s="59">
        <v>1</v>
      </c>
      <c r="X98" s="54">
        <f t="shared" si="22"/>
        <v>321.39208333333335</v>
      </c>
      <c r="Y98" s="64">
        <v>10</v>
      </c>
      <c r="Z98" s="51"/>
      <c r="AA98" s="50">
        <f t="shared" si="21"/>
        <v>48.815729111814598</v>
      </c>
      <c r="AB98" s="65"/>
      <c r="AC98" s="57"/>
    </row>
    <row r="99" spans="1:29" s="2" customFormat="1">
      <c r="A99" s="57" t="s">
        <v>108</v>
      </c>
      <c r="B99" s="57"/>
      <c r="C99" s="57"/>
      <c r="D99" s="1" t="s">
        <v>204</v>
      </c>
      <c r="E99" s="1" t="s">
        <v>155</v>
      </c>
      <c r="F99" s="47"/>
      <c r="G99" s="64"/>
      <c r="H99" s="64"/>
      <c r="I99" s="51" t="s">
        <v>37</v>
      </c>
      <c r="J99" s="64" t="s">
        <v>17</v>
      </c>
      <c r="K99" s="57" t="s">
        <v>18</v>
      </c>
      <c r="L99" s="51">
        <v>13</v>
      </c>
      <c r="M99" s="51"/>
      <c r="N99" s="51"/>
      <c r="O99" s="51" t="s">
        <v>19</v>
      </c>
      <c r="P99" s="59" t="s">
        <v>219</v>
      </c>
      <c r="Q99" s="59"/>
      <c r="R99" s="59"/>
      <c r="S99" s="59"/>
      <c r="T99" s="59"/>
      <c r="U99" s="59">
        <v>12.5</v>
      </c>
      <c r="V99" s="59"/>
      <c r="W99" s="59">
        <v>1</v>
      </c>
      <c r="X99" s="54">
        <f t="shared" si="22"/>
        <v>1022.1354166666666</v>
      </c>
      <c r="Y99" s="64">
        <v>10</v>
      </c>
      <c r="Z99" s="51"/>
      <c r="AA99" s="50">
        <f t="shared" si="21"/>
        <v>144.67122978656218</v>
      </c>
      <c r="AB99" s="65"/>
      <c r="AC99" s="57"/>
    </row>
    <row r="100" spans="1:29" s="2" customFormat="1">
      <c r="A100" s="57" t="s">
        <v>108</v>
      </c>
      <c r="B100" s="57"/>
      <c r="C100" s="57"/>
      <c r="D100" s="1" t="s">
        <v>204</v>
      </c>
      <c r="E100" s="1" t="s">
        <v>155</v>
      </c>
      <c r="F100" s="47"/>
      <c r="G100" s="64"/>
      <c r="H100" s="64"/>
      <c r="I100" s="51" t="s">
        <v>37</v>
      </c>
      <c r="J100" s="64" t="s">
        <v>17</v>
      </c>
      <c r="K100" s="57" t="s">
        <v>18</v>
      </c>
      <c r="L100" s="51">
        <v>14</v>
      </c>
      <c r="M100" s="51"/>
      <c r="N100" s="51"/>
      <c r="O100" s="51" t="s">
        <v>19</v>
      </c>
      <c r="P100" s="59" t="s">
        <v>220</v>
      </c>
      <c r="Q100" s="59"/>
      <c r="R100" s="59"/>
      <c r="S100" s="59"/>
      <c r="T100" s="59"/>
      <c r="U100" s="59">
        <v>17.5</v>
      </c>
      <c r="V100" s="59"/>
      <c r="W100" s="59">
        <v>1</v>
      </c>
      <c r="X100" s="54">
        <f t="shared" si="22"/>
        <v>2804.739583333333</v>
      </c>
      <c r="Y100" s="64">
        <v>10</v>
      </c>
      <c r="Z100" s="51"/>
      <c r="AA100" s="50">
        <f t="shared" si="21"/>
        <v>373.27151526551023</v>
      </c>
      <c r="AB100" s="65"/>
      <c r="AC100" s="57"/>
    </row>
    <row r="101" spans="1:29" ht="36">
      <c r="A101" s="46" t="s">
        <v>38</v>
      </c>
      <c r="B101" s="46" t="s">
        <v>66</v>
      </c>
      <c r="C101" s="46" t="s">
        <v>70</v>
      </c>
      <c r="D101" s="80" t="s">
        <v>225</v>
      </c>
      <c r="E101" s="80" t="s">
        <v>155</v>
      </c>
      <c r="F101" s="80"/>
      <c r="G101" s="80"/>
      <c r="H101" s="80"/>
      <c r="I101" s="51" t="s">
        <v>37</v>
      </c>
      <c r="J101" s="48" t="s">
        <v>95</v>
      </c>
      <c r="K101" s="57" t="s">
        <v>96</v>
      </c>
      <c r="L101" s="49">
        <v>1</v>
      </c>
      <c r="M101" s="49"/>
      <c r="N101" s="49"/>
      <c r="O101" s="51" t="s">
        <v>19</v>
      </c>
      <c r="P101" s="52" t="s">
        <v>233</v>
      </c>
      <c r="Q101" s="52">
        <v>12.5</v>
      </c>
      <c r="R101" s="52"/>
      <c r="S101" s="52">
        <v>4.5</v>
      </c>
      <c r="T101" s="52">
        <v>4</v>
      </c>
      <c r="U101" s="52"/>
      <c r="V101" s="53"/>
      <c r="W101" s="52">
        <v>1</v>
      </c>
      <c r="X101" s="63">
        <f t="shared" ref="X101:X120" si="23">Q101*S101*T101/2*W101</f>
        <v>112.5</v>
      </c>
      <c r="Y101" s="55"/>
      <c r="Z101" s="49"/>
      <c r="AA101" s="50">
        <f t="shared" ref="AA101:AA120" si="24">0.288 * X101^0.811</f>
        <v>13.270191295904626</v>
      </c>
    </row>
    <row r="102" spans="1:29" ht="36">
      <c r="A102" s="46" t="s">
        <v>38</v>
      </c>
      <c r="B102" s="46" t="s">
        <v>66</v>
      </c>
      <c r="C102" s="46" t="s">
        <v>70</v>
      </c>
      <c r="D102" s="80" t="s">
        <v>225</v>
      </c>
      <c r="E102" s="80" t="s">
        <v>155</v>
      </c>
      <c r="F102" s="80"/>
      <c r="G102" s="80"/>
      <c r="H102" s="80"/>
      <c r="I102" s="51" t="s">
        <v>37</v>
      </c>
      <c r="J102" s="48" t="s">
        <v>95</v>
      </c>
      <c r="K102" s="57" t="s">
        <v>96</v>
      </c>
      <c r="L102" s="49">
        <v>2</v>
      </c>
      <c r="M102" s="49"/>
      <c r="N102" s="49"/>
      <c r="O102" s="51" t="s">
        <v>19</v>
      </c>
      <c r="P102" s="52" t="s">
        <v>234</v>
      </c>
      <c r="Q102" s="52">
        <v>20</v>
      </c>
      <c r="R102" s="52"/>
      <c r="S102" s="52">
        <v>5</v>
      </c>
      <c r="T102" s="52">
        <v>4</v>
      </c>
      <c r="U102" s="52"/>
      <c r="V102" s="53"/>
      <c r="W102" s="52">
        <v>1</v>
      </c>
      <c r="X102" s="63">
        <f t="shared" si="23"/>
        <v>200</v>
      </c>
      <c r="Y102" s="55"/>
      <c r="Z102" s="49"/>
      <c r="AA102" s="50">
        <f t="shared" si="24"/>
        <v>21.160592031949015</v>
      </c>
    </row>
    <row r="103" spans="1:29" ht="36">
      <c r="A103" s="46" t="s">
        <v>38</v>
      </c>
      <c r="B103" s="46" t="s">
        <v>66</v>
      </c>
      <c r="C103" s="46" t="s">
        <v>70</v>
      </c>
      <c r="D103" s="80" t="s">
        <v>225</v>
      </c>
      <c r="E103" s="80" t="s">
        <v>155</v>
      </c>
      <c r="F103" s="80"/>
      <c r="G103" s="80"/>
      <c r="H103" s="80"/>
      <c r="I103" s="51" t="s">
        <v>37</v>
      </c>
      <c r="J103" s="48" t="s">
        <v>95</v>
      </c>
      <c r="K103" s="57" t="s">
        <v>96</v>
      </c>
      <c r="L103" s="49">
        <v>3</v>
      </c>
      <c r="M103" s="49"/>
      <c r="N103" s="49"/>
      <c r="O103" s="51" t="s">
        <v>19</v>
      </c>
      <c r="P103" s="52" t="s">
        <v>235</v>
      </c>
      <c r="Q103" s="52">
        <v>30</v>
      </c>
      <c r="R103" s="52"/>
      <c r="S103" s="52">
        <v>5</v>
      </c>
      <c r="T103" s="52">
        <v>4</v>
      </c>
      <c r="U103" s="52"/>
      <c r="V103" s="53"/>
      <c r="W103" s="52">
        <v>1</v>
      </c>
      <c r="X103" s="63">
        <f t="shared" si="23"/>
        <v>300</v>
      </c>
      <c r="Y103" s="55"/>
      <c r="Z103" s="49"/>
      <c r="AA103" s="50">
        <f t="shared" si="24"/>
        <v>29.399356551448719</v>
      </c>
    </row>
    <row r="104" spans="1:29" ht="36">
      <c r="A104" s="46" t="s">
        <v>38</v>
      </c>
      <c r="B104" s="46" t="s">
        <v>66</v>
      </c>
      <c r="C104" s="46" t="s">
        <v>70</v>
      </c>
      <c r="D104" s="80" t="s">
        <v>225</v>
      </c>
      <c r="E104" s="80" t="s">
        <v>155</v>
      </c>
      <c r="F104" s="80"/>
      <c r="G104" s="80"/>
      <c r="H104" s="80"/>
      <c r="I104" s="51" t="s">
        <v>37</v>
      </c>
      <c r="J104" s="48" t="s">
        <v>95</v>
      </c>
      <c r="K104" s="57" t="s">
        <v>96</v>
      </c>
      <c r="L104" s="49">
        <v>4</v>
      </c>
      <c r="M104" s="49"/>
      <c r="N104" s="49"/>
      <c r="O104" s="51" t="s">
        <v>19</v>
      </c>
      <c r="P104" s="52" t="s">
        <v>236</v>
      </c>
      <c r="Q104" s="52">
        <v>42</v>
      </c>
      <c r="R104" s="52"/>
      <c r="S104" s="52">
        <v>5</v>
      </c>
      <c r="T104" s="52">
        <v>4</v>
      </c>
      <c r="U104" s="52"/>
      <c r="V104" s="53"/>
      <c r="W104" s="52">
        <v>1</v>
      </c>
      <c r="X104" s="63">
        <f t="shared" si="23"/>
        <v>420</v>
      </c>
      <c r="Y104" s="55"/>
      <c r="Z104" s="49"/>
      <c r="AA104" s="50">
        <f t="shared" si="24"/>
        <v>38.623147465127339</v>
      </c>
    </row>
    <row r="105" spans="1:29" ht="36">
      <c r="A105" s="46" t="s">
        <v>38</v>
      </c>
      <c r="B105" s="46" t="s">
        <v>66</v>
      </c>
      <c r="C105" s="46" t="s">
        <v>70</v>
      </c>
      <c r="D105" s="80" t="s">
        <v>225</v>
      </c>
      <c r="E105" s="80" t="s">
        <v>155</v>
      </c>
      <c r="F105" s="80"/>
      <c r="G105" s="80"/>
      <c r="H105" s="80"/>
      <c r="I105" s="51" t="s">
        <v>37</v>
      </c>
      <c r="J105" s="48" t="s">
        <v>95</v>
      </c>
      <c r="K105" s="57" t="s">
        <v>96</v>
      </c>
      <c r="L105" s="49">
        <v>5</v>
      </c>
      <c r="M105" s="49"/>
      <c r="N105" s="49"/>
      <c r="O105" s="51" t="s">
        <v>19</v>
      </c>
      <c r="P105" s="52" t="s">
        <v>237</v>
      </c>
      <c r="Q105" s="52">
        <v>60</v>
      </c>
      <c r="R105" s="52"/>
      <c r="S105" s="52">
        <v>5</v>
      </c>
      <c r="T105" s="52">
        <v>4</v>
      </c>
      <c r="U105" s="52"/>
      <c r="V105" s="53"/>
      <c r="W105" s="52">
        <v>1</v>
      </c>
      <c r="X105" s="63">
        <f t="shared" si="23"/>
        <v>600</v>
      </c>
      <c r="Y105" s="55"/>
      <c r="Z105" s="49"/>
      <c r="AA105" s="50">
        <f t="shared" si="24"/>
        <v>51.579027781915734</v>
      </c>
    </row>
    <row r="106" spans="1:29" ht="36">
      <c r="A106" s="46" t="s">
        <v>38</v>
      </c>
      <c r="B106" s="46" t="s">
        <v>66</v>
      </c>
      <c r="C106" s="46" t="s">
        <v>70</v>
      </c>
      <c r="D106" s="80" t="s">
        <v>225</v>
      </c>
      <c r="E106" s="80" t="s">
        <v>155</v>
      </c>
      <c r="F106" s="80"/>
      <c r="G106" s="80"/>
      <c r="H106" s="80"/>
      <c r="I106" s="51" t="s">
        <v>37</v>
      </c>
      <c r="J106" s="48" t="s">
        <v>95</v>
      </c>
      <c r="K106" s="57" t="s">
        <v>96</v>
      </c>
      <c r="L106" s="49">
        <v>6</v>
      </c>
      <c r="M106" s="49"/>
      <c r="N106" s="49"/>
      <c r="O106" s="51" t="s">
        <v>19</v>
      </c>
      <c r="P106" s="52" t="s">
        <v>238</v>
      </c>
      <c r="Q106" s="52">
        <v>85</v>
      </c>
      <c r="R106" s="52"/>
      <c r="S106" s="52">
        <v>5</v>
      </c>
      <c r="T106" s="52">
        <v>4</v>
      </c>
      <c r="U106" s="52"/>
      <c r="V106" s="53"/>
      <c r="W106" s="52">
        <v>1</v>
      </c>
      <c r="X106" s="63">
        <f t="shared" si="23"/>
        <v>850</v>
      </c>
      <c r="Y106" s="55"/>
      <c r="Z106" s="49"/>
      <c r="AA106" s="50">
        <f t="shared" si="24"/>
        <v>68.414985068691564</v>
      </c>
    </row>
    <row r="107" spans="1:29" ht="36">
      <c r="A107" s="46" t="s">
        <v>38</v>
      </c>
      <c r="B107" s="46" t="s">
        <v>66</v>
      </c>
      <c r="C107" s="46" t="s">
        <v>70</v>
      </c>
      <c r="D107" s="80" t="s">
        <v>225</v>
      </c>
      <c r="E107" s="80" t="s">
        <v>155</v>
      </c>
      <c r="F107" s="80"/>
      <c r="G107" s="80"/>
      <c r="H107" s="80"/>
      <c r="I107" s="51" t="s">
        <v>37</v>
      </c>
      <c r="J107" s="48" t="s">
        <v>95</v>
      </c>
      <c r="K107" s="57" t="s">
        <v>96</v>
      </c>
      <c r="L107" s="49">
        <v>7</v>
      </c>
      <c r="M107" s="49"/>
      <c r="N107" s="49"/>
      <c r="O107" s="51" t="s">
        <v>19</v>
      </c>
      <c r="P107" s="52" t="s">
        <v>239</v>
      </c>
      <c r="Q107" s="52">
        <v>30</v>
      </c>
      <c r="R107" s="52"/>
      <c r="S107" s="52">
        <v>8</v>
      </c>
      <c r="T107" s="52">
        <v>7</v>
      </c>
      <c r="U107" s="52"/>
      <c r="V107" s="53"/>
      <c r="W107" s="52">
        <v>1</v>
      </c>
      <c r="X107" s="63">
        <f t="shared" si="23"/>
        <v>840</v>
      </c>
      <c r="Y107" s="55"/>
      <c r="Z107" s="49"/>
      <c r="AA107" s="50">
        <f t="shared" si="24"/>
        <v>67.761496502230884</v>
      </c>
    </row>
    <row r="108" spans="1:29" ht="36">
      <c r="A108" s="46" t="s">
        <v>38</v>
      </c>
      <c r="B108" s="46" t="s">
        <v>66</v>
      </c>
      <c r="C108" s="46" t="s">
        <v>70</v>
      </c>
      <c r="D108" s="80" t="s">
        <v>225</v>
      </c>
      <c r="E108" s="80" t="s">
        <v>155</v>
      </c>
      <c r="F108" s="80"/>
      <c r="G108" s="80"/>
      <c r="H108" s="80"/>
      <c r="I108" s="51" t="s">
        <v>37</v>
      </c>
      <c r="J108" s="48" t="s">
        <v>95</v>
      </c>
      <c r="K108" s="57" t="s">
        <v>96</v>
      </c>
      <c r="L108" s="49">
        <v>8</v>
      </c>
      <c r="M108" s="49"/>
      <c r="N108" s="49"/>
      <c r="O108" s="51" t="s">
        <v>19</v>
      </c>
      <c r="P108" s="52" t="s">
        <v>240</v>
      </c>
      <c r="Q108" s="52">
        <v>42</v>
      </c>
      <c r="R108" s="52"/>
      <c r="S108" s="52">
        <v>8</v>
      </c>
      <c r="T108" s="52">
        <v>7</v>
      </c>
      <c r="U108" s="52"/>
      <c r="V108" s="53"/>
      <c r="W108" s="52">
        <v>1</v>
      </c>
      <c r="X108" s="63">
        <f t="shared" si="23"/>
        <v>1176</v>
      </c>
      <c r="Y108" s="55"/>
      <c r="Z108" s="49"/>
      <c r="AA108" s="50">
        <f t="shared" si="24"/>
        <v>89.021073208978336</v>
      </c>
    </row>
    <row r="109" spans="1:29" ht="36">
      <c r="A109" s="46" t="s">
        <v>38</v>
      </c>
      <c r="B109" s="46" t="s">
        <v>66</v>
      </c>
      <c r="C109" s="46" t="s">
        <v>70</v>
      </c>
      <c r="D109" s="80" t="s">
        <v>225</v>
      </c>
      <c r="E109" s="80" t="s">
        <v>155</v>
      </c>
      <c r="F109" s="80"/>
      <c r="G109" s="80"/>
      <c r="H109" s="80"/>
      <c r="I109" s="51" t="s">
        <v>37</v>
      </c>
      <c r="J109" s="48" t="s">
        <v>95</v>
      </c>
      <c r="K109" s="57" t="s">
        <v>96</v>
      </c>
      <c r="L109" s="49">
        <v>9</v>
      </c>
      <c r="M109" s="49"/>
      <c r="N109" s="49"/>
      <c r="O109" s="51" t="s">
        <v>19</v>
      </c>
      <c r="P109" s="52" t="s">
        <v>241</v>
      </c>
      <c r="Q109" s="52">
        <v>60</v>
      </c>
      <c r="R109" s="52"/>
      <c r="S109" s="52">
        <v>8</v>
      </c>
      <c r="T109" s="52">
        <v>7</v>
      </c>
      <c r="U109" s="52"/>
      <c r="V109" s="53"/>
      <c r="W109" s="52">
        <v>1</v>
      </c>
      <c r="X109" s="63">
        <f t="shared" si="23"/>
        <v>1680</v>
      </c>
      <c r="Y109" s="55"/>
      <c r="Z109" s="49"/>
      <c r="AA109" s="50">
        <f t="shared" si="24"/>
        <v>118.8826056283374</v>
      </c>
    </row>
    <row r="110" spans="1:29" ht="36">
      <c r="A110" s="46" t="s">
        <v>38</v>
      </c>
      <c r="B110" s="46" t="s">
        <v>66</v>
      </c>
      <c r="C110" s="46" t="s">
        <v>70</v>
      </c>
      <c r="D110" s="80" t="s">
        <v>225</v>
      </c>
      <c r="E110" s="80" t="s">
        <v>155</v>
      </c>
      <c r="F110" s="80"/>
      <c r="G110" s="80"/>
      <c r="H110" s="80"/>
      <c r="I110" s="51" t="s">
        <v>37</v>
      </c>
      <c r="J110" s="48" t="s">
        <v>95</v>
      </c>
      <c r="K110" s="57" t="s">
        <v>96</v>
      </c>
      <c r="L110" s="49">
        <v>10</v>
      </c>
      <c r="M110" s="49"/>
      <c r="N110" s="49"/>
      <c r="O110" s="51" t="s">
        <v>19</v>
      </c>
      <c r="P110" s="52" t="s">
        <v>242</v>
      </c>
      <c r="Q110" s="52">
        <v>85</v>
      </c>
      <c r="R110" s="52"/>
      <c r="S110" s="52">
        <v>8</v>
      </c>
      <c r="T110" s="52">
        <v>7</v>
      </c>
      <c r="U110" s="52"/>
      <c r="V110" s="53"/>
      <c r="W110" s="52">
        <v>1</v>
      </c>
      <c r="X110" s="63">
        <f t="shared" si="23"/>
        <v>2380</v>
      </c>
      <c r="Y110" s="55"/>
      <c r="Z110" s="49"/>
      <c r="AA110" s="50">
        <f t="shared" si="24"/>
        <v>157.68718486472699</v>
      </c>
    </row>
    <row r="111" spans="1:29" ht="36">
      <c r="A111" s="46" t="s">
        <v>38</v>
      </c>
      <c r="B111" s="46" t="s">
        <v>66</v>
      </c>
      <c r="C111" s="46" t="s">
        <v>70</v>
      </c>
      <c r="D111" s="80" t="s">
        <v>225</v>
      </c>
      <c r="E111" s="80" t="s">
        <v>155</v>
      </c>
      <c r="F111" s="80"/>
      <c r="G111" s="80"/>
      <c r="H111" s="80"/>
      <c r="I111" s="51" t="s">
        <v>37</v>
      </c>
      <c r="J111" s="48" t="s">
        <v>95</v>
      </c>
      <c r="K111" s="57" t="s">
        <v>96</v>
      </c>
      <c r="L111" s="49">
        <v>11</v>
      </c>
      <c r="M111" s="49"/>
      <c r="N111" s="49"/>
      <c r="O111" s="51" t="s">
        <v>19</v>
      </c>
      <c r="P111" s="52" t="s">
        <v>243</v>
      </c>
      <c r="Q111" s="52">
        <v>30</v>
      </c>
      <c r="R111" s="52"/>
      <c r="S111" s="52">
        <v>10.5</v>
      </c>
      <c r="T111" s="52">
        <v>8</v>
      </c>
      <c r="U111" s="52"/>
      <c r="V111" s="53"/>
      <c r="W111" s="52">
        <v>1</v>
      </c>
      <c r="X111" s="63">
        <f t="shared" si="23"/>
        <v>1260</v>
      </c>
      <c r="Y111" s="55"/>
      <c r="Z111" s="49"/>
      <c r="AA111" s="50">
        <f t="shared" si="24"/>
        <v>94.144076551403671</v>
      </c>
    </row>
    <row r="112" spans="1:29" ht="36">
      <c r="A112" s="46" t="s">
        <v>38</v>
      </c>
      <c r="B112" s="46" t="s">
        <v>66</v>
      </c>
      <c r="C112" s="46" t="s">
        <v>70</v>
      </c>
      <c r="D112" s="80" t="s">
        <v>225</v>
      </c>
      <c r="E112" s="80" t="s">
        <v>155</v>
      </c>
      <c r="F112" s="80"/>
      <c r="G112" s="80"/>
      <c r="H112" s="80"/>
      <c r="I112" s="51" t="s">
        <v>37</v>
      </c>
      <c r="J112" s="48" t="s">
        <v>95</v>
      </c>
      <c r="K112" s="57" t="s">
        <v>96</v>
      </c>
      <c r="L112" s="49">
        <v>12</v>
      </c>
      <c r="M112" s="49"/>
      <c r="N112" s="49"/>
      <c r="O112" s="51" t="s">
        <v>19</v>
      </c>
      <c r="P112" s="52" t="s">
        <v>244</v>
      </c>
      <c r="Q112" s="52">
        <v>42</v>
      </c>
      <c r="R112" s="52"/>
      <c r="S112" s="52">
        <v>10.5</v>
      </c>
      <c r="T112" s="52">
        <v>8</v>
      </c>
      <c r="U112" s="52"/>
      <c r="V112" s="53"/>
      <c r="W112" s="52">
        <v>1</v>
      </c>
      <c r="X112" s="63">
        <f t="shared" si="23"/>
        <v>1764</v>
      </c>
      <c r="Y112" s="55"/>
      <c r="Z112" s="49"/>
      <c r="AA112" s="50">
        <f t="shared" si="24"/>
        <v>123.6809569369273</v>
      </c>
    </row>
    <row r="113" spans="1:27" ht="36">
      <c r="A113" s="46" t="s">
        <v>38</v>
      </c>
      <c r="B113" s="46" t="s">
        <v>66</v>
      </c>
      <c r="C113" s="46" t="s">
        <v>70</v>
      </c>
      <c r="D113" s="80" t="s">
        <v>225</v>
      </c>
      <c r="E113" s="80" t="s">
        <v>155</v>
      </c>
      <c r="F113" s="80"/>
      <c r="G113" s="80"/>
      <c r="H113" s="80"/>
      <c r="I113" s="51" t="s">
        <v>37</v>
      </c>
      <c r="J113" s="48" t="s">
        <v>95</v>
      </c>
      <c r="K113" s="57" t="s">
        <v>96</v>
      </c>
      <c r="L113" s="49">
        <v>13</v>
      </c>
      <c r="M113" s="49"/>
      <c r="N113" s="49"/>
      <c r="O113" s="51" t="s">
        <v>19</v>
      </c>
      <c r="P113" s="52" t="s">
        <v>245</v>
      </c>
      <c r="Q113" s="52">
        <v>60</v>
      </c>
      <c r="R113" s="52"/>
      <c r="S113" s="52">
        <v>10.5</v>
      </c>
      <c r="T113" s="52">
        <v>8</v>
      </c>
      <c r="U113" s="52"/>
      <c r="V113" s="53"/>
      <c r="W113" s="52">
        <v>1</v>
      </c>
      <c r="X113" s="63">
        <f t="shared" si="23"/>
        <v>2520</v>
      </c>
      <c r="Y113" s="55"/>
      <c r="Z113" s="49"/>
      <c r="AA113" s="50">
        <f t="shared" si="24"/>
        <v>165.16891896766253</v>
      </c>
    </row>
    <row r="114" spans="1:27" s="79" customFormat="1" ht="14.25">
      <c r="A114" s="57" t="s">
        <v>38</v>
      </c>
      <c r="B114" s="57" t="s">
        <v>66</v>
      </c>
      <c r="C114" s="57" t="s">
        <v>70</v>
      </c>
      <c r="D114" s="78" t="s">
        <v>225</v>
      </c>
      <c r="E114" s="78" t="s">
        <v>155</v>
      </c>
      <c r="F114" s="78"/>
      <c r="G114" s="78"/>
      <c r="H114" s="78"/>
      <c r="I114" s="51" t="s">
        <v>37</v>
      </c>
      <c r="J114" s="64" t="s">
        <v>95</v>
      </c>
      <c r="K114" s="57" t="s">
        <v>96</v>
      </c>
      <c r="L114" s="51">
        <v>14</v>
      </c>
      <c r="M114" s="51"/>
      <c r="N114" s="51"/>
      <c r="O114" s="51" t="s">
        <v>19</v>
      </c>
      <c r="P114" s="59" t="s">
        <v>246</v>
      </c>
      <c r="Q114" s="59">
        <v>85</v>
      </c>
      <c r="R114" s="59"/>
      <c r="S114" s="59">
        <v>10.5</v>
      </c>
      <c r="T114" s="59">
        <v>8</v>
      </c>
      <c r="U114" s="59"/>
      <c r="V114" s="60"/>
      <c r="W114" s="59">
        <v>1</v>
      </c>
      <c r="X114" s="54">
        <f t="shared" si="23"/>
        <v>3570</v>
      </c>
      <c r="Y114" s="64"/>
      <c r="Z114" s="51"/>
      <c r="AA114" s="50">
        <f t="shared" si="24"/>
        <v>219.08185576437876</v>
      </c>
    </row>
    <row r="115" spans="1:27" s="79" customFormat="1" ht="14.25">
      <c r="A115" s="57" t="s">
        <v>38</v>
      </c>
      <c r="B115" s="57" t="s">
        <v>66</v>
      </c>
      <c r="C115" s="57" t="s">
        <v>70</v>
      </c>
      <c r="D115" s="78" t="s">
        <v>225</v>
      </c>
      <c r="E115" s="78" t="s">
        <v>155</v>
      </c>
      <c r="F115" s="78"/>
      <c r="G115" s="78"/>
      <c r="H115" s="78"/>
      <c r="I115" s="51" t="s">
        <v>37</v>
      </c>
      <c r="J115" s="64" t="s">
        <v>95</v>
      </c>
      <c r="K115" s="57" t="s">
        <v>96</v>
      </c>
      <c r="L115" s="51">
        <v>15</v>
      </c>
      <c r="M115" s="51"/>
      <c r="N115" s="51"/>
      <c r="O115" s="51" t="s">
        <v>19</v>
      </c>
      <c r="P115" s="59" t="s">
        <v>247</v>
      </c>
      <c r="Q115" s="59">
        <v>50</v>
      </c>
      <c r="R115" s="59"/>
      <c r="S115" s="59">
        <v>16</v>
      </c>
      <c r="T115" s="59">
        <v>12</v>
      </c>
      <c r="U115" s="59"/>
      <c r="V115" s="60"/>
      <c r="W115" s="59">
        <v>1</v>
      </c>
      <c r="X115" s="54">
        <f t="shared" si="23"/>
        <v>4800</v>
      </c>
      <c r="Y115" s="64"/>
      <c r="Z115" s="51"/>
      <c r="AA115" s="50">
        <f t="shared" si="24"/>
        <v>278.5345869651506</v>
      </c>
    </row>
    <row r="116" spans="1:27" s="79" customFormat="1" ht="14.25">
      <c r="A116" s="57" t="s">
        <v>38</v>
      </c>
      <c r="B116" s="57" t="s">
        <v>66</v>
      </c>
      <c r="C116" s="57" t="s">
        <v>70</v>
      </c>
      <c r="D116" s="78" t="s">
        <v>225</v>
      </c>
      <c r="E116" s="78" t="s">
        <v>155</v>
      </c>
      <c r="F116" s="78"/>
      <c r="G116" s="78"/>
      <c r="H116" s="78"/>
      <c r="I116" s="51" t="s">
        <v>37</v>
      </c>
      <c r="J116" s="64" t="s">
        <v>95</v>
      </c>
      <c r="K116" s="57" t="s">
        <v>96</v>
      </c>
      <c r="L116" s="51">
        <v>16</v>
      </c>
      <c r="M116" s="51"/>
      <c r="N116" s="51"/>
      <c r="O116" s="51" t="s">
        <v>19</v>
      </c>
      <c r="P116" s="59" t="s">
        <v>248</v>
      </c>
      <c r="Q116" s="59">
        <v>85</v>
      </c>
      <c r="R116" s="59"/>
      <c r="S116" s="59">
        <v>16</v>
      </c>
      <c r="T116" s="59">
        <v>12</v>
      </c>
      <c r="U116" s="59"/>
      <c r="V116" s="60"/>
      <c r="W116" s="59">
        <v>1</v>
      </c>
      <c r="X116" s="54">
        <f t="shared" si="23"/>
        <v>8160</v>
      </c>
      <c r="Y116" s="64"/>
      <c r="Z116" s="51"/>
      <c r="AA116" s="50">
        <f t="shared" si="24"/>
        <v>428.32478593556931</v>
      </c>
    </row>
    <row r="117" spans="1:27" s="79" customFormat="1" ht="14.25">
      <c r="A117" s="57" t="s">
        <v>38</v>
      </c>
      <c r="B117" s="57" t="s">
        <v>66</v>
      </c>
      <c r="C117" s="57" t="s">
        <v>70</v>
      </c>
      <c r="D117" s="78" t="s">
        <v>225</v>
      </c>
      <c r="E117" s="78" t="s">
        <v>155</v>
      </c>
      <c r="F117" s="78"/>
      <c r="G117" s="78"/>
      <c r="H117" s="78"/>
      <c r="I117" s="51" t="s">
        <v>37</v>
      </c>
      <c r="J117" s="64" t="s">
        <v>95</v>
      </c>
      <c r="K117" s="57" t="s">
        <v>96</v>
      </c>
      <c r="L117" s="51">
        <v>17</v>
      </c>
      <c r="M117" s="51"/>
      <c r="N117" s="51"/>
      <c r="O117" s="51" t="s">
        <v>19</v>
      </c>
      <c r="P117" s="59" t="s">
        <v>249</v>
      </c>
      <c r="Q117" s="59">
        <v>105</v>
      </c>
      <c r="R117" s="59"/>
      <c r="S117" s="59">
        <v>16</v>
      </c>
      <c r="T117" s="59">
        <v>12</v>
      </c>
      <c r="U117" s="59"/>
      <c r="V117" s="60"/>
      <c r="W117" s="59">
        <v>1</v>
      </c>
      <c r="X117" s="54">
        <f t="shared" si="23"/>
        <v>10080</v>
      </c>
      <c r="Y117" s="64"/>
      <c r="Z117" s="51"/>
      <c r="AA117" s="50">
        <f t="shared" si="24"/>
        <v>508.3923176747943</v>
      </c>
    </row>
    <row r="118" spans="1:27" s="79" customFormat="1" ht="14.25">
      <c r="A118" s="57" t="s">
        <v>38</v>
      </c>
      <c r="B118" s="57" t="s">
        <v>66</v>
      </c>
      <c r="C118" s="57" t="s">
        <v>70</v>
      </c>
      <c r="D118" s="78" t="s">
        <v>225</v>
      </c>
      <c r="E118" s="78" t="s">
        <v>155</v>
      </c>
      <c r="F118" s="78"/>
      <c r="G118" s="78"/>
      <c r="H118" s="78"/>
      <c r="I118" s="51" t="s">
        <v>37</v>
      </c>
      <c r="J118" s="64" t="s">
        <v>95</v>
      </c>
      <c r="K118" s="57" t="s">
        <v>96</v>
      </c>
      <c r="L118" s="51">
        <v>18</v>
      </c>
      <c r="M118" s="51"/>
      <c r="N118" s="51"/>
      <c r="O118" s="51" t="s">
        <v>19</v>
      </c>
      <c r="P118" s="59" t="s">
        <v>250</v>
      </c>
      <c r="Q118" s="59">
        <v>50</v>
      </c>
      <c r="R118" s="59"/>
      <c r="S118" s="59">
        <v>25</v>
      </c>
      <c r="T118" s="59">
        <v>15</v>
      </c>
      <c r="U118" s="59"/>
      <c r="V118" s="60"/>
      <c r="W118" s="59">
        <v>1</v>
      </c>
      <c r="X118" s="54">
        <f t="shared" si="23"/>
        <v>9375</v>
      </c>
      <c r="Y118" s="64"/>
      <c r="Z118" s="51"/>
      <c r="AA118" s="50">
        <f t="shared" si="24"/>
        <v>479.35933910448568</v>
      </c>
    </row>
    <row r="119" spans="1:27" s="79" customFormat="1" ht="14.25">
      <c r="A119" s="57" t="s">
        <v>38</v>
      </c>
      <c r="B119" s="57" t="s">
        <v>66</v>
      </c>
      <c r="C119" s="57" t="s">
        <v>70</v>
      </c>
      <c r="D119" s="78" t="s">
        <v>225</v>
      </c>
      <c r="E119" s="78" t="s">
        <v>155</v>
      </c>
      <c r="F119" s="78"/>
      <c r="G119" s="78"/>
      <c r="H119" s="78"/>
      <c r="I119" s="51" t="s">
        <v>37</v>
      </c>
      <c r="J119" s="64" t="s">
        <v>95</v>
      </c>
      <c r="K119" s="57" t="s">
        <v>96</v>
      </c>
      <c r="L119" s="51">
        <v>19</v>
      </c>
      <c r="M119" s="51"/>
      <c r="N119" s="51"/>
      <c r="O119" s="51" t="s">
        <v>19</v>
      </c>
      <c r="P119" s="59" t="s">
        <v>251</v>
      </c>
      <c r="Q119" s="59">
        <v>85</v>
      </c>
      <c r="R119" s="59"/>
      <c r="S119" s="59">
        <v>25</v>
      </c>
      <c r="T119" s="59">
        <v>15</v>
      </c>
      <c r="U119" s="59"/>
      <c r="V119" s="60"/>
      <c r="W119" s="59">
        <v>1</v>
      </c>
      <c r="X119" s="54">
        <f t="shared" si="23"/>
        <v>15937.5</v>
      </c>
      <c r="Y119" s="64"/>
      <c r="Z119" s="51"/>
      <c r="AA119" s="50">
        <f t="shared" si="24"/>
        <v>737.14897867902562</v>
      </c>
    </row>
    <row r="120" spans="1:27" s="79" customFormat="1" ht="14.25">
      <c r="A120" s="57" t="s">
        <v>38</v>
      </c>
      <c r="B120" s="57" t="s">
        <v>66</v>
      </c>
      <c r="C120" s="57" t="s">
        <v>70</v>
      </c>
      <c r="D120" s="78" t="s">
        <v>225</v>
      </c>
      <c r="E120" s="78" t="s">
        <v>155</v>
      </c>
      <c r="F120" s="78"/>
      <c r="G120" s="78"/>
      <c r="H120" s="78"/>
      <c r="I120" s="51" t="s">
        <v>37</v>
      </c>
      <c r="J120" s="64" t="s">
        <v>95</v>
      </c>
      <c r="K120" s="57" t="s">
        <v>96</v>
      </c>
      <c r="L120" s="51">
        <v>20</v>
      </c>
      <c r="M120" s="51"/>
      <c r="N120" s="51"/>
      <c r="O120" s="51" t="s">
        <v>19</v>
      </c>
      <c r="P120" s="59" t="s">
        <v>252</v>
      </c>
      <c r="Q120" s="59">
        <v>105</v>
      </c>
      <c r="R120" s="59"/>
      <c r="S120" s="59">
        <v>25</v>
      </c>
      <c r="T120" s="59">
        <v>15</v>
      </c>
      <c r="U120" s="59"/>
      <c r="V120" s="60"/>
      <c r="W120" s="59">
        <v>1</v>
      </c>
      <c r="X120" s="54">
        <f t="shared" si="23"/>
        <v>19687.5</v>
      </c>
      <c r="Y120" s="64"/>
      <c r="Z120" s="51"/>
      <c r="AA120" s="50">
        <f t="shared" si="24"/>
        <v>874.94557879405556</v>
      </c>
    </row>
    <row r="121" spans="1:27" s="79" customFormat="1" ht="14.25">
      <c r="A121" s="57" t="s">
        <v>38</v>
      </c>
      <c r="B121" s="57" t="s">
        <v>66</v>
      </c>
      <c r="C121" s="57" t="s">
        <v>70</v>
      </c>
      <c r="D121" s="78" t="s">
        <v>225</v>
      </c>
      <c r="E121" s="78" t="s">
        <v>155</v>
      </c>
      <c r="F121" s="78"/>
      <c r="G121" s="78"/>
      <c r="H121" s="78"/>
      <c r="I121" s="51" t="s">
        <v>37</v>
      </c>
      <c r="J121" s="64" t="s">
        <v>95</v>
      </c>
      <c r="K121" s="57" t="s">
        <v>96</v>
      </c>
      <c r="L121" s="51">
        <v>21</v>
      </c>
      <c r="M121" s="51"/>
      <c r="N121" s="51"/>
      <c r="O121" s="51" t="s">
        <v>19</v>
      </c>
      <c r="P121" s="59" t="s">
        <v>253</v>
      </c>
      <c r="Q121" s="59">
        <v>20</v>
      </c>
      <c r="R121" s="59"/>
      <c r="S121" s="59">
        <v>2</v>
      </c>
      <c r="T121" s="59">
        <v>2</v>
      </c>
      <c r="U121" s="59"/>
      <c r="V121" s="60"/>
      <c r="W121" s="59">
        <v>1</v>
      </c>
      <c r="X121" s="54">
        <f>Q121*S121*T121/2*W121</f>
        <v>40</v>
      </c>
      <c r="Y121" s="64"/>
      <c r="Z121" s="51"/>
      <c r="AA121" s="50">
        <f>0.288 * X121^0.811</f>
        <v>5.7367132307185305</v>
      </c>
    </row>
    <row r="122" spans="1:27" s="79" customFormat="1" ht="14.25">
      <c r="A122" s="57" t="s">
        <v>38</v>
      </c>
      <c r="B122" s="57" t="s">
        <v>66</v>
      </c>
      <c r="C122" s="57" t="s">
        <v>70</v>
      </c>
      <c r="D122" s="78" t="s">
        <v>225</v>
      </c>
      <c r="E122" s="78" t="s">
        <v>155</v>
      </c>
      <c r="F122" s="78"/>
      <c r="G122" s="78"/>
      <c r="H122" s="78"/>
      <c r="I122" s="51" t="s">
        <v>37</v>
      </c>
      <c r="J122" s="64" t="s">
        <v>95</v>
      </c>
      <c r="K122" s="57" t="s">
        <v>96</v>
      </c>
      <c r="L122" s="51">
        <v>22</v>
      </c>
      <c r="M122" s="51"/>
      <c r="N122" s="51"/>
      <c r="O122" s="51" t="s">
        <v>19</v>
      </c>
      <c r="P122" s="77" t="s">
        <v>227</v>
      </c>
      <c r="Q122" s="76">
        <v>9</v>
      </c>
      <c r="R122" s="76"/>
      <c r="S122" s="76">
        <v>4</v>
      </c>
      <c r="T122" s="76">
        <v>2</v>
      </c>
      <c r="U122" s="76"/>
      <c r="V122" s="76"/>
      <c r="W122" s="76">
        <v>1</v>
      </c>
      <c r="X122" s="76">
        <f>Q122*S122*T122/2</f>
        <v>36</v>
      </c>
      <c r="Y122" s="76"/>
      <c r="Z122" s="76"/>
      <c r="AA122" s="50">
        <f>0.288 * X122^0.811</f>
        <v>5.2668847579337816</v>
      </c>
    </row>
    <row r="123" spans="1:27" s="79" customFormat="1" ht="14.25">
      <c r="A123" s="57" t="s">
        <v>38</v>
      </c>
      <c r="B123" s="57" t="s">
        <v>66</v>
      </c>
      <c r="C123" s="57" t="s">
        <v>70</v>
      </c>
      <c r="D123" s="78" t="s">
        <v>225</v>
      </c>
      <c r="E123" s="78" t="s">
        <v>155</v>
      </c>
      <c r="F123" s="78"/>
      <c r="G123" s="78"/>
      <c r="H123" s="78"/>
      <c r="I123" s="51" t="s">
        <v>37</v>
      </c>
      <c r="J123" s="64" t="s">
        <v>95</v>
      </c>
      <c r="K123" s="57" t="s">
        <v>96</v>
      </c>
      <c r="L123" s="51">
        <v>23</v>
      </c>
      <c r="M123" s="51"/>
      <c r="N123" s="51"/>
      <c r="O123" s="51" t="s">
        <v>19</v>
      </c>
      <c r="P123" s="69" t="s">
        <v>228</v>
      </c>
      <c r="Q123" s="76">
        <v>45</v>
      </c>
      <c r="R123" s="76"/>
      <c r="S123" s="76">
        <v>2</v>
      </c>
      <c r="T123" s="76">
        <v>1.5</v>
      </c>
      <c r="U123" s="76"/>
      <c r="V123" s="76"/>
      <c r="W123" s="76">
        <v>1</v>
      </c>
      <c r="X123" s="76">
        <f>Q123*S123*T123/2</f>
        <v>67.5</v>
      </c>
      <c r="Y123" s="76"/>
      <c r="Z123" s="76"/>
      <c r="AA123" s="50">
        <f>0.288 * X123^0.811</f>
        <v>8.7691570387279842</v>
      </c>
    </row>
    <row r="124" spans="1:27" s="79" customFormat="1" ht="14.25">
      <c r="A124" s="57" t="s">
        <v>38</v>
      </c>
      <c r="B124" s="57" t="s">
        <v>66</v>
      </c>
      <c r="C124" s="57" t="s">
        <v>67</v>
      </c>
      <c r="D124" s="78" t="s">
        <v>226</v>
      </c>
      <c r="E124" s="78" t="s">
        <v>155</v>
      </c>
      <c r="F124" s="78"/>
      <c r="G124" s="78"/>
      <c r="H124" s="78"/>
      <c r="I124" s="51" t="s">
        <v>37</v>
      </c>
      <c r="J124" s="64" t="s">
        <v>59</v>
      </c>
      <c r="K124" s="57" t="s">
        <v>60</v>
      </c>
      <c r="L124" s="51">
        <v>1</v>
      </c>
      <c r="M124" s="51"/>
      <c r="N124" s="51"/>
      <c r="O124" s="51" t="s">
        <v>19</v>
      </c>
      <c r="P124" s="59" t="s">
        <v>254</v>
      </c>
      <c r="Q124" s="59"/>
      <c r="R124" s="59"/>
      <c r="S124" s="59"/>
      <c r="T124" s="66">
        <f>U124*0.65</f>
        <v>3.25</v>
      </c>
      <c r="U124" s="60">
        <v>5</v>
      </c>
      <c r="V124" s="59"/>
      <c r="W124" s="59">
        <v>1</v>
      </c>
      <c r="X124" s="54">
        <f t="shared" ref="X124:X135" si="25">3.14/4*U124^2*T124</f>
        <v>63.78125</v>
      </c>
      <c r="Y124" s="64" t="s">
        <v>255</v>
      </c>
      <c r="Z124" s="51"/>
      <c r="AA124" s="50">
        <f t="shared" ref="AA124:AA135" si="26">0.288 * X124^0.811</f>
        <v>8.3752645144057567</v>
      </c>
    </row>
    <row r="125" spans="1:27" s="79" customFormat="1" ht="14.25">
      <c r="A125" s="57" t="s">
        <v>38</v>
      </c>
      <c r="B125" s="57" t="s">
        <v>66</v>
      </c>
      <c r="C125" s="57" t="s">
        <v>67</v>
      </c>
      <c r="D125" s="78" t="s">
        <v>226</v>
      </c>
      <c r="E125" s="78" t="s">
        <v>155</v>
      </c>
      <c r="F125" s="78"/>
      <c r="G125" s="78"/>
      <c r="H125" s="78"/>
      <c r="I125" s="51" t="s">
        <v>37</v>
      </c>
      <c r="J125" s="64" t="s">
        <v>59</v>
      </c>
      <c r="K125" s="57" t="s">
        <v>60</v>
      </c>
      <c r="L125" s="51">
        <v>2</v>
      </c>
      <c r="M125" s="51"/>
      <c r="N125" s="51"/>
      <c r="O125" s="51" t="s">
        <v>19</v>
      </c>
      <c r="P125" s="59" t="s">
        <v>256</v>
      </c>
      <c r="Q125" s="59"/>
      <c r="R125" s="59"/>
      <c r="S125" s="59"/>
      <c r="T125" s="66">
        <f>U125*0.65</f>
        <v>6.5</v>
      </c>
      <c r="U125" s="60">
        <v>10</v>
      </c>
      <c r="V125" s="59"/>
      <c r="W125" s="59">
        <v>1</v>
      </c>
      <c r="X125" s="54">
        <f t="shared" si="25"/>
        <v>510.25</v>
      </c>
      <c r="Y125" s="64" t="s">
        <v>255</v>
      </c>
      <c r="Z125" s="51"/>
      <c r="AA125" s="50">
        <f t="shared" si="26"/>
        <v>45.227700919593524</v>
      </c>
    </row>
    <row r="126" spans="1:27" s="79" customFormat="1" ht="14.25">
      <c r="A126" s="57" t="s">
        <v>38</v>
      </c>
      <c r="B126" s="57" t="s">
        <v>66</v>
      </c>
      <c r="C126" s="57" t="s">
        <v>67</v>
      </c>
      <c r="D126" s="78" t="s">
        <v>226</v>
      </c>
      <c r="E126" s="78" t="s">
        <v>155</v>
      </c>
      <c r="F126" s="78"/>
      <c r="G126" s="78"/>
      <c r="H126" s="78"/>
      <c r="I126" s="51" t="s">
        <v>37</v>
      </c>
      <c r="J126" s="64" t="s">
        <v>59</v>
      </c>
      <c r="K126" s="57" t="s">
        <v>60</v>
      </c>
      <c r="L126" s="51">
        <v>3</v>
      </c>
      <c r="M126" s="51"/>
      <c r="N126" s="51"/>
      <c r="O126" s="51" t="s">
        <v>19</v>
      </c>
      <c r="P126" s="59" t="s">
        <v>257</v>
      </c>
      <c r="Q126" s="59"/>
      <c r="R126" s="59"/>
      <c r="S126" s="59"/>
      <c r="T126" s="66">
        <f>U126*0.65</f>
        <v>9.75</v>
      </c>
      <c r="U126" s="60">
        <v>15</v>
      </c>
      <c r="V126" s="59"/>
      <c r="W126" s="59">
        <v>1</v>
      </c>
      <c r="X126" s="54">
        <f t="shared" si="25"/>
        <v>1722.09375</v>
      </c>
      <c r="Y126" s="64" t="s">
        <v>255</v>
      </c>
      <c r="Z126" s="51"/>
      <c r="AA126" s="50">
        <f t="shared" si="26"/>
        <v>121.29266683627579</v>
      </c>
    </row>
    <row r="127" spans="1:27" s="79" customFormat="1" ht="14.25">
      <c r="A127" s="57" t="s">
        <v>38</v>
      </c>
      <c r="B127" s="57" t="s">
        <v>66</v>
      </c>
      <c r="C127" s="57" t="s">
        <v>67</v>
      </c>
      <c r="D127" s="78" t="s">
        <v>226</v>
      </c>
      <c r="E127" s="78" t="s">
        <v>155</v>
      </c>
      <c r="F127" s="78"/>
      <c r="G127" s="78"/>
      <c r="H127" s="78"/>
      <c r="I127" s="51" t="s">
        <v>37</v>
      </c>
      <c r="J127" s="64" t="s">
        <v>59</v>
      </c>
      <c r="K127" s="57" t="s">
        <v>60</v>
      </c>
      <c r="L127" s="51">
        <v>4</v>
      </c>
      <c r="M127" s="51"/>
      <c r="N127" s="51"/>
      <c r="O127" s="51" t="s">
        <v>19</v>
      </c>
      <c r="P127" s="59" t="s">
        <v>258</v>
      </c>
      <c r="Q127" s="59"/>
      <c r="R127" s="59"/>
      <c r="S127" s="59"/>
      <c r="T127" s="59">
        <f t="shared" ref="T127:T132" si="27">U127*0.5</f>
        <v>10</v>
      </c>
      <c r="U127" s="60">
        <v>20</v>
      </c>
      <c r="V127" s="59"/>
      <c r="W127" s="59">
        <v>1</v>
      </c>
      <c r="X127" s="54">
        <f t="shared" si="25"/>
        <v>3140</v>
      </c>
      <c r="Y127" s="64" t="s">
        <v>259</v>
      </c>
      <c r="Z127" s="51"/>
      <c r="AA127" s="50">
        <f t="shared" si="26"/>
        <v>197.42512985829686</v>
      </c>
    </row>
    <row r="128" spans="1:27" s="79" customFormat="1" ht="14.25">
      <c r="A128" s="57" t="s">
        <v>38</v>
      </c>
      <c r="B128" s="57" t="s">
        <v>66</v>
      </c>
      <c r="C128" s="57" t="s">
        <v>67</v>
      </c>
      <c r="D128" s="78" t="s">
        <v>226</v>
      </c>
      <c r="E128" s="78" t="s">
        <v>155</v>
      </c>
      <c r="F128" s="78"/>
      <c r="G128" s="78"/>
      <c r="H128" s="78"/>
      <c r="I128" s="51" t="s">
        <v>37</v>
      </c>
      <c r="J128" s="64" t="s">
        <v>59</v>
      </c>
      <c r="K128" s="57" t="s">
        <v>60</v>
      </c>
      <c r="L128" s="51">
        <v>5</v>
      </c>
      <c r="M128" s="51"/>
      <c r="N128" s="51"/>
      <c r="O128" s="51" t="s">
        <v>19</v>
      </c>
      <c r="P128" s="59" t="s">
        <v>260</v>
      </c>
      <c r="Q128" s="59"/>
      <c r="R128" s="59"/>
      <c r="S128" s="59"/>
      <c r="T128" s="59">
        <f t="shared" si="27"/>
        <v>12.5</v>
      </c>
      <c r="U128" s="60">
        <v>25</v>
      </c>
      <c r="V128" s="59"/>
      <c r="W128" s="59">
        <v>1</v>
      </c>
      <c r="X128" s="54">
        <f t="shared" si="25"/>
        <v>6132.8125</v>
      </c>
      <c r="Y128" s="64" t="s">
        <v>259</v>
      </c>
      <c r="Z128" s="51"/>
      <c r="AA128" s="50">
        <f t="shared" si="26"/>
        <v>339.76958051292615</v>
      </c>
    </row>
    <row r="129" spans="1:32" s="79" customFormat="1" ht="14.25">
      <c r="A129" s="57" t="s">
        <v>38</v>
      </c>
      <c r="B129" s="57" t="s">
        <v>66</v>
      </c>
      <c r="C129" s="57" t="s">
        <v>67</v>
      </c>
      <c r="D129" s="78" t="s">
        <v>226</v>
      </c>
      <c r="E129" s="78" t="s">
        <v>155</v>
      </c>
      <c r="F129" s="78"/>
      <c r="G129" s="78"/>
      <c r="H129" s="78"/>
      <c r="I129" s="51" t="s">
        <v>37</v>
      </c>
      <c r="J129" s="64" t="s">
        <v>59</v>
      </c>
      <c r="K129" s="57" t="s">
        <v>60</v>
      </c>
      <c r="L129" s="51">
        <v>6</v>
      </c>
      <c r="M129" s="51"/>
      <c r="N129" s="51"/>
      <c r="O129" s="51" t="s">
        <v>19</v>
      </c>
      <c r="P129" s="59" t="s">
        <v>261</v>
      </c>
      <c r="Q129" s="59"/>
      <c r="R129" s="59"/>
      <c r="S129" s="59"/>
      <c r="T129" s="59">
        <f t="shared" si="27"/>
        <v>15</v>
      </c>
      <c r="U129" s="60">
        <v>30</v>
      </c>
      <c r="V129" s="59"/>
      <c r="W129" s="59">
        <v>1</v>
      </c>
      <c r="X129" s="54">
        <f t="shared" si="25"/>
        <v>10597.5</v>
      </c>
      <c r="Y129" s="64" t="s">
        <v>259</v>
      </c>
      <c r="Z129" s="51"/>
      <c r="AA129" s="50">
        <f t="shared" si="26"/>
        <v>529.45915919057722</v>
      </c>
    </row>
    <row r="130" spans="1:32" s="79" customFormat="1" ht="14.25">
      <c r="A130" s="57" t="s">
        <v>38</v>
      </c>
      <c r="B130" s="57" t="s">
        <v>66</v>
      </c>
      <c r="C130" s="57" t="s">
        <v>67</v>
      </c>
      <c r="D130" s="78" t="s">
        <v>226</v>
      </c>
      <c r="E130" s="78" t="s">
        <v>155</v>
      </c>
      <c r="F130" s="78"/>
      <c r="G130" s="78"/>
      <c r="H130" s="78"/>
      <c r="I130" s="51" t="s">
        <v>37</v>
      </c>
      <c r="J130" s="64" t="s">
        <v>59</v>
      </c>
      <c r="K130" s="57" t="s">
        <v>60</v>
      </c>
      <c r="L130" s="51">
        <v>7</v>
      </c>
      <c r="M130" s="51"/>
      <c r="N130" s="51"/>
      <c r="O130" s="51" t="s">
        <v>19</v>
      </c>
      <c r="P130" s="59" t="s">
        <v>262</v>
      </c>
      <c r="Q130" s="59"/>
      <c r="R130" s="59"/>
      <c r="S130" s="59"/>
      <c r="T130" s="59">
        <f t="shared" si="27"/>
        <v>17.5</v>
      </c>
      <c r="U130" s="60">
        <v>35</v>
      </c>
      <c r="V130" s="59"/>
      <c r="W130" s="59">
        <v>1</v>
      </c>
      <c r="X130" s="54">
        <f t="shared" si="25"/>
        <v>16828.4375</v>
      </c>
      <c r="Y130" s="64" t="s">
        <v>259</v>
      </c>
      <c r="Z130" s="51"/>
      <c r="AA130" s="50">
        <f t="shared" si="26"/>
        <v>770.39597444443757</v>
      </c>
    </row>
    <row r="131" spans="1:32" s="79" customFormat="1" ht="14.25">
      <c r="A131" s="57" t="s">
        <v>38</v>
      </c>
      <c r="B131" s="57" t="s">
        <v>66</v>
      </c>
      <c r="C131" s="57" t="s">
        <v>67</v>
      </c>
      <c r="D131" s="78" t="s">
        <v>226</v>
      </c>
      <c r="E131" s="78" t="s">
        <v>155</v>
      </c>
      <c r="F131" s="78"/>
      <c r="G131" s="78"/>
      <c r="H131" s="78"/>
      <c r="I131" s="51" t="s">
        <v>37</v>
      </c>
      <c r="J131" s="64" t="s">
        <v>59</v>
      </c>
      <c r="K131" s="57" t="s">
        <v>60</v>
      </c>
      <c r="L131" s="51">
        <v>8</v>
      </c>
      <c r="M131" s="51"/>
      <c r="N131" s="51"/>
      <c r="O131" s="51" t="s">
        <v>19</v>
      </c>
      <c r="P131" s="59" t="s">
        <v>263</v>
      </c>
      <c r="Q131" s="59"/>
      <c r="R131" s="59"/>
      <c r="S131" s="59"/>
      <c r="T131" s="59">
        <f t="shared" si="27"/>
        <v>22.5</v>
      </c>
      <c r="U131" s="60">
        <v>45</v>
      </c>
      <c r="V131" s="59"/>
      <c r="W131" s="59">
        <v>1</v>
      </c>
      <c r="X131" s="54">
        <f t="shared" si="25"/>
        <v>35766.5625</v>
      </c>
      <c r="Y131" s="64" t="s">
        <v>259</v>
      </c>
      <c r="Z131" s="51"/>
      <c r="AA131" s="50">
        <f t="shared" si="26"/>
        <v>1419.9154963301771</v>
      </c>
    </row>
    <row r="132" spans="1:32" s="79" customFormat="1" ht="14.25">
      <c r="A132" s="57" t="s">
        <v>38</v>
      </c>
      <c r="B132" s="57" t="s">
        <v>66</v>
      </c>
      <c r="C132" s="57" t="s">
        <v>67</v>
      </c>
      <c r="D132" s="78" t="s">
        <v>226</v>
      </c>
      <c r="E132" s="78" t="s">
        <v>155</v>
      </c>
      <c r="F132" s="78"/>
      <c r="G132" s="78"/>
      <c r="H132" s="78"/>
      <c r="I132" s="51" t="s">
        <v>37</v>
      </c>
      <c r="J132" s="64" t="s">
        <v>59</v>
      </c>
      <c r="K132" s="57" t="s">
        <v>60</v>
      </c>
      <c r="L132" s="51">
        <v>9</v>
      </c>
      <c r="M132" s="51"/>
      <c r="N132" s="51"/>
      <c r="O132" s="51" t="s">
        <v>19</v>
      </c>
      <c r="P132" s="59" t="s">
        <v>264</v>
      </c>
      <c r="Q132" s="59"/>
      <c r="R132" s="59"/>
      <c r="S132" s="59"/>
      <c r="T132" s="59">
        <f t="shared" si="27"/>
        <v>27.5</v>
      </c>
      <c r="U132" s="60">
        <v>55</v>
      </c>
      <c r="V132" s="59"/>
      <c r="W132" s="59">
        <v>1</v>
      </c>
      <c r="X132" s="54">
        <f t="shared" si="25"/>
        <v>65302.1875</v>
      </c>
      <c r="Y132" s="64" t="s">
        <v>259</v>
      </c>
      <c r="Z132" s="51"/>
      <c r="AA132" s="50">
        <f t="shared" si="26"/>
        <v>2313.6564740292274</v>
      </c>
    </row>
    <row r="133" spans="1:32" s="79" customFormat="1" ht="14.25">
      <c r="A133" s="57" t="s">
        <v>38</v>
      </c>
      <c r="B133" s="57" t="s">
        <v>66</v>
      </c>
      <c r="C133" s="57" t="s">
        <v>67</v>
      </c>
      <c r="D133" s="78" t="s">
        <v>226</v>
      </c>
      <c r="E133" s="78" t="s">
        <v>155</v>
      </c>
      <c r="F133" s="78"/>
      <c r="G133" s="78"/>
      <c r="H133" s="78"/>
      <c r="I133" s="51" t="s">
        <v>37</v>
      </c>
      <c r="J133" s="64" t="s">
        <v>59</v>
      </c>
      <c r="K133" s="57" t="s">
        <v>60</v>
      </c>
      <c r="L133" s="51">
        <v>10</v>
      </c>
      <c r="M133" s="51"/>
      <c r="N133" s="51"/>
      <c r="O133" s="51" t="s">
        <v>19</v>
      </c>
      <c r="P133" s="59" t="s">
        <v>265</v>
      </c>
      <c r="Q133" s="59"/>
      <c r="R133" s="59"/>
      <c r="S133" s="59"/>
      <c r="T133" s="59">
        <f>U133*0.3</f>
        <v>19.5</v>
      </c>
      <c r="U133" s="60">
        <v>65</v>
      </c>
      <c r="V133" s="59"/>
      <c r="W133" s="59">
        <v>1</v>
      </c>
      <c r="X133" s="54">
        <f t="shared" si="25"/>
        <v>64674.1875</v>
      </c>
      <c r="Y133" s="64" t="s">
        <v>266</v>
      </c>
      <c r="Z133" s="51"/>
      <c r="AA133" s="50">
        <f t="shared" si="26"/>
        <v>2295.5952300566214</v>
      </c>
    </row>
    <row r="134" spans="1:32" s="79" customFormat="1" ht="14.25">
      <c r="A134" s="57" t="s">
        <v>38</v>
      </c>
      <c r="B134" s="57" t="s">
        <v>66</v>
      </c>
      <c r="C134" s="57" t="s">
        <v>67</v>
      </c>
      <c r="D134" s="78" t="s">
        <v>226</v>
      </c>
      <c r="E134" s="78" t="s">
        <v>155</v>
      </c>
      <c r="F134" s="78"/>
      <c r="G134" s="78"/>
      <c r="H134" s="78"/>
      <c r="I134" s="51" t="s">
        <v>37</v>
      </c>
      <c r="J134" s="64" t="s">
        <v>59</v>
      </c>
      <c r="K134" s="57" t="s">
        <v>60</v>
      </c>
      <c r="L134" s="51">
        <v>11</v>
      </c>
      <c r="M134" s="51"/>
      <c r="N134" s="51"/>
      <c r="O134" s="51" t="s">
        <v>19</v>
      </c>
      <c r="P134" s="59" t="s">
        <v>267</v>
      </c>
      <c r="Q134" s="59"/>
      <c r="R134" s="59"/>
      <c r="S134" s="59"/>
      <c r="T134" s="59">
        <f>U134*0.3</f>
        <v>24</v>
      </c>
      <c r="U134" s="60">
        <v>80</v>
      </c>
      <c r="V134" s="59"/>
      <c r="W134" s="59">
        <v>1</v>
      </c>
      <c r="X134" s="54">
        <f t="shared" si="25"/>
        <v>120576</v>
      </c>
      <c r="Y134" s="64" t="s">
        <v>266</v>
      </c>
      <c r="Z134" s="51"/>
      <c r="AA134" s="50">
        <f t="shared" si="26"/>
        <v>3804.4778093957671</v>
      </c>
    </row>
    <row r="135" spans="1:32" s="79" customFormat="1" ht="14.25">
      <c r="A135" s="57" t="s">
        <v>38</v>
      </c>
      <c r="B135" s="57" t="s">
        <v>66</v>
      </c>
      <c r="C135" s="57" t="s">
        <v>67</v>
      </c>
      <c r="D135" s="78" t="s">
        <v>226</v>
      </c>
      <c r="E135" s="78" t="s">
        <v>155</v>
      </c>
      <c r="F135" s="78"/>
      <c r="G135" s="78"/>
      <c r="H135" s="78"/>
      <c r="I135" s="51" t="s">
        <v>37</v>
      </c>
      <c r="J135" s="64" t="s">
        <v>59</v>
      </c>
      <c r="K135" s="57" t="s">
        <v>60</v>
      </c>
      <c r="L135" s="51">
        <v>12</v>
      </c>
      <c r="M135" s="51"/>
      <c r="N135" s="51"/>
      <c r="O135" s="51" t="s">
        <v>19</v>
      </c>
      <c r="P135" s="59" t="s">
        <v>268</v>
      </c>
      <c r="Q135" s="59"/>
      <c r="R135" s="59"/>
      <c r="S135" s="59"/>
      <c r="T135" s="59">
        <f>U135*0.3</f>
        <v>30</v>
      </c>
      <c r="U135" s="60">
        <v>100</v>
      </c>
      <c r="V135" s="59"/>
      <c r="W135" s="59">
        <v>1</v>
      </c>
      <c r="X135" s="54">
        <f t="shared" si="25"/>
        <v>235500</v>
      </c>
      <c r="Y135" s="64" t="s">
        <v>266</v>
      </c>
      <c r="Z135" s="51"/>
      <c r="AA135" s="50">
        <f t="shared" si="26"/>
        <v>6547.5242705776209</v>
      </c>
    </row>
    <row r="136" spans="1:32" s="79" customFormat="1" ht="14.25">
      <c r="A136" s="57" t="s">
        <v>38</v>
      </c>
      <c r="B136" s="57" t="s">
        <v>66</v>
      </c>
      <c r="C136" s="57" t="s">
        <v>67</v>
      </c>
      <c r="D136" s="78" t="s">
        <v>226</v>
      </c>
      <c r="E136" s="78" t="s">
        <v>155</v>
      </c>
      <c r="F136" s="78"/>
      <c r="G136" s="78"/>
      <c r="H136" s="78"/>
      <c r="I136" s="51" t="s">
        <v>37</v>
      </c>
      <c r="J136" s="64" t="s">
        <v>59</v>
      </c>
      <c r="K136" s="57" t="s">
        <v>60</v>
      </c>
      <c r="L136" s="51">
        <v>13</v>
      </c>
      <c r="M136" s="51"/>
      <c r="N136" s="51"/>
      <c r="O136" s="51" t="s">
        <v>19</v>
      </c>
      <c r="P136" s="59" t="s">
        <v>269</v>
      </c>
      <c r="Q136" s="59"/>
      <c r="R136" s="59"/>
      <c r="S136" s="59"/>
      <c r="T136" s="66">
        <f>U136*0.65</f>
        <v>1.9500000000000002</v>
      </c>
      <c r="U136" s="60">
        <v>3</v>
      </c>
      <c r="V136" s="59"/>
      <c r="W136" s="59">
        <v>1</v>
      </c>
      <c r="X136" s="54">
        <f>3.14/4*U136^2*T136</f>
        <v>13.776750000000002</v>
      </c>
      <c r="Y136" s="64" t="s">
        <v>255</v>
      </c>
      <c r="Z136" s="51"/>
      <c r="AA136" s="50">
        <f>0.288 * X136^0.811</f>
        <v>2.4167989542727004</v>
      </c>
    </row>
    <row r="137" spans="1:32" s="79" customFormat="1" ht="14.25">
      <c r="A137" s="72" t="s">
        <v>38</v>
      </c>
      <c r="B137" s="72" t="s">
        <v>66</v>
      </c>
      <c r="C137" s="72" t="s">
        <v>67</v>
      </c>
      <c r="D137" s="78" t="s">
        <v>226</v>
      </c>
      <c r="E137" s="78" t="s">
        <v>155</v>
      </c>
      <c r="F137" s="78"/>
      <c r="G137" s="78"/>
      <c r="H137" s="78"/>
      <c r="I137" s="51" t="s">
        <v>37</v>
      </c>
      <c r="J137" s="75" t="s">
        <v>59</v>
      </c>
      <c r="K137" s="72" t="s">
        <v>60</v>
      </c>
      <c r="L137" s="73">
        <v>14</v>
      </c>
      <c r="M137" s="73"/>
      <c r="N137" s="73"/>
      <c r="O137" s="73" t="s">
        <v>19</v>
      </c>
      <c r="P137" s="68" t="s">
        <v>229</v>
      </c>
      <c r="Q137" s="68"/>
      <c r="R137" s="68"/>
      <c r="S137" s="68"/>
      <c r="T137" s="68">
        <f>U137*0.3</f>
        <v>36</v>
      </c>
      <c r="U137" s="71">
        <v>120</v>
      </c>
      <c r="V137" s="68"/>
      <c r="W137" s="68">
        <v>1</v>
      </c>
      <c r="X137" s="74">
        <f>3.14/4*U137^2*T137</f>
        <v>406944</v>
      </c>
      <c r="Y137" s="75" t="s">
        <v>266</v>
      </c>
      <c r="Z137" s="73"/>
      <c r="AA137" s="70">
        <f>0.288*X137^0.811</f>
        <v>10202.934264587695</v>
      </c>
    </row>
    <row r="138" spans="1:32" s="79" customFormat="1" ht="14.25">
      <c r="A138" s="72" t="s">
        <v>38</v>
      </c>
      <c r="B138" s="72" t="s">
        <v>66</v>
      </c>
      <c r="C138" s="72" t="s">
        <v>67</v>
      </c>
      <c r="D138" s="78" t="s">
        <v>226</v>
      </c>
      <c r="E138" s="78" t="s">
        <v>155</v>
      </c>
      <c r="F138" s="78"/>
      <c r="G138" s="78"/>
      <c r="H138" s="78"/>
      <c r="I138" s="51" t="s">
        <v>37</v>
      </c>
      <c r="J138" s="75" t="s">
        <v>59</v>
      </c>
      <c r="K138" s="72" t="s">
        <v>60</v>
      </c>
      <c r="L138" s="73">
        <v>15</v>
      </c>
      <c r="M138" s="73"/>
      <c r="N138" s="73"/>
      <c r="O138" s="73" t="s">
        <v>19</v>
      </c>
      <c r="P138" s="68" t="s">
        <v>230</v>
      </c>
      <c r="Q138" s="68"/>
      <c r="R138" s="68"/>
      <c r="S138" s="68"/>
      <c r="T138" s="68">
        <f>U138*0.3</f>
        <v>42</v>
      </c>
      <c r="U138" s="71">
        <v>140</v>
      </c>
      <c r="V138" s="68"/>
      <c r="W138" s="68">
        <v>1</v>
      </c>
      <c r="X138" s="74">
        <f>3.14/4*U138^2*T138</f>
        <v>646212</v>
      </c>
      <c r="Y138" s="75" t="s">
        <v>266</v>
      </c>
      <c r="Z138" s="73"/>
      <c r="AA138" s="70">
        <f>0.288*X138^0.811</f>
        <v>14845.903311930957</v>
      </c>
    </row>
    <row r="139" spans="1:32" s="79" customFormat="1" ht="14.25">
      <c r="A139" s="72" t="s">
        <v>38</v>
      </c>
      <c r="B139" s="72" t="s">
        <v>66</v>
      </c>
      <c r="C139" s="72" t="s">
        <v>67</v>
      </c>
      <c r="D139" s="78" t="s">
        <v>226</v>
      </c>
      <c r="E139" s="78" t="s">
        <v>155</v>
      </c>
      <c r="F139" s="78"/>
      <c r="G139" s="78"/>
      <c r="H139" s="78"/>
      <c r="I139" s="51" t="s">
        <v>37</v>
      </c>
      <c r="J139" s="75" t="s">
        <v>59</v>
      </c>
      <c r="K139" s="72" t="s">
        <v>60</v>
      </c>
      <c r="L139" s="73">
        <v>16</v>
      </c>
      <c r="M139" s="73"/>
      <c r="N139" s="73"/>
      <c r="O139" s="73" t="s">
        <v>19</v>
      </c>
      <c r="P139" s="68" t="s">
        <v>231</v>
      </c>
      <c r="Q139" s="68"/>
      <c r="R139" s="68"/>
      <c r="S139" s="68"/>
      <c r="T139" s="68">
        <f>U139*0.3</f>
        <v>48</v>
      </c>
      <c r="U139" s="71">
        <v>160</v>
      </c>
      <c r="V139" s="68"/>
      <c r="W139" s="68">
        <v>1</v>
      </c>
      <c r="X139" s="74">
        <f>3.14/4*U139^2*T139</f>
        <v>964608</v>
      </c>
      <c r="Y139" s="75" t="s">
        <v>266</v>
      </c>
      <c r="Z139" s="73"/>
      <c r="AA139" s="70">
        <f>0.288*X139^0.811</f>
        <v>20544.758224963436</v>
      </c>
    </row>
    <row r="140" spans="1:32" s="79" customFormat="1" ht="14.25">
      <c r="A140" s="72" t="s">
        <v>38</v>
      </c>
      <c r="B140" s="72" t="s">
        <v>66</v>
      </c>
      <c r="C140" s="72" t="s">
        <v>67</v>
      </c>
      <c r="D140" s="78" t="s">
        <v>226</v>
      </c>
      <c r="E140" s="78" t="s">
        <v>155</v>
      </c>
      <c r="F140" s="78"/>
      <c r="G140" s="78"/>
      <c r="H140" s="78"/>
      <c r="I140" s="51" t="s">
        <v>37</v>
      </c>
      <c r="J140" s="75" t="s">
        <v>59</v>
      </c>
      <c r="K140" s="72" t="s">
        <v>60</v>
      </c>
      <c r="L140" s="73">
        <v>17</v>
      </c>
      <c r="M140" s="73"/>
      <c r="N140" s="73"/>
      <c r="O140" s="73" t="s">
        <v>19</v>
      </c>
      <c r="P140" s="68" t="s">
        <v>232</v>
      </c>
      <c r="Q140" s="68"/>
      <c r="R140" s="68"/>
      <c r="S140" s="68"/>
      <c r="T140" s="68">
        <f>U140*0.3</f>
        <v>54</v>
      </c>
      <c r="U140" s="71">
        <v>180</v>
      </c>
      <c r="V140" s="68"/>
      <c r="W140" s="68">
        <v>1</v>
      </c>
      <c r="X140" s="74">
        <f>3.14/4*U140^2*T140</f>
        <v>1373436</v>
      </c>
      <c r="Y140" s="75" t="s">
        <v>266</v>
      </c>
      <c r="Z140" s="73"/>
      <c r="AA140" s="70">
        <f>0.288*X140^0.811</f>
        <v>27362.45887685462</v>
      </c>
    </row>
    <row r="141" spans="1:32">
      <c r="A141" s="34" t="s">
        <v>13</v>
      </c>
      <c r="B141" s="34" t="s">
        <v>275</v>
      </c>
      <c r="C141" s="45" t="s">
        <v>173</v>
      </c>
      <c r="D141" s="1" t="s">
        <v>274</v>
      </c>
      <c r="E141" s="1" t="s">
        <v>155</v>
      </c>
      <c r="I141" s="34" t="s">
        <v>16</v>
      </c>
      <c r="J141" s="27" t="s">
        <v>17</v>
      </c>
      <c r="K141" s="8" t="s">
        <v>18</v>
      </c>
      <c r="L141" s="4">
        <v>1</v>
      </c>
      <c r="M141" s="4"/>
      <c r="N141" s="4"/>
      <c r="O141" s="9" t="s">
        <v>19</v>
      </c>
      <c r="P141" s="10" t="s">
        <v>209</v>
      </c>
      <c r="Q141" s="10"/>
      <c r="R141" s="10"/>
      <c r="S141" s="10"/>
      <c r="T141" s="10"/>
      <c r="U141" s="10">
        <v>25</v>
      </c>
      <c r="V141" s="10"/>
      <c r="W141" s="10">
        <v>1</v>
      </c>
      <c r="X141" s="16">
        <f>3.14/6*U141^3*W141</f>
        <v>8177.083333333333</v>
      </c>
      <c r="Y141" s="27"/>
      <c r="Z141" s="9" t="s">
        <v>44</v>
      </c>
      <c r="AA141" s="17">
        <f>0.216 * X141^0.939</f>
        <v>1019.4916450901542</v>
      </c>
      <c r="AC141" s="57"/>
    </row>
    <row r="142" spans="1:32">
      <c r="A142" s="34" t="s">
        <v>13</v>
      </c>
      <c r="B142" s="34" t="s">
        <v>282</v>
      </c>
      <c r="C142" s="45" t="s">
        <v>281</v>
      </c>
      <c r="D142" s="40" t="s">
        <v>278</v>
      </c>
      <c r="E142" s="37"/>
      <c r="F142" s="37"/>
      <c r="G142" s="40" t="s">
        <v>279</v>
      </c>
      <c r="H142" s="40"/>
      <c r="I142" s="38" t="s">
        <v>16</v>
      </c>
      <c r="J142" s="40" t="s">
        <v>84</v>
      </c>
      <c r="K142" s="41" t="s">
        <v>85</v>
      </c>
      <c r="L142" s="34">
        <v>1</v>
      </c>
      <c r="M142" s="34"/>
      <c r="N142" s="34"/>
      <c r="O142" s="38" t="s">
        <v>19</v>
      </c>
      <c r="P142" s="39" t="s">
        <v>280</v>
      </c>
      <c r="Q142" s="39">
        <v>20</v>
      </c>
      <c r="R142" s="39"/>
      <c r="S142" s="39"/>
      <c r="T142" s="39"/>
      <c r="U142" s="39">
        <v>15</v>
      </c>
      <c r="V142" s="42"/>
      <c r="W142" s="39">
        <v>1</v>
      </c>
      <c r="X142" s="43">
        <f>3.14/6*U142^2*Q142</f>
        <v>2355</v>
      </c>
      <c r="Y142" s="34"/>
      <c r="Z142" s="34"/>
      <c r="AA142" s="43">
        <f>0.216*X142^0.939</f>
        <v>316.77669033938054</v>
      </c>
      <c r="AB142" s="34"/>
      <c r="AC142" s="25"/>
      <c r="AD142" s="33"/>
      <c r="AE142" s="33"/>
      <c r="AF142" s="33"/>
    </row>
    <row r="143" spans="1:32" s="2" customFormat="1" ht="24.95" customHeight="1">
      <c r="A143" s="46" t="s">
        <v>77</v>
      </c>
      <c r="B143" s="46" t="s">
        <v>78</v>
      </c>
      <c r="C143" s="46" t="s">
        <v>284</v>
      </c>
      <c r="D143" s="72" t="s">
        <v>286</v>
      </c>
      <c r="E143" s="47"/>
      <c r="F143" s="47"/>
      <c r="G143" s="1" t="s">
        <v>287</v>
      </c>
      <c r="H143" s="1"/>
      <c r="I143" s="49" t="s">
        <v>37</v>
      </c>
      <c r="J143" s="48" t="s">
        <v>84</v>
      </c>
      <c r="K143" s="61" t="s">
        <v>85</v>
      </c>
      <c r="L143" s="49">
        <v>1</v>
      </c>
      <c r="M143" s="49"/>
      <c r="N143" s="49"/>
      <c r="O143" s="51" t="s">
        <v>19</v>
      </c>
      <c r="P143" s="52" t="s">
        <v>285</v>
      </c>
      <c r="Q143" s="52">
        <v>13</v>
      </c>
      <c r="R143" s="52"/>
      <c r="S143" s="52"/>
      <c r="T143" s="52"/>
      <c r="U143" s="52">
        <v>10</v>
      </c>
      <c r="V143" s="52"/>
      <c r="W143" s="52">
        <v>1</v>
      </c>
      <c r="X143" s="54">
        <f>3.14/6*U143^2*Q143*W143</f>
        <v>680.33333333333326</v>
      </c>
      <c r="Y143" s="55"/>
      <c r="Z143" s="49"/>
      <c r="AA143" s="50">
        <f t="shared" ref="AA143" si="28">0.216 * X143^0.939</f>
        <v>98.714164573053395</v>
      </c>
      <c r="AB143" s="56"/>
      <c r="AC143" s="57"/>
    </row>
  </sheetData>
  <hyperlinks>
    <hyperlink ref="C67" r:id="rId1" display="http://www.dyntaxa.se/Taxon/Info/3000839?changeRoot=True"/>
    <hyperlink ref="C68" r:id="rId2" display="http://www.dyntaxa.se/Taxon/Info/3000839?changeRoot=Tru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Ann-Turi Skjevik</dc:creator>
  <cp:lastModifiedBy>Ann-Turi Skjevik</cp:lastModifiedBy>
  <dcterms:created xsi:type="dcterms:W3CDTF">2011-03-03T10:04:38Z</dcterms:created>
  <dcterms:modified xsi:type="dcterms:W3CDTF">2013-11-18T15:29:26Z</dcterms:modified>
</cp:coreProperties>
</file>