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1355" windowHeight="87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Sheet1!$A$1:$K$58</definedName>
  </definedNames>
  <calcPr calcId="145621"/>
</workbook>
</file>

<file path=xl/calcChain.xml><?xml version="1.0" encoding="utf-8"?>
<calcChain xmlns="http://schemas.openxmlformats.org/spreadsheetml/2006/main">
  <c r="G28" i="1" l="1"/>
  <c r="F10" i="1"/>
  <c r="K10" i="1" s="1"/>
  <c r="B6" i="1"/>
  <c r="K5" i="1"/>
  <c r="D6" i="1" s="1"/>
  <c r="G32" i="1" s="1"/>
  <c r="F15" i="1" l="1"/>
  <c r="J15" i="1" s="1"/>
  <c r="G25" i="1" s="1"/>
  <c r="K23" i="1"/>
  <c r="G26" i="1" s="1"/>
  <c r="K33" i="1"/>
  <c r="S22" i="1"/>
  <c r="O2" i="1"/>
  <c r="S9" i="1" s="1"/>
  <c r="G36" i="1"/>
  <c r="F11" i="1"/>
  <c r="K11" i="1" s="1"/>
  <c r="F12" i="1"/>
  <c r="K12" i="1" s="1"/>
  <c r="F9" i="1"/>
  <c r="Q22" i="1"/>
  <c r="S25" i="1"/>
  <c r="S26" i="1"/>
  <c r="S28" i="1"/>
  <c r="Q25" i="1"/>
  <c r="Q26" i="1"/>
  <c r="Q28" i="1"/>
  <c r="O25" i="1"/>
  <c r="O26" i="1"/>
  <c r="O28" i="1"/>
  <c r="S13" i="1"/>
  <c r="S14" i="1"/>
  <c r="Q13" i="1"/>
  <c r="Q14" i="1"/>
  <c r="O13" i="1"/>
  <c r="O14" i="1"/>
  <c r="O11" i="1" l="1"/>
  <c r="S11" i="1"/>
  <c r="G27" i="1"/>
  <c r="G35" i="1" s="1"/>
  <c r="Q11" i="1"/>
  <c r="S24" i="1"/>
  <c r="S17" i="1"/>
  <c r="S32" i="1" s="1"/>
  <c r="S12" i="1"/>
  <c r="K13" i="1"/>
  <c r="O9" i="1"/>
  <c r="Q9" i="1"/>
  <c r="K29" i="1" l="1"/>
  <c r="K52" i="1" s="1"/>
  <c r="K48" i="1"/>
  <c r="S33" i="1"/>
  <c r="S30" i="1"/>
  <c r="O24" i="1"/>
  <c r="O17" i="1"/>
  <c r="O32" i="1" s="1"/>
  <c r="O27" i="1"/>
  <c r="O12" i="1"/>
  <c r="G38" i="1"/>
  <c r="K40" i="1" s="1"/>
  <c r="S19" i="1"/>
  <c r="Q24" i="1"/>
  <c r="Q17" i="1"/>
  <c r="Q32" i="1" s="1"/>
  <c r="Q27" i="1"/>
  <c r="Q12" i="1"/>
  <c r="Q19" i="1" l="1"/>
  <c r="K44" i="1"/>
  <c r="O19" i="1"/>
  <c r="O33" i="1"/>
  <c r="O30" i="1"/>
  <c r="Q33" i="1"/>
  <c r="Q30" i="1"/>
</calcChain>
</file>

<file path=xl/sharedStrings.xml><?xml version="1.0" encoding="utf-8"?>
<sst xmlns="http://schemas.openxmlformats.org/spreadsheetml/2006/main" count="94" uniqueCount="76">
  <si>
    <t>Investment Property Worksheet</t>
  </si>
  <si>
    <t>Purchase Cost</t>
  </si>
  <si>
    <t>Cash Invested</t>
  </si>
  <si>
    <t xml:space="preserve">Financing  @ </t>
  </si>
  <si>
    <t>Cash Invested @</t>
  </si>
  <si>
    <t>down</t>
  </si>
  <si>
    <t>Amount</t>
  </si>
  <si>
    <t>Rate</t>
  </si>
  <si>
    <t>Monthly P&amp;I</t>
  </si>
  <si>
    <t>Annual P&amp;I</t>
  </si>
  <si>
    <t>List Price</t>
  </si>
  <si>
    <t>Listing Agent:</t>
  </si>
  <si>
    <t>Yearly Taxes</t>
  </si>
  <si>
    <t>Company:</t>
  </si>
  <si>
    <t>Annual Home Insurance</t>
  </si>
  <si>
    <t>Phone:</t>
  </si>
  <si>
    <t>Monthly Association Fee</t>
  </si>
  <si>
    <t>% down</t>
  </si>
  <si>
    <t xml:space="preserve">% down </t>
  </si>
  <si>
    <t xml:space="preserve">Your mortgage amount </t>
  </si>
  <si>
    <t>Your down payment</t>
  </si>
  <si>
    <t xml:space="preserve">Your closing costs </t>
  </si>
  <si>
    <t xml:space="preserve">Your prepaid taxes </t>
  </si>
  <si>
    <t>Your prepaid insurance</t>
  </si>
  <si>
    <t>Your prepaid interest</t>
  </si>
  <si>
    <t>Your total investment</t>
  </si>
  <si>
    <t>30 Year Fixed Rate</t>
  </si>
  <si>
    <t>Principal &amp; Interest</t>
  </si>
  <si>
    <t>Taxes</t>
  </si>
  <si>
    <t>Insurance</t>
  </si>
  <si>
    <t>Mortgage Insurance</t>
  </si>
  <si>
    <t>Association Fee</t>
  </si>
  <si>
    <t>Total Monthly Payment</t>
  </si>
  <si>
    <t>Annual Percentage Rate</t>
  </si>
  <si>
    <t>Land Value</t>
  </si>
  <si>
    <t>Personal Property Value</t>
  </si>
  <si>
    <t>Land Improvement Value</t>
  </si>
  <si>
    <t>Total Depreciation</t>
  </si>
  <si>
    <t>@</t>
  </si>
  <si>
    <t>=</t>
  </si>
  <si>
    <t>Annual Operating Expenses</t>
  </si>
  <si>
    <t>Real Estate Tax</t>
  </si>
  <si>
    <t>Repairs</t>
  </si>
  <si>
    <t>Management</t>
  </si>
  <si>
    <t>Miscellaneous</t>
  </si>
  <si>
    <t>Utilities</t>
  </si>
  <si>
    <t>Advertising</t>
  </si>
  <si>
    <t>Supplies</t>
  </si>
  <si>
    <t>Total Operating Expenses</t>
  </si>
  <si>
    <t>Assoc'tion Dues</t>
  </si>
  <si>
    <t>Legal/Acct'g</t>
  </si>
  <si>
    <t>Gross Operating Income</t>
  </si>
  <si>
    <t>Minus:  Operating Expenses</t>
  </si>
  <si>
    <t>Equals: Net Operating Income</t>
  </si>
  <si>
    <t>Minus:  Annual Debt Service</t>
  </si>
  <si>
    <t>Equals: Cash Flow Before Taxes</t>
  </si>
  <si>
    <t>Annual Rent</t>
  </si>
  <si>
    <t>Annual Debt Service</t>
  </si>
  <si>
    <t>Minus:  Interest</t>
  </si>
  <si>
    <t>Minus:  Total Depreciation</t>
  </si>
  <si>
    <t>Equals: Principal Reduction</t>
  </si>
  <si>
    <t>Net Operating Income</t>
  </si>
  <si>
    <t>Equals: Taxable Income</t>
  </si>
  <si>
    <t>Multiplied by Tax Bracket</t>
  </si>
  <si>
    <t>Equals: Tax Paid or Saved</t>
  </si>
  <si>
    <t>Return on Investment without Appreciation</t>
  </si>
  <si>
    <t>Cash Flow Before Tax + Principal Reduction + Tax Saved</t>
  </si>
  <si>
    <t>Capitalization Rate</t>
  </si>
  <si>
    <t>Cash on Cash</t>
  </si>
  <si>
    <t>Cash Flow Before Tax</t>
  </si>
  <si>
    <r>
      <t xml:space="preserve">= </t>
    </r>
    <r>
      <rPr>
        <b/>
        <sz val="10"/>
        <rFont val="Arial"/>
        <family val="2"/>
      </rPr>
      <t>Gross Operating Income</t>
    </r>
  </si>
  <si>
    <t>Building Value</t>
  </si>
  <si>
    <t>Vacancy</t>
  </si>
  <si>
    <t>fully amortized</t>
  </si>
  <si>
    <t>2710 Pleasant</t>
  </si>
  <si>
    <t>no roomate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</si>
</sst>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%"/>
    <numFmt numFmtId="165" formatCode="&quot;$&quot;#,##0"/>
    <numFmt numFmtId="166" formatCode="&quot;$&quot;#,##0.00"/>
    <numFmt numFmtId="167" formatCode="_(&quot;$&quot;* #,##0.0_);_(&quot;$&quot;* \(#,##0.0\);_(&quot;$&quot;* &quot;-&quot;?_);_(@_)"/>
    <numFmt numFmtId="168" formatCode="0.0%"/>
  </numFmts>
  <fonts count="22" x14ac:knownFonts="1">
    <font>
      <sz val="10"/>
      <name val="Arial"/>
    </font>
    <font>
      <sz val="10"/>
      <name val="Arial"/>
    </font>
    <font>
      <i/>
      <sz val="11"/>
      <name val="Arial"/>
      <family val="2"/>
    </font>
    <font>
      <b/>
      <i/>
      <sz val="12"/>
      <color indexed="12"/>
      <name val="Arial"/>
      <family val="2"/>
    </font>
    <font>
      <i/>
      <sz val="10"/>
      <name val="Arial"/>
      <family val="2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b/>
      <sz val="16"/>
      <name val="Arial"/>
      <family val="2"/>
    </font>
    <font>
      <sz val="8"/>
      <name val="Arial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9" fontId="0" fillId="2" borderId="0" xfId="2" applyFont="1" applyFill="1"/>
    <xf numFmtId="44" fontId="0" fillId="0" borderId="0" xfId="1" applyFont="1"/>
    <xf numFmtId="42" fontId="0" fillId="0" borderId="0" xfId="1" applyNumberFormat="1" applyFont="1"/>
    <xf numFmtId="42" fontId="0" fillId="2" borderId="0" xfId="1" applyNumberFormat="1" applyFont="1" applyFill="1"/>
    <xf numFmtId="164" fontId="0" fillId="0" borderId="0" xfId="2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5" fontId="3" fillId="3" borderId="0" xfId="1" applyNumberFormat="1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5" fontId="12" fillId="0" borderId="0" xfId="1" applyNumberFormat="1" applyFont="1" applyBorder="1" applyAlignment="1">
      <alignment horizontal="left"/>
    </xf>
    <xf numFmtId="5" fontId="12" fillId="0" borderId="0" xfId="1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5" fontId="2" fillId="0" borderId="0" xfId="1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15" fillId="0" borderId="0" xfId="0" applyNumberFormat="1" applyFont="1" applyBorder="1" applyAlignment="1">
      <alignment horizontal="left"/>
    </xf>
    <xf numFmtId="165" fontId="15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1" fillId="0" borderId="0" xfId="0" applyFont="1"/>
    <xf numFmtId="0" fontId="16" fillId="0" borderId="0" xfId="0" applyFont="1"/>
    <xf numFmtId="164" fontId="5" fillId="0" borderId="0" xfId="2" applyNumberFormat="1" applyFont="1" applyAlignment="1">
      <alignment horizontal="left"/>
    </xf>
    <xf numFmtId="164" fontId="5" fillId="0" borderId="0" xfId="2" applyNumberFormat="1" applyFont="1" applyAlignment="1">
      <alignment horizontal="center"/>
    </xf>
    <xf numFmtId="0" fontId="2" fillId="0" borderId="0" xfId="0" applyFont="1"/>
    <xf numFmtId="0" fontId="13" fillId="0" borderId="0" xfId="0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left"/>
    </xf>
    <xf numFmtId="165" fontId="13" fillId="0" borderId="0" xfId="0" applyNumberFormat="1" applyFont="1"/>
    <xf numFmtId="165" fontId="11" fillId="0" borderId="0" xfId="0" applyNumberFormat="1" applyFont="1" applyAlignment="1">
      <alignment horizontal="left"/>
    </xf>
    <xf numFmtId="165" fontId="16" fillId="0" borderId="0" xfId="0" applyNumberFormat="1" applyFont="1"/>
    <xf numFmtId="166" fontId="17" fillId="0" borderId="0" xfId="0" applyNumberFormat="1" applyFont="1" applyAlignment="1" applyProtection="1">
      <alignment horizontal="centerContinuous"/>
    </xf>
    <xf numFmtId="166" fontId="17" fillId="0" borderId="0" xfId="0" applyNumberFormat="1" applyFont="1" applyAlignment="1" applyProtection="1">
      <alignment horizontal="left"/>
    </xf>
    <xf numFmtId="0" fontId="18" fillId="0" borderId="0" xfId="0" applyFont="1"/>
    <xf numFmtId="164" fontId="18" fillId="0" borderId="0" xfId="0" applyNumberFormat="1" applyFont="1" applyAlignment="1">
      <alignment horizontal="left"/>
    </xf>
    <xf numFmtId="164" fontId="18" fillId="0" borderId="0" xfId="0" applyNumberFormat="1" applyFont="1"/>
    <xf numFmtId="42" fontId="3" fillId="3" borderId="0" xfId="0" applyNumberFormat="1" applyFont="1" applyFill="1" applyAlignment="1">
      <alignment horizontal="left"/>
    </xf>
    <xf numFmtId="165" fontId="0" fillId="0" borderId="0" xfId="1" applyNumberFormat="1" applyFont="1"/>
    <xf numFmtId="166" fontId="0" fillId="0" borderId="0" xfId="0" applyNumberFormat="1"/>
    <xf numFmtId="164" fontId="0" fillId="2" borderId="0" xfId="2" applyNumberFormat="1" applyFont="1" applyFill="1"/>
    <xf numFmtId="44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44" fontId="0" fillId="2" borderId="0" xfId="1" applyFont="1" applyFill="1"/>
    <xf numFmtId="44" fontId="0" fillId="0" borderId="0" xfId="1" applyFont="1" applyFill="1"/>
    <xf numFmtId="166" fontId="0" fillId="0" borderId="0" xfId="1" applyNumberFormat="1" applyFont="1"/>
    <xf numFmtId="0" fontId="15" fillId="0" borderId="0" xfId="0" applyFont="1"/>
    <xf numFmtId="0" fontId="21" fillId="0" borderId="0" xfId="0" applyFont="1"/>
    <xf numFmtId="0" fontId="20" fillId="0" borderId="0" xfId="0" applyFont="1"/>
    <xf numFmtId="44" fontId="15" fillId="0" borderId="0" xfId="1" applyFont="1"/>
    <xf numFmtId="44" fontId="15" fillId="2" borderId="0" xfId="1" applyFont="1" applyFill="1"/>
    <xf numFmtId="44" fontId="15" fillId="0" borderId="0" xfId="0" applyNumberFormat="1" applyFont="1"/>
    <xf numFmtId="166" fontId="15" fillId="0" borderId="0" xfId="0" applyNumberFormat="1" applyFont="1"/>
    <xf numFmtId="10" fontId="15" fillId="0" borderId="0" xfId="2" applyNumberFormat="1" applyFont="1"/>
    <xf numFmtId="9" fontId="0" fillId="0" borderId="0" xfId="0" applyNumberFormat="1"/>
    <xf numFmtId="6" fontId="0" fillId="0" borderId="0" xfId="0" applyNumberFormat="1"/>
    <xf numFmtId="168" fontId="0" fillId="2" borderId="0" xfId="0" applyNumberFormat="1" applyFill="1"/>
    <xf numFmtId="168" fontId="0" fillId="2" borderId="0" xfId="2" applyNumberFormat="1" applyFont="1" applyFill="1"/>
    <xf numFmtId="3" fontId="0" fillId="0" borderId="0" xfId="0" applyNumberFormat="1"/>
    <xf numFmtId="0" fontId="19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tabSelected="1" zoomScale="90" zoomScaleNormal="90" workbookViewId="0">
      <selection activeCell="K30" sqref="K30"/>
    </sheetView>
  </sheetViews>
  <sheetFormatPr defaultRowHeight="12.75" x14ac:dyDescent="0.2"/>
  <cols>
    <col min="1" max="1" width="15.140625" customWidth="1"/>
    <col min="2" max="2" width="6.5703125" customWidth="1"/>
    <col min="3" max="3" width="12.28515625" bestFit="1" customWidth="1"/>
    <col min="4" max="4" width="11.28515625" customWidth="1"/>
    <col min="5" max="5" width="5.85546875" customWidth="1"/>
    <col min="6" max="6" width="14.28515625" customWidth="1"/>
    <col min="7" max="7" width="15.140625" customWidth="1"/>
    <col min="8" max="8" width="10.85546875" bestFit="1" customWidth="1"/>
    <col min="9" max="9" width="10.42578125" customWidth="1"/>
    <col min="10" max="10" width="12.28515625" bestFit="1" customWidth="1"/>
    <col min="11" max="11" width="14" style="2" bestFit="1" customWidth="1"/>
    <col min="12" max="14" width="9.140625" hidden="1" customWidth="1"/>
    <col min="15" max="15" width="13.28515625" hidden="1" customWidth="1"/>
    <col min="16" max="16" width="9.140625" hidden="1" customWidth="1"/>
    <col min="17" max="17" width="11.5703125" hidden="1" customWidth="1"/>
    <col min="18" max="18" width="9.140625" hidden="1" customWidth="1"/>
    <col min="19" max="19" width="11.5703125" hidden="1" customWidth="1"/>
  </cols>
  <sheetData>
    <row r="1" spans="1:19" ht="20.25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9" ht="15.75" x14ac:dyDescent="0.25">
      <c r="F2" t="s">
        <v>74</v>
      </c>
      <c r="M2" s="6" t="s">
        <v>10</v>
      </c>
      <c r="N2" s="7"/>
      <c r="O2" s="58">
        <f>K4</f>
        <v>220000</v>
      </c>
      <c r="P2" s="8" t="s">
        <v>11</v>
      </c>
      <c r="R2" s="9"/>
    </row>
    <row r="3" spans="1:19" ht="15.75" x14ac:dyDescent="0.25">
      <c r="M3" s="6" t="s">
        <v>12</v>
      </c>
      <c r="O3" s="10">
        <v>2520</v>
      </c>
      <c r="P3" s="8" t="s">
        <v>13</v>
      </c>
      <c r="R3" s="11"/>
    </row>
    <row r="4" spans="1:19" ht="15.75" x14ac:dyDescent="0.25">
      <c r="A4" s="70" t="s">
        <v>1</v>
      </c>
      <c r="K4" s="74">
        <v>220000</v>
      </c>
      <c r="M4" s="6" t="s">
        <v>14</v>
      </c>
      <c r="O4" s="12">
        <v>1650</v>
      </c>
      <c r="P4" s="8" t="s">
        <v>15</v>
      </c>
      <c r="Q4" s="8"/>
      <c r="R4" s="11"/>
    </row>
    <row r="5" spans="1:19" ht="15" x14ac:dyDescent="0.2">
      <c r="A5" s="13" t="s">
        <v>4</v>
      </c>
      <c r="B5" s="80">
        <v>3.5000000000000003E-2</v>
      </c>
      <c r="C5" t="s">
        <v>5</v>
      </c>
      <c r="K5" s="73">
        <f>K4*B5</f>
        <v>7700.0000000000009</v>
      </c>
      <c r="M5" s="6" t="s">
        <v>16</v>
      </c>
      <c r="O5" s="12">
        <v>0</v>
      </c>
      <c r="R5" s="7"/>
      <c r="S5" s="7"/>
    </row>
    <row r="6" spans="1:19" x14ac:dyDescent="0.2">
      <c r="A6" t="s">
        <v>3</v>
      </c>
      <c r="B6" s="81">
        <f>1-B5</f>
        <v>0.96499999999999997</v>
      </c>
      <c r="C6" t="s">
        <v>6</v>
      </c>
      <c r="D6" s="3">
        <f>K4-K5</f>
        <v>212300</v>
      </c>
      <c r="E6" t="s">
        <v>7</v>
      </c>
      <c r="F6" s="61">
        <v>0.04</v>
      </c>
      <c r="G6" s="5" t="s">
        <v>8</v>
      </c>
      <c r="H6" s="59">
        <v>1013.55</v>
      </c>
      <c r="I6" s="5" t="s">
        <v>9</v>
      </c>
      <c r="J6" s="60">
        <v>12162.6</v>
      </c>
      <c r="K6" s="2" t="s">
        <v>73</v>
      </c>
      <c r="N6" s="13"/>
      <c r="O6" s="14"/>
      <c r="P6" s="14"/>
      <c r="Q6" s="13"/>
      <c r="R6" s="13"/>
      <c r="S6" s="13"/>
    </row>
    <row r="7" spans="1:19" ht="15" x14ac:dyDescent="0.25">
      <c r="A7" t="s">
        <v>3</v>
      </c>
      <c r="B7" s="81"/>
      <c r="C7" t="s">
        <v>6</v>
      </c>
      <c r="D7" s="3"/>
      <c r="E7" t="s">
        <v>7</v>
      </c>
      <c r="F7" s="61">
        <v>7.0000000000000007E-2</v>
      </c>
      <c r="G7" s="5" t="s">
        <v>8</v>
      </c>
      <c r="H7" s="59"/>
      <c r="I7" s="5" t="s">
        <v>9</v>
      </c>
      <c r="J7" s="60"/>
      <c r="M7" s="15"/>
      <c r="N7" s="16">
        <v>3</v>
      </c>
      <c r="O7" s="17" t="s">
        <v>17</v>
      </c>
      <c r="P7" s="16">
        <v>10</v>
      </c>
      <c r="Q7" s="17" t="s">
        <v>17</v>
      </c>
      <c r="R7" s="16">
        <v>20</v>
      </c>
      <c r="S7" s="17" t="s">
        <v>18</v>
      </c>
    </row>
    <row r="8" spans="1:19" x14ac:dyDescent="0.2">
      <c r="M8" s="18"/>
      <c r="N8" s="18"/>
      <c r="O8" s="18"/>
      <c r="P8" s="18"/>
      <c r="Q8" s="18"/>
      <c r="R8" s="18"/>
      <c r="S8" s="18"/>
    </row>
    <row r="9" spans="1:19" ht="15.75" x14ac:dyDescent="0.25">
      <c r="A9" t="s">
        <v>34</v>
      </c>
      <c r="F9" s="62">
        <f>K4*0.25</f>
        <v>55000</v>
      </c>
      <c r="M9" s="19" t="s">
        <v>19</v>
      </c>
      <c r="N9" s="20"/>
      <c r="O9" s="21">
        <f>O2-(O2*(N7*0.01))</f>
        <v>213400</v>
      </c>
      <c r="P9" s="22"/>
      <c r="Q9" s="21">
        <f>O2-(O2*(P7*0.01))</f>
        <v>198000</v>
      </c>
      <c r="R9" s="22"/>
      <c r="S9" s="21">
        <f>O2-(O2*(R7*0.01))</f>
        <v>176000</v>
      </c>
    </row>
    <row r="10" spans="1:19" x14ac:dyDescent="0.2">
      <c r="A10" t="s">
        <v>35</v>
      </c>
      <c r="F10" s="62">
        <f>K4*0.05</f>
        <v>11000</v>
      </c>
      <c r="G10" t="s">
        <v>38</v>
      </c>
      <c r="H10" s="64">
        <v>0.2</v>
      </c>
      <c r="I10" s="66" t="s">
        <v>39</v>
      </c>
      <c r="K10" s="62">
        <f>F10*H10</f>
        <v>2200</v>
      </c>
      <c r="M10" s="23"/>
      <c r="N10" s="18"/>
      <c r="O10" s="23"/>
      <c r="P10" s="18"/>
      <c r="Q10" s="23"/>
      <c r="R10" s="18"/>
      <c r="S10" s="23"/>
    </row>
    <row r="11" spans="1:19" ht="14.25" x14ac:dyDescent="0.2">
      <c r="A11" t="s">
        <v>71</v>
      </c>
      <c r="F11" s="63">
        <f>K4*0.5</f>
        <v>110000</v>
      </c>
      <c r="G11" t="s">
        <v>38</v>
      </c>
      <c r="H11" s="64">
        <v>3.4799999999999998E-2</v>
      </c>
      <c r="I11" s="66" t="s">
        <v>39</v>
      </c>
      <c r="K11" s="62">
        <f>F11*H11</f>
        <v>3827.9999999999995</v>
      </c>
      <c r="M11" s="24" t="s">
        <v>20</v>
      </c>
      <c r="N11" s="25"/>
      <c r="O11" s="26">
        <f>O2*(N7*0.01)</f>
        <v>6600</v>
      </c>
      <c r="P11" s="27"/>
      <c r="Q11" s="26">
        <f>O2*(P7*0.01)</f>
        <v>22000</v>
      </c>
      <c r="R11" s="27"/>
      <c r="S11" s="26">
        <f>O2*(R7*0.01)</f>
        <v>44000</v>
      </c>
    </row>
    <row r="12" spans="1:19" ht="14.25" x14ac:dyDescent="0.2">
      <c r="A12" t="s">
        <v>36</v>
      </c>
      <c r="F12" s="63">
        <f>K4*0.2</f>
        <v>44000</v>
      </c>
      <c r="G12" t="s">
        <v>38</v>
      </c>
      <c r="H12" s="64">
        <v>0.05</v>
      </c>
      <c r="I12" s="66" t="s">
        <v>39</v>
      </c>
      <c r="K12" s="62">
        <f>F12*H12</f>
        <v>2200</v>
      </c>
      <c r="M12" s="24" t="s">
        <v>21</v>
      </c>
      <c r="N12" s="25"/>
      <c r="O12" s="28">
        <f>15.5*(O9*0.001)+1491</f>
        <v>4798.7000000000007</v>
      </c>
      <c r="P12" s="29"/>
      <c r="Q12" s="28">
        <f>15.5*(Q9*0.001)+1491</f>
        <v>4560</v>
      </c>
      <c r="R12" s="29"/>
      <c r="S12" s="30">
        <f>15.5*(S9*0.001)+1491</f>
        <v>4219</v>
      </c>
    </row>
    <row r="13" spans="1:19" ht="14.25" x14ac:dyDescent="0.2">
      <c r="A13" s="70" t="s">
        <v>37</v>
      </c>
      <c r="K13" s="73">
        <f>SUM(K10:K12)</f>
        <v>8228</v>
      </c>
      <c r="M13" s="24" t="s">
        <v>22</v>
      </c>
      <c r="N13" s="25"/>
      <c r="O13" s="26">
        <f>6*(O3/12)</f>
        <v>1260</v>
      </c>
      <c r="P13" s="31"/>
      <c r="Q13" s="26">
        <f>6*(O3/12)</f>
        <v>1260</v>
      </c>
      <c r="R13" s="31"/>
      <c r="S13" s="26">
        <f>6*(O3/12)</f>
        <v>1260</v>
      </c>
    </row>
    <row r="14" spans="1:19" ht="14.25" x14ac:dyDescent="0.2">
      <c r="M14" s="24" t="s">
        <v>23</v>
      </c>
      <c r="N14" s="25"/>
      <c r="O14" s="26">
        <f>14*(O4/12)</f>
        <v>1925</v>
      </c>
      <c r="P14" s="27"/>
      <c r="Q14" s="26">
        <f>14*(O4/12)</f>
        <v>1925</v>
      </c>
      <c r="R14" s="27"/>
      <c r="S14" s="26">
        <f>14*(O4/12)</f>
        <v>1925</v>
      </c>
    </row>
    <row r="15" spans="1:19" ht="14.25" x14ac:dyDescent="0.2">
      <c r="A15" s="70" t="s">
        <v>56</v>
      </c>
      <c r="C15" s="67">
        <v>12600</v>
      </c>
      <c r="D15" t="s">
        <v>72</v>
      </c>
      <c r="E15" s="78">
        <v>0.05</v>
      </c>
      <c r="F15" s="62">
        <f>SUM(C15*E15)</f>
        <v>630</v>
      </c>
      <c r="G15" s="65" t="s">
        <v>70</v>
      </c>
      <c r="J15" s="62">
        <f>SUM(C15-F15)</f>
        <v>11970</v>
      </c>
      <c r="M15" s="24"/>
      <c r="N15" s="25"/>
      <c r="O15" s="26"/>
      <c r="P15" s="27"/>
      <c r="Q15" s="26"/>
      <c r="R15" s="27"/>
      <c r="S15" s="26"/>
    </row>
    <row r="16" spans="1:19" ht="14.25" x14ac:dyDescent="0.2">
      <c r="J16" s="82"/>
      <c r="M16" s="24"/>
      <c r="N16" s="25"/>
      <c r="O16" s="26"/>
      <c r="P16" s="27"/>
      <c r="Q16" s="26"/>
      <c r="R16" s="27"/>
      <c r="S16" s="26"/>
    </row>
    <row r="17" spans="1:19" ht="14.25" x14ac:dyDescent="0.2">
      <c r="A17" s="70" t="s">
        <v>40</v>
      </c>
      <c r="M17" s="24" t="s">
        <v>24</v>
      </c>
      <c r="N17" s="25"/>
      <c r="O17" s="26">
        <f>(O9/360)*O22</f>
        <v>37.78958333333334</v>
      </c>
      <c r="P17" s="27"/>
      <c r="Q17" s="26">
        <f>(Q9/360)*Q22</f>
        <v>38.500000000000007</v>
      </c>
      <c r="R17" s="27"/>
      <c r="S17" s="26">
        <f>(S9/360)*S22</f>
        <v>19.555555555555557</v>
      </c>
    </row>
    <row r="18" spans="1:19" ht="15" x14ac:dyDescent="0.25">
      <c r="B18" t="s">
        <v>41</v>
      </c>
      <c r="D18" s="4">
        <v>4396</v>
      </c>
      <c r="F18" t="s">
        <v>29</v>
      </c>
      <c r="G18" s="4">
        <v>1600</v>
      </c>
      <c r="M18" s="32"/>
      <c r="N18" s="25"/>
      <c r="O18" s="17"/>
      <c r="P18" s="33"/>
      <c r="Q18" s="17"/>
      <c r="R18" s="33"/>
      <c r="S18" s="17"/>
    </row>
    <row r="19" spans="1:19" x14ac:dyDescent="0.2">
      <c r="B19" t="s">
        <v>42</v>
      </c>
      <c r="D19" s="4">
        <v>1600</v>
      </c>
      <c r="F19" t="s">
        <v>45</v>
      </c>
      <c r="G19" s="4">
        <v>1200</v>
      </c>
      <c r="M19" s="34" t="s">
        <v>25</v>
      </c>
      <c r="N19" s="35"/>
      <c r="O19" s="36">
        <f>O11+O12+O13+O14+O17</f>
        <v>14621.489583333334</v>
      </c>
      <c r="P19" s="37"/>
      <c r="Q19" s="36">
        <f>Q11+Q12+Q13+Q14+Q17</f>
        <v>29783.5</v>
      </c>
      <c r="R19" s="37"/>
      <c r="S19" s="36">
        <f>S11+S12+S13+S14+S17</f>
        <v>51423.555555555555</v>
      </c>
    </row>
    <row r="20" spans="1:19" x14ac:dyDescent="0.2">
      <c r="B20" t="s">
        <v>49</v>
      </c>
      <c r="D20" s="4"/>
      <c r="F20" t="s">
        <v>46</v>
      </c>
      <c r="G20" s="4"/>
      <c r="M20" s="7"/>
      <c r="N20" s="7"/>
      <c r="O20" s="38"/>
      <c r="P20" s="7"/>
      <c r="Q20" s="38"/>
      <c r="R20" s="7"/>
      <c r="S20" s="38"/>
    </row>
    <row r="21" spans="1:19" x14ac:dyDescent="0.2">
      <c r="B21" t="s">
        <v>43</v>
      </c>
      <c r="D21" s="4"/>
      <c r="F21" t="s">
        <v>47</v>
      </c>
      <c r="G21" s="4"/>
      <c r="O21" s="38"/>
      <c r="Q21" s="39"/>
      <c r="S21" s="38"/>
    </row>
    <row r="22" spans="1:19" ht="15.75" x14ac:dyDescent="0.25">
      <c r="B22" t="s">
        <v>44</v>
      </c>
      <c r="D22" s="4">
        <v>2653.75</v>
      </c>
      <c r="F22" t="s">
        <v>50</v>
      </c>
      <c r="G22" s="4">
        <v>100</v>
      </c>
      <c r="M22" s="40" t="s">
        <v>26</v>
      </c>
      <c r="N22" s="41"/>
      <c r="O22" s="42">
        <v>6.3750000000000001E-2</v>
      </c>
      <c r="P22" s="43"/>
      <c r="Q22" s="42">
        <f>F7</f>
        <v>7.0000000000000007E-2</v>
      </c>
      <c r="R22" s="43"/>
      <c r="S22" s="42">
        <f>F6</f>
        <v>0.04</v>
      </c>
    </row>
    <row r="23" spans="1:19" x14ac:dyDescent="0.2">
      <c r="A23" s="70" t="s">
        <v>48</v>
      </c>
      <c r="K23" s="73">
        <f>SUM(D18:G22)</f>
        <v>11549.75</v>
      </c>
      <c r="Q23" s="38"/>
      <c r="S23" s="38"/>
    </row>
    <row r="24" spans="1:19" ht="14.25" x14ac:dyDescent="0.2">
      <c r="M24" s="44" t="s">
        <v>27</v>
      </c>
      <c r="N24" s="45"/>
      <c r="O24" s="46">
        <f>-PMT(O22/12, 360, O9)</f>
        <v>1331.3383641013895</v>
      </c>
      <c r="P24" s="47"/>
      <c r="Q24" s="46">
        <f>-PMT(Q22/12, 360, Q9)</f>
        <v>1317.2989404547827</v>
      </c>
      <c r="R24" s="47"/>
      <c r="S24" s="46">
        <f>-PMT(S22/12, 360, S9)</f>
        <v>840.25092001920871</v>
      </c>
    </row>
    <row r="25" spans="1:19" ht="14.25" x14ac:dyDescent="0.2">
      <c r="A25" s="70" t="s">
        <v>51</v>
      </c>
      <c r="G25" s="62">
        <f>J15</f>
        <v>11970</v>
      </c>
      <c r="M25" s="44" t="s">
        <v>28</v>
      </c>
      <c r="N25" s="45"/>
      <c r="O25" s="46">
        <f>O3/12</f>
        <v>210</v>
      </c>
      <c r="P25" s="48"/>
      <c r="Q25" s="46">
        <f>O3/12</f>
        <v>210</v>
      </c>
      <c r="R25" s="48"/>
      <c r="S25" s="46">
        <f>O3/12</f>
        <v>210</v>
      </c>
    </row>
    <row r="26" spans="1:19" ht="14.25" x14ac:dyDescent="0.2">
      <c r="B26" t="s">
        <v>52</v>
      </c>
      <c r="G26" s="68">
        <f>K23</f>
        <v>11549.75</v>
      </c>
      <c r="M26" s="44" t="s">
        <v>29</v>
      </c>
      <c r="N26" s="45"/>
      <c r="O26" s="46">
        <f>O4/12</f>
        <v>137.5</v>
      </c>
      <c r="P26" s="48"/>
      <c r="Q26" s="46">
        <f>O4/12</f>
        <v>137.5</v>
      </c>
      <c r="R26" s="48"/>
      <c r="S26" s="46">
        <f>O4/12</f>
        <v>137.5</v>
      </c>
    </row>
    <row r="27" spans="1:19" ht="14.25" x14ac:dyDescent="0.2">
      <c r="B27" s="70" t="s">
        <v>53</v>
      </c>
      <c r="G27" s="2">
        <f>SUM(G25-G26)</f>
        <v>420.25</v>
      </c>
      <c r="M27" s="44" t="s">
        <v>30</v>
      </c>
      <c r="N27" s="45"/>
      <c r="O27" s="46">
        <f>(0.0078*(O9))/12</f>
        <v>138.71</v>
      </c>
      <c r="P27" s="48"/>
      <c r="Q27" s="46">
        <f>(0.0052*(Q9))/12</f>
        <v>85.8</v>
      </c>
      <c r="R27" s="48"/>
      <c r="S27" s="46">
        <v>0</v>
      </c>
    </row>
    <row r="28" spans="1:19" ht="14.25" x14ac:dyDescent="0.2">
      <c r="B28" t="s">
        <v>54</v>
      </c>
      <c r="G28" s="69">
        <f>J6</f>
        <v>12162.6</v>
      </c>
      <c r="M28" s="44" t="s">
        <v>31</v>
      </c>
      <c r="N28" s="45"/>
      <c r="O28" s="46">
        <f>O5</f>
        <v>0</v>
      </c>
      <c r="P28" s="48"/>
      <c r="Q28" s="46">
        <f>O5</f>
        <v>0</v>
      </c>
      <c r="R28" s="48"/>
      <c r="S28" s="46">
        <f>O5</f>
        <v>0</v>
      </c>
    </row>
    <row r="29" spans="1:19" ht="14.25" x14ac:dyDescent="0.2">
      <c r="B29" s="70" t="s">
        <v>55</v>
      </c>
      <c r="G29" s="2"/>
      <c r="J29" s="79">
        <v>978.53</v>
      </c>
      <c r="K29" s="75">
        <f>SUM(G27-G28)</f>
        <v>-11742.35</v>
      </c>
      <c r="M29" s="45"/>
      <c r="N29" s="45"/>
      <c r="O29" s="49"/>
      <c r="P29" s="50"/>
      <c r="Q29" s="49"/>
      <c r="R29" s="50"/>
      <c r="S29" s="49"/>
    </row>
    <row r="30" spans="1:19" ht="15" x14ac:dyDescent="0.2">
      <c r="J30" t="s">
        <v>75</v>
      </c>
      <c r="M30" s="40" t="s">
        <v>32</v>
      </c>
      <c r="N30" s="41"/>
      <c r="O30" s="51">
        <f>O24+O25+O26+O27+O28</f>
        <v>1817.5483641013896</v>
      </c>
      <c r="P30" s="52"/>
      <c r="Q30" s="51">
        <f>Q24+Q25+Q26+Q27+Q28</f>
        <v>1750.5989404547827</v>
      </c>
      <c r="R30" s="52"/>
      <c r="S30" s="51">
        <f>S24+S25+S26+S27+S28</f>
        <v>1187.7509200192087</v>
      </c>
    </row>
    <row r="31" spans="1:19" x14ac:dyDescent="0.2">
      <c r="A31" s="70" t="s">
        <v>57</v>
      </c>
      <c r="G31" s="60">
        <v>12162</v>
      </c>
      <c r="Q31" s="38"/>
      <c r="S31" s="38"/>
    </row>
    <row r="32" spans="1:19" x14ac:dyDescent="0.2">
      <c r="B32" t="s">
        <v>58</v>
      </c>
      <c r="G32" s="67">
        <f>D6*F6</f>
        <v>8492</v>
      </c>
      <c r="O32" s="53">
        <f>O9-((0.01*O9)+395+250+O17)</f>
        <v>210583.21041666667</v>
      </c>
      <c r="Q32" s="54">
        <f>Q9-((0.01*Q9)+395+250+Q17)</f>
        <v>195336.5</v>
      </c>
      <c r="S32" s="54">
        <f>S9-((0.01*S9)+395+250+S17)</f>
        <v>173575.44444444444</v>
      </c>
    </row>
    <row r="33" spans="1:19" x14ac:dyDescent="0.2">
      <c r="B33" s="70" t="s">
        <v>60</v>
      </c>
      <c r="G33" s="60"/>
      <c r="K33" s="76">
        <f>G31-G32</f>
        <v>3670</v>
      </c>
      <c r="M33" s="55" t="s">
        <v>33</v>
      </c>
      <c r="N33" s="55"/>
      <c r="O33" s="56">
        <f>(RATE(360, -O24, O32))*12</f>
        <v>6.5022327441135425E-2</v>
      </c>
      <c r="P33" s="57"/>
      <c r="Q33" s="56">
        <f>(RATE(360, -Q24, Q32))*12</f>
        <v>7.1347123022899778E-2</v>
      </c>
      <c r="R33" s="57"/>
      <c r="S33" s="56">
        <f>(RATE(360, -S24, S32))*12</f>
        <v>4.1152593679122669E-2</v>
      </c>
    </row>
    <row r="35" spans="1:19" x14ac:dyDescent="0.2">
      <c r="A35" s="70" t="s">
        <v>61</v>
      </c>
      <c r="G35" s="62">
        <f>G27</f>
        <v>420.25</v>
      </c>
    </row>
    <row r="36" spans="1:19" x14ac:dyDescent="0.2">
      <c r="B36" t="s">
        <v>58</v>
      </c>
      <c r="G36" s="62">
        <f>G32</f>
        <v>8492</v>
      </c>
    </row>
    <row r="37" spans="1:19" x14ac:dyDescent="0.2">
      <c r="B37" t="s">
        <v>59</v>
      </c>
      <c r="G37" s="62">
        <v>8228</v>
      </c>
    </row>
    <row r="38" spans="1:19" x14ac:dyDescent="0.2">
      <c r="B38" s="70" t="s">
        <v>62</v>
      </c>
      <c r="G38" s="62">
        <f>G35-G36-G37</f>
        <v>-16299.75</v>
      </c>
    </row>
    <row r="39" spans="1:19" x14ac:dyDescent="0.2">
      <c r="B39" t="s">
        <v>63</v>
      </c>
      <c r="G39" s="1">
        <v>0.35</v>
      </c>
    </row>
    <row r="40" spans="1:19" x14ac:dyDescent="0.2">
      <c r="B40" s="70" t="s">
        <v>64</v>
      </c>
      <c r="K40" s="75">
        <f>G38*G39</f>
        <v>-5704.9124999999995</v>
      </c>
    </row>
    <row r="43" spans="1:19" x14ac:dyDescent="0.2">
      <c r="A43" s="70" t="s">
        <v>65</v>
      </c>
    </row>
    <row r="44" spans="1:19" x14ac:dyDescent="0.2">
      <c r="A44" s="71" t="s">
        <v>66</v>
      </c>
      <c r="G44" s="66" t="s">
        <v>39</v>
      </c>
      <c r="K44" s="77">
        <f>(K29+K33-K40)/K5</f>
        <v>-0.30745941558441564</v>
      </c>
    </row>
    <row r="45" spans="1:19" x14ac:dyDescent="0.2">
      <c r="A45" t="s">
        <v>2</v>
      </c>
    </row>
    <row r="47" spans="1:19" x14ac:dyDescent="0.2">
      <c r="A47" s="70" t="s">
        <v>67</v>
      </c>
    </row>
    <row r="48" spans="1:19" x14ac:dyDescent="0.2">
      <c r="A48" s="71" t="s">
        <v>61</v>
      </c>
      <c r="G48" s="66" t="s">
        <v>39</v>
      </c>
      <c r="K48" s="77">
        <f>G27/K4</f>
        <v>1.9102272727272726E-3</v>
      </c>
    </row>
    <row r="49" spans="1:11" x14ac:dyDescent="0.2">
      <c r="A49" t="s">
        <v>1</v>
      </c>
    </row>
    <row r="51" spans="1:11" x14ac:dyDescent="0.2">
      <c r="A51" s="70" t="s">
        <v>68</v>
      </c>
    </row>
    <row r="52" spans="1:11" x14ac:dyDescent="0.2">
      <c r="A52" s="71" t="s">
        <v>69</v>
      </c>
      <c r="G52" s="66" t="s">
        <v>39</v>
      </c>
      <c r="K52" s="77">
        <f>K29/K5</f>
        <v>-1.5249805194805193</v>
      </c>
    </row>
    <row r="53" spans="1:11" x14ac:dyDescent="0.2">
      <c r="A53" t="s">
        <v>2</v>
      </c>
    </row>
    <row r="56" spans="1:11" x14ac:dyDescent="0.2">
      <c r="A56" s="72"/>
    </row>
  </sheetData>
  <mergeCells count="1">
    <mergeCell ref="A1:K1"/>
  </mergeCells>
  <phoneticPr fontId="20" type="noConversion"/>
  <pageMargins left="0.75" right="0.75" top="1" bottom="1" header="0.5" footer="0.5"/>
  <pageSetup scale="72" orientation="portrait" horizontalDpi="4294967294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Deering</dc:creator>
  <cp:lastModifiedBy>Kari Lundin</cp:lastModifiedBy>
  <cp:lastPrinted>2011-03-21T20:46:03Z</cp:lastPrinted>
  <dcterms:created xsi:type="dcterms:W3CDTF">2003-09-08T19:34:49Z</dcterms:created>
  <dcterms:modified xsi:type="dcterms:W3CDTF">2012-09-30T12:40:44Z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