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VMP-1/Aire Rat Ko/Paper/Figures/Figure 1/Fig 1 raw data/"/>
    </mc:Choice>
  </mc:AlternateContent>
  <xr:revisionPtr revIDLastSave="0" documentId="13_ncr:1_{01E2C362-6F49-DB45-A6ED-8E951DB3C8E2}" xr6:coauthVersionLast="47" xr6:coauthVersionMax="47" xr10:uidLastSave="{00000000-0000-0000-0000-000000000000}"/>
  <bookViews>
    <workbookView xWindow="0" yWindow="0" windowWidth="33600" windowHeight="21000" activeTab="3" xr2:uid="{B3AB5117-F3FC-4344-81F8-ED6781472F70}"/>
  </bookViews>
  <sheets>
    <sheet name="IFNA4KO LU" sheetId="4" r:id="rId1"/>
    <sheet name="IFNA4 HE LU" sheetId="11" r:id="rId2"/>
    <sheet name="IFNA11 KO LU" sheetId="12" r:id="rId3"/>
    <sheet name="IFNA11 HE LU" sheetId="13" r:id="rId4"/>
    <sheet name="IFNKO LU_miss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K3" i="5" s="1"/>
  <c r="J4" i="5"/>
  <c r="K4" i="5" s="1"/>
  <c r="J2" i="5"/>
  <c r="K2" i="5" s="1"/>
  <c r="J314" i="4"/>
  <c r="K314" i="4" s="1"/>
  <c r="J313" i="4"/>
  <c r="K313" i="4" s="1"/>
  <c r="J309" i="4"/>
  <c r="K309" i="4" s="1"/>
  <c r="J310" i="4"/>
  <c r="K310" i="4" s="1"/>
  <c r="J308" i="4"/>
  <c r="K308" i="4" s="1"/>
  <c r="J311" i="4"/>
  <c r="K311" i="4" s="1"/>
  <c r="J312" i="4"/>
  <c r="K312" i="4" s="1"/>
  <c r="F63" i="12"/>
  <c r="F43" i="12"/>
  <c r="F5" i="12"/>
  <c r="F4" i="12"/>
  <c r="F20" i="13"/>
  <c r="F19" i="13"/>
  <c r="F5" i="13"/>
  <c r="F4" i="13"/>
  <c r="F20" i="11"/>
  <c r="F5" i="11"/>
  <c r="F19" i="11"/>
  <c r="F4" i="11"/>
  <c r="F119" i="12"/>
  <c r="F77" i="12"/>
  <c r="F308" i="12"/>
  <c r="F240" i="12"/>
  <c r="F157" i="12"/>
  <c r="F120" i="12"/>
  <c r="F15" i="11"/>
  <c r="F11" i="11"/>
  <c r="F10" i="11"/>
  <c r="F9" i="11"/>
  <c r="F11" i="13"/>
  <c r="F9" i="13"/>
  <c r="F15" i="13"/>
  <c r="F10" i="13"/>
  <c r="F114" i="12"/>
  <c r="F118" i="12"/>
  <c r="F78" i="12"/>
  <c r="F158" i="12"/>
  <c r="F7" i="12"/>
  <c r="F6" i="12"/>
  <c r="F269" i="12"/>
  <c r="F146" i="12"/>
  <c r="F108" i="12"/>
  <c r="F16" i="12"/>
  <c r="F15" i="12"/>
  <c r="F14" i="12"/>
  <c r="F318" i="12" l="1"/>
  <c r="F263" i="12"/>
  <c r="F175" i="12"/>
  <c r="F105" i="12"/>
  <c r="F99" i="12"/>
  <c r="F61" i="12"/>
  <c r="F55" i="12"/>
  <c r="M204" i="12"/>
  <c r="F148" i="12"/>
  <c r="F130" i="12"/>
  <c r="E6" i="13" l="1"/>
  <c r="E6" i="11"/>
  <c r="H307" i="4" l="1"/>
  <c r="H306" i="4"/>
  <c r="H305" i="4"/>
  <c r="H304" i="4"/>
  <c r="H303" i="4"/>
  <c r="H302" i="4"/>
  <c r="J302" i="4"/>
  <c r="K302" i="4" s="1"/>
  <c r="J305" i="4"/>
  <c r="K305" i="4" s="1"/>
  <c r="J306" i="4"/>
  <c r="K306" i="4" s="1"/>
  <c r="J303" i="4"/>
  <c r="K303" i="4" s="1"/>
  <c r="J304" i="4"/>
  <c r="K304" i="4" s="1"/>
  <c r="J307" i="4"/>
  <c r="K307" i="4" s="1"/>
  <c r="F300" i="4" l="1"/>
  <c r="F297" i="4"/>
  <c r="F292" i="4"/>
  <c r="F291" i="4"/>
  <c r="F265" i="4"/>
  <c r="F261" i="4"/>
  <c r="F247" i="4"/>
  <c r="F245" i="4"/>
  <c r="F301" i="4"/>
  <c r="F216" i="4"/>
  <c r="F193" i="4"/>
  <c r="F189" i="4"/>
  <c r="F187" i="4"/>
  <c r="F152" i="4"/>
  <c r="F151" i="4"/>
  <c r="F145" i="4"/>
  <c r="F140" i="4"/>
  <c r="F108" i="4"/>
  <c r="F102" i="4"/>
  <c r="F24" i="4"/>
  <c r="F23" i="4"/>
  <c r="F22" i="4"/>
  <c r="E7" i="5"/>
  <c r="J7" i="5" s="1"/>
  <c r="K7" i="5" s="1"/>
  <c r="E6" i="5"/>
  <c r="J6" i="5" s="1"/>
  <c r="K6" i="5" s="1"/>
  <c r="E5" i="5"/>
  <c r="J5" i="5" s="1"/>
  <c r="K5" i="5" s="1"/>
  <c r="H15" i="4"/>
  <c r="H14" i="4"/>
  <c r="E301" i="4" l="1"/>
  <c r="J301" i="4" s="1"/>
  <c r="K301" i="4" s="1"/>
  <c r="E300" i="4"/>
  <c r="J300" i="4" s="1"/>
  <c r="K300" i="4" s="1"/>
  <c r="E298" i="4"/>
  <c r="J298" i="4" s="1"/>
  <c r="K298" i="4" s="1"/>
  <c r="E295" i="4"/>
  <c r="J295" i="4" s="1"/>
  <c r="K295" i="4" s="1"/>
  <c r="E299" i="4"/>
  <c r="J299" i="4" s="1"/>
  <c r="K299" i="4" s="1"/>
  <c r="E297" i="4"/>
  <c r="J297" i="4" s="1"/>
  <c r="K297" i="4" s="1"/>
  <c r="E296" i="4"/>
  <c r="J296" i="4" s="1"/>
  <c r="K296" i="4" s="1"/>
  <c r="E293" i="4"/>
  <c r="J293" i="4" s="1"/>
  <c r="K293" i="4" s="1"/>
  <c r="E290" i="4"/>
  <c r="J290" i="4" s="1"/>
  <c r="K290" i="4" s="1"/>
  <c r="E294" i="4"/>
  <c r="J294" i="4" s="1"/>
  <c r="K294" i="4" s="1"/>
  <c r="E292" i="4"/>
  <c r="J292" i="4" s="1"/>
  <c r="K292" i="4" s="1"/>
  <c r="E291" i="4"/>
  <c r="J291" i="4" s="1"/>
  <c r="K291" i="4" s="1"/>
  <c r="E288" i="4"/>
  <c r="J288" i="4" s="1"/>
  <c r="K288" i="4" s="1"/>
  <c r="E285" i="4"/>
  <c r="J285" i="4" s="1"/>
  <c r="K285" i="4" s="1"/>
  <c r="E289" i="4"/>
  <c r="J289" i="4" s="1"/>
  <c r="K289" i="4" s="1"/>
  <c r="E287" i="4"/>
  <c r="J287" i="4" s="1"/>
  <c r="K287" i="4" s="1"/>
  <c r="E286" i="4"/>
  <c r="J286" i="4" s="1"/>
  <c r="K286" i="4" s="1"/>
  <c r="E283" i="4"/>
  <c r="J283" i="4" s="1"/>
  <c r="K283" i="4" s="1"/>
  <c r="E278" i="4"/>
  <c r="J278" i="4" s="1"/>
  <c r="K278" i="4" s="1"/>
  <c r="E284" i="4"/>
  <c r="J284" i="4" s="1"/>
  <c r="K284" i="4" s="1"/>
  <c r="E282" i="4"/>
  <c r="J282" i="4" s="1"/>
  <c r="K282" i="4" s="1"/>
  <c r="E281" i="4"/>
  <c r="J281" i="4" s="1"/>
  <c r="K281" i="4" s="1"/>
  <c r="E280" i="4"/>
  <c r="J280" i="4" s="1"/>
  <c r="K280" i="4" s="1"/>
  <c r="E279" i="4"/>
  <c r="J279" i="4" s="1"/>
  <c r="K279" i="4" s="1"/>
  <c r="E276" i="4"/>
  <c r="J276" i="4" s="1"/>
  <c r="K276" i="4" s="1"/>
  <c r="E271" i="4"/>
  <c r="J271" i="4" s="1"/>
  <c r="K271" i="4" s="1"/>
  <c r="E277" i="4"/>
  <c r="J277" i="4" s="1"/>
  <c r="K277" i="4" s="1"/>
  <c r="E275" i="4"/>
  <c r="J275" i="4" s="1"/>
  <c r="K275" i="4" s="1"/>
  <c r="E274" i="4"/>
  <c r="J274" i="4" s="1"/>
  <c r="K274" i="4" s="1"/>
  <c r="E273" i="4"/>
  <c r="J273" i="4" s="1"/>
  <c r="K273" i="4" s="1"/>
  <c r="E272" i="4"/>
  <c r="J272" i="4" s="1"/>
  <c r="K272" i="4" s="1"/>
  <c r="E270" i="4"/>
  <c r="J270" i="4" s="1"/>
  <c r="K270" i="4" s="1"/>
  <c r="E269" i="4"/>
  <c r="J269" i="4" s="1"/>
  <c r="K269" i="4" s="1"/>
  <c r="E268" i="4"/>
  <c r="J268" i="4" s="1"/>
  <c r="K268" i="4" s="1"/>
  <c r="E267" i="4"/>
  <c r="J267" i="4" s="1"/>
  <c r="K267" i="4" s="1"/>
  <c r="E266" i="4"/>
  <c r="J266" i="4" s="1"/>
  <c r="K266" i="4" s="1"/>
  <c r="E265" i="4"/>
  <c r="J265" i="4" s="1"/>
  <c r="K265" i="4" s="1"/>
  <c r="E264" i="4"/>
  <c r="J264" i="4" s="1"/>
  <c r="K264" i="4" s="1"/>
  <c r="E263" i="4"/>
  <c r="J263" i="4" s="1"/>
  <c r="K263" i="4" s="1"/>
  <c r="E262" i="4"/>
  <c r="J262" i="4" s="1"/>
  <c r="K262" i="4" s="1"/>
  <c r="E261" i="4"/>
  <c r="J261" i="4" s="1"/>
  <c r="K261" i="4" s="1"/>
  <c r="E260" i="4"/>
  <c r="J260" i="4" s="1"/>
  <c r="K260" i="4" s="1"/>
  <c r="E259" i="4"/>
  <c r="J259" i="4" s="1"/>
  <c r="K259" i="4" s="1"/>
  <c r="E258" i="4"/>
  <c r="J258" i="4" s="1"/>
  <c r="K258" i="4" s="1"/>
  <c r="E257" i="4"/>
  <c r="J257" i="4" s="1"/>
  <c r="K257" i="4" s="1"/>
  <c r="E256" i="4"/>
  <c r="J256" i="4" s="1"/>
  <c r="K256" i="4" s="1"/>
  <c r="E244" i="4"/>
  <c r="J244" i="4" s="1"/>
  <c r="K244" i="4" s="1"/>
  <c r="E255" i="4"/>
  <c r="J255" i="4" s="1"/>
  <c r="K255" i="4" s="1"/>
  <c r="E254" i="4"/>
  <c r="J254" i="4" s="1"/>
  <c r="K254" i="4" s="1"/>
  <c r="E253" i="4"/>
  <c r="J253" i="4" s="1"/>
  <c r="K253" i="4" s="1"/>
  <c r="E252" i="4"/>
  <c r="J252" i="4" s="1"/>
  <c r="K252" i="4" s="1"/>
  <c r="E251" i="4"/>
  <c r="J251" i="4" s="1"/>
  <c r="K251" i="4" s="1"/>
  <c r="E250" i="4"/>
  <c r="J250" i="4" s="1"/>
  <c r="K250" i="4" s="1"/>
  <c r="E249" i="4"/>
  <c r="J249" i="4" s="1"/>
  <c r="K249" i="4" s="1"/>
  <c r="E248" i="4"/>
  <c r="J248" i="4" s="1"/>
  <c r="K248" i="4" s="1"/>
  <c r="E247" i="4"/>
  <c r="J247" i="4" s="1"/>
  <c r="K247" i="4" s="1"/>
  <c r="E246" i="4"/>
  <c r="J246" i="4" s="1"/>
  <c r="K246" i="4" s="1"/>
  <c r="E245" i="4"/>
  <c r="J245" i="4" s="1"/>
  <c r="K245" i="4" s="1"/>
  <c r="E242" i="4"/>
  <c r="J242" i="4" s="1"/>
  <c r="K242" i="4" s="1"/>
  <c r="E241" i="4"/>
  <c r="J241" i="4" s="1"/>
  <c r="K241" i="4" s="1"/>
  <c r="E229" i="4"/>
  <c r="J229" i="4" s="1"/>
  <c r="K229" i="4" s="1"/>
  <c r="E243" i="4"/>
  <c r="J243" i="4" s="1"/>
  <c r="K243" i="4" s="1"/>
  <c r="E240" i="4"/>
  <c r="J240" i="4" s="1"/>
  <c r="K240" i="4" s="1"/>
  <c r="E239" i="4"/>
  <c r="J239" i="4" s="1"/>
  <c r="K239" i="4" s="1"/>
  <c r="E238" i="4"/>
  <c r="J238" i="4" s="1"/>
  <c r="K238" i="4" s="1"/>
  <c r="E237" i="4"/>
  <c r="J237" i="4" s="1"/>
  <c r="K237" i="4" s="1"/>
  <c r="E236" i="4"/>
  <c r="J236" i="4" s="1"/>
  <c r="K236" i="4" s="1"/>
  <c r="E235" i="4"/>
  <c r="J235" i="4" s="1"/>
  <c r="K235" i="4" s="1"/>
  <c r="E234" i="4"/>
  <c r="J234" i="4" s="1"/>
  <c r="K234" i="4" s="1"/>
  <c r="E233" i="4"/>
  <c r="J233" i="4" s="1"/>
  <c r="K233" i="4" s="1"/>
  <c r="E232" i="4"/>
  <c r="J232" i="4" s="1"/>
  <c r="K232" i="4" s="1"/>
  <c r="E231" i="4"/>
  <c r="J231" i="4" s="1"/>
  <c r="K231" i="4" s="1"/>
  <c r="E230" i="4"/>
  <c r="J230" i="4" s="1"/>
  <c r="K230" i="4" s="1"/>
  <c r="E228" i="4"/>
  <c r="J228" i="4" s="1"/>
  <c r="K228" i="4" s="1"/>
  <c r="E227" i="4"/>
  <c r="J227" i="4" s="1"/>
  <c r="K227" i="4" s="1"/>
  <c r="E226" i="4"/>
  <c r="J226" i="4" s="1"/>
  <c r="K226" i="4" s="1"/>
  <c r="E225" i="4"/>
  <c r="J225" i="4" s="1"/>
  <c r="K225" i="4" s="1"/>
  <c r="E224" i="4"/>
  <c r="J224" i="4" s="1"/>
  <c r="K224" i="4" s="1"/>
  <c r="E223" i="4"/>
  <c r="J223" i="4" s="1"/>
  <c r="K223" i="4" s="1"/>
  <c r="E222" i="4"/>
  <c r="J222" i="4" s="1"/>
  <c r="K222" i="4" s="1"/>
  <c r="E220" i="4"/>
  <c r="J220" i="4" s="1"/>
  <c r="K220" i="4" s="1"/>
  <c r="E219" i="4"/>
  <c r="J219" i="4" s="1"/>
  <c r="K219" i="4" s="1"/>
  <c r="E218" i="4"/>
  <c r="J218" i="4" s="1"/>
  <c r="K218" i="4" s="1"/>
  <c r="E217" i="4"/>
  <c r="J217" i="4" s="1"/>
  <c r="K217" i="4" s="1"/>
  <c r="E216" i="4"/>
  <c r="J216" i="4" s="1"/>
  <c r="K216" i="4" s="1"/>
  <c r="E215" i="4"/>
  <c r="J215" i="4" s="1"/>
  <c r="K215" i="4" s="1"/>
  <c r="E214" i="4"/>
  <c r="J214" i="4" s="1"/>
  <c r="K214" i="4" s="1"/>
  <c r="E213" i="4"/>
  <c r="J213" i="4" s="1"/>
  <c r="K213" i="4" s="1"/>
  <c r="E201" i="4"/>
  <c r="J201" i="4" s="1"/>
  <c r="K201" i="4" s="1"/>
  <c r="E221" i="4"/>
  <c r="J221" i="4" s="1"/>
  <c r="K221" i="4" s="1"/>
  <c r="E212" i="4"/>
  <c r="J212" i="4" s="1"/>
  <c r="K212" i="4" s="1"/>
  <c r="E211" i="4"/>
  <c r="J211" i="4" s="1"/>
  <c r="K211" i="4" s="1"/>
  <c r="E210" i="4"/>
  <c r="J210" i="4" s="1"/>
  <c r="K210" i="4" s="1"/>
  <c r="E209" i="4"/>
  <c r="J209" i="4" s="1"/>
  <c r="K209" i="4" s="1"/>
  <c r="E208" i="4"/>
  <c r="J208" i="4" s="1"/>
  <c r="K208" i="4" s="1"/>
  <c r="E207" i="4"/>
  <c r="J207" i="4" s="1"/>
  <c r="K207" i="4" s="1"/>
  <c r="E206" i="4"/>
  <c r="J206" i="4" s="1"/>
  <c r="K206" i="4" s="1"/>
  <c r="E205" i="4"/>
  <c r="J205" i="4" s="1"/>
  <c r="K205" i="4" s="1"/>
  <c r="E204" i="4"/>
  <c r="J204" i="4" s="1"/>
  <c r="K204" i="4" s="1"/>
  <c r="E203" i="4"/>
  <c r="J203" i="4" s="1"/>
  <c r="K203" i="4" s="1"/>
  <c r="E202" i="4"/>
  <c r="J202" i="4" s="1"/>
  <c r="K202" i="4" s="1"/>
  <c r="E199" i="4"/>
  <c r="J199" i="4" s="1"/>
  <c r="K199" i="4" s="1"/>
  <c r="E198" i="4"/>
  <c r="J198" i="4" s="1"/>
  <c r="K198" i="4" s="1"/>
  <c r="E197" i="4"/>
  <c r="J197" i="4" s="1"/>
  <c r="K197" i="4" s="1"/>
  <c r="E196" i="4"/>
  <c r="J196" i="4" s="1"/>
  <c r="K196" i="4" s="1"/>
  <c r="E195" i="4"/>
  <c r="J195" i="4" s="1"/>
  <c r="K195" i="4" s="1"/>
  <c r="E194" i="4"/>
  <c r="J194" i="4" s="1"/>
  <c r="K194" i="4" s="1"/>
  <c r="E193" i="4"/>
  <c r="J193" i="4" s="1"/>
  <c r="K193" i="4" s="1"/>
  <c r="E192" i="4"/>
  <c r="J192" i="4" s="1"/>
  <c r="K192" i="4" s="1"/>
  <c r="E191" i="4"/>
  <c r="J191" i="4" s="1"/>
  <c r="K191" i="4" s="1"/>
  <c r="E190" i="4"/>
  <c r="J190" i="4" s="1"/>
  <c r="K190" i="4" s="1"/>
  <c r="E189" i="4"/>
  <c r="J189" i="4" s="1"/>
  <c r="K189" i="4" s="1"/>
  <c r="E188" i="4"/>
  <c r="J188" i="4" s="1"/>
  <c r="K188" i="4" s="1"/>
  <c r="E187" i="4"/>
  <c r="J187" i="4" s="1"/>
  <c r="K187" i="4" s="1"/>
  <c r="E186" i="4"/>
  <c r="J186" i="4" s="1"/>
  <c r="K186" i="4" s="1"/>
  <c r="E171" i="4"/>
  <c r="J171" i="4" s="1"/>
  <c r="K171" i="4" s="1"/>
  <c r="E200" i="4"/>
  <c r="J200" i="4" s="1"/>
  <c r="K200" i="4" s="1"/>
  <c r="E185" i="4"/>
  <c r="J185" i="4" s="1"/>
  <c r="K185" i="4" s="1"/>
  <c r="E184" i="4"/>
  <c r="J184" i="4" s="1"/>
  <c r="K184" i="4" s="1"/>
  <c r="E183" i="4"/>
  <c r="J183" i="4" s="1"/>
  <c r="K183" i="4" s="1"/>
  <c r="E182" i="4"/>
  <c r="J182" i="4" s="1"/>
  <c r="K182" i="4" s="1"/>
  <c r="E181" i="4"/>
  <c r="J181" i="4" s="1"/>
  <c r="K181" i="4" s="1"/>
  <c r="E180" i="4"/>
  <c r="J180" i="4" s="1"/>
  <c r="K180" i="4" s="1"/>
  <c r="E179" i="4"/>
  <c r="J179" i="4" s="1"/>
  <c r="K179" i="4" s="1"/>
  <c r="E178" i="4"/>
  <c r="J178" i="4" s="1"/>
  <c r="K178" i="4" s="1"/>
  <c r="E177" i="4"/>
  <c r="J177" i="4" s="1"/>
  <c r="K177" i="4" s="1"/>
  <c r="E176" i="4"/>
  <c r="J176" i="4" s="1"/>
  <c r="K176" i="4" s="1"/>
  <c r="E175" i="4"/>
  <c r="J175" i="4" s="1"/>
  <c r="K175" i="4" s="1"/>
  <c r="E174" i="4"/>
  <c r="J174" i="4" s="1"/>
  <c r="K174" i="4" s="1"/>
  <c r="E173" i="4"/>
  <c r="J173" i="4" s="1"/>
  <c r="K173" i="4" s="1"/>
  <c r="E172" i="4"/>
  <c r="J172" i="4" s="1"/>
  <c r="K172" i="4" s="1"/>
  <c r="E169" i="4"/>
  <c r="J169" i="4" s="1"/>
  <c r="K169" i="4" s="1"/>
  <c r="E168" i="4"/>
  <c r="J168" i="4" s="1"/>
  <c r="K168" i="4" s="1"/>
  <c r="E167" i="4"/>
  <c r="J167" i="4" s="1"/>
  <c r="K167" i="4" s="1"/>
  <c r="E166" i="4"/>
  <c r="J166" i="4" s="1"/>
  <c r="K166" i="4" s="1"/>
  <c r="E165" i="4"/>
  <c r="J165" i="4" s="1"/>
  <c r="K165" i="4" s="1"/>
  <c r="E164" i="4"/>
  <c r="J164" i="4" s="1"/>
  <c r="K164" i="4" s="1"/>
  <c r="E163" i="4"/>
  <c r="J163" i="4" s="1"/>
  <c r="K163" i="4" s="1"/>
  <c r="E162" i="4"/>
  <c r="J162" i="4" s="1"/>
  <c r="K162" i="4" s="1"/>
  <c r="E161" i="4"/>
  <c r="J161" i="4" s="1"/>
  <c r="K161" i="4" s="1"/>
  <c r="E147" i="4"/>
  <c r="J147" i="4" s="1"/>
  <c r="K147" i="4" s="1"/>
  <c r="E170" i="4"/>
  <c r="J170" i="4" s="1"/>
  <c r="K170" i="4" s="1"/>
  <c r="E160" i="4"/>
  <c r="J160" i="4" s="1"/>
  <c r="K160" i="4" s="1"/>
  <c r="E159" i="4"/>
  <c r="J159" i="4" s="1"/>
  <c r="K159" i="4" s="1"/>
  <c r="E158" i="4"/>
  <c r="J158" i="4" s="1"/>
  <c r="K158" i="4" s="1"/>
  <c r="E157" i="4"/>
  <c r="J157" i="4" s="1"/>
  <c r="K157" i="4" s="1"/>
  <c r="E156" i="4"/>
  <c r="J156" i="4" s="1"/>
  <c r="K156" i="4" s="1"/>
  <c r="E155" i="4"/>
  <c r="J155" i="4" s="1"/>
  <c r="K155" i="4" s="1"/>
  <c r="E154" i="4"/>
  <c r="J154" i="4" s="1"/>
  <c r="K154" i="4" s="1"/>
  <c r="E153" i="4"/>
  <c r="J153" i="4" s="1"/>
  <c r="K153" i="4" s="1"/>
  <c r="E152" i="4"/>
  <c r="J152" i="4" s="1"/>
  <c r="K152" i="4" s="1"/>
  <c r="E151" i="4"/>
  <c r="J151" i="4" s="1"/>
  <c r="K151" i="4" s="1"/>
  <c r="E150" i="4"/>
  <c r="J150" i="4" s="1"/>
  <c r="K150" i="4" s="1"/>
  <c r="E149" i="4"/>
  <c r="J149" i="4" s="1"/>
  <c r="K149" i="4" s="1"/>
  <c r="E148" i="4"/>
  <c r="J148" i="4" s="1"/>
  <c r="K148" i="4" s="1"/>
  <c r="E145" i="4"/>
  <c r="J145" i="4" s="1"/>
  <c r="K145" i="4" s="1"/>
  <c r="E144" i="4"/>
  <c r="J144" i="4" s="1"/>
  <c r="K144" i="4" s="1"/>
  <c r="E143" i="4"/>
  <c r="J143" i="4" s="1"/>
  <c r="K143" i="4" s="1"/>
  <c r="E142" i="4"/>
  <c r="J142" i="4" s="1"/>
  <c r="K142" i="4" s="1"/>
  <c r="E141" i="4"/>
  <c r="J141" i="4" s="1"/>
  <c r="K141" i="4" s="1"/>
  <c r="E140" i="4"/>
  <c r="J140" i="4" s="1"/>
  <c r="K140" i="4" s="1"/>
  <c r="E139" i="4"/>
  <c r="J139" i="4" s="1"/>
  <c r="K139" i="4" s="1"/>
  <c r="E138" i="4"/>
  <c r="J138" i="4" s="1"/>
  <c r="K138" i="4" s="1"/>
  <c r="E137" i="4"/>
  <c r="J137" i="4" s="1"/>
  <c r="K137" i="4" s="1"/>
  <c r="E136" i="4"/>
  <c r="J136" i="4" s="1"/>
  <c r="K136" i="4" s="1"/>
  <c r="E135" i="4"/>
  <c r="J135" i="4" s="1"/>
  <c r="K135" i="4" s="1"/>
  <c r="E134" i="4"/>
  <c r="J134" i="4" s="1"/>
  <c r="K134" i="4" s="1"/>
  <c r="E133" i="4"/>
  <c r="J133" i="4" s="1"/>
  <c r="K133" i="4" s="1"/>
  <c r="E132" i="4"/>
  <c r="J132" i="4" s="1"/>
  <c r="K132" i="4" s="1"/>
  <c r="E110" i="4"/>
  <c r="J110" i="4" s="1"/>
  <c r="K110" i="4" s="1"/>
  <c r="E146" i="4"/>
  <c r="J146" i="4" s="1"/>
  <c r="K146" i="4" s="1"/>
  <c r="E131" i="4"/>
  <c r="J131" i="4" s="1"/>
  <c r="K131" i="4" s="1"/>
  <c r="E130" i="4"/>
  <c r="J130" i="4" s="1"/>
  <c r="K130" i="4" s="1"/>
  <c r="E129" i="4"/>
  <c r="J129" i="4" s="1"/>
  <c r="K129" i="4" s="1"/>
  <c r="E128" i="4"/>
  <c r="J128" i="4" s="1"/>
  <c r="K128" i="4" s="1"/>
  <c r="E127" i="4"/>
  <c r="J127" i="4" s="1"/>
  <c r="K127" i="4" s="1"/>
  <c r="E126" i="4"/>
  <c r="J126" i="4" s="1"/>
  <c r="K126" i="4" s="1"/>
  <c r="E125" i="4"/>
  <c r="J125" i="4" s="1"/>
  <c r="K125" i="4" s="1"/>
  <c r="E124" i="4"/>
  <c r="J124" i="4" s="1"/>
  <c r="K124" i="4" s="1"/>
  <c r="E123" i="4"/>
  <c r="J123" i="4" s="1"/>
  <c r="K123" i="4" s="1"/>
  <c r="E122" i="4"/>
  <c r="J122" i="4" s="1"/>
  <c r="K122" i="4" s="1"/>
  <c r="E121" i="4"/>
  <c r="J121" i="4" s="1"/>
  <c r="K121" i="4" s="1"/>
  <c r="E120" i="4"/>
  <c r="J120" i="4" s="1"/>
  <c r="K120" i="4" s="1"/>
  <c r="E119" i="4"/>
  <c r="J119" i="4" s="1"/>
  <c r="K119" i="4" s="1"/>
  <c r="E118" i="4"/>
  <c r="J118" i="4" s="1"/>
  <c r="K118" i="4" s="1"/>
  <c r="E117" i="4"/>
  <c r="J117" i="4" s="1"/>
  <c r="K117" i="4" s="1"/>
  <c r="E116" i="4"/>
  <c r="J116" i="4" s="1"/>
  <c r="K116" i="4" s="1"/>
  <c r="E115" i="4"/>
  <c r="J115" i="4" s="1"/>
  <c r="K115" i="4" s="1"/>
  <c r="E114" i="4"/>
  <c r="J114" i="4" s="1"/>
  <c r="K114" i="4" s="1"/>
  <c r="E113" i="4"/>
  <c r="J113" i="4" s="1"/>
  <c r="K113" i="4" s="1"/>
  <c r="E112" i="4"/>
  <c r="J112" i="4" s="1"/>
  <c r="K112" i="4" s="1"/>
  <c r="E111" i="4"/>
  <c r="J111" i="4" s="1"/>
  <c r="K111" i="4" s="1"/>
  <c r="E108" i="4"/>
  <c r="J108" i="4" s="1"/>
  <c r="K108" i="4" s="1"/>
  <c r="E107" i="4"/>
  <c r="J107" i="4" s="1"/>
  <c r="K107" i="4" s="1"/>
  <c r="E106" i="4"/>
  <c r="J106" i="4" s="1"/>
  <c r="K106" i="4" s="1"/>
  <c r="E105" i="4"/>
  <c r="J105" i="4" s="1"/>
  <c r="K105" i="4" s="1"/>
  <c r="E104" i="4"/>
  <c r="J104" i="4" s="1"/>
  <c r="K104" i="4" s="1"/>
  <c r="E103" i="4"/>
  <c r="J103" i="4" s="1"/>
  <c r="K103" i="4" s="1"/>
  <c r="E102" i="4"/>
  <c r="J102" i="4" s="1"/>
  <c r="K102" i="4" s="1"/>
  <c r="E101" i="4"/>
  <c r="J101" i="4" s="1"/>
  <c r="K101" i="4" s="1"/>
  <c r="E100" i="4"/>
  <c r="J100" i="4" s="1"/>
  <c r="K100" i="4" s="1"/>
  <c r="E99" i="4"/>
  <c r="J99" i="4" s="1"/>
  <c r="K99" i="4" s="1"/>
  <c r="E98" i="4"/>
  <c r="J98" i="4" s="1"/>
  <c r="K98" i="4" s="1"/>
  <c r="E97" i="4"/>
  <c r="E96" i="4"/>
  <c r="J96" i="4" s="1"/>
  <c r="K96" i="4" s="1"/>
  <c r="E95" i="4"/>
  <c r="J95" i="4" s="1"/>
  <c r="K95" i="4" s="1"/>
  <c r="E94" i="4"/>
  <c r="J94" i="4" s="1"/>
  <c r="K94" i="4" s="1"/>
  <c r="E69" i="4"/>
  <c r="J69" i="4" s="1"/>
  <c r="K69" i="4" s="1"/>
  <c r="E109" i="4"/>
  <c r="J109" i="4" s="1"/>
  <c r="K109" i="4" s="1"/>
  <c r="E93" i="4"/>
  <c r="J93" i="4" s="1"/>
  <c r="K93" i="4" s="1"/>
  <c r="E92" i="4"/>
  <c r="J92" i="4" s="1"/>
  <c r="K92" i="4" s="1"/>
  <c r="E91" i="4"/>
  <c r="J91" i="4" s="1"/>
  <c r="K91" i="4" s="1"/>
  <c r="E90" i="4"/>
  <c r="J90" i="4" s="1"/>
  <c r="K90" i="4" s="1"/>
  <c r="E89" i="4"/>
  <c r="J89" i="4" s="1"/>
  <c r="K89" i="4" s="1"/>
  <c r="E88" i="4"/>
  <c r="J88" i="4" s="1"/>
  <c r="K88" i="4" s="1"/>
  <c r="E87" i="4"/>
  <c r="J87" i="4" s="1"/>
  <c r="K87" i="4" s="1"/>
  <c r="E86" i="4"/>
  <c r="J86" i="4" s="1"/>
  <c r="K86" i="4" s="1"/>
  <c r="E85" i="4"/>
  <c r="J85" i="4" s="1"/>
  <c r="K85" i="4" s="1"/>
  <c r="E84" i="4"/>
  <c r="J84" i="4" s="1"/>
  <c r="K84" i="4" s="1"/>
  <c r="E83" i="4"/>
  <c r="J83" i="4" s="1"/>
  <c r="K83" i="4" s="1"/>
  <c r="E82" i="4"/>
  <c r="J82" i="4" s="1"/>
  <c r="K82" i="4" s="1"/>
  <c r="E81" i="4"/>
  <c r="J81" i="4" s="1"/>
  <c r="K81" i="4" s="1"/>
  <c r="E80" i="4"/>
  <c r="J80" i="4" s="1"/>
  <c r="K80" i="4" s="1"/>
  <c r="E79" i="4"/>
  <c r="J79" i="4" s="1"/>
  <c r="K79" i="4" s="1"/>
  <c r="E78" i="4"/>
  <c r="J78" i="4" s="1"/>
  <c r="K78" i="4" s="1"/>
  <c r="E77" i="4"/>
  <c r="J77" i="4" s="1"/>
  <c r="K77" i="4" s="1"/>
  <c r="E76" i="4"/>
  <c r="J76" i="4" s="1"/>
  <c r="K76" i="4" s="1"/>
  <c r="E75" i="4"/>
  <c r="J75" i="4" s="1"/>
  <c r="K75" i="4" s="1"/>
  <c r="E74" i="4"/>
  <c r="J74" i="4" s="1"/>
  <c r="K74" i="4" s="1"/>
  <c r="E73" i="4"/>
  <c r="J73" i="4" s="1"/>
  <c r="K73" i="4" s="1"/>
  <c r="E72" i="4"/>
  <c r="J72" i="4" s="1"/>
  <c r="K72" i="4" s="1"/>
  <c r="E71" i="4"/>
  <c r="J71" i="4" s="1"/>
  <c r="K71" i="4" s="1"/>
  <c r="E70" i="4"/>
  <c r="J70" i="4" s="1"/>
  <c r="K70" i="4" s="1"/>
  <c r="E67" i="4"/>
  <c r="J67" i="4" s="1"/>
  <c r="K67" i="4" s="1"/>
  <c r="E66" i="4"/>
  <c r="J66" i="4" s="1"/>
  <c r="K66" i="4" s="1"/>
  <c r="E65" i="4"/>
  <c r="J65" i="4" s="1"/>
  <c r="K65" i="4" s="1"/>
  <c r="E64" i="4"/>
  <c r="J64" i="4" s="1"/>
  <c r="K64" i="4" s="1"/>
  <c r="E63" i="4"/>
  <c r="J63" i="4" s="1"/>
  <c r="K63" i="4" s="1"/>
  <c r="E62" i="4"/>
  <c r="J62" i="4" s="1"/>
  <c r="K62" i="4" s="1"/>
  <c r="E61" i="4"/>
  <c r="J61" i="4" s="1"/>
  <c r="K61" i="4" s="1"/>
  <c r="E60" i="4"/>
  <c r="J60" i="4" s="1"/>
  <c r="K60" i="4" s="1"/>
  <c r="E59" i="4"/>
  <c r="J59" i="4" s="1"/>
  <c r="K59" i="4" s="1"/>
  <c r="E58" i="4"/>
  <c r="J58" i="4" s="1"/>
  <c r="K58" i="4" s="1"/>
  <c r="E57" i="4"/>
  <c r="J57" i="4" s="1"/>
  <c r="K57" i="4" s="1"/>
  <c r="E56" i="4"/>
  <c r="J56" i="4" s="1"/>
  <c r="K56" i="4" s="1"/>
  <c r="E55" i="4"/>
  <c r="J55" i="4" s="1"/>
  <c r="K55" i="4" s="1"/>
  <c r="E54" i="4"/>
  <c r="J54" i="4" s="1"/>
  <c r="K54" i="4" s="1"/>
  <c r="E53" i="4"/>
  <c r="J53" i="4" s="1"/>
  <c r="K53" i="4" s="1"/>
  <c r="E52" i="4"/>
  <c r="J52" i="4" s="1"/>
  <c r="K52" i="4" s="1"/>
  <c r="E51" i="4"/>
  <c r="J51" i="4" s="1"/>
  <c r="K51" i="4" s="1"/>
  <c r="E50" i="4"/>
  <c r="J50" i="4" s="1"/>
  <c r="K50" i="4" s="1"/>
  <c r="E29" i="4"/>
  <c r="J29" i="4" s="1"/>
  <c r="K29" i="4" s="1"/>
  <c r="E68" i="4"/>
  <c r="J68" i="4" s="1"/>
  <c r="K68" i="4" s="1"/>
  <c r="E49" i="4"/>
  <c r="J49" i="4" s="1"/>
  <c r="K49" i="4" s="1"/>
  <c r="E48" i="4"/>
  <c r="J48" i="4" s="1"/>
  <c r="K48" i="4" s="1"/>
  <c r="E47" i="4"/>
  <c r="J47" i="4" s="1"/>
  <c r="K47" i="4" s="1"/>
  <c r="E46" i="4"/>
  <c r="J46" i="4" s="1"/>
  <c r="K46" i="4" s="1"/>
  <c r="E45" i="4"/>
  <c r="J45" i="4" s="1"/>
  <c r="K45" i="4" s="1"/>
  <c r="E44" i="4"/>
  <c r="J44" i="4" s="1"/>
  <c r="K44" i="4" s="1"/>
  <c r="E43" i="4"/>
  <c r="J43" i="4" s="1"/>
  <c r="K43" i="4" s="1"/>
  <c r="E42" i="4"/>
  <c r="J42" i="4" s="1"/>
  <c r="K42" i="4" s="1"/>
  <c r="E41" i="4"/>
  <c r="J41" i="4" s="1"/>
  <c r="K41" i="4" s="1"/>
  <c r="E40" i="4"/>
  <c r="J40" i="4" s="1"/>
  <c r="K40" i="4" s="1"/>
  <c r="E39" i="4"/>
  <c r="J39" i="4" s="1"/>
  <c r="K39" i="4" s="1"/>
  <c r="E38" i="4"/>
  <c r="J38" i="4" s="1"/>
  <c r="K38" i="4" s="1"/>
  <c r="E37" i="4"/>
  <c r="J37" i="4" s="1"/>
  <c r="K37" i="4" s="1"/>
  <c r="E36" i="4"/>
  <c r="J36" i="4" s="1"/>
  <c r="K36" i="4" s="1"/>
  <c r="E35" i="4"/>
  <c r="J35" i="4" s="1"/>
  <c r="K35" i="4" s="1"/>
  <c r="E34" i="4"/>
  <c r="J34" i="4" s="1"/>
  <c r="K34" i="4" s="1"/>
  <c r="E33" i="4"/>
  <c r="J33" i="4" s="1"/>
  <c r="K33" i="4" s="1"/>
  <c r="E32" i="4"/>
  <c r="J32" i="4" s="1"/>
  <c r="K32" i="4" s="1"/>
  <c r="E31" i="4"/>
  <c r="J31" i="4" s="1"/>
  <c r="K31" i="4" s="1"/>
  <c r="E30" i="4"/>
  <c r="J30" i="4" s="1"/>
  <c r="K30" i="4" s="1"/>
  <c r="E27" i="4"/>
  <c r="J27" i="4" s="1"/>
  <c r="K27" i="4" s="1"/>
  <c r="E26" i="4"/>
  <c r="J26" i="4" s="1"/>
  <c r="K26" i="4" s="1"/>
  <c r="E25" i="4"/>
  <c r="J25" i="4" s="1"/>
  <c r="K25" i="4" s="1"/>
  <c r="E24" i="4"/>
  <c r="J24" i="4" s="1"/>
  <c r="K24" i="4" s="1"/>
  <c r="E23" i="4"/>
  <c r="J23" i="4" s="1"/>
  <c r="K23" i="4" s="1"/>
  <c r="E22" i="4"/>
  <c r="J22" i="4" s="1"/>
  <c r="K22" i="4" s="1"/>
  <c r="E21" i="4"/>
  <c r="J21" i="4" s="1"/>
  <c r="K21" i="4" s="1"/>
  <c r="E20" i="4"/>
  <c r="J20" i="4" s="1"/>
  <c r="K20" i="4" s="1"/>
  <c r="E19" i="4"/>
  <c r="J19" i="4" s="1"/>
  <c r="K19" i="4" s="1"/>
  <c r="E18" i="4"/>
  <c r="J18" i="4" s="1"/>
  <c r="K18" i="4" s="1"/>
  <c r="E17" i="4"/>
  <c r="J17" i="4" s="1"/>
  <c r="K17" i="4" s="1"/>
  <c r="E16" i="4"/>
  <c r="J16" i="4" s="1"/>
  <c r="K16" i="4" s="1"/>
  <c r="E15" i="4"/>
  <c r="J15" i="4" s="1"/>
  <c r="K15" i="4" s="1"/>
  <c r="E14" i="4"/>
  <c r="J14" i="4" s="1"/>
  <c r="K14" i="4" s="1"/>
  <c r="E13" i="4"/>
  <c r="J13" i="4" s="1"/>
  <c r="K13" i="4" s="1"/>
  <c r="E28" i="4"/>
  <c r="J28" i="4" s="1"/>
  <c r="K28" i="4" s="1"/>
  <c r="E12" i="4"/>
  <c r="J12" i="4" s="1"/>
  <c r="K12" i="4" s="1"/>
  <c r="E11" i="4"/>
  <c r="J11" i="4" s="1"/>
  <c r="K11" i="4" s="1"/>
  <c r="E10" i="4"/>
  <c r="J10" i="4" s="1"/>
  <c r="K10" i="4" s="1"/>
  <c r="E9" i="4"/>
  <c r="J9" i="4" s="1"/>
  <c r="K9" i="4" s="1"/>
  <c r="E8" i="4"/>
  <c r="J8" i="4" s="1"/>
  <c r="K8" i="4" s="1"/>
  <c r="E7" i="4"/>
  <c r="J7" i="4" s="1"/>
  <c r="K7" i="4" s="1"/>
  <c r="E6" i="4"/>
  <c r="J6" i="4" s="1"/>
  <c r="K6" i="4" s="1"/>
  <c r="E5" i="4"/>
  <c r="J5" i="4" s="1"/>
  <c r="K5" i="4" s="1"/>
  <c r="E4" i="4"/>
  <c r="J4" i="4" s="1"/>
  <c r="K4" i="4" s="1"/>
  <c r="E3" i="4"/>
  <c r="J3" i="4" s="1"/>
  <c r="K3" i="4" s="1"/>
  <c r="E2" i="4"/>
  <c r="J2" i="4" s="1"/>
  <c r="K2" i="4" s="1"/>
  <c r="J97" i="4" l="1"/>
  <c r="K97" i="4" s="1"/>
  <c r="F97" i="4"/>
</calcChain>
</file>

<file path=xl/sharedStrings.xml><?xml version="1.0" encoding="utf-8"?>
<sst xmlns="http://schemas.openxmlformats.org/spreadsheetml/2006/main" count="3498" uniqueCount="130">
  <si>
    <t>Rat Code</t>
  </si>
  <si>
    <t>DOB</t>
  </si>
  <si>
    <t>Serum date</t>
  </si>
  <si>
    <t>Age</t>
  </si>
  <si>
    <t>IFN type</t>
  </si>
  <si>
    <t>Ifna4</t>
  </si>
  <si>
    <t>Kas keskmine</t>
  </si>
  <si>
    <t>ei</t>
  </si>
  <si>
    <t>jah</t>
  </si>
  <si>
    <t xml:space="preserve">P1/6 </t>
  </si>
  <si>
    <t>KO</t>
  </si>
  <si>
    <t>P10/1</t>
  </si>
  <si>
    <t>P10/3</t>
  </si>
  <si>
    <t>P11/5</t>
  </si>
  <si>
    <t>P11/7</t>
  </si>
  <si>
    <t>P13/1</t>
  </si>
  <si>
    <t>P13/3</t>
  </si>
  <si>
    <t>P15/2</t>
  </si>
  <si>
    <t>P15/4</t>
  </si>
  <si>
    <t>P15/6</t>
  </si>
  <si>
    <t>P17/5</t>
  </si>
  <si>
    <t>P17/6</t>
  </si>
  <si>
    <t>P18/3</t>
  </si>
  <si>
    <t>P18/6</t>
  </si>
  <si>
    <t>P19/1</t>
  </si>
  <si>
    <t>P19/5</t>
  </si>
  <si>
    <t xml:space="preserve">P2/7 </t>
  </si>
  <si>
    <t>P25/2</t>
  </si>
  <si>
    <t>P25/4</t>
  </si>
  <si>
    <t>P25/5</t>
  </si>
  <si>
    <t>P27/5</t>
  </si>
  <si>
    <t>P28/4</t>
  </si>
  <si>
    <t>P28/9</t>
  </si>
  <si>
    <t>P29/2</t>
  </si>
  <si>
    <t>P30/1</t>
  </si>
  <si>
    <t>P30/4</t>
  </si>
  <si>
    <t>P30/11</t>
  </si>
  <si>
    <t>P30/12</t>
  </si>
  <si>
    <t>P30/9</t>
  </si>
  <si>
    <t>P31/1</t>
  </si>
  <si>
    <t>P31/12</t>
  </si>
  <si>
    <t>P32/4</t>
  </si>
  <si>
    <t>P32/6</t>
  </si>
  <si>
    <t>P32/9</t>
  </si>
  <si>
    <t>P33/12</t>
  </si>
  <si>
    <t>P33/4</t>
  </si>
  <si>
    <t>P33/6</t>
  </si>
  <si>
    <t>P34/4</t>
  </si>
  <si>
    <t>P34/6</t>
  </si>
  <si>
    <t>P34/9</t>
  </si>
  <si>
    <t>P38/1</t>
  </si>
  <si>
    <t>P38/3</t>
  </si>
  <si>
    <t>P38/18</t>
  </si>
  <si>
    <t>P5/3</t>
  </si>
  <si>
    <t>P5/4</t>
  </si>
  <si>
    <t>P7/1</t>
  </si>
  <si>
    <t>P7/3</t>
  </si>
  <si>
    <t>P7/8</t>
  </si>
  <si>
    <t>P8/1</t>
  </si>
  <si>
    <t>P8/2</t>
  </si>
  <si>
    <t>P8/4</t>
  </si>
  <si>
    <t>P8/5</t>
  </si>
  <si>
    <t>P8/6</t>
  </si>
  <si>
    <t>P8/9</t>
  </si>
  <si>
    <t>P9/2</t>
  </si>
  <si>
    <t>P9/7</t>
  </si>
  <si>
    <t>20.06.2018</t>
  </si>
  <si>
    <t>17.07.2018</t>
  </si>
  <si>
    <t>Vanus</t>
  </si>
  <si>
    <t>IFN konts.</t>
  </si>
  <si>
    <t>Genotüüp</t>
  </si>
  <si>
    <t>Grupid</t>
  </si>
  <si>
    <t>1 – 2</t>
  </si>
  <si>
    <t>HE</t>
  </si>
  <si>
    <t>LU</t>
  </si>
  <si>
    <t>6677/2321</t>
  </si>
  <si>
    <t>3 – 5</t>
  </si>
  <si>
    <t>6 – 8</t>
  </si>
  <si>
    <t>9 – 12</t>
  </si>
  <si>
    <t>13 – 19</t>
  </si>
  <si>
    <t>Genotype</t>
  </si>
  <si>
    <t>Ifna11</t>
  </si>
  <si>
    <t>04.09.2018</t>
  </si>
  <si>
    <t>04.09.18</t>
  </si>
  <si>
    <t>pole uusi rotte lisatud</t>
  </si>
  <si>
    <t>P41/8</t>
  </si>
  <si>
    <t>P41/9</t>
  </si>
  <si>
    <t>P43/6</t>
  </si>
  <si>
    <t>P43/7</t>
  </si>
  <si>
    <t>P44/3</t>
  </si>
  <si>
    <t>P44/6</t>
  </si>
  <si>
    <t>-</t>
  </si>
  <si>
    <t>P43/6 KO</t>
  </si>
  <si>
    <t>P10/2</t>
  </si>
  <si>
    <t>P14/1</t>
  </si>
  <si>
    <t>P14/2</t>
  </si>
  <si>
    <t>P15/1</t>
  </si>
  <si>
    <t>P17/2</t>
  </si>
  <si>
    <t>P17/3</t>
  </si>
  <si>
    <t>P18/1</t>
  </si>
  <si>
    <t>Rott 1</t>
  </si>
  <si>
    <t>Rott 2</t>
  </si>
  <si>
    <t>P1/1</t>
  </si>
  <si>
    <t xml:space="preserve">P2/6 </t>
  </si>
  <si>
    <t>P21/4</t>
  </si>
  <si>
    <t>P34/2</t>
  </si>
  <si>
    <t>P22/8</t>
  </si>
  <si>
    <t>P41/3</t>
  </si>
  <si>
    <t>P41/4</t>
  </si>
  <si>
    <t>P15/7</t>
  </si>
  <si>
    <t>P10/4</t>
  </si>
  <si>
    <t>P11/9</t>
  </si>
  <si>
    <t>P32/2</t>
  </si>
  <si>
    <t>P8/7</t>
  </si>
  <si>
    <t>P8/8</t>
  </si>
  <si>
    <t>P33/5</t>
  </si>
  <si>
    <t>P33/8</t>
  </si>
  <si>
    <t>P34/13</t>
  </si>
  <si>
    <t>P32/1</t>
  </si>
  <si>
    <t>P7/5</t>
  </si>
  <si>
    <t>P33/9</t>
  </si>
  <si>
    <t>P31/11</t>
  </si>
  <si>
    <t>P31/4</t>
  </si>
  <si>
    <t>only file with fold changes</t>
  </si>
  <si>
    <t>IFN fold change</t>
  </si>
  <si>
    <t>is fold change number mean</t>
  </si>
  <si>
    <t>Age2</t>
  </si>
  <si>
    <t>Groups</t>
  </si>
  <si>
    <t>Groups+L10:L11+A1:K1</t>
  </si>
  <si>
    <t>Rat_code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</si>
</sst>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d\.mm\.yyyy;@"/>
    <numFmt numFmtId="166" formatCode="#0.0"/>
    <numFmt numFmtId="167" formatCode="dd\.mm\.yyyy;@"/>
    <numFmt numFmtId="168" formatCode="0.000000"/>
    <numFmt numFmtId="169" formatCode="0.000000000"/>
    <numFmt numFmtId="170" formatCode="#0"/>
    <numFmt numFmtId="171" formatCode="0.000"/>
  </numFmts>
  <fonts count="2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2"/>
      <color rgb="FF000000"/>
      <name val="Calibri"/>
      <family val="2"/>
      <charset val="186"/>
    </font>
    <font>
      <sz val="11"/>
      <name val="Calibri"/>
      <family val="2"/>
      <scheme val="minor"/>
    </font>
    <font>
      <sz val="12"/>
      <name val="Calibri"/>
      <family val="2"/>
    </font>
    <font>
      <sz val="12"/>
      <color theme="1"/>
      <name val="Calibri (Body)"/>
    </font>
    <font>
      <sz val="12"/>
      <name val="Calibri (Body)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/>
      <diagonal/>
    </border>
    <border>
      <left style="medium">
        <color auto="1"/>
      </left>
      <right/>
      <top style="thin">
        <color theme="4"/>
      </top>
      <bottom/>
      <diagonal/>
    </border>
    <border>
      <left/>
      <right style="thin">
        <color theme="4" tint="0.59996337778862885"/>
      </right>
      <top style="thin">
        <color theme="4"/>
      </top>
      <bottom/>
      <diagonal/>
    </border>
    <border>
      <left style="medium">
        <color auto="1"/>
      </left>
      <right style="thin">
        <color theme="4" tint="0.59996337778862885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 style="thin">
        <color rgb="FF4472C4"/>
      </left>
      <right/>
      <top style="thin">
        <color theme="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 style="thin">
        <color theme="4"/>
      </top>
      <bottom/>
      <diagonal/>
    </border>
    <border>
      <left style="thin">
        <color rgb="FF4472C4"/>
      </left>
      <right/>
      <top style="thin">
        <color theme="4"/>
      </top>
      <bottom style="thin">
        <color theme="4"/>
      </bottom>
      <diagonal/>
    </border>
    <border>
      <left/>
      <right style="thin">
        <color rgb="FF4472C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144">
    <xf numFmtId="0" fontId="0" fillId="0" borderId="0" xfId="0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0" fillId="0" borderId="1" xfId="0" quotePrefix="1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5" fontId="0" fillId="0" borderId="1" xfId="0" quotePrefix="1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66" fontId="7" fillId="4" borderId="1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4" fontId="0" fillId="4" borderId="0" xfId="0" applyNumberFormat="1" applyFont="1" applyFill="1" applyBorder="1" applyAlignment="1">
      <alignment horizontal="left"/>
    </xf>
    <xf numFmtId="14" fontId="11" fillId="0" borderId="1" xfId="0" applyNumberFormat="1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0" fillId="0" borderId="0" xfId="0" quotePrefix="1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4" fontId="0" fillId="0" borderId="5" xfId="0" quotePrefix="1" applyNumberFormat="1" applyFont="1" applyBorder="1" applyAlignment="1">
      <alignment horizontal="center"/>
    </xf>
    <xf numFmtId="14" fontId="0" fillId="0" borderId="2" xfId="0" quotePrefix="1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1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/>
    <xf numFmtId="170" fontId="16" fillId="0" borderId="8" xfId="0" applyNumberFormat="1" applyFont="1" applyBorder="1"/>
    <xf numFmtId="171" fontId="0" fillId="0" borderId="1" xfId="0" applyNumberFormat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0" fontId="16" fillId="0" borderId="1" xfId="0" applyNumberFormat="1" applyFont="1" applyBorder="1"/>
    <xf numFmtId="0" fontId="0" fillId="0" borderId="7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NumberFormat="1" applyFont="1" applyBorder="1" applyAlignment="1">
      <alignment horizontal="center"/>
    </xf>
    <xf numFmtId="170" fontId="7" fillId="0" borderId="1" xfId="0" applyNumberFormat="1" applyFont="1" applyBorder="1"/>
    <xf numFmtId="0" fontId="0" fillId="0" borderId="8" xfId="0" applyNumberFormat="1" applyFont="1" applyBorder="1" applyAlignment="1">
      <alignment horizontal="center"/>
    </xf>
    <xf numFmtId="1" fontId="17" fillId="0" borderId="1" xfId="0" applyNumberFormat="1" applyFont="1" applyBorder="1"/>
    <xf numFmtId="170" fontId="16" fillId="0" borderId="0" xfId="0" applyNumberFormat="1" applyFont="1" applyBorder="1"/>
    <xf numFmtId="0" fontId="0" fillId="0" borderId="7" xfId="0" applyFill="1" applyBorder="1"/>
    <xf numFmtId="2" fontId="3" fillId="0" borderId="4" xfId="0" applyNumberFormat="1" applyFont="1" applyBorder="1" applyAlignment="1">
      <alignment horizontal="center"/>
    </xf>
    <xf numFmtId="0" fontId="0" fillId="5" borderId="0" xfId="0" applyFill="1"/>
    <xf numFmtId="0" fontId="3" fillId="0" borderId="0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15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169" fontId="18" fillId="0" borderId="0" xfId="0" applyNumberFormat="1" applyFont="1" applyFill="1" applyBorder="1"/>
    <xf numFmtId="0" fontId="20" fillId="0" borderId="0" xfId="0" applyFont="1" applyFill="1" applyBorder="1"/>
    <xf numFmtId="168" fontId="18" fillId="0" borderId="0" xfId="0" applyNumberFormat="1" applyFont="1" applyFill="1" applyBorder="1"/>
    <xf numFmtId="0" fontId="21" fillId="0" borderId="0" xfId="0" applyFont="1" applyFill="1" applyBorder="1" applyAlignment="1">
      <alignment horizontal="center"/>
    </xf>
    <xf numFmtId="0" fontId="18" fillId="0" borderId="0" xfId="0" applyNumberFormat="1" applyFont="1" applyFill="1" applyBorder="1"/>
    <xf numFmtId="0" fontId="22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wrapText="1"/>
    </xf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2" fontId="3" fillId="0" borderId="1" xfId="0" quotePrefix="1" applyNumberFormat="1" applyFont="1" applyBorder="1" applyAlignment="1">
      <alignment horizontal="center"/>
    </xf>
    <xf numFmtId="2" fontId="3" fillId="0" borderId="0" xfId="0" quotePrefix="1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70" fontId="7" fillId="0" borderId="17" xfId="0" applyNumberFormat="1" applyFont="1" applyBorder="1"/>
    <xf numFmtId="166" fontId="7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71" fontId="0" fillId="0" borderId="0" xfId="0" applyNumberFormat="1" applyBorder="1" applyAlignment="1">
      <alignment horizontal="left"/>
    </xf>
    <xf numFmtId="167" fontId="5" fillId="0" borderId="0" xfId="0" applyNumberFormat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17" fillId="0" borderId="0" xfId="0" applyNumberFormat="1" applyFont="1" applyBorder="1"/>
    <xf numFmtId="0" fontId="0" fillId="4" borderId="0" xfId="0" applyFont="1" applyFill="1" applyBorder="1" applyAlignment="1">
      <alignment horizontal="left"/>
    </xf>
    <xf numFmtId="166" fontId="7" fillId="0" borderId="0" xfId="0" applyNumberFormat="1" applyFont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170" fontId="7" fillId="0" borderId="0" xfId="0" applyNumberFormat="1" applyFont="1" applyBorder="1"/>
    <xf numFmtId="165" fontId="0" fillId="0" borderId="0" xfId="0" quotePrefix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7" fillId="4" borderId="0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64" fontId="3" fillId="0" borderId="0" xfId="1" quotePrefix="1" applyNumberFormat="1" applyFont="1" applyFill="1" applyBorder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14" fontId="3" fillId="0" borderId="0" xfId="0" quotePrefix="1" applyNumberFormat="1" applyFont="1" applyBorder="1" applyAlignment="1">
      <alignment horizontal="center"/>
    </xf>
    <xf numFmtId="170" fontId="7" fillId="0" borderId="7" xfId="0" applyNumberFormat="1" applyFont="1" applyBorder="1"/>
    <xf numFmtId="1" fontId="7" fillId="0" borderId="17" xfId="0" applyNumberFormat="1" applyFont="1" applyBorder="1"/>
    <xf numFmtId="0" fontId="7" fillId="0" borderId="17" xfId="0" applyFont="1" applyBorder="1"/>
    <xf numFmtId="0" fontId="0" fillId="0" borderId="16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 wrapText="1"/>
    </xf>
  </cellXfs>
  <cellStyles count="3">
    <cellStyle name="Good" xfId="1" builtinId="26"/>
    <cellStyle name="Normal" xfId="0" builtinId="0"/>
    <cellStyle name="Normal 6" xfId="2" xr:uid="{4C181391-BD96-CD4F-8852-A7CEA125C6E4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472C4"/>
        </left>
        <right style="thin">
          <color rgb="FF4472C4"/>
        </right>
        <top style="thin">
          <color rgb="FF4472C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BC6AB5-A868-EA45-80B4-590072A44B17}" name="Table93" displayName="Table93" ref="A1:K314" totalsRowShown="0" headerRowDxfId="55" dataDxfId="54" tableBorderDxfId="53">
  <autoFilter ref="A1:K314" xr:uid="{27B30B8F-317C-0A4C-963B-66DD490B5978}"/>
  <sortState xmlns:xlrd2="http://schemas.microsoft.com/office/spreadsheetml/2017/richdata2" ref="A2:K301">
    <sortCondition ref="J1:J301"/>
  </sortState>
  <tableColumns count="11">
    <tableColumn id="1" xr3:uid="{169C69EC-E1AC-B14F-86F1-FA9F9A264DD3}" name="Rat Code" dataDxfId="52"/>
    <tableColumn id="2" xr3:uid="{A0976116-DAF8-E44F-B5D3-64B32278AB64}" name="Genotype" dataDxfId="51"/>
    <tableColumn id="3" xr3:uid="{7FF0BE86-47F8-E34A-AA42-952C2F8729CD}" name="DOB" dataDxfId="50"/>
    <tableColumn id="4" xr3:uid="{1730FC8B-5330-C545-83B4-0A2D4D13B87E}" name="Serum date" dataDxfId="49"/>
    <tableColumn id="5" xr3:uid="{735BDF13-D952-B747-B007-0B55473D0766}" name="Age" dataDxfId="48">
      <calculatedColumnFormula>(Table93[[#This Row],[Serum date]]-Table93[[#This Row],[DOB]])/30.5</calculatedColumnFormula>
    </tableColumn>
    <tableColumn id="13" xr3:uid="{8B1FA4E1-66E4-1F41-A0DB-178CEF2BF4C7}" name="LU" dataDxfId="47"/>
    <tableColumn id="6" xr3:uid="{0EDC4E63-63DA-7048-956C-EA02110F8D7B}" name="IFN type" dataDxfId="46"/>
    <tableColumn id="7" xr3:uid="{2F80106F-8015-914C-ABCC-7822D02DE1FC}" name="IFN fold change" dataDxfId="45" dataCellStyle="Good"/>
    <tableColumn id="8" xr3:uid="{C2FF6E22-7401-1541-8955-5510CB6CBBE0}" name="is fold change number mean" dataDxfId="44"/>
    <tableColumn id="9" xr3:uid="{FA6FD024-6718-6B44-96DD-0EE72C32981D}" name="Age2" dataDxfId="43">
      <calculatedColumnFormula>IF($E2&lt;2,1,IF($E2&lt;3,2,IF($E2&lt;4,3,IF($E2&lt;5,4,IF($E2&lt;6,5,IF($E2&lt;7,6,IF($E2&lt;8,7,IF($E2&lt;9,8,IF($E2&lt;10,9,IF($E2&lt;11,10,IF($E2&lt;12,11,IF($E2&lt;13,12,IF($E2&lt;14,13,IF($E2&lt;15,14,IF($E2&lt;16,15,IF($E2&lt;17,16,IF($E2&lt;18,17,IF($E2&lt;19,18,IF($E2&lt;20,19,20)))))))))))))))))))</calculatedColumnFormula>
    </tableColumn>
    <tableColumn id="10" xr3:uid="{1B0B8674-3325-5D46-9526-DE22BD42EA51}" name="Groups" dataDxfId="42">
      <calculatedColumnFormula>IF($J2&lt;3,"1 – 2",IF($J2&lt;5,"3 – 4",IF($J2&lt;7,"5 – 6",IF($J2&lt;9,"7 – 8",IF($J2&lt;11,"9 – 10",IF($J2&lt;13,"11 – 12",IF($J2&lt;16,"13 – 15","16 – 19")))))))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3573B-8EC8-A148-B384-0EE2D2E54354}" name="Table932" displayName="Table932" ref="A1:K39" totalsRowShown="0" headerRowDxfId="41" dataDxfId="40" tableBorderDxfId="39">
  <autoFilter ref="A1:K39" xr:uid="{27B30B8F-317C-0A4C-963B-66DD490B5978}"/>
  <sortState xmlns:xlrd2="http://schemas.microsoft.com/office/spreadsheetml/2017/richdata2" ref="A2:K39">
    <sortCondition ref="A1:A39"/>
  </sortState>
  <tableColumns count="11">
    <tableColumn id="1" xr3:uid="{CAF82864-7CC9-4C4A-BF27-846518BC0465}" name="Rat Code" dataDxfId="38"/>
    <tableColumn id="2" xr3:uid="{96C49E68-528B-294E-B8A7-EC2E816D447D}" name="Genotype" dataDxfId="37"/>
    <tableColumn id="3" xr3:uid="{A00132E3-CA5D-0A49-AFEB-A73F09B01201}" name="DOB" dataDxfId="36"/>
    <tableColumn id="4" xr3:uid="{49C96090-DC67-144C-894A-D92F394BED70}" name="Serum date" dataDxfId="35"/>
    <tableColumn id="5" xr3:uid="{6F64BEA7-06EB-E74A-9691-4E6EA6C39576}" name="Age" dataDxfId="34">
      <calculatedColumnFormula>(Table932[[#This Row],[Serum date]]-Table932[[#This Row],[DOB]])/30.5</calculatedColumnFormula>
    </tableColumn>
    <tableColumn id="13" xr3:uid="{4A2CA9A3-71DA-F44D-A276-EC4DACF629B6}" name="LU" dataDxfId="33"/>
    <tableColumn id="6" xr3:uid="{A4CDACEB-F406-EB46-BAC1-A48F7E8F011E}" name="IFN type" dataDxfId="32"/>
    <tableColumn id="7" xr3:uid="{073FFD1E-5B59-E84C-A0AF-F44BA0542ED9}" name="IFN fold change" dataDxfId="31" dataCellStyle="Good"/>
    <tableColumn id="8" xr3:uid="{56633105-2191-EC46-9485-4394E614D51E}" name="is fold change number mean" dataDxfId="30"/>
    <tableColumn id="9" xr3:uid="{A8F82076-E818-6942-A12F-C0861D719B47}" name="Age2" dataDxfId="29"/>
    <tableColumn id="10" xr3:uid="{712D9929-39BD-4147-A8B5-FCB5E834BC7D}" name="Groups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C67F6F-BF29-C240-92CD-41EEA7032225}" name="Table9324" displayName="Table9324" ref="A1:K326" totalsRowShown="0" headerRowDxfId="27" dataDxfId="26" tableBorderDxfId="25">
  <autoFilter ref="A1:K326" xr:uid="{27B30B8F-317C-0A4C-963B-66DD490B5978}"/>
  <tableColumns count="11">
    <tableColumn id="1" xr3:uid="{8CD0F02C-22CE-AC4B-BFE3-CD7D36F3BEBD}" name="Rat_code" dataDxfId="24"/>
    <tableColumn id="2" xr3:uid="{0A0FD6DD-C824-3449-8605-846929BB35D4}" name="Genotype" dataDxfId="23"/>
    <tableColumn id="3" xr3:uid="{2C41AB80-17C0-0F4E-83D8-FF2C9611AFEA}" name="DOB" dataDxfId="22"/>
    <tableColumn id="4" xr3:uid="{7499FA8F-75AC-614C-A3F9-1E0A85F8E058}" name="Serum date" dataDxfId="21"/>
    <tableColumn id="5" xr3:uid="{B17C6A28-9D40-3240-9EB6-162F3DEA1EA9}" name="Age" dataDxfId="20"/>
    <tableColumn id="13" xr3:uid="{D091E05B-2DBC-3B45-84E8-335C78B794C7}" name="LU" dataDxfId="19"/>
    <tableColumn id="6" xr3:uid="{CCBD8938-8135-034D-80E1-ABF2CAE05FF7}" name="IFN type" dataDxfId="18"/>
    <tableColumn id="7" xr3:uid="{113A563F-922D-5741-A71A-FB54BD3DFE9D}" name="IFN fold change" dataDxfId="17" dataCellStyle="Good"/>
    <tableColumn id="8" xr3:uid="{E9416AC0-C304-814D-AF71-ED8F9BE3ED58}" name="is fold change number mean" dataDxfId="16"/>
    <tableColumn id="9" xr3:uid="{3C66048C-2446-8A40-9322-D8E8D6843808}" name="Age2" dataDxfId="15"/>
    <tableColumn id="10" xr3:uid="{F8B3642F-5069-2549-8FCB-05FA90D4D455}" name="Groups" dataDxfId="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B7C0F8-25A8-8141-A54B-95AF0D53D565}" name="Table9325" displayName="Table9325" ref="A1:K39" totalsRowShown="0" headerRowDxfId="13" dataDxfId="12" tableBorderDxfId="11">
  <autoFilter ref="A1:K39" xr:uid="{27B30B8F-317C-0A4C-963B-66DD490B5978}"/>
  <sortState xmlns:xlrd2="http://schemas.microsoft.com/office/spreadsheetml/2017/richdata2" ref="A2:K39">
    <sortCondition ref="A1:A39"/>
  </sortState>
  <tableColumns count="11">
    <tableColumn id="1" xr3:uid="{EE74F10A-4B19-3F43-9F5F-0C42B58CFF19}" name="Rat_code" dataDxfId="10"/>
    <tableColumn id="2" xr3:uid="{25E8D733-F407-DA44-A1B7-5D092688A203}" name="Genotype" dataDxfId="9"/>
    <tableColumn id="3" xr3:uid="{F5C0A269-C69A-2F4B-905D-6D6930466D29}" name="DOB" dataDxfId="8"/>
    <tableColumn id="4" xr3:uid="{1B27B3CF-B4D1-A742-B1BC-30A8FCA6B339}" name="Serum date" dataDxfId="7"/>
    <tableColumn id="5" xr3:uid="{80B7B696-60FF-364D-A332-430B3F21874C}" name="Age" dataDxfId="6">
      <calculatedColumnFormula>(Table9325[[#This Row],[Serum date]]-Table9325[[#This Row],[DOB]])/30.5</calculatedColumnFormula>
    </tableColumn>
    <tableColumn id="13" xr3:uid="{148F5CB1-A167-D448-87D1-3928D3D07A08}" name="LU" dataDxfId="5"/>
    <tableColumn id="6" xr3:uid="{F5E89034-A288-5D4D-A066-8EC05DF079D8}" name="IFN type" dataDxfId="4"/>
    <tableColumn id="7" xr3:uid="{9B225F88-E12A-F84F-BDF8-703A130627F5}" name="IFN konts." dataDxfId="3" dataCellStyle="Good"/>
    <tableColumn id="8" xr3:uid="{61943731-FBD7-6F44-A8D6-F93BAAB6F186}" name="Kas keskmine" dataDxfId="2"/>
    <tableColumn id="9" xr3:uid="{4740AF12-DA5E-9F4F-AC39-E1F18FD9EBC3}" name="Age2" dataDxfId="1"/>
    <tableColumn id="10" xr3:uid="{5C673C4B-9E92-B049-91B1-0FC6F16DB772}" name="Group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9D67-0490-854C-ABEC-C054919ECD08}">
  <dimension ref="A1:AX317"/>
  <sheetViews>
    <sheetView zoomScale="87" zoomScaleNormal="75" workbookViewId="0">
      <selection activeCell="P11" sqref="P11"/>
    </sheetView>
  </sheetViews>
  <sheetFormatPr baseColWidth="10" defaultColWidth="11" defaultRowHeight="16" x14ac:dyDescent="0.2"/>
  <cols>
    <col min="2" max="2" width="11.5" customWidth="1"/>
    <col min="4" max="4" width="13" customWidth="1"/>
    <col min="6" max="6" width="17.83203125" customWidth="1"/>
    <col min="8" max="8" width="11.83203125" customWidth="1"/>
    <col min="9" max="9" width="15" customWidth="1"/>
    <col min="10" max="10" width="13.33203125" customWidth="1"/>
    <col min="14" max="14" width="12.1640625" customWidth="1"/>
    <col min="15" max="15" width="11" bestFit="1" customWidth="1"/>
    <col min="16" max="16" width="19.5" customWidth="1"/>
    <col min="17" max="17" width="12.1640625" bestFit="1" customWidth="1"/>
    <col min="18" max="18" width="12.1640625" customWidth="1"/>
    <col min="19" max="19" width="18.6640625" customWidth="1"/>
    <col min="20" max="20" width="18" customWidth="1"/>
    <col min="21" max="21" width="14.1640625" customWidth="1"/>
    <col min="23" max="24" width="11" bestFit="1" customWidth="1"/>
    <col min="27" max="27" width="11" bestFit="1" customWidth="1"/>
    <col min="33" max="33" width="13.83203125" customWidth="1"/>
    <col min="38" max="38" width="13" bestFit="1" customWidth="1"/>
  </cols>
  <sheetData>
    <row r="1" spans="1:50" x14ac:dyDescent="0.2">
      <c r="A1" s="29" t="s">
        <v>0</v>
      </c>
      <c r="B1" s="29" t="s">
        <v>80</v>
      </c>
      <c r="C1" s="29" t="s">
        <v>1</v>
      </c>
      <c r="D1" s="29" t="s">
        <v>2</v>
      </c>
      <c r="E1" s="29" t="s">
        <v>3</v>
      </c>
      <c r="F1" s="29" t="s">
        <v>74</v>
      </c>
      <c r="G1" s="29" t="s">
        <v>4</v>
      </c>
      <c r="H1" s="29" t="s">
        <v>124</v>
      </c>
      <c r="I1" s="29" t="s">
        <v>125</v>
      </c>
      <c r="J1" s="29" t="s">
        <v>126</v>
      </c>
      <c r="K1" s="34" t="s">
        <v>127</v>
      </c>
      <c r="L1" s="48"/>
      <c r="M1" s="91"/>
      <c r="N1" s="91"/>
      <c r="O1" s="92"/>
      <c r="P1" s="92"/>
      <c r="Q1" s="92"/>
      <c r="R1" s="92"/>
      <c r="S1" s="92"/>
      <c r="T1" s="92"/>
      <c r="U1" s="92"/>
      <c r="V1" s="91"/>
      <c r="W1" s="91"/>
      <c r="X1" s="91"/>
      <c r="Y1" s="91"/>
      <c r="Z1" s="91"/>
      <c r="AA1" s="91"/>
      <c r="AB1" s="91"/>
      <c r="AC1" s="91"/>
      <c r="AD1" s="48"/>
      <c r="AE1" s="48"/>
      <c r="AF1" s="48"/>
      <c r="AG1" s="50"/>
      <c r="AH1" s="50"/>
      <c r="AI1" s="50"/>
      <c r="AJ1" s="50"/>
      <c r="AK1" s="50"/>
      <c r="AL1" s="50"/>
      <c r="AM1" s="50"/>
      <c r="AN1" s="50"/>
      <c r="AO1" s="50"/>
      <c r="AP1" s="48"/>
      <c r="AQ1" s="48"/>
      <c r="AR1" s="48"/>
      <c r="AS1" s="48"/>
      <c r="AT1" s="48"/>
      <c r="AU1" s="48"/>
      <c r="AV1" s="48"/>
      <c r="AW1" s="48"/>
      <c r="AX1" s="48"/>
    </row>
    <row r="2" spans="1:50" x14ac:dyDescent="0.2">
      <c r="A2" s="4" t="s">
        <v>65</v>
      </c>
      <c r="B2" s="4" t="s">
        <v>10</v>
      </c>
      <c r="C2" s="6">
        <v>43367</v>
      </c>
      <c r="D2" s="2">
        <v>43411</v>
      </c>
      <c r="E2" s="3">
        <f>(Table93[[#This Row],[Serum date]]-Table93[[#This Row],[DOB]])/30.5</f>
        <v>1.4426229508196722</v>
      </c>
      <c r="F2" s="3">
        <v>1277</v>
      </c>
      <c r="G2" s="4" t="s">
        <v>5</v>
      </c>
      <c r="H2" s="7">
        <v>1.118213660245184</v>
      </c>
      <c r="I2" s="4" t="s">
        <v>7</v>
      </c>
      <c r="J2" s="4">
        <f t="shared" ref="J2:J65" si="0">IF($E2&lt;2,1,IF($E2&lt;3,2,IF($E2&lt;4,3,IF($E2&lt;5,4,IF($E2&lt;6,5,IF($E2&lt;7,6,IF($E2&lt;8,7,IF($E2&lt;9,8,IF($E2&lt;10,9,IF($E2&lt;11,10,IF($E2&lt;12,11,IF($E2&lt;13,12,IF($E2&lt;14,13,IF($E2&lt;15,14,IF($E2&lt;16,15,IF($E2&lt;17,16,IF($E2&lt;18,17,IF($E2&lt;19,18,IF($E2&lt;20,19,20)))))))))))))))))))</f>
        <v>1</v>
      </c>
      <c r="K2" s="33" t="str">
        <f t="shared" ref="K2:K65" si="1">IF($J2&lt;3,"1 – 2",IF($J2&lt;5,"3 – 4",IF($J2&lt;7,"5 – 6",IF($J2&lt;9,"7 – 8",IF($J2&lt;11,"9 – 10",IF($J2&lt;13,"11 – 12",IF($J2&lt;16,"13 – 15","16 – 19")))))))</f>
        <v>1 – 2</v>
      </c>
      <c r="L2" s="48"/>
      <c r="M2" s="48"/>
      <c r="N2" s="48"/>
      <c r="O2" s="91"/>
      <c r="P2" s="91"/>
      <c r="Q2" s="91"/>
      <c r="R2" s="91"/>
      <c r="S2" s="91"/>
      <c r="T2" s="93"/>
      <c r="U2" s="91"/>
      <c r="V2" s="91"/>
      <c r="W2" s="91"/>
      <c r="X2" s="91"/>
      <c r="Y2" s="91"/>
      <c r="Z2" s="91"/>
      <c r="AA2" s="91"/>
      <c r="AB2" s="91"/>
      <c r="AC2" s="91"/>
      <c r="AD2" s="48"/>
      <c r="AE2" s="48"/>
      <c r="AF2" s="48"/>
      <c r="AG2" s="90"/>
      <c r="AH2" s="52"/>
      <c r="AI2" s="53"/>
      <c r="AJ2" s="90"/>
      <c r="AK2" s="90"/>
      <c r="AL2" s="54"/>
      <c r="AM2" s="90"/>
      <c r="AN2" s="90"/>
      <c r="AO2" s="51"/>
      <c r="AP2" s="48"/>
      <c r="AQ2" s="48"/>
      <c r="AR2" s="48"/>
      <c r="AS2" s="48"/>
      <c r="AT2" s="48"/>
      <c r="AU2" s="48"/>
      <c r="AV2" s="48"/>
      <c r="AW2" s="48"/>
      <c r="AX2" s="48"/>
    </row>
    <row r="3" spans="1:50" x14ac:dyDescent="0.2">
      <c r="A3" s="4" t="s">
        <v>64</v>
      </c>
      <c r="B3" s="4" t="s">
        <v>10</v>
      </c>
      <c r="C3" s="6">
        <v>43367</v>
      </c>
      <c r="D3" s="2">
        <v>43411</v>
      </c>
      <c r="E3" s="3">
        <f>(Table93[[#This Row],[Serum date]]-Table93[[#This Row],[DOB]])/30.5</f>
        <v>1.4426229508196722</v>
      </c>
      <c r="F3" s="3">
        <v>1243</v>
      </c>
      <c r="G3" s="4" t="s">
        <v>5</v>
      </c>
      <c r="H3" s="7">
        <v>1.0880035026269703</v>
      </c>
      <c r="I3" s="4" t="s">
        <v>7</v>
      </c>
      <c r="J3" s="4">
        <f t="shared" si="0"/>
        <v>1</v>
      </c>
      <c r="K3" s="33" t="str">
        <f t="shared" si="1"/>
        <v>1 – 2</v>
      </c>
      <c r="L3" s="48"/>
      <c r="M3" s="48"/>
      <c r="N3" s="48"/>
      <c r="O3" s="91"/>
      <c r="P3" s="91"/>
      <c r="Q3" s="91"/>
      <c r="R3" s="91"/>
      <c r="S3" s="91"/>
      <c r="T3" s="93"/>
      <c r="U3" s="91"/>
      <c r="V3" s="91"/>
      <c r="W3" s="91"/>
      <c r="X3" s="91"/>
      <c r="Y3" s="91"/>
      <c r="Z3" s="91"/>
      <c r="AA3" s="91"/>
      <c r="AB3" s="91"/>
      <c r="AC3" s="91"/>
      <c r="AD3" s="48"/>
      <c r="AE3" s="48"/>
      <c r="AF3" s="48"/>
      <c r="AG3" s="90"/>
      <c r="AH3" s="52"/>
      <c r="AI3" s="53"/>
      <c r="AJ3" s="90"/>
      <c r="AK3" s="90"/>
      <c r="AL3" s="55"/>
      <c r="AM3" s="90"/>
      <c r="AN3" s="90"/>
      <c r="AO3" s="51"/>
      <c r="AP3" s="48"/>
      <c r="AQ3" s="48"/>
      <c r="AR3" s="48"/>
      <c r="AS3" s="48"/>
      <c r="AT3" s="48"/>
      <c r="AU3" s="48"/>
      <c r="AV3" s="48"/>
      <c r="AW3" s="48"/>
      <c r="AX3" s="48"/>
    </row>
    <row r="4" spans="1:50" x14ac:dyDescent="0.2">
      <c r="A4" s="4" t="s">
        <v>63</v>
      </c>
      <c r="B4" s="4" t="s">
        <v>10</v>
      </c>
      <c r="C4" s="9" t="s">
        <v>67</v>
      </c>
      <c r="D4" s="6">
        <v>43347</v>
      </c>
      <c r="E4" s="3">
        <f>(Table93[[#This Row],[Serum date]]-Table93[[#This Row],[DOB]])/30.5</f>
        <v>1.6065573770491803</v>
      </c>
      <c r="F4" s="3">
        <v>346</v>
      </c>
      <c r="G4" s="4" t="s">
        <v>5</v>
      </c>
      <c r="H4" s="11">
        <v>0.35076142131979693</v>
      </c>
      <c r="I4" s="4" t="s">
        <v>7</v>
      </c>
      <c r="J4" s="4">
        <f t="shared" si="0"/>
        <v>1</v>
      </c>
      <c r="K4" s="33" t="str">
        <f t="shared" si="1"/>
        <v>1 – 2</v>
      </c>
      <c r="L4" s="48"/>
      <c r="M4" s="48"/>
      <c r="N4" s="48"/>
      <c r="O4" s="91"/>
      <c r="P4" s="91"/>
      <c r="Q4" s="91"/>
      <c r="R4" s="91"/>
      <c r="S4" s="91"/>
      <c r="T4" s="93"/>
      <c r="U4" s="91"/>
      <c r="V4" s="91"/>
      <c r="W4" s="91"/>
      <c r="X4" s="91"/>
      <c r="Y4" s="91"/>
      <c r="Z4" s="91"/>
      <c r="AA4" s="91"/>
      <c r="AB4" s="91"/>
      <c r="AC4" s="91"/>
      <c r="AD4" s="48"/>
      <c r="AE4" s="48"/>
      <c r="AF4" s="48"/>
      <c r="AG4" s="90"/>
      <c r="AH4" s="52"/>
      <c r="AI4" s="53"/>
      <c r="AJ4" s="90"/>
      <c r="AK4" s="90"/>
      <c r="AL4" s="55"/>
      <c r="AM4" s="90"/>
      <c r="AN4" s="90"/>
      <c r="AO4" s="51"/>
      <c r="AP4" s="48"/>
      <c r="AQ4" s="48"/>
      <c r="AR4" s="48"/>
      <c r="AS4" s="48"/>
      <c r="AT4" s="48"/>
      <c r="AU4" s="48"/>
      <c r="AV4" s="48"/>
      <c r="AW4" s="48"/>
      <c r="AX4" s="48"/>
    </row>
    <row r="5" spans="1:50" x14ac:dyDescent="0.2">
      <c r="A5" s="4" t="s">
        <v>62</v>
      </c>
      <c r="B5" s="4" t="s">
        <v>10</v>
      </c>
      <c r="C5" s="9" t="s">
        <v>67</v>
      </c>
      <c r="D5" s="6">
        <v>43347</v>
      </c>
      <c r="E5" s="3">
        <f>(Table93[[#This Row],[Serum date]]-Table93[[#This Row],[DOB]])/30.5</f>
        <v>1.6065573770491803</v>
      </c>
      <c r="F5" s="3">
        <v>332</v>
      </c>
      <c r="G5" s="4" t="s">
        <v>5</v>
      </c>
      <c r="H5" s="11">
        <v>0.33654822335025381</v>
      </c>
      <c r="I5" s="4" t="s">
        <v>7</v>
      </c>
      <c r="J5" s="4">
        <f t="shared" si="0"/>
        <v>1</v>
      </c>
      <c r="K5" s="33" t="str">
        <f t="shared" si="1"/>
        <v>1 – 2</v>
      </c>
      <c r="L5" s="48"/>
      <c r="M5" s="48"/>
      <c r="N5" s="48"/>
      <c r="O5" s="91"/>
      <c r="P5" s="91"/>
      <c r="Q5" s="91"/>
      <c r="R5" s="91"/>
      <c r="S5" s="91"/>
      <c r="T5" s="93"/>
      <c r="U5" s="91"/>
      <c r="V5" s="91"/>
      <c r="W5" s="91"/>
      <c r="X5" s="91"/>
      <c r="Y5" s="91"/>
      <c r="Z5" s="91"/>
      <c r="AA5" s="91"/>
      <c r="AB5" s="91"/>
      <c r="AC5" s="91"/>
      <c r="AD5" s="48"/>
      <c r="AE5" s="48"/>
      <c r="AF5" s="48"/>
      <c r="AG5" s="90"/>
      <c r="AH5" s="52"/>
      <c r="AI5" s="53"/>
      <c r="AJ5" s="90"/>
      <c r="AK5" s="90"/>
      <c r="AL5" s="55"/>
      <c r="AM5" s="90"/>
      <c r="AN5" s="90"/>
      <c r="AO5" s="51"/>
      <c r="AP5" s="48"/>
      <c r="AQ5" s="48"/>
      <c r="AR5" s="48"/>
      <c r="AS5" s="48"/>
      <c r="AT5" s="48"/>
      <c r="AU5" s="48"/>
      <c r="AV5" s="48"/>
      <c r="AW5" s="48"/>
      <c r="AX5" s="48"/>
    </row>
    <row r="6" spans="1:50" x14ac:dyDescent="0.2">
      <c r="A6" s="4" t="s">
        <v>61</v>
      </c>
      <c r="B6" s="4" t="s">
        <v>10</v>
      </c>
      <c r="C6" s="9" t="s">
        <v>67</v>
      </c>
      <c r="D6" s="6">
        <v>43347</v>
      </c>
      <c r="E6" s="3">
        <f>(Table93[[#This Row],[Serum date]]-Table93[[#This Row],[DOB]])/30.5</f>
        <v>1.6065573770491803</v>
      </c>
      <c r="F6" s="3">
        <v>394</v>
      </c>
      <c r="G6" s="4" t="s">
        <v>5</v>
      </c>
      <c r="H6" s="11">
        <v>0.39949238578680202</v>
      </c>
      <c r="I6" s="4" t="s">
        <v>7</v>
      </c>
      <c r="J6" s="4">
        <f t="shared" si="0"/>
        <v>1</v>
      </c>
      <c r="K6" s="33" t="str">
        <f t="shared" si="1"/>
        <v>1 – 2</v>
      </c>
      <c r="L6" s="48"/>
      <c r="M6" s="48"/>
      <c r="N6" s="48"/>
      <c r="O6" s="91"/>
      <c r="P6" s="91"/>
      <c r="Q6" s="91"/>
      <c r="R6" s="91"/>
      <c r="S6" s="91"/>
      <c r="T6" s="93"/>
      <c r="U6" s="91"/>
      <c r="V6" s="91"/>
      <c r="W6" s="91"/>
      <c r="X6" s="91"/>
      <c r="Y6" s="91"/>
      <c r="Z6" s="91"/>
      <c r="AA6" s="91"/>
      <c r="AB6" s="91"/>
      <c r="AC6" s="91"/>
      <c r="AD6" s="48"/>
      <c r="AE6" s="48"/>
      <c r="AF6" s="48"/>
      <c r="AG6" s="90"/>
      <c r="AH6" s="52"/>
      <c r="AI6" s="52"/>
      <c r="AJ6" s="90"/>
      <c r="AK6" s="90"/>
      <c r="AL6" s="90"/>
      <c r="AM6" s="90"/>
      <c r="AN6" s="90"/>
      <c r="AO6" s="51"/>
      <c r="AP6" s="48"/>
      <c r="AQ6" s="48"/>
      <c r="AR6" s="48"/>
      <c r="AS6" s="48"/>
      <c r="AT6" s="48"/>
      <c r="AU6" s="48"/>
      <c r="AV6" s="48"/>
      <c r="AW6" s="48"/>
      <c r="AX6" s="48"/>
    </row>
    <row r="7" spans="1:50" x14ac:dyDescent="0.2">
      <c r="A7" s="4" t="s">
        <v>60</v>
      </c>
      <c r="B7" s="4" t="s">
        <v>10</v>
      </c>
      <c r="C7" s="9" t="s">
        <v>67</v>
      </c>
      <c r="D7" s="6">
        <v>43347</v>
      </c>
      <c r="E7" s="3">
        <f>(Table93[[#This Row],[Serum date]]-Table93[[#This Row],[DOB]])/30.5</f>
        <v>1.6065573770491803</v>
      </c>
      <c r="F7" s="3">
        <v>341</v>
      </c>
      <c r="G7" s="4" t="s">
        <v>5</v>
      </c>
      <c r="H7" s="11">
        <v>0.34619289340101522</v>
      </c>
      <c r="I7" s="4" t="s">
        <v>7</v>
      </c>
      <c r="J7" s="4">
        <f t="shared" si="0"/>
        <v>1</v>
      </c>
      <c r="K7" s="33" t="str">
        <f t="shared" si="1"/>
        <v>1 – 2</v>
      </c>
      <c r="L7" s="48"/>
      <c r="M7" s="48"/>
      <c r="N7" s="48"/>
      <c r="O7" s="91"/>
      <c r="P7" s="91"/>
      <c r="Q7" s="91"/>
      <c r="R7" s="91"/>
      <c r="S7" s="91"/>
      <c r="T7" s="93"/>
      <c r="U7" s="91"/>
      <c r="V7" s="91"/>
      <c r="W7" s="91"/>
      <c r="X7" s="91"/>
      <c r="Y7" s="91"/>
      <c r="Z7" s="91"/>
      <c r="AA7" s="91"/>
      <c r="AB7" s="91"/>
      <c r="AC7" s="91"/>
      <c r="AD7" s="48"/>
      <c r="AE7" s="48"/>
      <c r="AF7" s="48"/>
      <c r="AG7" s="90"/>
      <c r="AH7" s="52"/>
      <c r="AI7" s="53"/>
      <c r="AJ7" s="90"/>
      <c r="AK7" s="90"/>
      <c r="AL7" s="55"/>
      <c r="AM7" s="90"/>
      <c r="AN7" s="90"/>
      <c r="AO7" s="51"/>
      <c r="AP7" s="48"/>
      <c r="AQ7" s="49"/>
      <c r="AR7" s="48"/>
      <c r="AS7" s="48"/>
      <c r="AT7" s="48"/>
      <c r="AU7" s="48"/>
      <c r="AV7" s="48"/>
      <c r="AW7" s="48"/>
      <c r="AX7" s="48"/>
    </row>
    <row r="8" spans="1:50" x14ac:dyDescent="0.2">
      <c r="A8" s="4" t="s">
        <v>59</v>
      </c>
      <c r="B8" s="4" t="s">
        <v>10</v>
      </c>
      <c r="C8" s="9" t="s">
        <v>67</v>
      </c>
      <c r="D8" s="6">
        <v>43347</v>
      </c>
      <c r="E8" s="3">
        <f>(Table93[[#This Row],[Serum date]]-Table93[[#This Row],[DOB]])/30.5</f>
        <v>1.6065573770491803</v>
      </c>
      <c r="F8" s="3">
        <v>344</v>
      </c>
      <c r="G8" s="4" t="s">
        <v>5</v>
      </c>
      <c r="H8" s="11">
        <v>0.34923857868020303</v>
      </c>
      <c r="I8" s="4" t="s">
        <v>7</v>
      </c>
      <c r="J8" s="4">
        <f t="shared" si="0"/>
        <v>1</v>
      </c>
      <c r="K8" s="33" t="str">
        <f t="shared" si="1"/>
        <v>1 – 2</v>
      </c>
      <c r="L8" s="48"/>
      <c r="M8" s="48"/>
      <c r="N8" s="48"/>
      <c r="O8" s="91"/>
      <c r="P8" s="91"/>
      <c r="Q8" s="91"/>
      <c r="R8" s="91"/>
      <c r="S8" s="91"/>
      <c r="T8" s="93"/>
      <c r="U8" s="91"/>
      <c r="V8" s="91"/>
      <c r="W8" s="91"/>
      <c r="X8" s="91"/>
      <c r="Y8" s="91"/>
      <c r="Z8" s="91"/>
      <c r="AA8" s="91"/>
      <c r="AB8" s="91"/>
      <c r="AC8" s="91"/>
      <c r="AD8" s="48"/>
      <c r="AE8" s="48"/>
      <c r="AF8" s="48"/>
      <c r="AG8" s="90"/>
      <c r="AH8" s="52"/>
      <c r="AI8" s="52"/>
      <c r="AJ8" s="90"/>
      <c r="AK8" s="90"/>
      <c r="AL8" s="90"/>
      <c r="AM8" s="90"/>
      <c r="AN8" s="90"/>
      <c r="AO8" s="51"/>
      <c r="AP8" s="48"/>
      <c r="AQ8" s="47"/>
      <c r="AR8" s="48"/>
      <c r="AS8" s="48"/>
      <c r="AT8" s="48"/>
      <c r="AU8" s="48"/>
      <c r="AV8" s="48"/>
      <c r="AW8" s="48"/>
      <c r="AX8" s="48"/>
    </row>
    <row r="9" spans="1:50" x14ac:dyDescent="0.2">
      <c r="A9" s="4" t="s">
        <v>58</v>
      </c>
      <c r="B9" s="4" t="s">
        <v>10</v>
      </c>
      <c r="C9" s="9" t="s">
        <v>67</v>
      </c>
      <c r="D9" s="6">
        <v>43347</v>
      </c>
      <c r="E9" s="3">
        <f>(Table93[[#This Row],[Serum date]]-Table93[[#This Row],[DOB]])/30.5</f>
        <v>1.6065573770491803</v>
      </c>
      <c r="F9" s="3">
        <v>325</v>
      </c>
      <c r="G9" s="4" t="s">
        <v>5</v>
      </c>
      <c r="H9" s="11">
        <v>0.32944162436548224</v>
      </c>
      <c r="I9" s="4" t="s">
        <v>7</v>
      </c>
      <c r="J9" s="4">
        <f t="shared" si="0"/>
        <v>1</v>
      </c>
      <c r="K9" s="33" t="str">
        <f t="shared" si="1"/>
        <v>1 – 2</v>
      </c>
      <c r="L9" s="48"/>
      <c r="M9" s="48"/>
      <c r="N9" s="48"/>
      <c r="O9" s="91"/>
      <c r="P9" s="91"/>
      <c r="Q9" s="91"/>
      <c r="R9" s="91"/>
      <c r="S9" s="91"/>
      <c r="T9" s="93"/>
      <c r="U9" s="91"/>
      <c r="V9" s="91"/>
      <c r="W9" s="91"/>
      <c r="X9" s="91"/>
      <c r="Y9" s="91"/>
      <c r="Z9" s="91"/>
      <c r="AA9" s="91"/>
      <c r="AB9" s="91"/>
      <c r="AC9" s="91"/>
      <c r="AD9" s="48"/>
      <c r="AE9" s="48"/>
      <c r="AF9" s="48"/>
      <c r="AG9" s="55"/>
      <c r="AH9" s="53"/>
      <c r="AI9" s="53"/>
      <c r="AJ9" s="90"/>
      <c r="AK9" s="90"/>
      <c r="AL9" s="90"/>
      <c r="AM9" s="90"/>
      <c r="AN9" s="90"/>
      <c r="AO9" s="51"/>
      <c r="AP9" s="48"/>
      <c r="AQ9" s="47"/>
      <c r="AR9" s="48"/>
      <c r="AS9" s="48"/>
      <c r="AT9" s="48"/>
      <c r="AU9" s="48"/>
      <c r="AV9" s="48"/>
      <c r="AW9" s="48"/>
      <c r="AX9" s="48"/>
    </row>
    <row r="10" spans="1:50" x14ac:dyDescent="0.2">
      <c r="A10" s="4" t="s">
        <v>43</v>
      </c>
      <c r="B10" s="4" t="s">
        <v>10</v>
      </c>
      <c r="C10" s="6">
        <v>43878</v>
      </c>
      <c r="D10" s="6">
        <v>43929</v>
      </c>
      <c r="E10" s="3">
        <f>(Table93[[#This Row],[Serum date]]-Table93[[#This Row],[DOB]])/30.5</f>
        <v>1.6721311475409837</v>
      </c>
      <c r="F10" s="3">
        <v>4398.2</v>
      </c>
      <c r="G10" s="4" t="s">
        <v>5</v>
      </c>
      <c r="H10" s="4">
        <v>2.080510879848628</v>
      </c>
      <c r="I10" s="4" t="s">
        <v>7</v>
      </c>
      <c r="J10" s="4">
        <f t="shared" si="0"/>
        <v>1</v>
      </c>
      <c r="K10" s="33" t="str">
        <f t="shared" si="1"/>
        <v>1 – 2</v>
      </c>
      <c r="L10" s="142" t="s">
        <v>128</v>
      </c>
      <c r="M10" s="48"/>
      <c r="N10" s="48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48"/>
      <c r="AE10" s="48"/>
      <c r="AF10" s="48"/>
      <c r="AG10" s="55"/>
      <c r="AH10" s="53"/>
      <c r="AI10" s="53"/>
      <c r="AJ10" s="90"/>
      <c r="AK10" s="90"/>
      <c r="AL10" s="55"/>
      <c r="AM10" s="90"/>
      <c r="AN10" s="90"/>
      <c r="AO10" s="51"/>
      <c r="AP10" s="48"/>
      <c r="AQ10" s="47"/>
      <c r="AR10" s="48"/>
      <c r="AS10" s="48"/>
      <c r="AT10" s="48"/>
      <c r="AU10" s="48"/>
      <c r="AV10" s="48"/>
      <c r="AW10" s="48"/>
      <c r="AX10" s="48"/>
    </row>
    <row r="11" spans="1:50" x14ac:dyDescent="0.2">
      <c r="A11" s="4" t="s">
        <v>42</v>
      </c>
      <c r="B11" s="4" t="s">
        <v>10</v>
      </c>
      <c r="C11" s="6">
        <v>43878</v>
      </c>
      <c r="D11" s="6">
        <v>43929</v>
      </c>
      <c r="E11" s="3">
        <f>(Table93[[#This Row],[Serum date]]-Table93[[#This Row],[DOB]])/30.5</f>
        <v>1.6721311475409837</v>
      </c>
      <c r="F11" s="3">
        <v>2189.4</v>
      </c>
      <c r="G11" s="4" t="s">
        <v>5</v>
      </c>
      <c r="H11" s="4">
        <v>1.0356669820245981</v>
      </c>
      <c r="I11" s="4" t="s">
        <v>7</v>
      </c>
      <c r="J11" s="4">
        <f t="shared" si="0"/>
        <v>1</v>
      </c>
      <c r="K11" s="33" t="str">
        <f t="shared" si="1"/>
        <v>1 – 2</v>
      </c>
      <c r="L11" s="48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48"/>
      <c r="AE11" s="48"/>
      <c r="AF11" s="48"/>
      <c r="AG11" s="55"/>
      <c r="AH11" s="53"/>
      <c r="AI11" s="53"/>
      <c r="AJ11" s="90"/>
      <c r="AK11" s="90"/>
      <c r="AL11" s="90"/>
      <c r="AM11" s="90"/>
      <c r="AN11" s="90"/>
      <c r="AO11" s="51"/>
      <c r="AP11" s="48"/>
      <c r="AQ11" s="47"/>
      <c r="AR11" s="48"/>
      <c r="AS11" s="48"/>
      <c r="AT11" s="48"/>
      <c r="AU11" s="48"/>
      <c r="AV11" s="48"/>
      <c r="AW11" s="48"/>
      <c r="AX11" s="48"/>
    </row>
    <row r="12" spans="1:50" x14ac:dyDescent="0.2">
      <c r="A12" s="4" t="s">
        <v>41</v>
      </c>
      <c r="B12" s="4" t="s">
        <v>10</v>
      </c>
      <c r="C12" s="6">
        <v>43878</v>
      </c>
      <c r="D12" s="6">
        <v>43929</v>
      </c>
      <c r="E12" s="3">
        <f>(Table93[[#This Row],[Serum date]]-Table93[[#This Row],[DOB]])/30.5</f>
        <v>1.6721311475409837</v>
      </c>
      <c r="F12" s="3">
        <v>3473.4</v>
      </c>
      <c r="G12" s="4" t="s">
        <v>5</v>
      </c>
      <c r="H12" s="4">
        <v>1.643046357615894</v>
      </c>
      <c r="I12" s="4" t="s">
        <v>7</v>
      </c>
      <c r="J12" s="4">
        <f t="shared" si="0"/>
        <v>1</v>
      </c>
      <c r="K12" s="33" t="str">
        <f t="shared" si="1"/>
        <v>1 – 2</v>
      </c>
      <c r="L12" s="48"/>
      <c r="M12" s="91"/>
      <c r="N12" s="91"/>
      <c r="O12" s="94"/>
      <c r="P12" s="91"/>
      <c r="Q12" s="91"/>
      <c r="R12" s="95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48"/>
      <c r="AE12" s="48"/>
      <c r="AF12" s="48"/>
      <c r="AG12" s="55"/>
      <c r="AH12" s="53"/>
      <c r="AI12" s="53"/>
      <c r="AJ12" s="90"/>
      <c r="AK12" s="90"/>
      <c r="AL12" s="90"/>
      <c r="AM12" s="90"/>
      <c r="AN12" s="90"/>
      <c r="AO12" s="51"/>
      <c r="AP12" s="48"/>
      <c r="AQ12" s="47"/>
      <c r="AR12" s="48"/>
      <c r="AS12" s="48"/>
      <c r="AT12" s="48"/>
      <c r="AU12" s="48"/>
      <c r="AV12" s="48"/>
      <c r="AW12" s="48"/>
      <c r="AX12" s="48"/>
    </row>
    <row r="13" spans="1:50" x14ac:dyDescent="0.2">
      <c r="A13" s="4" t="s">
        <v>39</v>
      </c>
      <c r="B13" s="4" t="s">
        <v>10</v>
      </c>
      <c r="C13" s="6">
        <v>43808</v>
      </c>
      <c r="D13" s="6">
        <v>43847</v>
      </c>
      <c r="E13" s="3">
        <f>(Table93[[#This Row],[Serum date]]-Table93[[#This Row],[DOB]])/30.5</f>
        <v>1.278688524590164</v>
      </c>
      <c r="F13" s="3">
        <v>799.6</v>
      </c>
      <c r="G13" s="4" t="s">
        <v>5</v>
      </c>
      <c r="H13" s="4">
        <v>0.9</v>
      </c>
      <c r="I13" s="4" t="s">
        <v>7</v>
      </c>
      <c r="J13" s="4">
        <f t="shared" si="0"/>
        <v>1</v>
      </c>
      <c r="K13" s="33" t="str">
        <f t="shared" si="1"/>
        <v>1 – 2</v>
      </c>
      <c r="L13" s="48"/>
      <c r="M13" s="91"/>
      <c r="N13" s="91"/>
      <c r="O13" s="91"/>
      <c r="P13" s="93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48"/>
      <c r="AE13" s="48"/>
      <c r="AF13" s="48"/>
      <c r="AG13" s="55"/>
      <c r="AH13" s="53"/>
      <c r="AI13" s="53"/>
      <c r="AJ13" s="90"/>
      <c r="AK13" s="90"/>
      <c r="AL13" s="55"/>
      <c r="AM13" s="90"/>
      <c r="AN13" s="90"/>
      <c r="AO13" s="51"/>
      <c r="AP13" s="48"/>
      <c r="AQ13" s="47"/>
      <c r="AR13" s="48"/>
      <c r="AS13" s="48"/>
      <c r="AT13" s="48"/>
      <c r="AU13" s="48"/>
      <c r="AV13" s="48"/>
      <c r="AW13" s="48"/>
      <c r="AX13" s="48"/>
    </row>
    <row r="14" spans="1:50" x14ac:dyDescent="0.2">
      <c r="A14" s="4" t="s">
        <v>32</v>
      </c>
      <c r="B14" s="4" t="s">
        <v>10</v>
      </c>
      <c r="C14" s="15">
        <v>43748</v>
      </c>
      <c r="D14" s="6">
        <v>43808</v>
      </c>
      <c r="E14" s="3">
        <f>(Table93[[#This Row],[Serum date]]-Table93[[#This Row],[DOB]])/30.5</f>
        <v>1.9672131147540983</v>
      </c>
      <c r="F14" s="3">
        <v>2750.5</v>
      </c>
      <c r="G14" s="4" t="s">
        <v>5</v>
      </c>
      <c r="H14" s="61">
        <f>AVERAGE(0.9,0.8)</f>
        <v>0.85000000000000009</v>
      </c>
      <c r="I14" s="4" t="s">
        <v>8</v>
      </c>
      <c r="J14" s="4">
        <f t="shared" si="0"/>
        <v>1</v>
      </c>
      <c r="K14" s="33" t="str">
        <f t="shared" si="1"/>
        <v>1 – 2</v>
      </c>
      <c r="L14" s="48"/>
      <c r="M14" s="91"/>
      <c r="N14" s="91"/>
      <c r="O14" s="91"/>
      <c r="P14" s="93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48"/>
      <c r="AE14" s="48"/>
      <c r="AF14" s="48"/>
      <c r="AG14" s="55"/>
      <c r="AH14" s="53"/>
      <c r="AI14" s="53"/>
      <c r="AJ14" s="90"/>
      <c r="AK14" s="90"/>
      <c r="AL14" s="56"/>
      <c r="AM14" s="90"/>
      <c r="AN14" s="90"/>
      <c r="AO14" s="51"/>
      <c r="AP14" s="48"/>
      <c r="AQ14" s="47"/>
      <c r="AR14" s="48"/>
      <c r="AS14" s="48"/>
      <c r="AT14" s="48"/>
      <c r="AU14" s="48"/>
      <c r="AV14" s="48"/>
      <c r="AW14" s="48"/>
      <c r="AX14" s="48"/>
    </row>
    <row r="15" spans="1:50" x14ac:dyDescent="0.2">
      <c r="A15" s="4" t="s">
        <v>31</v>
      </c>
      <c r="B15" s="4" t="s">
        <v>10</v>
      </c>
      <c r="C15" s="15">
        <v>43748</v>
      </c>
      <c r="D15" s="6">
        <v>43795</v>
      </c>
      <c r="E15" s="3">
        <f>(Table93[[#This Row],[Serum date]]-Table93[[#This Row],[DOB]])/30.5</f>
        <v>1.540983606557377</v>
      </c>
      <c r="F15" s="3">
        <v>2358.5</v>
      </c>
      <c r="G15" s="4" t="s">
        <v>5</v>
      </c>
      <c r="H15" s="61">
        <f>AVERAGE(0.7,0.8)</f>
        <v>0.75</v>
      </c>
      <c r="I15" s="4" t="s">
        <v>8</v>
      </c>
      <c r="J15" s="4">
        <f t="shared" si="0"/>
        <v>1</v>
      </c>
      <c r="K15" s="33" t="str">
        <f t="shared" si="1"/>
        <v>1 – 2</v>
      </c>
      <c r="L15" s="48"/>
      <c r="M15" s="91"/>
      <c r="N15" s="91"/>
      <c r="O15" s="91"/>
      <c r="P15" s="93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48"/>
      <c r="AE15" s="48"/>
      <c r="AF15" s="48"/>
      <c r="AG15" s="55"/>
      <c r="AH15" s="53"/>
      <c r="AI15" s="53"/>
      <c r="AJ15" s="90"/>
      <c r="AK15" s="90"/>
      <c r="AL15" s="90"/>
      <c r="AM15" s="90"/>
      <c r="AN15" s="90"/>
      <c r="AO15" s="51"/>
      <c r="AP15" s="48"/>
      <c r="AQ15" s="47"/>
      <c r="AR15" s="48"/>
      <c r="AS15" s="48"/>
      <c r="AT15" s="48"/>
      <c r="AU15" s="48"/>
      <c r="AV15" s="48"/>
      <c r="AW15" s="48"/>
      <c r="AX15" s="48"/>
    </row>
    <row r="16" spans="1:50" x14ac:dyDescent="0.2">
      <c r="A16" s="4" t="s">
        <v>30</v>
      </c>
      <c r="B16" s="4" t="s">
        <v>10</v>
      </c>
      <c r="C16" s="15">
        <v>43747</v>
      </c>
      <c r="D16" s="16">
        <v>43802</v>
      </c>
      <c r="E16" s="3">
        <f>(Table93[[#This Row],[Serum date]]-Table93[[#This Row],[DOB]])/30.5</f>
        <v>1.8032786885245902</v>
      </c>
      <c r="F16" s="3">
        <v>3812</v>
      </c>
      <c r="G16" s="4" t="s">
        <v>5</v>
      </c>
      <c r="H16" s="10">
        <v>1.3</v>
      </c>
      <c r="I16" s="4" t="s">
        <v>8</v>
      </c>
      <c r="J16" s="4">
        <f t="shared" si="0"/>
        <v>1</v>
      </c>
      <c r="K16" s="33" t="str">
        <f t="shared" si="1"/>
        <v>1 – 2</v>
      </c>
      <c r="L16" s="48"/>
      <c r="M16" s="91"/>
      <c r="N16" s="91"/>
      <c r="O16" s="91"/>
      <c r="P16" s="93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48"/>
      <c r="AE16" s="48"/>
      <c r="AF16" s="48"/>
      <c r="AG16" s="55"/>
      <c r="AH16" s="53"/>
      <c r="AI16" s="53"/>
      <c r="AJ16" s="90"/>
      <c r="AK16" s="90"/>
      <c r="AL16" s="55"/>
      <c r="AM16" s="90"/>
      <c r="AN16" s="90"/>
      <c r="AO16" s="51"/>
      <c r="AP16" s="48"/>
      <c r="AQ16" s="48"/>
      <c r="AR16" s="48"/>
      <c r="AS16" s="48"/>
      <c r="AT16" s="48"/>
      <c r="AU16" s="48"/>
      <c r="AV16" s="48"/>
      <c r="AW16" s="48"/>
      <c r="AX16" s="48"/>
    </row>
    <row r="17" spans="1:50" x14ac:dyDescent="0.2">
      <c r="A17" s="4" t="s">
        <v>24</v>
      </c>
      <c r="B17" s="9" t="s">
        <v>10</v>
      </c>
      <c r="C17" s="6">
        <v>43528</v>
      </c>
      <c r="D17" s="6">
        <v>43577</v>
      </c>
      <c r="E17" s="3">
        <f>(Table93[[#This Row],[Serum date]]-Table93[[#This Row],[DOB]])/30.5</f>
        <v>1.6065573770491803</v>
      </c>
      <c r="F17" s="3">
        <v>2113</v>
      </c>
      <c r="G17" s="4" t="s">
        <v>5</v>
      </c>
      <c r="H17" s="4">
        <v>2.2999999999999998</v>
      </c>
      <c r="I17" s="4" t="s">
        <v>8</v>
      </c>
      <c r="J17" s="4">
        <f t="shared" si="0"/>
        <v>1</v>
      </c>
      <c r="K17" s="33" t="str">
        <f t="shared" si="1"/>
        <v>1 – 2</v>
      </c>
      <c r="L17" s="48"/>
      <c r="M17" s="91"/>
      <c r="N17" s="91"/>
      <c r="O17" s="91"/>
      <c r="P17" s="93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48"/>
      <c r="AE17" s="48"/>
      <c r="AF17" s="48"/>
      <c r="AG17" s="90"/>
      <c r="AH17" s="52"/>
      <c r="AI17" s="52"/>
      <c r="AJ17" s="90"/>
      <c r="AK17" s="90"/>
      <c r="AL17" s="90"/>
      <c r="AM17" s="90"/>
      <c r="AN17" s="90"/>
      <c r="AO17" s="51"/>
      <c r="AP17" s="48"/>
      <c r="AQ17" s="48"/>
      <c r="AR17" s="48"/>
      <c r="AS17" s="48"/>
      <c r="AT17" s="48"/>
      <c r="AU17" s="48"/>
      <c r="AV17" s="48"/>
      <c r="AW17" s="48"/>
      <c r="AX17" s="48"/>
    </row>
    <row r="18" spans="1:50" x14ac:dyDescent="0.2">
      <c r="A18" s="4" t="s">
        <v>23</v>
      </c>
      <c r="B18" s="9" t="s">
        <v>10</v>
      </c>
      <c r="C18" s="6">
        <v>43528</v>
      </c>
      <c r="D18" s="6">
        <v>43577</v>
      </c>
      <c r="E18" s="3">
        <f>(Table93[[#This Row],[Serum date]]-Table93[[#This Row],[DOB]])/30.5</f>
        <v>1.6065573770491803</v>
      </c>
      <c r="F18" s="3">
        <v>1884</v>
      </c>
      <c r="G18" s="4" t="s">
        <v>5</v>
      </c>
      <c r="H18" s="4">
        <v>1.23</v>
      </c>
      <c r="I18" s="4" t="s">
        <v>8</v>
      </c>
      <c r="J18" s="4">
        <f t="shared" si="0"/>
        <v>1</v>
      </c>
      <c r="K18" s="33" t="str">
        <f t="shared" si="1"/>
        <v>1 – 2</v>
      </c>
      <c r="L18" s="48"/>
      <c r="M18" s="91"/>
      <c r="N18" s="91"/>
      <c r="O18" s="91"/>
      <c r="P18" s="93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48"/>
      <c r="AE18" s="48"/>
      <c r="AF18" s="48"/>
      <c r="AG18" s="55"/>
      <c r="AH18" s="53"/>
      <c r="AI18" s="53"/>
      <c r="AJ18" s="90"/>
      <c r="AK18" s="90"/>
      <c r="AL18" s="55"/>
      <c r="AM18" s="90"/>
      <c r="AN18" s="90"/>
      <c r="AO18" s="51"/>
      <c r="AP18" s="48"/>
      <c r="AQ18" s="48"/>
      <c r="AR18" s="48"/>
      <c r="AS18" s="48"/>
      <c r="AT18" s="48"/>
      <c r="AU18" s="48"/>
      <c r="AV18" s="48"/>
      <c r="AW18" s="48"/>
      <c r="AX18" s="48"/>
    </row>
    <row r="19" spans="1:50" x14ac:dyDescent="0.2">
      <c r="A19" s="4" t="s">
        <v>22</v>
      </c>
      <c r="B19" s="9" t="s">
        <v>10</v>
      </c>
      <c r="C19" s="6">
        <v>43528</v>
      </c>
      <c r="D19" s="6">
        <v>43577</v>
      </c>
      <c r="E19" s="3">
        <f>(Table93[[#This Row],[Serum date]]-Table93[[#This Row],[DOB]])/30.5</f>
        <v>1.6065573770491803</v>
      </c>
      <c r="F19" s="73">
        <v>3052</v>
      </c>
      <c r="G19" s="4" t="s">
        <v>5</v>
      </c>
      <c r="H19" s="14">
        <v>4.0999999999999996</v>
      </c>
      <c r="I19" s="4" t="s">
        <v>8</v>
      </c>
      <c r="J19" s="4">
        <f t="shared" si="0"/>
        <v>1</v>
      </c>
      <c r="K19" s="33" t="str">
        <f t="shared" si="1"/>
        <v>1 – 2</v>
      </c>
      <c r="L19" s="48"/>
      <c r="M19" s="91"/>
      <c r="N19" s="91"/>
      <c r="O19" s="91"/>
      <c r="P19" s="93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48"/>
      <c r="AE19" s="48"/>
      <c r="AF19" s="48"/>
      <c r="AG19" s="90"/>
      <c r="AH19" s="52"/>
      <c r="AI19" s="52"/>
      <c r="AJ19" s="90"/>
      <c r="AK19" s="90"/>
      <c r="AL19" s="57"/>
      <c r="AM19" s="90"/>
      <c r="AN19" s="90"/>
      <c r="AO19" s="51"/>
      <c r="AP19" s="48"/>
      <c r="AQ19" s="48"/>
      <c r="AR19" s="48"/>
      <c r="AS19" s="48"/>
      <c r="AT19" s="48"/>
      <c r="AU19" s="48"/>
      <c r="AV19" s="48"/>
      <c r="AW19" s="48"/>
      <c r="AX19" s="48"/>
    </row>
    <row r="20" spans="1:50" x14ac:dyDescent="0.2">
      <c r="A20" s="4" t="s">
        <v>21</v>
      </c>
      <c r="B20" s="4" t="s">
        <v>10</v>
      </c>
      <c r="C20" s="6">
        <v>43473</v>
      </c>
      <c r="D20" s="2">
        <v>43529</v>
      </c>
      <c r="E20" s="3">
        <f>(Table93[[#This Row],[Serum date]]-Table93[[#This Row],[DOB]])/30.5</f>
        <v>1.8360655737704918</v>
      </c>
      <c r="F20" s="74">
        <v>1891</v>
      </c>
      <c r="G20" s="4" t="s">
        <v>5</v>
      </c>
      <c r="H20" s="1">
        <v>1.63</v>
      </c>
      <c r="I20" s="4" t="s">
        <v>8</v>
      </c>
      <c r="J20" s="4">
        <f t="shared" si="0"/>
        <v>1</v>
      </c>
      <c r="K20" s="33" t="str">
        <f t="shared" si="1"/>
        <v>1 – 2</v>
      </c>
      <c r="L20" s="48"/>
      <c r="M20" s="91"/>
      <c r="N20" s="91"/>
      <c r="O20" s="91"/>
      <c r="P20" s="93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48"/>
      <c r="AE20" s="48"/>
      <c r="AF20" s="48"/>
      <c r="AG20" s="90"/>
      <c r="AH20" s="52"/>
      <c r="AI20" s="52"/>
      <c r="AJ20" s="90"/>
      <c r="AK20" s="90"/>
      <c r="AL20" s="90"/>
      <c r="AM20" s="90"/>
      <c r="AN20" s="90"/>
      <c r="AO20" s="51"/>
      <c r="AP20" s="48"/>
      <c r="AQ20" s="48"/>
      <c r="AR20" s="48"/>
      <c r="AS20" s="48"/>
      <c r="AT20" s="48"/>
      <c r="AU20" s="48"/>
      <c r="AV20" s="48"/>
      <c r="AW20" s="48"/>
      <c r="AX20" s="48"/>
    </row>
    <row r="21" spans="1:50" x14ac:dyDescent="0.2">
      <c r="A21" s="4" t="s">
        <v>20</v>
      </c>
      <c r="B21" s="4" t="s">
        <v>10</v>
      </c>
      <c r="C21" s="6">
        <v>43473</v>
      </c>
      <c r="D21" s="2">
        <v>43531</v>
      </c>
      <c r="E21" s="3">
        <f>(Table93[[#This Row],[Serum date]]-Table93[[#This Row],[DOB]])/30.5</f>
        <v>1.901639344262295</v>
      </c>
      <c r="F21" s="3">
        <v>1424</v>
      </c>
      <c r="G21" s="4" t="s">
        <v>5</v>
      </c>
      <c r="H21" s="11">
        <v>1.1000000000000001</v>
      </c>
      <c r="I21" s="4" t="s">
        <v>7</v>
      </c>
      <c r="J21" s="4">
        <f t="shared" si="0"/>
        <v>1</v>
      </c>
      <c r="K21" s="33" t="str">
        <f t="shared" si="1"/>
        <v>1 – 2</v>
      </c>
      <c r="L21" s="48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48"/>
      <c r="AE21" s="48"/>
      <c r="AF21" s="48"/>
      <c r="AG21" s="90"/>
      <c r="AH21" s="52"/>
      <c r="AI21" s="52"/>
      <c r="AJ21" s="90"/>
      <c r="AK21" s="90"/>
      <c r="AL21" s="90"/>
      <c r="AM21" s="90"/>
      <c r="AN21" s="90"/>
      <c r="AO21" s="51"/>
      <c r="AP21" s="48"/>
      <c r="AQ21" s="48"/>
      <c r="AR21" s="48"/>
      <c r="AS21" s="48"/>
      <c r="AT21" s="48"/>
      <c r="AU21" s="48"/>
      <c r="AV21" s="48"/>
      <c r="AW21" s="48"/>
      <c r="AX21" s="48"/>
    </row>
    <row r="22" spans="1:50" x14ac:dyDescent="0.2">
      <c r="A22" s="4" t="s">
        <v>19</v>
      </c>
      <c r="B22" s="4" t="s">
        <v>10</v>
      </c>
      <c r="C22" s="6">
        <v>43472</v>
      </c>
      <c r="D22" s="2">
        <v>43529</v>
      </c>
      <c r="E22" s="3">
        <f>(Table93[[#This Row],[Serum date]]-Table93[[#This Row],[DOB]])/30.5</f>
        <v>1.8688524590163935</v>
      </c>
      <c r="F22" s="75">
        <f>AVERAGE(1629,4818,794)</f>
        <v>2413.6666666666665</v>
      </c>
      <c r="G22" s="4" t="s">
        <v>5</v>
      </c>
      <c r="H22" s="1">
        <v>2.46</v>
      </c>
      <c r="I22" s="4" t="s">
        <v>8</v>
      </c>
      <c r="J22" s="4">
        <f t="shared" si="0"/>
        <v>1</v>
      </c>
      <c r="K22" s="33" t="str">
        <f t="shared" si="1"/>
        <v>1 – 2</v>
      </c>
      <c r="L22" s="48"/>
      <c r="M22" s="91"/>
      <c r="N22" s="91"/>
      <c r="O22" s="99"/>
      <c r="P22" s="99"/>
      <c r="Q22" s="99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</row>
    <row r="23" spans="1:50" x14ac:dyDescent="0.2">
      <c r="A23" s="4" t="s">
        <v>18</v>
      </c>
      <c r="B23" s="4" t="s">
        <v>10</v>
      </c>
      <c r="C23" s="6">
        <v>43472</v>
      </c>
      <c r="D23" s="2">
        <v>43522</v>
      </c>
      <c r="E23" s="3">
        <f>(Table93[[#This Row],[Serum date]]-Table93[[#This Row],[DOB]])/30.5</f>
        <v>1.639344262295082</v>
      </c>
      <c r="F23" s="48">
        <f>AVERAGE(603,1966,2449)</f>
        <v>1672.6666666666667</v>
      </c>
      <c r="G23" s="4" t="s">
        <v>5</v>
      </c>
      <c r="H23" s="1">
        <v>1.47</v>
      </c>
      <c r="I23" s="4" t="s">
        <v>8</v>
      </c>
      <c r="J23" s="4">
        <f t="shared" si="0"/>
        <v>1</v>
      </c>
      <c r="K23" s="33" t="str">
        <f t="shared" si="1"/>
        <v>1 – 2</v>
      </c>
      <c r="L23" s="48"/>
      <c r="M23" s="91"/>
      <c r="N23" s="99"/>
      <c r="O23" s="99"/>
      <c r="P23" s="99"/>
      <c r="Q23" s="99"/>
      <c r="R23" s="99"/>
      <c r="S23" s="99"/>
      <c r="T23" s="99"/>
      <c r="U23" s="91"/>
      <c r="V23" s="91"/>
      <c r="W23" s="91"/>
      <c r="X23" s="91"/>
      <c r="Y23" s="91"/>
      <c r="Z23" s="91"/>
      <c r="AA23" s="91"/>
      <c r="AB23" s="91"/>
      <c r="AC23" s="91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</row>
    <row r="24" spans="1:50" x14ac:dyDescent="0.2">
      <c r="A24" s="4" t="s">
        <v>17</v>
      </c>
      <c r="B24" s="4" t="s">
        <v>10</v>
      </c>
      <c r="C24" s="6">
        <v>43472</v>
      </c>
      <c r="D24" s="2">
        <v>43522</v>
      </c>
      <c r="E24" s="3">
        <f>(Table93[[#This Row],[Serum date]]-Table93[[#This Row],[DOB]])/30.5</f>
        <v>1.639344262295082</v>
      </c>
      <c r="F24" s="48">
        <f>AVERAGE(568,589,2223)</f>
        <v>1126.6666666666667</v>
      </c>
      <c r="G24" s="4" t="s">
        <v>5</v>
      </c>
      <c r="H24" s="1">
        <v>0.87</v>
      </c>
      <c r="I24" s="4" t="s">
        <v>8</v>
      </c>
      <c r="J24" s="4">
        <f t="shared" si="0"/>
        <v>1</v>
      </c>
      <c r="K24" s="33" t="str">
        <f t="shared" si="1"/>
        <v>1 – 2</v>
      </c>
      <c r="L24" s="48"/>
      <c r="M24" s="94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</row>
    <row r="25" spans="1:50" x14ac:dyDescent="0.2">
      <c r="A25" s="4" t="s">
        <v>14</v>
      </c>
      <c r="B25" s="4" t="s">
        <v>10</v>
      </c>
      <c r="C25" s="6">
        <v>43369</v>
      </c>
      <c r="D25" s="2">
        <v>43411</v>
      </c>
      <c r="E25" s="3">
        <f>(Table93[[#This Row],[Serum date]]-Table93[[#This Row],[DOB]])/30.5</f>
        <v>1.3770491803278688</v>
      </c>
      <c r="F25" s="76">
        <v>825</v>
      </c>
      <c r="G25" s="4" t="s">
        <v>5</v>
      </c>
      <c r="H25" s="7">
        <v>0.72197898423817863</v>
      </c>
      <c r="I25" s="4" t="s">
        <v>7</v>
      </c>
      <c r="J25" s="4">
        <f t="shared" si="0"/>
        <v>1</v>
      </c>
      <c r="K25" s="33" t="str">
        <f t="shared" si="1"/>
        <v>1 – 2</v>
      </c>
      <c r="L25" s="48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47"/>
      <c r="AE25" s="47"/>
      <c r="AF25" s="47"/>
      <c r="AG25" s="48"/>
      <c r="AH25" s="47"/>
      <c r="AI25" s="48"/>
      <c r="AJ25" s="48"/>
      <c r="AK25" s="48"/>
      <c r="AL25" s="47"/>
      <c r="AM25" s="47"/>
      <c r="AN25" s="47"/>
      <c r="AO25" s="48"/>
      <c r="AP25" s="47"/>
      <c r="AQ25" s="47"/>
      <c r="AR25" s="47"/>
      <c r="AS25" s="48"/>
      <c r="AT25" s="47"/>
      <c r="AU25" s="47"/>
      <c r="AV25" s="47"/>
      <c r="AW25" s="48"/>
      <c r="AX25" s="48"/>
    </row>
    <row r="26" spans="1:50" x14ac:dyDescent="0.2">
      <c r="A26" s="4" t="s">
        <v>12</v>
      </c>
      <c r="B26" s="4" t="s">
        <v>10</v>
      </c>
      <c r="C26" s="6">
        <v>43367</v>
      </c>
      <c r="D26" s="2">
        <v>43411</v>
      </c>
      <c r="E26" s="3">
        <f>(Table93[[#This Row],[Serum date]]-Table93[[#This Row],[DOB]])/30.5</f>
        <v>1.4426229508196722</v>
      </c>
      <c r="F26" s="3">
        <v>809</v>
      </c>
      <c r="G26" s="4" t="s">
        <v>5</v>
      </c>
      <c r="H26" s="7">
        <v>0.70840630472854638</v>
      </c>
      <c r="I26" s="4" t="s">
        <v>7</v>
      </c>
      <c r="J26" s="4">
        <f t="shared" si="0"/>
        <v>1</v>
      </c>
      <c r="K26" s="33" t="str">
        <f t="shared" si="1"/>
        <v>1 – 2</v>
      </c>
      <c r="L26" s="48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</row>
    <row r="27" spans="1:50" x14ac:dyDescent="0.2">
      <c r="A27" s="4" t="s">
        <v>11</v>
      </c>
      <c r="B27" s="4" t="s">
        <v>10</v>
      </c>
      <c r="C27" s="6">
        <v>43367</v>
      </c>
      <c r="D27" s="2">
        <v>43411</v>
      </c>
      <c r="E27" s="3">
        <f>(Table93[[#This Row],[Serum date]]-Table93[[#This Row],[DOB]])/30.5</f>
        <v>1.4426229508196722</v>
      </c>
      <c r="F27" s="3">
        <v>704</v>
      </c>
      <c r="G27" s="4" t="s">
        <v>5</v>
      </c>
      <c r="H27" s="7">
        <v>0.61646234676007006</v>
      </c>
      <c r="I27" s="4" t="s">
        <v>7</v>
      </c>
      <c r="J27" s="4">
        <f t="shared" si="0"/>
        <v>1</v>
      </c>
      <c r="K27" s="33" t="str">
        <f t="shared" si="1"/>
        <v>1 – 2</v>
      </c>
      <c r="L27" s="48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48"/>
      <c r="AE27" s="48"/>
      <c r="AF27" s="48"/>
      <c r="AG27" s="48"/>
      <c r="AH27" s="58"/>
      <c r="AI27" s="58"/>
      <c r="AJ27" s="58"/>
      <c r="AK27" s="48"/>
      <c r="AL27" s="58"/>
      <c r="AM27" s="58"/>
      <c r="AN27" s="58"/>
      <c r="AO27" s="48"/>
      <c r="AP27" s="58"/>
      <c r="AQ27" s="58"/>
      <c r="AR27" s="58"/>
      <c r="AS27" s="48"/>
      <c r="AT27" s="58"/>
      <c r="AU27" s="58"/>
      <c r="AV27" s="58"/>
      <c r="AW27" s="48"/>
      <c r="AX27" s="48"/>
    </row>
    <row r="28" spans="1:50" x14ac:dyDescent="0.2">
      <c r="A28" s="1" t="s">
        <v>40</v>
      </c>
      <c r="B28" s="1" t="s">
        <v>10</v>
      </c>
      <c r="C28" s="2">
        <v>43808</v>
      </c>
      <c r="D28" s="6">
        <v>43847</v>
      </c>
      <c r="E28" s="3">
        <f>(Table93[[#This Row],[Serum date]]-Table93[[#This Row],[DOB]])/30.5</f>
        <v>1.278688524590164</v>
      </c>
      <c r="F28" s="3">
        <v>683.8</v>
      </c>
      <c r="G28" s="4" t="s">
        <v>5</v>
      </c>
      <c r="H28" s="4">
        <v>0.7</v>
      </c>
      <c r="I28" s="4" t="s">
        <v>7</v>
      </c>
      <c r="J28" s="4">
        <f t="shared" si="0"/>
        <v>1</v>
      </c>
      <c r="K28" s="33" t="str">
        <f t="shared" si="1"/>
        <v>1 – 2</v>
      </c>
      <c r="L28" s="48"/>
      <c r="M28" s="91"/>
      <c r="N28" s="96"/>
      <c r="O28" s="96"/>
      <c r="P28" s="96"/>
      <c r="Q28" s="91"/>
      <c r="R28" s="96"/>
      <c r="S28" s="96"/>
      <c r="T28" s="96"/>
      <c r="U28" s="91"/>
      <c r="V28" s="96"/>
      <c r="W28" s="96"/>
      <c r="X28" s="96"/>
      <c r="Y28" s="91"/>
      <c r="Z28" s="96"/>
      <c r="AA28" s="96"/>
      <c r="AB28" s="96"/>
      <c r="AC28" s="91"/>
      <c r="AD28" s="48"/>
      <c r="AE28" s="48"/>
      <c r="AF28" s="48"/>
      <c r="AG28" s="48"/>
      <c r="AH28" s="46"/>
      <c r="AI28" s="46"/>
      <c r="AJ28" s="46"/>
      <c r="AK28" s="48"/>
      <c r="AL28" s="46"/>
      <c r="AM28" s="46"/>
      <c r="AN28" s="46"/>
      <c r="AO28" s="48"/>
      <c r="AP28" s="46"/>
      <c r="AQ28" s="46"/>
      <c r="AR28" s="46"/>
      <c r="AS28" s="48"/>
      <c r="AT28" s="46"/>
      <c r="AU28" s="46"/>
      <c r="AV28" s="46"/>
      <c r="AW28" s="48"/>
      <c r="AX28" s="48"/>
    </row>
    <row r="29" spans="1:50" x14ac:dyDescent="0.2">
      <c r="A29" s="4" t="s">
        <v>39</v>
      </c>
      <c r="B29" s="4" t="s">
        <v>10</v>
      </c>
      <c r="C29" s="6">
        <v>43808</v>
      </c>
      <c r="D29" s="6">
        <v>43878</v>
      </c>
      <c r="E29" s="3">
        <f>(Table93[[#This Row],[Serum date]]-Table93[[#This Row],[DOB]])/30.5</f>
        <v>2.2950819672131146</v>
      </c>
      <c r="F29" s="3">
        <v>1009</v>
      </c>
      <c r="G29" s="4" t="s">
        <v>5</v>
      </c>
      <c r="H29" s="4">
        <v>0.8</v>
      </c>
      <c r="I29" s="4" t="s">
        <v>7</v>
      </c>
      <c r="J29" s="4">
        <f t="shared" si="0"/>
        <v>2</v>
      </c>
      <c r="K29" s="33" t="str">
        <f t="shared" si="1"/>
        <v>1 – 2</v>
      </c>
      <c r="L29" s="48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48"/>
      <c r="AE29" s="48"/>
      <c r="AF29" s="48"/>
      <c r="AG29" s="48"/>
      <c r="AH29" s="46"/>
      <c r="AI29" s="46"/>
      <c r="AJ29" s="46"/>
      <c r="AK29" s="48"/>
      <c r="AL29" s="46"/>
      <c r="AM29" s="46"/>
      <c r="AN29" s="46"/>
      <c r="AO29" s="48"/>
      <c r="AP29" s="46"/>
      <c r="AQ29" s="46"/>
      <c r="AR29" s="46"/>
      <c r="AS29" s="48"/>
      <c r="AT29" s="46"/>
      <c r="AU29" s="46"/>
      <c r="AV29" s="46"/>
      <c r="AW29" s="48"/>
      <c r="AX29" s="48"/>
    </row>
    <row r="30" spans="1:50" x14ac:dyDescent="0.2">
      <c r="A30" s="4" t="s">
        <v>65</v>
      </c>
      <c r="B30" s="4" t="s">
        <v>10</v>
      </c>
      <c r="C30" s="6">
        <v>43367</v>
      </c>
      <c r="D30" s="2">
        <v>43440</v>
      </c>
      <c r="E30" s="3">
        <f>(Table93[[#This Row],[Serum date]]-Table93[[#This Row],[DOB]])/30.5</f>
        <v>2.3934426229508197</v>
      </c>
      <c r="F30" s="3">
        <v>55668</v>
      </c>
      <c r="G30" s="4" t="s">
        <v>5</v>
      </c>
      <c r="H30" s="7">
        <v>31</v>
      </c>
      <c r="I30" s="4" t="s">
        <v>7</v>
      </c>
      <c r="J30" s="4">
        <f t="shared" si="0"/>
        <v>2</v>
      </c>
      <c r="K30" s="33" t="str">
        <f t="shared" si="1"/>
        <v>1 – 2</v>
      </c>
      <c r="L30" s="48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48"/>
      <c r="AE30" s="48"/>
      <c r="AF30" s="48"/>
      <c r="AG30" s="48"/>
      <c r="AH30" s="46"/>
      <c r="AI30" s="46"/>
      <c r="AJ30" s="46"/>
      <c r="AK30" s="48"/>
      <c r="AL30" s="46"/>
      <c r="AM30" s="46"/>
      <c r="AN30" s="46"/>
      <c r="AO30" s="48"/>
      <c r="AP30" s="46"/>
      <c r="AQ30" s="46"/>
      <c r="AR30" s="46"/>
      <c r="AS30" s="48"/>
      <c r="AT30" s="46"/>
      <c r="AU30" s="46"/>
      <c r="AV30" s="46"/>
      <c r="AW30" s="48"/>
      <c r="AX30" s="48"/>
    </row>
    <row r="31" spans="1:50" x14ac:dyDescent="0.2">
      <c r="A31" s="4" t="s">
        <v>64</v>
      </c>
      <c r="B31" s="4" t="s">
        <v>10</v>
      </c>
      <c r="C31" s="6">
        <v>43367</v>
      </c>
      <c r="D31" s="2">
        <v>43440</v>
      </c>
      <c r="E31" s="3">
        <f>(Table93[[#This Row],[Serum date]]-Table93[[#This Row],[DOB]])/30.5</f>
        <v>2.3934426229508197</v>
      </c>
      <c r="F31" s="3">
        <v>106685.5</v>
      </c>
      <c r="G31" s="4" t="s">
        <v>5</v>
      </c>
      <c r="H31" s="7">
        <v>59.4</v>
      </c>
      <c r="I31" s="4" t="s">
        <v>7</v>
      </c>
      <c r="J31" s="4">
        <f t="shared" si="0"/>
        <v>2</v>
      </c>
      <c r="K31" s="33" t="str">
        <f t="shared" si="1"/>
        <v>1 – 2</v>
      </c>
      <c r="L31" s="48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48"/>
      <c r="AE31" s="48"/>
      <c r="AF31" s="48"/>
      <c r="AG31" s="48"/>
      <c r="AH31" s="46"/>
      <c r="AI31" s="46"/>
      <c r="AJ31" s="46"/>
      <c r="AK31" s="48"/>
      <c r="AL31" s="46"/>
      <c r="AM31" s="46"/>
      <c r="AN31" s="46"/>
      <c r="AO31" s="48"/>
      <c r="AP31" s="46"/>
      <c r="AQ31" s="46"/>
      <c r="AR31" s="46"/>
      <c r="AS31" s="48"/>
      <c r="AT31" s="46"/>
      <c r="AU31" s="46"/>
      <c r="AV31" s="46"/>
      <c r="AW31" s="48"/>
      <c r="AX31" s="48"/>
    </row>
    <row r="32" spans="1:50" x14ac:dyDescent="0.2">
      <c r="A32" s="4" t="s">
        <v>63</v>
      </c>
      <c r="B32" s="4" t="s">
        <v>10</v>
      </c>
      <c r="C32" s="9" t="s">
        <v>67</v>
      </c>
      <c r="D32" s="2">
        <v>43376</v>
      </c>
      <c r="E32" s="3">
        <f>(Table93[[#This Row],[Serum date]]-Table93[[#This Row],[DOB]])/30.5</f>
        <v>2.557377049180328</v>
      </c>
      <c r="F32" s="3">
        <v>246</v>
      </c>
      <c r="G32" s="4" t="s">
        <v>5</v>
      </c>
      <c r="H32" s="11">
        <v>0.4</v>
      </c>
      <c r="I32" s="4" t="s">
        <v>7</v>
      </c>
      <c r="J32" s="4">
        <f t="shared" si="0"/>
        <v>2</v>
      </c>
      <c r="K32" s="33" t="str">
        <f t="shared" si="1"/>
        <v>1 – 2</v>
      </c>
      <c r="L32" s="48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48"/>
      <c r="AE32" s="48"/>
      <c r="AF32" s="48"/>
      <c r="AG32" s="48"/>
      <c r="AH32" s="46"/>
      <c r="AI32" s="46"/>
      <c r="AJ32" s="46"/>
      <c r="AK32" s="48"/>
      <c r="AL32" s="46"/>
      <c r="AM32" s="46"/>
      <c r="AN32" s="46"/>
      <c r="AO32" s="48"/>
      <c r="AP32" s="46"/>
      <c r="AQ32" s="46"/>
      <c r="AR32" s="46"/>
      <c r="AS32" s="48"/>
      <c r="AT32" s="46"/>
      <c r="AU32" s="46"/>
      <c r="AV32" s="46"/>
      <c r="AW32" s="48"/>
      <c r="AX32" s="48"/>
    </row>
    <row r="33" spans="1:50" x14ac:dyDescent="0.2">
      <c r="A33" s="4" t="s">
        <v>60</v>
      </c>
      <c r="B33" s="4" t="s">
        <v>10</v>
      </c>
      <c r="C33" s="9" t="s">
        <v>67</v>
      </c>
      <c r="D33" s="2">
        <v>43376</v>
      </c>
      <c r="E33" s="3">
        <f>(Table93[[#This Row],[Serum date]]-Table93[[#This Row],[DOB]])/30.5</f>
        <v>2.557377049180328</v>
      </c>
      <c r="F33" s="76">
        <v>421</v>
      </c>
      <c r="G33" s="4" t="s">
        <v>5</v>
      </c>
      <c r="H33" s="11">
        <v>0.7</v>
      </c>
      <c r="I33" s="4" t="s">
        <v>7</v>
      </c>
      <c r="J33" s="4">
        <f t="shared" si="0"/>
        <v>2</v>
      </c>
      <c r="K33" s="33" t="str">
        <f t="shared" si="1"/>
        <v>1 – 2</v>
      </c>
      <c r="L33" s="48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</row>
    <row r="34" spans="1:50" ht="16" customHeight="1" x14ac:dyDescent="0.2">
      <c r="A34" s="4" t="s">
        <v>59</v>
      </c>
      <c r="B34" s="4" t="s">
        <v>10</v>
      </c>
      <c r="C34" s="9" t="s">
        <v>67</v>
      </c>
      <c r="D34" s="2">
        <v>43376</v>
      </c>
      <c r="E34" s="3">
        <f>(Table93[[#This Row],[Serum date]]-Table93[[#This Row],[DOB]])/30.5</f>
        <v>2.557377049180328</v>
      </c>
      <c r="F34" s="79">
        <v>904</v>
      </c>
      <c r="G34" s="4" t="s">
        <v>5</v>
      </c>
      <c r="H34" s="11">
        <v>1.6</v>
      </c>
      <c r="I34" s="4" t="s">
        <v>7</v>
      </c>
      <c r="J34" s="4">
        <f t="shared" si="0"/>
        <v>2</v>
      </c>
      <c r="K34" s="33" t="str">
        <f t="shared" si="1"/>
        <v>1 – 2</v>
      </c>
      <c r="L34" s="48"/>
      <c r="M34" s="91"/>
      <c r="N34" s="91"/>
      <c r="O34" s="97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7"/>
      <c r="AB34" s="91"/>
      <c r="AC34" s="91"/>
      <c r="AD34" s="48"/>
      <c r="AE34" s="48"/>
      <c r="AF34" s="48"/>
      <c r="AG34" s="48"/>
      <c r="AH34" s="88"/>
      <c r="AI34" s="88"/>
      <c r="AJ34" s="88"/>
      <c r="AK34" s="48"/>
      <c r="AL34" s="88"/>
      <c r="AM34" s="88"/>
      <c r="AN34" s="88"/>
      <c r="AO34" s="48"/>
      <c r="AP34" s="143"/>
      <c r="AQ34" s="143"/>
      <c r="AR34" s="143"/>
      <c r="AS34" s="48"/>
      <c r="AT34" s="143"/>
      <c r="AU34" s="143"/>
      <c r="AV34" s="143"/>
      <c r="AW34" s="48"/>
      <c r="AX34" s="48"/>
    </row>
    <row r="35" spans="1:50" x14ac:dyDescent="0.2">
      <c r="A35" s="4" t="s">
        <v>58</v>
      </c>
      <c r="B35" s="4" t="s">
        <v>10</v>
      </c>
      <c r="C35" s="9" t="s">
        <v>67</v>
      </c>
      <c r="D35" s="2">
        <v>43376</v>
      </c>
      <c r="E35" s="3">
        <f>(Table93[[#This Row],[Serum date]]-Table93[[#This Row],[DOB]])/30.5</f>
        <v>2.557377049180328</v>
      </c>
      <c r="F35" s="3">
        <v>318</v>
      </c>
      <c r="G35" s="4" t="s">
        <v>5</v>
      </c>
      <c r="H35" s="11">
        <v>0.6</v>
      </c>
      <c r="I35" s="4" t="s">
        <v>7</v>
      </c>
      <c r="J35" s="4">
        <f t="shared" si="0"/>
        <v>2</v>
      </c>
      <c r="K35" s="33" t="str">
        <f t="shared" si="1"/>
        <v>1 – 2</v>
      </c>
      <c r="L35" s="48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48"/>
      <c r="AE35" s="48"/>
      <c r="AF35" s="48"/>
      <c r="AG35" s="48"/>
      <c r="AH35" s="88"/>
      <c r="AI35" s="88"/>
      <c r="AJ35" s="88"/>
      <c r="AK35" s="48"/>
      <c r="AL35" s="88"/>
      <c r="AM35" s="88"/>
      <c r="AN35" s="88"/>
      <c r="AO35" s="48"/>
      <c r="AP35" s="143"/>
      <c r="AQ35" s="143"/>
      <c r="AR35" s="143"/>
      <c r="AS35" s="48"/>
      <c r="AT35" s="143"/>
      <c r="AU35" s="143"/>
      <c r="AV35" s="143"/>
      <c r="AW35" s="48"/>
      <c r="AX35" s="48"/>
    </row>
    <row r="36" spans="1:50" x14ac:dyDescent="0.2">
      <c r="A36" s="9" t="s">
        <v>57</v>
      </c>
      <c r="B36" s="1" t="s">
        <v>10</v>
      </c>
      <c r="C36" s="9" t="s">
        <v>66</v>
      </c>
      <c r="D36" s="6">
        <v>43347</v>
      </c>
      <c r="E36" s="3">
        <f>(Table93[[#This Row],[Serum date]]-Table93[[#This Row],[DOB]])/30.5</f>
        <v>2.4918032786885247</v>
      </c>
      <c r="F36" s="3">
        <v>312</v>
      </c>
      <c r="G36" s="4" t="s">
        <v>5</v>
      </c>
      <c r="H36" s="11">
        <v>0.332994923857868</v>
      </c>
      <c r="I36" s="4" t="s">
        <v>7</v>
      </c>
      <c r="J36" s="4">
        <f t="shared" si="0"/>
        <v>2</v>
      </c>
      <c r="K36" s="33" t="str">
        <f t="shared" si="1"/>
        <v>1 – 2</v>
      </c>
      <c r="L36" s="48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48"/>
      <c r="AE36" s="48"/>
      <c r="AF36" s="48"/>
      <c r="AG36" s="48"/>
      <c r="AH36" s="88"/>
      <c r="AI36" s="88"/>
      <c r="AJ36" s="88"/>
      <c r="AK36" s="48"/>
      <c r="AL36" s="88"/>
      <c r="AM36" s="88"/>
      <c r="AN36" s="88"/>
      <c r="AO36" s="48"/>
      <c r="AP36" s="143"/>
      <c r="AQ36" s="143"/>
      <c r="AR36" s="143"/>
      <c r="AS36" s="48"/>
      <c r="AT36" s="143"/>
      <c r="AU36" s="143"/>
      <c r="AV36" s="143"/>
      <c r="AW36" s="48"/>
      <c r="AX36" s="48"/>
    </row>
    <row r="37" spans="1:50" ht="32" customHeight="1" x14ac:dyDescent="0.2">
      <c r="A37" s="9" t="s">
        <v>56</v>
      </c>
      <c r="B37" s="1" t="s">
        <v>10</v>
      </c>
      <c r="C37" s="9" t="s">
        <v>66</v>
      </c>
      <c r="D37" s="6">
        <v>43347</v>
      </c>
      <c r="E37" s="3">
        <f>(Table93[[#This Row],[Serum date]]-Table93[[#This Row],[DOB]])/30.5</f>
        <v>2.4918032786885247</v>
      </c>
      <c r="F37" s="3">
        <v>313</v>
      </c>
      <c r="G37" s="4" t="s">
        <v>5</v>
      </c>
      <c r="H37" s="10">
        <v>0.332994923857868</v>
      </c>
      <c r="I37" s="4" t="s">
        <v>7</v>
      </c>
      <c r="J37" s="4">
        <f t="shared" si="0"/>
        <v>2</v>
      </c>
      <c r="K37" s="33" t="str">
        <f t="shared" si="1"/>
        <v>1 – 2</v>
      </c>
      <c r="L37" s="48"/>
      <c r="M37" s="91"/>
      <c r="N37" s="100"/>
      <c r="O37" s="100"/>
      <c r="P37" s="100"/>
      <c r="Q37" s="91"/>
      <c r="R37" s="100"/>
      <c r="S37" s="100"/>
      <c r="T37" s="100"/>
      <c r="U37" s="91"/>
      <c r="V37" s="100"/>
      <c r="W37" s="100"/>
      <c r="X37" s="100"/>
      <c r="Y37" s="91"/>
      <c r="Z37" s="100"/>
      <c r="AA37" s="100"/>
      <c r="AB37" s="100"/>
      <c r="AC37" s="9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</row>
    <row r="38" spans="1:50" x14ac:dyDescent="0.2">
      <c r="A38" s="9" t="s">
        <v>55</v>
      </c>
      <c r="B38" s="1" t="s">
        <v>10</v>
      </c>
      <c r="C38" s="9" t="s">
        <v>66</v>
      </c>
      <c r="D38" s="6">
        <v>43347</v>
      </c>
      <c r="E38" s="3">
        <f>(Table93[[#This Row],[Serum date]]-Table93[[#This Row],[DOB]])/30.5</f>
        <v>2.4918032786885247</v>
      </c>
      <c r="F38" s="3">
        <v>328</v>
      </c>
      <c r="G38" s="4" t="s">
        <v>5</v>
      </c>
      <c r="H38" s="11">
        <v>0.332994923857868</v>
      </c>
      <c r="I38" s="4" t="s">
        <v>7</v>
      </c>
      <c r="J38" s="4">
        <f t="shared" si="0"/>
        <v>2</v>
      </c>
      <c r="K38" s="33" t="str">
        <f t="shared" si="1"/>
        <v>1 – 2</v>
      </c>
      <c r="L38" s="48"/>
      <c r="M38" s="91"/>
      <c r="N38" s="100"/>
      <c r="O38" s="100"/>
      <c r="P38" s="100"/>
      <c r="Q38" s="91"/>
      <c r="R38" s="100"/>
      <c r="S38" s="100"/>
      <c r="T38" s="100"/>
      <c r="U38" s="91"/>
      <c r="V38" s="100"/>
      <c r="W38" s="100"/>
      <c r="X38" s="100"/>
      <c r="Y38" s="91"/>
      <c r="Z38" s="100"/>
      <c r="AA38" s="100"/>
      <c r="AB38" s="100"/>
      <c r="AC38" s="91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</row>
    <row r="39" spans="1:50" x14ac:dyDescent="0.2">
      <c r="A39" s="6" t="s">
        <v>51</v>
      </c>
      <c r="B39" s="4" t="s">
        <v>10</v>
      </c>
      <c r="C39" s="6">
        <v>44179</v>
      </c>
      <c r="D39" s="25">
        <v>44269</v>
      </c>
      <c r="E39" s="3">
        <f>(Table93[[#This Row],[Serum date]]-Table93[[#This Row],[DOB]])/30.5</f>
        <v>2.9508196721311477</v>
      </c>
      <c r="F39" s="3">
        <v>4941</v>
      </c>
      <c r="G39" s="4" t="s">
        <v>5</v>
      </c>
      <c r="H39" s="4">
        <v>9.3000000000000007</v>
      </c>
      <c r="I39" s="4" t="s">
        <v>7</v>
      </c>
      <c r="J39" s="4">
        <f t="shared" si="0"/>
        <v>2</v>
      </c>
      <c r="K39" s="33" t="str">
        <f t="shared" si="1"/>
        <v>1 – 2</v>
      </c>
      <c r="L39" s="48"/>
      <c r="M39" s="91"/>
      <c r="N39" s="100"/>
      <c r="O39" s="100"/>
      <c r="P39" s="100"/>
      <c r="Q39" s="91"/>
      <c r="R39" s="100"/>
      <c r="S39" s="100"/>
      <c r="T39" s="100"/>
      <c r="U39" s="91"/>
      <c r="V39" s="100"/>
      <c r="W39" s="100"/>
      <c r="X39" s="100"/>
      <c r="Y39" s="91"/>
      <c r="Z39" s="100"/>
      <c r="AA39" s="100"/>
      <c r="AB39" s="100"/>
      <c r="AC39" s="91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</row>
    <row r="40" spans="1:50" ht="19" x14ac:dyDescent="0.25">
      <c r="A40" s="4" t="s">
        <v>52</v>
      </c>
      <c r="B40" s="4" t="s">
        <v>10</v>
      </c>
      <c r="C40" s="6">
        <v>44179</v>
      </c>
      <c r="D40" s="25">
        <v>44269</v>
      </c>
      <c r="E40" s="3">
        <f>(Table93[[#This Row],[Serum date]]-Table93[[#This Row],[DOB]])/30.5</f>
        <v>2.9508196721311477</v>
      </c>
      <c r="F40" s="3">
        <v>9701</v>
      </c>
      <c r="G40" s="4" t="s">
        <v>5</v>
      </c>
      <c r="H40" s="4">
        <v>18.260000000000002</v>
      </c>
      <c r="I40" s="4" t="s">
        <v>7</v>
      </c>
      <c r="J40" s="4">
        <f t="shared" si="0"/>
        <v>2</v>
      </c>
      <c r="K40" s="33" t="str">
        <f t="shared" si="1"/>
        <v>1 – 2</v>
      </c>
      <c r="L40" s="48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48"/>
      <c r="AE40" s="48"/>
      <c r="AF40" s="48"/>
      <c r="AG40" s="48"/>
      <c r="AH40" s="89"/>
      <c r="AI40" s="89"/>
      <c r="AJ40" s="89"/>
      <c r="AK40" s="89"/>
      <c r="AL40" s="89"/>
      <c r="AM40" s="89"/>
      <c r="AN40" s="89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  <row r="41" spans="1:50" ht="19" x14ac:dyDescent="0.25">
      <c r="A41" s="4" t="s">
        <v>50</v>
      </c>
      <c r="B41" s="4" t="s">
        <v>10</v>
      </c>
      <c r="C41" s="6">
        <v>44179</v>
      </c>
      <c r="D41" s="25">
        <v>44269</v>
      </c>
      <c r="E41" s="3">
        <f>(Table93[[#This Row],[Serum date]]-Table93[[#This Row],[DOB]])/30.5</f>
        <v>2.9508196721311477</v>
      </c>
      <c r="F41" s="3">
        <v>21518</v>
      </c>
      <c r="G41" s="4" t="s">
        <v>5</v>
      </c>
      <c r="H41" s="4">
        <v>40.51</v>
      </c>
      <c r="I41" s="4" t="s">
        <v>7</v>
      </c>
      <c r="J41" s="4">
        <f t="shared" si="0"/>
        <v>2</v>
      </c>
      <c r="K41" s="33" t="str">
        <f t="shared" si="1"/>
        <v>1 – 2</v>
      </c>
      <c r="L41" s="48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48"/>
      <c r="AE41" s="48"/>
      <c r="AF41" s="48"/>
      <c r="AG41" s="48"/>
      <c r="AH41" s="59"/>
      <c r="AI41" s="48"/>
      <c r="AJ41" s="48"/>
      <c r="AK41" s="49"/>
      <c r="AL41" s="49"/>
      <c r="AM41" s="87"/>
      <c r="AN41" s="87"/>
      <c r="AO41" s="48"/>
      <c r="AP41" s="48"/>
      <c r="AQ41" s="48"/>
      <c r="AR41" s="48"/>
      <c r="AS41" s="48"/>
      <c r="AT41" s="48"/>
      <c r="AU41" s="48"/>
      <c r="AV41" s="48"/>
      <c r="AW41" s="48"/>
      <c r="AX41" s="48"/>
    </row>
    <row r="42" spans="1:50" x14ac:dyDescent="0.2">
      <c r="A42" s="4" t="s">
        <v>49</v>
      </c>
      <c r="B42" s="4" t="s">
        <v>10</v>
      </c>
      <c r="C42" s="6">
        <v>43892</v>
      </c>
      <c r="D42" s="18">
        <v>43958</v>
      </c>
      <c r="E42" s="3">
        <f>(Table93[[#This Row],[Serum date]]-Table93[[#This Row],[DOB]])/30.5</f>
        <v>2.1639344262295084</v>
      </c>
      <c r="F42" s="3">
        <v>1123.2</v>
      </c>
      <c r="G42" s="4" t="s">
        <v>5</v>
      </c>
      <c r="H42" s="10">
        <v>1.1455964098118212</v>
      </c>
      <c r="I42" s="4" t="s">
        <v>7</v>
      </c>
      <c r="J42" s="4">
        <f t="shared" si="0"/>
        <v>2</v>
      </c>
      <c r="K42" s="33" t="str">
        <f t="shared" si="1"/>
        <v>1 – 2</v>
      </c>
      <c r="L42" s="48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48"/>
      <c r="AE42" s="48"/>
      <c r="AF42" s="48"/>
      <c r="AG42" s="48"/>
      <c r="AH42" s="47"/>
      <c r="AI42" s="48"/>
      <c r="AJ42" s="47"/>
      <c r="AK42" s="48"/>
      <c r="AL42" s="48"/>
      <c r="AM42" s="46"/>
      <c r="AN42" s="46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1:50" x14ac:dyDescent="0.2">
      <c r="A43" s="4" t="s">
        <v>48</v>
      </c>
      <c r="B43" s="4" t="s">
        <v>10</v>
      </c>
      <c r="C43" s="6">
        <v>43892</v>
      </c>
      <c r="D43" s="18">
        <v>43958</v>
      </c>
      <c r="E43" s="3">
        <f>(Table93[[#This Row],[Serum date]]-Table93[[#This Row],[DOB]])/30.5</f>
        <v>2.1639344262295084</v>
      </c>
      <c r="F43" s="3">
        <v>1134.5999999999999</v>
      </c>
      <c r="G43" s="4" t="s">
        <v>5</v>
      </c>
      <c r="H43" s="10">
        <v>1.1572237238002956</v>
      </c>
      <c r="I43" s="4" t="s">
        <v>7</v>
      </c>
      <c r="J43" s="4">
        <f t="shared" si="0"/>
        <v>2</v>
      </c>
      <c r="K43" s="33" t="str">
        <f t="shared" si="1"/>
        <v>1 – 2</v>
      </c>
      <c r="L43" s="48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48"/>
      <c r="AE43" s="48"/>
      <c r="AF43" s="48"/>
      <c r="AG43" s="48"/>
      <c r="AH43" s="47"/>
      <c r="AI43" s="48"/>
      <c r="AJ43" s="47"/>
      <c r="AK43" s="48"/>
      <c r="AL43" s="48"/>
      <c r="AM43" s="46"/>
      <c r="AN43" s="46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  <row r="44" spans="1:50" x14ac:dyDescent="0.2">
      <c r="A44" s="4" t="s">
        <v>47</v>
      </c>
      <c r="B44" s="4" t="s">
        <v>10</v>
      </c>
      <c r="C44" s="6">
        <v>43892</v>
      </c>
      <c r="D44" s="18">
        <v>43958</v>
      </c>
      <c r="E44" s="3">
        <f>(Table93[[#This Row],[Serum date]]-Table93[[#This Row],[DOB]])/30.5</f>
        <v>2.1639344262295084</v>
      </c>
      <c r="F44" s="3">
        <v>891.40000000000009</v>
      </c>
      <c r="G44" s="4" t="s">
        <v>5</v>
      </c>
      <c r="H44" s="10">
        <v>0.90917435871283603</v>
      </c>
      <c r="I44" s="4" t="s">
        <v>7</v>
      </c>
      <c r="J44" s="4">
        <f t="shared" si="0"/>
        <v>2</v>
      </c>
      <c r="K44" s="33" t="str">
        <f t="shared" si="1"/>
        <v>1 – 2</v>
      </c>
      <c r="L44" s="48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48"/>
      <c r="AE44" s="48"/>
      <c r="AF44" s="48"/>
      <c r="AG44" s="48"/>
      <c r="AH44" s="47"/>
      <c r="AI44" s="48"/>
      <c r="AJ44" s="47"/>
      <c r="AK44" s="48"/>
      <c r="AL44" s="48"/>
      <c r="AM44" s="46"/>
      <c r="AN44" s="46"/>
      <c r="AO44" s="48"/>
      <c r="AP44" s="48"/>
      <c r="AQ44" s="48"/>
      <c r="AR44" s="48"/>
      <c r="AS44" s="48"/>
      <c r="AT44" s="48"/>
      <c r="AU44" s="48"/>
      <c r="AV44" s="48"/>
      <c r="AW44" s="48"/>
      <c r="AX44" s="48"/>
    </row>
    <row r="45" spans="1:50" x14ac:dyDescent="0.2">
      <c r="A45" s="4" t="s">
        <v>46</v>
      </c>
      <c r="B45" s="4" t="s">
        <v>10</v>
      </c>
      <c r="C45" s="6">
        <v>43892</v>
      </c>
      <c r="D45" s="18">
        <v>43958</v>
      </c>
      <c r="E45" s="3">
        <f>(Table93[[#This Row],[Serum date]]-Table93[[#This Row],[DOB]])/30.5</f>
        <v>2.1639344262295084</v>
      </c>
      <c r="F45" s="3">
        <v>1684</v>
      </c>
      <c r="G45" s="4" t="s">
        <v>5</v>
      </c>
      <c r="H45" s="10">
        <v>1.7175786628588912</v>
      </c>
      <c r="I45" s="4" t="s">
        <v>7</v>
      </c>
      <c r="J45" s="4">
        <f t="shared" si="0"/>
        <v>2</v>
      </c>
      <c r="K45" s="33" t="str">
        <f t="shared" si="1"/>
        <v>1 – 2</v>
      </c>
      <c r="L45" s="48"/>
      <c r="M45" s="91"/>
      <c r="N45" s="96"/>
      <c r="O45" s="96"/>
      <c r="P45" s="96"/>
      <c r="Q45" s="91"/>
      <c r="R45" s="96"/>
      <c r="S45" s="96"/>
      <c r="T45" s="96"/>
      <c r="U45" s="91"/>
      <c r="V45" s="96"/>
      <c r="W45" s="96"/>
      <c r="X45" s="96"/>
      <c r="Y45" s="91"/>
      <c r="Z45" s="91"/>
      <c r="AA45" s="91"/>
      <c r="AB45" s="91"/>
      <c r="AC45" s="91"/>
      <c r="AD45" s="48"/>
      <c r="AE45" s="48"/>
      <c r="AF45" s="48"/>
      <c r="AG45" s="48"/>
      <c r="AH45" s="47"/>
      <c r="AI45" s="48"/>
      <c r="AJ45" s="47"/>
      <c r="AK45" s="48"/>
      <c r="AL45" s="48"/>
      <c r="AM45" s="46"/>
      <c r="AN45" s="46"/>
      <c r="AO45" s="48"/>
      <c r="AP45" s="48"/>
      <c r="AQ45" s="48"/>
      <c r="AR45" s="48"/>
      <c r="AS45" s="48"/>
      <c r="AT45" s="48"/>
      <c r="AU45" s="48"/>
      <c r="AV45" s="48"/>
      <c r="AW45" s="48"/>
      <c r="AX45" s="48"/>
    </row>
    <row r="46" spans="1:50" x14ac:dyDescent="0.2">
      <c r="A46" s="4" t="s">
        <v>45</v>
      </c>
      <c r="B46" s="4" t="s">
        <v>10</v>
      </c>
      <c r="C46" s="6">
        <v>43892</v>
      </c>
      <c r="D46" s="18">
        <v>43958</v>
      </c>
      <c r="E46" s="3">
        <f>(Table93[[#This Row],[Serum date]]-Table93[[#This Row],[DOB]])/30.5</f>
        <v>2.1639344262295084</v>
      </c>
      <c r="F46" s="3">
        <v>4965.6000000000004</v>
      </c>
      <c r="G46" s="4" t="s">
        <v>5</v>
      </c>
      <c r="H46" s="10">
        <v>5.0646131878219185</v>
      </c>
      <c r="I46" s="4" t="s">
        <v>7</v>
      </c>
      <c r="J46" s="4">
        <f t="shared" si="0"/>
        <v>2</v>
      </c>
      <c r="K46" s="33" t="str">
        <f t="shared" si="1"/>
        <v>1 – 2</v>
      </c>
      <c r="L46" s="48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</row>
    <row r="47" spans="1:50" x14ac:dyDescent="0.2">
      <c r="A47" s="4" t="s">
        <v>43</v>
      </c>
      <c r="B47" s="4" t="s">
        <v>10</v>
      </c>
      <c r="C47" s="6">
        <v>43878</v>
      </c>
      <c r="D47" s="18">
        <v>43958</v>
      </c>
      <c r="E47" s="3">
        <f>(Table93[[#This Row],[Serum date]]-Table93[[#This Row],[DOB]])/30.5</f>
        <v>2.622950819672131</v>
      </c>
      <c r="F47" s="3">
        <v>639.6</v>
      </c>
      <c r="G47" s="4" t="s">
        <v>5</v>
      </c>
      <c r="H47" s="4">
        <v>0.65235351114284257</v>
      </c>
      <c r="I47" s="4" t="s">
        <v>7</v>
      </c>
      <c r="J47" s="4">
        <f t="shared" si="0"/>
        <v>2</v>
      </c>
      <c r="K47" s="33" t="str">
        <f t="shared" si="1"/>
        <v>1 – 2</v>
      </c>
      <c r="L47" s="48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</row>
    <row r="48" spans="1:50" x14ac:dyDescent="0.2">
      <c r="A48" s="4" t="s">
        <v>42</v>
      </c>
      <c r="B48" s="4" t="s">
        <v>10</v>
      </c>
      <c r="C48" s="6">
        <v>43878</v>
      </c>
      <c r="D48" s="18">
        <v>43958</v>
      </c>
      <c r="E48" s="3">
        <f>(Table93[[#This Row],[Serum date]]-Table93[[#This Row],[DOB]])/30.5</f>
        <v>2.622950819672131</v>
      </c>
      <c r="F48" s="3">
        <v>923</v>
      </c>
      <c r="G48" s="4" t="s">
        <v>5</v>
      </c>
      <c r="H48" s="4">
        <v>0.94140445713702892</v>
      </c>
      <c r="I48" s="4" t="s">
        <v>7</v>
      </c>
      <c r="J48" s="4">
        <f t="shared" si="0"/>
        <v>2</v>
      </c>
      <c r="K48" s="33" t="str">
        <f t="shared" si="1"/>
        <v>1 – 2</v>
      </c>
      <c r="L48" s="48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</row>
    <row r="49" spans="1:50" x14ac:dyDescent="0.2">
      <c r="A49" s="4" t="s">
        <v>41</v>
      </c>
      <c r="B49" s="4" t="s">
        <v>10</v>
      </c>
      <c r="C49" s="6">
        <v>43878</v>
      </c>
      <c r="D49" s="18">
        <v>43958</v>
      </c>
      <c r="E49" s="3">
        <f>(Table93[[#This Row],[Serum date]]-Table93[[#This Row],[DOB]])/30.5</f>
        <v>2.622950819672131</v>
      </c>
      <c r="F49" s="3">
        <v>2576.8000000000002</v>
      </c>
      <c r="G49" s="4" t="s">
        <v>5</v>
      </c>
      <c r="H49" s="4">
        <v>2.6281809373246978</v>
      </c>
      <c r="I49" s="4" t="s">
        <v>7</v>
      </c>
      <c r="J49" s="4">
        <f t="shared" si="0"/>
        <v>2</v>
      </c>
      <c r="K49" s="33" t="str">
        <f t="shared" si="1"/>
        <v>1 – 2</v>
      </c>
      <c r="L49" s="48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</row>
    <row r="50" spans="1:50" x14ac:dyDescent="0.2">
      <c r="A50" s="4" t="s">
        <v>38</v>
      </c>
      <c r="B50" s="4" t="s">
        <v>10</v>
      </c>
      <c r="C50" s="6">
        <v>43794</v>
      </c>
      <c r="D50" s="6">
        <v>43865</v>
      </c>
      <c r="E50" s="3">
        <f>(Table93[[#This Row],[Serum date]]-Table93[[#This Row],[DOB]])/30.5</f>
        <v>2.3278688524590163</v>
      </c>
      <c r="F50" s="3">
        <v>783.19999999999993</v>
      </c>
      <c r="G50" s="4" t="s">
        <v>5</v>
      </c>
      <c r="H50" s="4">
        <v>0.8</v>
      </c>
      <c r="I50" s="4" t="s">
        <v>7</v>
      </c>
      <c r="J50" s="4">
        <f t="shared" si="0"/>
        <v>2</v>
      </c>
      <c r="K50" s="33" t="str">
        <f t="shared" si="1"/>
        <v>1 – 2</v>
      </c>
      <c r="L50" s="48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</row>
    <row r="51" spans="1:50" x14ac:dyDescent="0.2">
      <c r="A51" s="4" t="s">
        <v>35</v>
      </c>
      <c r="B51" s="4" t="s">
        <v>10</v>
      </c>
      <c r="C51" s="6">
        <v>43794</v>
      </c>
      <c r="D51" s="6">
        <v>43865</v>
      </c>
      <c r="E51" s="3">
        <f>(Table93[[#This Row],[Serum date]]-Table93[[#This Row],[DOB]])/30.5</f>
        <v>2.3278688524590163</v>
      </c>
      <c r="F51" s="3">
        <v>435.6</v>
      </c>
      <c r="G51" s="4" t="s">
        <v>5</v>
      </c>
      <c r="H51" s="4">
        <v>0.5</v>
      </c>
      <c r="I51" s="4" t="s">
        <v>7</v>
      </c>
      <c r="J51" s="4">
        <f t="shared" si="0"/>
        <v>2</v>
      </c>
      <c r="K51" s="33" t="str">
        <f t="shared" si="1"/>
        <v>1 – 2</v>
      </c>
      <c r="L51" s="48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</row>
    <row r="52" spans="1:50" x14ac:dyDescent="0.2">
      <c r="A52" s="4" t="s">
        <v>37</v>
      </c>
      <c r="B52" s="4" t="s">
        <v>10</v>
      </c>
      <c r="C52" s="6">
        <v>43794</v>
      </c>
      <c r="D52" s="6">
        <v>43878</v>
      </c>
      <c r="E52" s="3">
        <f>(Table93[[#This Row],[Serum date]]-Table93[[#This Row],[DOB]])/30.5</f>
        <v>2.7540983606557377</v>
      </c>
      <c r="F52" s="3">
        <v>550</v>
      </c>
      <c r="G52" s="4" t="s">
        <v>5</v>
      </c>
      <c r="H52" s="4">
        <v>0.4</v>
      </c>
      <c r="I52" s="4" t="s">
        <v>7</v>
      </c>
      <c r="J52" s="4">
        <f t="shared" si="0"/>
        <v>2</v>
      </c>
      <c r="K52" s="33" t="str">
        <f t="shared" si="1"/>
        <v>1 – 2</v>
      </c>
      <c r="L52" s="48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</row>
    <row r="53" spans="1:50" x14ac:dyDescent="0.2">
      <c r="A53" s="4" t="s">
        <v>36</v>
      </c>
      <c r="B53" s="4" t="s">
        <v>10</v>
      </c>
      <c r="C53" s="6">
        <v>43794</v>
      </c>
      <c r="D53" s="30">
        <v>43865</v>
      </c>
      <c r="E53" s="3">
        <f>(Table93[[#This Row],[Serum date]]-Table93[[#This Row],[DOB]])/30.5</f>
        <v>2.3278688524590163</v>
      </c>
      <c r="F53" s="3">
        <v>460.6</v>
      </c>
      <c r="G53" s="4" t="s">
        <v>5</v>
      </c>
      <c r="H53" s="31">
        <v>0.5</v>
      </c>
      <c r="I53" s="4" t="s">
        <v>7</v>
      </c>
      <c r="J53" s="3">
        <f t="shared" si="0"/>
        <v>2</v>
      </c>
      <c r="K53" s="33" t="str">
        <f t="shared" si="1"/>
        <v>1 – 2</v>
      </c>
      <c r="L53" s="48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</row>
    <row r="54" spans="1:50" ht="32" customHeight="1" x14ac:dyDescent="0.2">
      <c r="A54" s="4" t="s">
        <v>34</v>
      </c>
      <c r="B54" s="4" t="s">
        <v>10</v>
      </c>
      <c r="C54" s="6">
        <v>43794</v>
      </c>
      <c r="D54" s="6">
        <v>43865</v>
      </c>
      <c r="E54" s="3">
        <f>(Table93[[#This Row],[Serum date]]-Table93[[#This Row],[DOB]])/30.5</f>
        <v>2.3278688524590163</v>
      </c>
      <c r="F54" s="3">
        <v>643.59999999999991</v>
      </c>
      <c r="G54" s="4" t="s">
        <v>5</v>
      </c>
      <c r="H54" s="4">
        <v>0.7</v>
      </c>
      <c r="I54" s="4" t="s">
        <v>7</v>
      </c>
      <c r="J54" s="4">
        <f t="shared" si="0"/>
        <v>2</v>
      </c>
      <c r="K54" s="33" t="str">
        <f t="shared" si="1"/>
        <v>1 – 2</v>
      </c>
      <c r="L54" s="48"/>
      <c r="M54" s="91"/>
      <c r="N54" s="100"/>
      <c r="O54" s="100"/>
      <c r="P54" s="100"/>
      <c r="Q54" s="91"/>
      <c r="R54" s="100"/>
      <c r="S54" s="100"/>
      <c r="T54" s="100"/>
      <c r="U54" s="91"/>
      <c r="V54" s="100"/>
      <c r="W54" s="100"/>
      <c r="X54" s="100"/>
      <c r="Y54" s="91"/>
      <c r="Z54" s="91"/>
      <c r="AA54" s="91"/>
      <c r="AB54" s="91"/>
      <c r="AC54" s="91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</row>
    <row r="55" spans="1:50" x14ac:dyDescent="0.2">
      <c r="A55" s="4" t="s">
        <v>29</v>
      </c>
      <c r="B55" s="4" t="s">
        <v>10</v>
      </c>
      <c r="C55" s="6">
        <v>43622</v>
      </c>
      <c r="D55" s="6">
        <v>43699</v>
      </c>
      <c r="E55" s="3">
        <f>(Table93[[#This Row],[Serum date]]-Table93[[#This Row],[DOB]])/30.5</f>
        <v>2.5245901639344264</v>
      </c>
      <c r="F55" s="3">
        <v>462</v>
      </c>
      <c r="G55" s="4" t="s">
        <v>5</v>
      </c>
      <c r="H55" s="10">
        <v>0.91304347826086951</v>
      </c>
      <c r="I55" s="4" t="s">
        <v>7</v>
      </c>
      <c r="J55" s="4">
        <f t="shared" si="0"/>
        <v>2</v>
      </c>
      <c r="K55" s="33" t="str">
        <f t="shared" si="1"/>
        <v>1 – 2</v>
      </c>
      <c r="L55" s="48"/>
      <c r="M55" s="91"/>
      <c r="N55" s="100"/>
      <c r="O55" s="100"/>
      <c r="P55" s="100"/>
      <c r="Q55" s="91"/>
      <c r="R55" s="100"/>
      <c r="S55" s="100"/>
      <c r="T55" s="100"/>
      <c r="U55" s="91"/>
      <c r="V55" s="100"/>
      <c r="W55" s="100"/>
      <c r="X55" s="100"/>
      <c r="Y55" s="91"/>
      <c r="Z55" s="91"/>
      <c r="AA55" s="91"/>
      <c r="AB55" s="91"/>
      <c r="AC55" s="91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</row>
    <row r="56" spans="1:50" x14ac:dyDescent="0.2">
      <c r="A56" s="4" t="s">
        <v>28</v>
      </c>
      <c r="B56" s="4" t="s">
        <v>10</v>
      </c>
      <c r="C56" s="6">
        <v>43622</v>
      </c>
      <c r="D56" s="6">
        <v>43699</v>
      </c>
      <c r="E56" s="3">
        <f>(Table93[[#This Row],[Serum date]]-Table93[[#This Row],[DOB]])/30.5</f>
        <v>2.5245901639344264</v>
      </c>
      <c r="F56" s="3">
        <v>503</v>
      </c>
      <c r="G56" s="4" t="s">
        <v>5</v>
      </c>
      <c r="H56" s="10">
        <v>0.99367588932806317</v>
      </c>
      <c r="I56" s="4" t="s">
        <v>7</v>
      </c>
      <c r="J56" s="4">
        <f t="shared" si="0"/>
        <v>2</v>
      </c>
      <c r="K56" s="33" t="str">
        <f t="shared" si="1"/>
        <v>1 – 2</v>
      </c>
      <c r="L56" s="48"/>
      <c r="M56" s="91"/>
      <c r="N56" s="100"/>
      <c r="O56" s="100"/>
      <c r="P56" s="100"/>
      <c r="Q56" s="91"/>
      <c r="R56" s="100"/>
      <c r="S56" s="100"/>
      <c r="T56" s="100"/>
      <c r="U56" s="91"/>
      <c r="V56" s="100"/>
      <c r="W56" s="100"/>
      <c r="X56" s="100"/>
      <c r="Y56" s="91"/>
      <c r="Z56" s="91"/>
      <c r="AA56" s="91"/>
      <c r="AB56" s="91"/>
      <c r="AC56" s="91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</row>
    <row r="57" spans="1:50" x14ac:dyDescent="0.2">
      <c r="A57" s="4" t="s">
        <v>27</v>
      </c>
      <c r="B57" s="4" t="s">
        <v>10</v>
      </c>
      <c r="C57" s="6">
        <v>43622</v>
      </c>
      <c r="D57" s="6">
        <v>43699</v>
      </c>
      <c r="E57" s="3">
        <f>(Table93[[#This Row],[Serum date]]-Table93[[#This Row],[DOB]])/30.5</f>
        <v>2.5245901639344264</v>
      </c>
      <c r="F57" s="3">
        <v>537</v>
      </c>
      <c r="G57" s="4" t="s">
        <v>5</v>
      </c>
      <c r="H57" s="10">
        <v>1.0612648221343874</v>
      </c>
      <c r="I57" s="4" t="s">
        <v>7</v>
      </c>
      <c r="J57" s="4">
        <f t="shared" si="0"/>
        <v>2</v>
      </c>
      <c r="K57" s="33" t="str">
        <f t="shared" si="1"/>
        <v>1 – 2</v>
      </c>
      <c r="L57" s="48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</row>
    <row r="58" spans="1:50" x14ac:dyDescent="0.2">
      <c r="A58" s="7" t="s">
        <v>26</v>
      </c>
      <c r="B58" s="1" t="s">
        <v>10</v>
      </c>
      <c r="C58" s="2">
        <v>43165</v>
      </c>
      <c r="D58" s="2">
        <v>43230</v>
      </c>
      <c r="E58" s="3">
        <f>(Table93[[#This Row],[Serum date]]-Table93[[#This Row],[DOB]])/30.5</f>
        <v>2.1311475409836067</v>
      </c>
      <c r="F58" s="3">
        <v>2297</v>
      </c>
      <c r="G58" s="4" t="s">
        <v>5</v>
      </c>
      <c r="H58" s="1">
        <v>4.4000000000000004</v>
      </c>
      <c r="I58" s="4" t="s">
        <v>7</v>
      </c>
      <c r="J58" s="4">
        <f t="shared" si="0"/>
        <v>2</v>
      </c>
      <c r="K58" s="33" t="str">
        <f t="shared" si="1"/>
        <v>1 – 2</v>
      </c>
      <c r="L58" s="48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</row>
    <row r="59" spans="1:50" x14ac:dyDescent="0.2">
      <c r="A59" s="4" t="s">
        <v>25</v>
      </c>
      <c r="B59" s="9" t="s">
        <v>10</v>
      </c>
      <c r="C59" s="6">
        <v>43528</v>
      </c>
      <c r="D59" s="6">
        <v>43593</v>
      </c>
      <c r="E59" s="3">
        <f>(Table93[[#This Row],[Serum date]]-Table93[[#This Row],[DOB]])/30.5</f>
        <v>2.1311475409836067</v>
      </c>
      <c r="F59" s="3">
        <v>3136</v>
      </c>
      <c r="G59" s="4" t="s">
        <v>5</v>
      </c>
      <c r="H59" s="14">
        <v>5.8</v>
      </c>
      <c r="I59" s="4" t="s">
        <v>7</v>
      </c>
      <c r="J59" s="4">
        <f t="shared" si="0"/>
        <v>2</v>
      </c>
      <c r="K59" s="33" t="str">
        <f t="shared" si="1"/>
        <v>1 – 2</v>
      </c>
      <c r="L59" s="48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</row>
    <row r="60" spans="1:50" ht="19" x14ac:dyDescent="0.25">
      <c r="A60" s="4" t="s">
        <v>20</v>
      </c>
      <c r="B60" s="4" t="s">
        <v>10</v>
      </c>
      <c r="C60" s="6">
        <v>43473</v>
      </c>
      <c r="D60" s="2">
        <v>43559</v>
      </c>
      <c r="E60" s="3">
        <f>(Table93[[#This Row],[Serum date]]-Table93[[#This Row],[DOB]])/30.5</f>
        <v>2.819672131147541</v>
      </c>
      <c r="F60" s="3">
        <v>20287</v>
      </c>
      <c r="G60" s="4" t="s">
        <v>5</v>
      </c>
      <c r="H60" s="5">
        <v>16</v>
      </c>
      <c r="I60" s="4" t="s">
        <v>7</v>
      </c>
      <c r="J60" s="4">
        <f t="shared" si="0"/>
        <v>2</v>
      </c>
      <c r="K60" s="33" t="str">
        <f t="shared" si="1"/>
        <v>1 – 2</v>
      </c>
      <c r="L60" s="48"/>
      <c r="M60" s="91"/>
      <c r="N60" s="101"/>
      <c r="O60" s="101"/>
      <c r="P60" s="101"/>
      <c r="Q60" s="101"/>
      <c r="R60" s="101"/>
      <c r="S60" s="101"/>
      <c r="T60" s="101"/>
      <c r="U60" s="91"/>
      <c r="V60" s="91"/>
      <c r="W60" s="91"/>
      <c r="X60" s="91"/>
      <c r="Y60" s="91"/>
      <c r="Z60" s="91"/>
      <c r="AA60" s="91"/>
      <c r="AB60" s="91"/>
      <c r="AC60" s="91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</row>
    <row r="61" spans="1:50" ht="19" x14ac:dyDescent="0.25">
      <c r="A61" s="4" t="s">
        <v>16</v>
      </c>
      <c r="B61" s="9" t="s">
        <v>10</v>
      </c>
      <c r="C61" s="6">
        <v>43381</v>
      </c>
      <c r="D61" s="6">
        <v>43447</v>
      </c>
      <c r="E61" s="3">
        <f>(Table93[[#This Row],[Serum date]]-Table93[[#This Row],[DOB]])/30.5</f>
        <v>2.1639344262295084</v>
      </c>
      <c r="F61" s="73">
        <v>1644</v>
      </c>
      <c r="G61" s="4" t="s">
        <v>5</v>
      </c>
      <c r="H61" s="10">
        <v>0.8</v>
      </c>
      <c r="I61" s="4" t="s">
        <v>8</v>
      </c>
      <c r="J61" s="4">
        <f t="shared" si="0"/>
        <v>2</v>
      </c>
      <c r="K61" s="33" t="str">
        <f t="shared" si="1"/>
        <v>1 – 2</v>
      </c>
      <c r="L61" s="48"/>
      <c r="M61" s="91"/>
      <c r="N61" s="98"/>
      <c r="O61" s="91"/>
      <c r="P61" s="91"/>
      <c r="Q61" s="94"/>
      <c r="R61" s="94"/>
      <c r="S61" s="102"/>
      <c r="T61" s="102"/>
      <c r="U61" s="91"/>
      <c r="V61" s="91"/>
      <c r="W61" s="91"/>
      <c r="X61" s="91"/>
      <c r="Y61" s="91"/>
      <c r="Z61" s="91"/>
      <c r="AA61" s="91"/>
      <c r="AB61" s="91"/>
      <c r="AC61" s="91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</row>
    <row r="62" spans="1:50" x14ac:dyDescent="0.2">
      <c r="A62" s="4" t="s">
        <v>15</v>
      </c>
      <c r="B62" s="9" t="s">
        <v>10</v>
      </c>
      <c r="C62" s="6">
        <v>43381</v>
      </c>
      <c r="D62" s="6">
        <v>43447</v>
      </c>
      <c r="E62" s="3">
        <f>(Table93[[#This Row],[Serum date]]-Table93[[#This Row],[DOB]])/30.5</f>
        <v>2.1639344262295084</v>
      </c>
      <c r="F62" s="74">
        <v>1788</v>
      </c>
      <c r="G62" s="4" t="s">
        <v>5</v>
      </c>
      <c r="H62" s="10">
        <v>0.8</v>
      </c>
      <c r="I62" s="4" t="s">
        <v>8</v>
      </c>
      <c r="J62" s="4">
        <f t="shared" si="0"/>
        <v>2</v>
      </c>
      <c r="K62" s="33" t="str">
        <f t="shared" si="1"/>
        <v>1 – 2</v>
      </c>
      <c r="L62" s="48"/>
      <c r="M62" s="91"/>
      <c r="N62" s="91"/>
      <c r="O62" s="91"/>
      <c r="P62" s="91"/>
      <c r="Q62" s="91"/>
      <c r="R62" s="97"/>
      <c r="S62" s="99"/>
      <c r="T62" s="99"/>
      <c r="U62" s="91"/>
      <c r="V62" s="91"/>
      <c r="W62" s="91"/>
      <c r="X62" s="91"/>
      <c r="Y62" s="91"/>
      <c r="Z62" s="91"/>
      <c r="AA62" s="91"/>
      <c r="AB62" s="91"/>
      <c r="AC62" s="91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</row>
    <row r="63" spans="1:50" x14ac:dyDescent="0.2">
      <c r="A63" s="4" t="s">
        <v>14</v>
      </c>
      <c r="B63" s="4" t="s">
        <v>10</v>
      </c>
      <c r="C63" s="6">
        <v>43369</v>
      </c>
      <c r="D63" s="2">
        <v>43447</v>
      </c>
      <c r="E63" s="3">
        <f>(Table93[[#This Row],[Serum date]]-Table93[[#This Row],[DOB]])/30.5</f>
        <v>2.557377049180328</v>
      </c>
      <c r="F63" s="79">
        <v>2459</v>
      </c>
      <c r="G63" s="4" t="s">
        <v>5</v>
      </c>
      <c r="H63" s="7">
        <v>1.3681691708402897</v>
      </c>
      <c r="I63" s="4" t="s">
        <v>7</v>
      </c>
      <c r="J63" s="4">
        <f t="shared" si="0"/>
        <v>2</v>
      </c>
      <c r="K63" s="33" t="str">
        <f t="shared" si="1"/>
        <v>1 – 2</v>
      </c>
      <c r="L63" s="48"/>
      <c r="M63" s="91"/>
      <c r="N63" s="91"/>
      <c r="O63" s="91"/>
      <c r="P63" s="91"/>
      <c r="Q63" s="91"/>
      <c r="R63" s="91"/>
      <c r="S63" s="99"/>
      <c r="T63" s="99"/>
      <c r="U63" s="91"/>
      <c r="V63" s="91"/>
      <c r="W63" s="91"/>
      <c r="X63" s="91"/>
      <c r="Y63" s="91"/>
      <c r="Z63" s="91"/>
      <c r="AA63" s="91"/>
      <c r="AB63" s="91"/>
      <c r="AC63" s="91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</row>
    <row r="64" spans="1:50" x14ac:dyDescent="0.2">
      <c r="A64" s="4" t="s">
        <v>13</v>
      </c>
      <c r="B64" s="4" t="s">
        <v>10</v>
      </c>
      <c r="C64" s="6">
        <v>43369</v>
      </c>
      <c r="D64" s="2">
        <v>43447</v>
      </c>
      <c r="E64" s="3">
        <f>(Table93[[#This Row],[Serum date]]-Table93[[#This Row],[DOB]])/30.5</f>
        <v>2.557377049180328</v>
      </c>
      <c r="F64" s="76">
        <v>1475</v>
      </c>
      <c r="G64" s="4" t="s">
        <v>5</v>
      </c>
      <c r="H64" s="7">
        <v>0.82081246521981077</v>
      </c>
      <c r="I64" s="4" t="s">
        <v>7</v>
      </c>
      <c r="J64" s="4">
        <f t="shared" si="0"/>
        <v>2</v>
      </c>
      <c r="K64" s="33" t="str">
        <f t="shared" si="1"/>
        <v>1 – 2</v>
      </c>
      <c r="L64" s="48"/>
      <c r="M64" s="91"/>
      <c r="N64" s="91"/>
      <c r="O64" s="91"/>
      <c r="P64" s="91"/>
      <c r="Q64" s="91"/>
      <c r="R64" s="91"/>
      <c r="S64" s="99"/>
      <c r="T64" s="99"/>
      <c r="U64" s="91"/>
      <c r="V64" s="91"/>
      <c r="W64" s="91"/>
      <c r="X64" s="91"/>
      <c r="Y64" s="91"/>
      <c r="Z64" s="91"/>
      <c r="AA64" s="91"/>
      <c r="AB64" s="91"/>
      <c r="AC64" s="91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</row>
    <row r="65" spans="1:50" x14ac:dyDescent="0.2">
      <c r="A65" s="4" t="s">
        <v>12</v>
      </c>
      <c r="B65" s="4" t="s">
        <v>10</v>
      </c>
      <c r="C65" s="6">
        <v>43367</v>
      </c>
      <c r="D65" s="2">
        <v>43447</v>
      </c>
      <c r="E65" s="3">
        <f>(Table93[[#This Row],[Serum date]]-Table93[[#This Row],[DOB]])/30.5</f>
        <v>2.622950819672131</v>
      </c>
      <c r="F65" s="3">
        <v>1900</v>
      </c>
      <c r="G65" s="4" t="s">
        <v>5</v>
      </c>
      <c r="H65" s="7">
        <v>1.0573177518085699</v>
      </c>
      <c r="I65" s="4" t="s">
        <v>7</v>
      </c>
      <c r="J65" s="4">
        <f t="shared" si="0"/>
        <v>2</v>
      </c>
      <c r="K65" s="33" t="str">
        <f t="shared" si="1"/>
        <v>1 – 2</v>
      </c>
      <c r="L65" s="48"/>
      <c r="M65" s="91"/>
      <c r="N65" s="91"/>
      <c r="O65" s="91"/>
      <c r="P65" s="91"/>
      <c r="Q65" s="91"/>
      <c r="R65" s="91"/>
      <c r="S65" s="99"/>
      <c r="T65" s="99"/>
      <c r="U65" s="91"/>
      <c r="V65" s="91"/>
      <c r="W65" s="91"/>
      <c r="X65" s="91"/>
      <c r="Y65" s="91"/>
      <c r="Z65" s="91"/>
      <c r="AA65" s="91"/>
      <c r="AB65" s="91"/>
      <c r="AC65" s="91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</row>
    <row r="66" spans="1:50" x14ac:dyDescent="0.2">
      <c r="A66" s="4" t="s">
        <v>11</v>
      </c>
      <c r="B66" s="4" t="s">
        <v>10</v>
      </c>
      <c r="C66" s="6">
        <v>43367</v>
      </c>
      <c r="D66" s="2">
        <v>43447</v>
      </c>
      <c r="E66" s="3">
        <f>(Table93[[#This Row],[Serum date]]-Table93[[#This Row],[DOB]])/30.5</f>
        <v>2.622950819672131</v>
      </c>
      <c r="F66" s="3">
        <v>2141</v>
      </c>
      <c r="G66" s="4" t="s">
        <v>5</v>
      </c>
      <c r="H66" s="7">
        <v>1.1913188647746242</v>
      </c>
      <c r="I66" s="4" t="s">
        <v>7</v>
      </c>
      <c r="J66" s="4">
        <f t="shared" ref="J66:J129" si="2">IF($E66&lt;2,1,IF($E66&lt;3,2,IF($E66&lt;4,3,IF($E66&lt;5,4,IF($E66&lt;6,5,IF($E66&lt;7,6,IF($E66&lt;8,7,IF($E66&lt;9,8,IF($E66&lt;10,9,IF($E66&lt;11,10,IF($E66&lt;12,11,IF($E66&lt;13,12,IF($E66&lt;14,13,IF($E66&lt;15,14,IF($E66&lt;16,15,IF($E66&lt;17,16,IF($E66&lt;18,17,IF($E66&lt;19,18,IF($E66&lt;20,19,20)))))))))))))))))))</f>
        <v>2</v>
      </c>
      <c r="K66" s="33" t="str">
        <f t="shared" ref="K66:K129" si="3">IF($J66&lt;3,"1 – 2",IF($J66&lt;5,"3 – 4",IF($J66&lt;7,"5 – 6",IF($J66&lt;9,"7 – 8",IF($J66&lt;11,"9 – 10",IF($J66&lt;13,"11 – 12",IF($J66&lt;16,"13 – 15","16 – 19")))))))</f>
        <v>1 – 2</v>
      </c>
      <c r="L66" s="48"/>
      <c r="M66" s="91"/>
      <c r="N66" s="91"/>
      <c r="O66" s="91"/>
      <c r="P66" s="91"/>
      <c r="Q66" s="91"/>
      <c r="R66" s="91"/>
      <c r="S66" s="99"/>
      <c r="T66" s="99"/>
      <c r="U66" s="91"/>
      <c r="V66" s="91"/>
      <c r="W66" s="91"/>
      <c r="X66" s="91"/>
      <c r="Y66" s="91"/>
      <c r="Z66" s="91"/>
      <c r="AA66" s="91"/>
      <c r="AB66" s="91"/>
      <c r="AC66" s="91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</row>
    <row r="67" spans="1:50" x14ac:dyDescent="0.2">
      <c r="A67" s="7" t="s">
        <v>9</v>
      </c>
      <c r="B67" s="1" t="s">
        <v>10</v>
      </c>
      <c r="C67" s="2">
        <v>43164</v>
      </c>
      <c r="D67" s="2">
        <v>43230</v>
      </c>
      <c r="E67" s="3">
        <f>(Table93[[#This Row],[Serum date]]-Table93[[#This Row],[DOB]])/30.5</f>
        <v>2.1639344262295084</v>
      </c>
      <c r="F67" s="3">
        <v>773</v>
      </c>
      <c r="G67" s="4" t="s">
        <v>5</v>
      </c>
      <c r="H67" s="1">
        <v>1.5</v>
      </c>
      <c r="I67" s="4" t="s">
        <v>7</v>
      </c>
      <c r="J67" s="4">
        <f t="shared" si="2"/>
        <v>2</v>
      </c>
      <c r="K67" s="33" t="str">
        <f t="shared" si="3"/>
        <v>1 – 2</v>
      </c>
      <c r="L67" s="48"/>
      <c r="M67" s="91"/>
      <c r="N67" s="91"/>
      <c r="O67" s="91"/>
      <c r="P67" s="91"/>
      <c r="Q67" s="91"/>
      <c r="R67" s="91"/>
      <c r="S67" s="99"/>
      <c r="T67" s="99"/>
      <c r="U67" s="91"/>
      <c r="V67" s="91"/>
      <c r="W67" s="91"/>
      <c r="X67" s="91"/>
      <c r="Y67" s="91"/>
      <c r="Z67" s="91"/>
      <c r="AA67" s="91"/>
      <c r="AB67" s="91"/>
      <c r="AC67" s="91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</row>
    <row r="68" spans="1:50" x14ac:dyDescent="0.2">
      <c r="A68" s="1" t="s">
        <v>40</v>
      </c>
      <c r="B68" s="1" t="s">
        <v>10</v>
      </c>
      <c r="C68" s="2">
        <v>43808</v>
      </c>
      <c r="D68" s="6">
        <v>43878</v>
      </c>
      <c r="E68" s="3">
        <f>(Table93[[#This Row],[Serum date]]-Table93[[#This Row],[DOB]])/30.5</f>
        <v>2.2950819672131146</v>
      </c>
      <c r="F68" s="3">
        <v>1122</v>
      </c>
      <c r="G68" s="4" t="s">
        <v>5</v>
      </c>
      <c r="H68" s="4">
        <v>0.9</v>
      </c>
      <c r="I68" s="4" t="s">
        <v>7</v>
      </c>
      <c r="J68" s="4">
        <f t="shared" si="2"/>
        <v>2</v>
      </c>
      <c r="K68" s="33" t="str">
        <f t="shared" si="3"/>
        <v>1 – 2</v>
      </c>
      <c r="L68" s="48"/>
      <c r="M68" s="91"/>
      <c r="N68" s="91"/>
      <c r="O68" s="91"/>
      <c r="P68" s="91"/>
      <c r="Q68" s="91"/>
      <c r="R68" s="91"/>
      <c r="S68" s="99"/>
      <c r="T68" s="99"/>
      <c r="U68" s="91"/>
      <c r="V68" s="91"/>
      <c r="W68" s="91"/>
      <c r="X68" s="91"/>
      <c r="Y68" s="91"/>
      <c r="Z68" s="91"/>
      <c r="AA68" s="91"/>
      <c r="AB68" s="91"/>
      <c r="AC68" s="91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</row>
    <row r="69" spans="1:50" x14ac:dyDescent="0.2">
      <c r="A69" s="4" t="s">
        <v>39</v>
      </c>
      <c r="B69" s="4" t="s">
        <v>10</v>
      </c>
      <c r="C69" s="6">
        <v>43808</v>
      </c>
      <c r="D69" s="6">
        <v>43910</v>
      </c>
      <c r="E69" s="3">
        <f>(Table93[[#This Row],[Serum date]]-Table93[[#This Row],[DOB]])/30.5</f>
        <v>3.3442622950819674</v>
      </c>
      <c r="F69" s="3">
        <v>1558</v>
      </c>
      <c r="G69" s="4" t="s">
        <v>5</v>
      </c>
      <c r="H69" s="17">
        <v>1.2159052906160122</v>
      </c>
      <c r="I69" s="4" t="s">
        <v>7</v>
      </c>
      <c r="J69" s="4">
        <f t="shared" si="2"/>
        <v>3</v>
      </c>
      <c r="K69" s="33" t="str">
        <f t="shared" si="3"/>
        <v>3 – 4</v>
      </c>
      <c r="L69" s="48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</row>
    <row r="70" spans="1:50" x14ac:dyDescent="0.2">
      <c r="A70" s="4" t="s">
        <v>63</v>
      </c>
      <c r="B70" s="4" t="s">
        <v>10</v>
      </c>
      <c r="C70" s="9" t="s">
        <v>67</v>
      </c>
      <c r="D70" s="2">
        <v>43411</v>
      </c>
      <c r="E70" s="3">
        <f>(Table93[[#This Row],[Serum date]]-Table93[[#This Row],[DOB]])/30.5</f>
        <v>3.7049180327868854</v>
      </c>
      <c r="F70" s="3">
        <v>628</v>
      </c>
      <c r="G70" s="4" t="s">
        <v>5</v>
      </c>
      <c r="H70" s="11">
        <v>0.54991243432574433</v>
      </c>
      <c r="I70" s="4" t="s">
        <v>7</v>
      </c>
      <c r="J70" s="4">
        <f t="shared" si="2"/>
        <v>3</v>
      </c>
      <c r="K70" s="33" t="str">
        <f t="shared" si="3"/>
        <v>3 – 4</v>
      </c>
      <c r="L70" s="48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</row>
    <row r="71" spans="1:50" x14ac:dyDescent="0.2">
      <c r="A71" s="4" t="s">
        <v>62</v>
      </c>
      <c r="B71" s="4" t="s">
        <v>10</v>
      </c>
      <c r="C71" s="9" t="s">
        <v>67</v>
      </c>
      <c r="D71" s="2">
        <v>43411</v>
      </c>
      <c r="E71" s="3">
        <f>(Table93[[#This Row],[Serum date]]-Table93[[#This Row],[DOB]])/30.5</f>
        <v>3.7049180327868854</v>
      </c>
      <c r="F71" s="3">
        <v>1352</v>
      </c>
      <c r="G71" s="4" t="s">
        <v>5</v>
      </c>
      <c r="H71" s="11">
        <v>1.1838879159369526</v>
      </c>
      <c r="I71" s="4" t="s">
        <v>7</v>
      </c>
      <c r="J71" s="4">
        <f t="shared" si="2"/>
        <v>3</v>
      </c>
      <c r="K71" s="33" t="str">
        <f t="shared" si="3"/>
        <v>3 – 4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</row>
    <row r="72" spans="1:50" x14ac:dyDescent="0.2">
      <c r="A72" s="4" t="s">
        <v>61</v>
      </c>
      <c r="B72" s="4" t="s">
        <v>10</v>
      </c>
      <c r="C72" s="9" t="s">
        <v>67</v>
      </c>
      <c r="D72" s="2">
        <v>43411</v>
      </c>
      <c r="E72" s="3">
        <f>(Table93[[#This Row],[Serum date]]-Table93[[#This Row],[DOB]])/30.5</f>
        <v>3.7049180327868854</v>
      </c>
      <c r="F72" s="3">
        <v>39171</v>
      </c>
      <c r="G72" s="4" t="s">
        <v>5</v>
      </c>
      <c r="H72" s="5">
        <v>34.299912434325748</v>
      </c>
      <c r="I72" s="4" t="s">
        <v>7</v>
      </c>
      <c r="J72" s="4">
        <f t="shared" si="2"/>
        <v>3</v>
      </c>
      <c r="K72" s="33" t="str">
        <f t="shared" si="3"/>
        <v>3 – 4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</row>
    <row r="73" spans="1:50" x14ac:dyDescent="0.2">
      <c r="A73" s="4" t="s">
        <v>60</v>
      </c>
      <c r="B73" s="4" t="s">
        <v>10</v>
      </c>
      <c r="C73" s="9" t="s">
        <v>67</v>
      </c>
      <c r="D73" s="2">
        <v>43411</v>
      </c>
      <c r="E73" s="3">
        <f>(Table93[[#This Row],[Serum date]]-Table93[[#This Row],[DOB]])/30.5</f>
        <v>3.7049180327868854</v>
      </c>
      <c r="F73" s="3">
        <v>1761</v>
      </c>
      <c r="G73" s="4" t="s">
        <v>5</v>
      </c>
      <c r="H73" s="11">
        <v>1.5415936952714535</v>
      </c>
      <c r="I73" s="4" t="s">
        <v>7</v>
      </c>
      <c r="J73" s="4">
        <f t="shared" si="2"/>
        <v>3</v>
      </c>
      <c r="K73" s="33" t="str">
        <f t="shared" si="3"/>
        <v>3 – 4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</row>
    <row r="74" spans="1:50" x14ac:dyDescent="0.2">
      <c r="A74" s="4" t="s">
        <v>59</v>
      </c>
      <c r="B74" s="4" t="s">
        <v>10</v>
      </c>
      <c r="C74" s="9" t="s">
        <v>67</v>
      </c>
      <c r="D74" s="2">
        <v>43411</v>
      </c>
      <c r="E74" s="3">
        <f>(Table93[[#This Row],[Serum date]]-Table93[[#This Row],[DOB]])/30.5</f>
        <v>3.7049180327868854</v>
      </c>
      <c r="F74" s="3">
        <v>687</v>
      </c>
      <c r="G74" s="4" t="s">
        <v>5</v>
      </c>
      <c r="H74" s="11">
        <v>0.60157618213660247</v>
      </c>
      <c r="I74" s="4" t="s">
        <v>7</v>
      </c>
      <c r="J74" s="4">
        <f t="shared" si="2"/>
        <v>3</v>
      </c>
      <c r="K74" s="33" t="str">
        <f t="shared" si="3"/>
        <v>3 – 4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</row>
    <row r="75" spans="1:50" x14ac:dyDescent="0.2">
      <c r="A75" s="4" t="s">
        <v>58</v>
      </c>
      <c r="B75" s="4" t="s">
        <v>10</v>
      </c>
      <c r="C75" s="9" t="s">
        <v>67</v>
      </c>
      <c r="D75" s="2">
        <v>43411</v>
      </c>
      <c r="E75" s="3">
        <f>(Table93[[#This Row],[Serum date]]-Table93[[#This Row],[DOB]])/30.5</f>
        <v>3.7049180327868854</v>
      </c>
      <c r="F75" s="3">
        <v>702</v>
      </c>
      <c r="G75" s="4" t="s">
        <v>5</v>
      </c>
      <c r="H75" s="11">
        <v>0.61427320490367776</v>
      </c>
      <c r="I75" s="4" t="s">
        <v>7</v>
      </c>
      <c r="J75" s="4">
        <f t="shared" si="2"/>
        <v>3</v>
      </c>
      <c r="K75" s="33" t="str">
        <f t="shared" si="3"/>
        <v>3 – 4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</row>
    <row r="76" spans="1:50" x14ac:dyDescent="0.2">
      <c r="A76" s="9" t="s">
        <v>57</v>
      </c>
      <c r="B76" s="1" t="s">
        <v>10</v>
      </c>
      <c r="C76" s="9" t="s">
        <v>66</v>
      </c>
      <c r="D76" s="2">
        <v>43376</v>
      </c>
      <c r="E76" s="3">
        <f>(Table93[[#This Row],[Serum date]]-Table93[[#This Row],[DOB]])/30.5</f>
        <v>3.442622950819672</v>
      </c>
      <c r="F76" s="3">
        <v>313</v>
      </c>
      <c r="G76" s="4" t="s">
        <v>5</v>
      </c>
      <c r="H76" s="11">
        <v>0.6</v>
      </c>
      <c r="I76" s="4" t="s">
        <v>7</v>
      </c>
      <c r="J76" s="4">
        <f t="shared" si="2"/>
        <v>3</v>
      </c>
      <c r="K76" s="33" t="str">
        <f t="shared" si="3"/>
        <v>3 – 4</v>
      </c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</row>
    <row r="77" spans="1:50" x14ac:dyDescent="0.2">
      <c r="A77" s="9" t="s">
        <v>56</v>
      </c>
      <c r="B77" s="1" t="s">
        <v>10</v>
      </c>
      <c r="C77" s="9" t="s">
        <v>66</v>
      </c>
      <c r="D77" s="2">
        <v>43376</v>
      </c>
      <c r="E77" s="3">
        <f>(Table93[[#This Row],[Serum date]]-Table93[[#This Row],[DOB]])/30.5</f>
        <v>3.442622950819672</v>
      </c>
      <c r="F77" s="3">
        <v>450</v>
      </c>
      <c r="G77" s="4" t="s">
        <v>5</v>
      </c>
      <c r="H77" s="11">
        <v>0.8</v>
      </c>
      <c r="I77" s="4" t="s">
        <v>7</v>
      </c>
      <c r="J77" s="4">
        <f t="shared" si="2"/>
        <v>3</v>
      </c>
      <c r="K77" s="33" t="str">
        <f t="shared" si="3"/>
        <v>3 – 4</v>
      </c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</row>
    <row r="78" spans="1:50" x14ac:dyDescent="0.2">
      <c r="A78" s="9" t="s">
        <v>55</v>
      </c>
      <c r="B78" s="1" t="s">
        <v>10</v>
      </c>
      <c r="C78" s="9" t="s">
        <v>66</v>
      </c>
      <c r="D78" s="2">
        <v>43376</v>
      </c>
      <c r="E78" s="3">
        <f>(Table93[[#This Row],[Serum date]]-Table93[[#This Row],[DOB]])/30.5</f>
        <v>3.442622950819672</v>
      </c>
      <c r="F78" s="3">
        <v>587</v>
      </c>
      <c r="G78" s="4" t="s">
        <v>5</v>
      </c>
      <c r="H78" s="11">
        <v>1</v>
      </c>
      <c r="I78" s="4" t="s">
        <v>7</v>
      </c>
      <c r="J78" s="4">
        <f t="shared" si="2"/>
        <v>3</v>
      </c>
      <c r="K78" s="33" t="str">
        <f t="shared" si="3"/>
        <v>3 – 4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</row>
    <row r="79" spans="1:50" x14ac:dyDescent="0.2">
      <c r="A79" s="7" t="s">
        <v>54</v>
      </c>
      <c r="B79" s="1" t="s">
        <v>10</v>
      </c>
      <c r="C79" s="2">
        <v>43233</v>
      </c>
      <c r="D79" s="6">
        <v>43347</v>
      </c>
      <c r="E79" s="3">
        <f>(Table93[[#This Row],[Serum date]]-Table93[[#This Row],[DOB]])/30.5</f>
        <v>3.737704918032787</v>
      </c>
      <c r="F79" s="3">
        <v>2582</v>
      </c>
      <c r="G79" s="4" t="s">
        <v>5</v>
      </c>
      <c r="H79" s="11">
        <v>2.6208121827411168</v>
      </c>
      <c r="I79" s="4" t="s">
        <v>7</v>
      </c>
      <c r="J79" s="4">
        <f t="shared" si="2"/>
        <v>3</v>
      </c>
      <c r="K79" s="33" t="str">
        <f t="shared" si="3"/>
        <v>3 – 4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</row>
    <row r="80" spans="1:50" x14ac:dyDescent="0.2">
      <c r="A80" s="7" t="s">
        <v>53</v>
      </c>
      <c r="B80" s="1" t="s">
        <v>10</v>
      </c>
      <c r="C80" s="2">
        <v>43233</v>
      </c>
      <c r="D80" s="6">
        <v>43347</v>
      </c>
      <c r="E80" s="3">
        <f>(Table93[[#This Row],[Serum date]]-Table93[[#This Row],[DOB]])/30.5</f>
        <v>3.737704918032787</v>
      </c>
      <c r="F80" s="78">
        <v>7186</v>
      </c>
      <c r="G80" s="4" t="s">
        <v>5</v>
      </c>
      <c r="H80" s="8">
        <v>7.29492385786802</v>
      </c>
      <c r="I80" s="4" t="s">
        <v>7</v>
      </c>
      <c r="J80" s="4">
        <f t="shared" si="2"/>
        <v>3</v>
      </c>
      <c r="K80" s="33" t="str">
        <f t="shared" si="3"/>
        <v>3 – 4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</row>
    <row r="81" spans="1:40" x14ac:dyDescent="0.2">
      <c r="A81" s="6" t="s">
        <v>51</v>
      </c>
      <c r="B81" s="4" t="s">
        <v>10</v>
      </c>
      <c r="C81" s="6">
        <v>44179</v>
      </c>
      <c r="D81" s="25">
        <v>44300</v>
      </c>
      <c r="E81" s="3">
        <f>(Table93[[#This Row],[Serum date]]-Table93[[#This Row],[DOB]])/30.5</f>
        <v>3.9672131147540983</v>
      </c>
      <c r="F81" s="77">
        <v>6222</v>
      </c>
      <c r="G81" s="4" t="s">
        <v>5</v>
      </c>
      <c r="H81" s="10">
        <v>8.4287455973990806</v>
      </c>
      <c r="I81" s="4" t="s">
        <v>7</v>
      </c>
      <c r="J81" s="4">
        <f t="shared" si="2"/>
        <v>3</v>
      </c>
      <c r="K81" s="33" t="str">
        <f t="shared" si="3"/>
        <v>3 – 4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</row>
    <row r="82" spans="1:40" x14ac:dyDescent="0.2">
      <c r="A82" s="4" t="s">
        <v>52</v>
      </c>
      <c r="B82" s="4" t="s">
        <v>10</v>
      </c>
      <c r="C82" s="6">
        <v>44179</v>
      </c>
      <c r="D82" s="25">
        <v>44300</v>
      </c>
      <c r="E82" s="3">
        <f>(Table93[[#This Row],[Serum date]]-Table93[[#This Row],[DOB]])/30.5</f>
        <v>3.9672131147540983</v>
      </c>
      <c r="F82" s="3">
        <v>22462</v>
      </c>
      <c r="G82" s="4" t="s">
        <v>5</v>
      </c>
      <c r="H82" s="10">
        <v>30.427526415605531</v>
      </c>
      <c r="I82" s="4" t="s">
        <v>7</v>
      </c>
      <c r="J82" s="4">
        <f t="shared" si="2"/>
        <v>3</v>
      </c>
      <c r="K82" s="33" t="str">
        <f t="shared" si="3"/>
        <v>3 – 4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</row>
    <row r="83" spans="1:40" x14ac:dyDescent="0.2">
      <c r="A83" s="4" t="s">
        <v>50</v>
      </c>
      <c r="B83" s="4" t="s">
        <v>10</v>
      </c>
      <c r="C83" s="6">
        <v>44179</v>
      </c>
      <c r="D83" s="41">
        <v>44300</v>
      </c>
      <c r="E83" s="3">
        <f>(Table93[[#This Row],[Serum date]]-Table93[[#This Row],[DOB]])/30.5</f>
        <v>3.9672131147540983</v>
      </c>
      <c r="F83" s="3">
        <v>154991</v>
      </c>
      <c r="G83" s="4" t="s">
        <v>5</v>
      </c>
      <c r="H83" s="10">
        <v>209.95787049580065</v>
      </c>
      <c r="I83" s="4" t="s">
        <v>7</v>
      </c>
      <c r="J83" s="4">
        <f t="shared" si="2"/>
        <v>3</v>
      </c>
      <c r="K83" s="33" t="str">
        <f t="shared" si="3"/>
        <v>3 – 4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</row>
    <row r="84" spans="1:40" x14ac:dyDescent="0.2">
      <c r="A84" s="4" t="s">
        <v>49</v>
      </c>
      <c r="B84" s="4" t="s">
        <v>10</v>
      </c>
      <c r="C84" s="6">
        <v>43892</v>
      </c>
      <c r="D84" s="40">
        <v>43989</v>
      </c>
      <c r="E84" s="3">
        <f>(Table93[[#This Row],[Serum date]]-Table93[[#This Row],[DOB]])/30.5</f>
        <v>3.180327868852459</v>
      </c>
      <c r="F84" s="3">
        <v>72894</v>
      </c>
      <c r="G84" s="4" t="s">
        <v>5</v>
      </c>
      <c r="H84" s="4">
        <v>37.6</v>
      </c>
      <c r="I84" s="4" t="s">
        <v>7</v>
      </c>
      <c r="J84" s="4">
        <f t="shared" si="2"/>
        <v>3</v>
      </c>
      <c r="K84" s="33" t="str">
        <f t="shared" si="3"/>
        <v>3 – 4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</row>
    <row r="85" spans="1:40" x14ac:dyDescent="0.2">
      <c r="A85" s="4" t="s">
        <v>48</v>
      </c>
      <c r="B85" s="4" t="s">
        <v>10</v>
      </c>
      <c r="C85" s="6">
        <v>43892</v>
      </c>
      <c r="D85" s="40">
        <v>43989</v>
      </c>
      <c r="E85" s="3">
        <f>(Table93[[#This Row],[Serum date]]-Table93[[#This Row],[DOB]])/30.5</f>
        <v>3.180327868852459</v>
      </c>
      <c r="F85" s="3">
        <v>1954</v>
      </c>
      <c r="G85" s="4" t="s">
        <v>5</v>
      </c>
      <c r="H85" s="4">
        <v>1</v>
      </c>
      <c r="I85" s="4" t="s">
        <v>7</v>
      </c>
      <c r="J85" s="4">
        <f t="shared" si="2"/>
        <v>3</v>
      </c>
      <c r="K85" s="33" t="str">
        <f t="shared" si="3"/>
        <v>3 – 4</v>
      </c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</row>
    <row r="86" spans="1:40" x14ac:dyDescent="0.2">
      <c r="A86" s="4" t="s">
        <v>47</v>
      </c>
      <c r="B86" s="4" t="s">
        <v>10</v>
      </c>
      <c r="C86" s="6">
        <v>43892</v>
      </c>
      <c r="D86" s="19">
        <v>43989</v>
      </c>
      <c r="E86" s="3">
        <f>(Table93[[#This Row],[Serum date]]-Table93[[#This Row],[DOB]])/30.5</f>
        <v>3.180327868852459</v>
      </c>
      <c r="F86" s="3">
        <v>4241.2</v>
      </c>
      <c r="G86" s="4" t="s">
        <v>5</v>
      </c>
      <c r="H86" s="4">
        <v>2.2000000000000002</v>
      </c>
      <c r="I86" s="4" t="s">
        <v>7</v>
      </c>
      <c r="J86" s="4">
        <f t="shared" si="2"/>
        <v>3</v>
      </c>
      <c r="K86" s="33" t="str">
        <f t="shared" si="3"/>
        <v>3 – 4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</row>
    <row r="87" spans="1:40" x14ac:dyDescent="0.2">
      <c r="A87" s="4" t="s">
        <v>46</v>
      </c>
      <c r="B87" s="4" t="s">
        <v>10</v>
      </c>
      <c r="C87" s="6">
        <v>43892</v>
      </c>
      <c r="D87" s="19">
        <v>43989</v>
      </c>
      <c r="E87" s="3">
        <f>(Table93[[#This Row],[Serum date]]-Table93[[#This Row],[DOB]])/30.5</f>
        <v>3.180327868852459</v>
      </c>
      <c r="F87" s="3">
        <v>2285</v>
      </c>
      <c r="G87" s="4" t="s">
        <v>5</v>
      </c>
      <c r="H87" s="4">
        <v>1.2</v>
      </c>
      <c r="I87" s="4" t="s">
        <v>7</v>
      </c>
      <c r="J87" s="4">
        <f t="shared" si="2"/>
        <v>3</v>
      </c>
      <c r="K87" s="33" t="str">
        <f t="shared" si="3"/>
        <v>3 – 4</v>
      </c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</row>
    <row r="88" spans="1:40" x14ac:dyDescent="0.2">
      <c r="A88" s="4" t="s">
        <v>45</v>
      </c>
      <c r="B88" s="4" t="s">
        <v>10</v>
      </c>
      <c r="C88" s="6">
        <v>43892</v>
      </c>
      <c r="D88" s="6">
        <v>43989</v>
      </c>
      <c r="E88" s="3">
        <f>(Table93[[#This Row],[Serum date]]-Table93[[#This Row],[DOB]])/30.5</f>
        <v>3.180327868852459</v>
      </c>
      <c r="F88" s="3">
        <v>35913.5</v>
      </c>
      <c r="G88" s="4" t="s">
        <v>5</v>
      </c>
      <c r="H88" s="4">
        <v>78.599999999999994</v>
      </c>
      <c r="I88" s="4" t="s">
        <v>7</v>
      </c>
      <c r="J88" s="4">
        <f t="shared" si="2"/>
        <v>3</v>
      </c>
      <c r="K88" s="33" t="str">
        <f t="shared" si="3"/>
        <v>3 – 4</v>
      </c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</row>
    <row r="89" spans="1:40" x14ac:dyDescent="0.2">
      <c r="A89" s="4" t="s">
        <v>44</v>
      </c>
      <c r="B89" s="4" t="s">
        <v>10</v>
      </c>
      <c r="C89" s="6">
        <v>43892</v>
      </c>
      <c r="D89" s="23">
        <v>43984</v>
      </c>
      <c r="E89" s="3">
        <f>(Table93[[#This Row],[Serum date]]-Table93[[#This Row],[DOB]])/30.5</f>
        <v>3.0163934426229506</v>
      </c>
      <c r="F89" s="3">
        <v>28849.300000000003</v>
      </c>
      <c r="G89" s="4" t="s">
        <v>5</v>
      </c>
      <c r="H89" s="24">
        <v>14.9</v>
      </c>
      <c r="I89" s="4" t="s">
        <v>7</v>
      </c>
      <c r="J89" s="4">
        <f t="shared" si="2"/>
        <v>3</v>
      </c>
      <c r="K89" s="33" t="str">
        <f t="shared" si="3"/>
        <v>3 – 4</v>
      </c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</row>
    <row r="90" spans="1:40" x14ac:dyDescent="0.2">
      <c r="A90" s="4" t="s">
        <v>44</v>
      </c>
      <c r="B90" s="4" t="s">
        <v>10</v>
      </c>
      <c r="C90" s="6">
        <v>43892</v>
      </c>
      <c r="D90" s="6">
        <v>44008</v>
      </c>
      <c r="E90" s="3">
        <f>(Table93[[#This Row],[Serum date]]-Table93[[#This Row],[DOB]])/30.5</f>
        <v>3.8032786885245899</v>
      </c>
      <c r="F90" s="3">
        <v>49272.5</v>
      </c>
      <c r="G90" s="4" t="s">
        <v>5</v>
      </c>
      <c r="H90" s="24">
        <v>107.8</v>
      </c>
      <c r="I90" s="4" t="s">
        <v>7</v>
      </c>
      <c r="J90" s="4">
        <f t="shared" si="2"/>
        <v>3</v>
      </c>
      <c r="K90" s="33" t="str">
        <f t="shared" si="3"/>
        <v>3 – 4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</row>
    <row r="91" spans="1:40" x14ac:dyDescent="0.2">
      <c r="A91" s="4" t="s">
        <v>43</v>
      </c>
      <c r="B91" s="4" t="s">
        <v>10</v>
      </c>
      <c r="C91" s="6">
        <v>43878</v>
      </c>
      <c r="D91" s="43">
        <v>43989</v>
      </c>
      <c r="E91" s="3">
        <f>(Table93[[#This Row],[Serum date]]-Table93[[#This Row],[DOB]])/30.5</f>
        <v>3.639344262295082</v>
      </c>
      <c r="F91" s="3">
        <v>3397</v>
      </c>
      <c r="G91" s="4" t="s">
        <v>5</v>
      </c>
      <c r="H91" s="45">
        <v>1.8</v>
      </c>
      <c r="I91" s="4" t="s">
        <v>7</v>
      </c>
      <c r="J91" s="4">
        <f t="shared" si="2"/>
        <v>3</v>
      </c>
      <c r="K91" s="33" t="str">
        <f t="shared" si="3"/>
        <v>3 – 4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</row>
    <row r="92" spans="1:40" x14ac:dyDescent="0.2">
      <c r="A92" s="4" t="s">
        <v>42</v>
      </c>
      <c r="B92" s="4" t="s">
        <v>10</v>
      </c>
      <c r="C92" s="6">
        <v>43878</v>
      </c>
      <c r="D92" s="44">
        <v>43989</v>
      </c>
      <c r="E92" s="3">
        <f>(Table93[[#This Row],[Serum date]]-Table93[[#This Row],[DOB]])/30.5</f>
        <v>3.639344262295082</v>
      </c>
      <c r="F92" s="3">
        <v>7524</v>
      </c>
      <c r="G92" s="4" t="s">
        <v>5</v>
      </c>
      <c r="H92" s="7">
        <v>3.9</v>
      </c>
      <c r="I92" s="4" t="s">
        <v>7</v>
      </c>
      <c r="J92" s="4">
        <f t="shared" si="2"/>
        <v>3</v>
      </c>
      <c r="K92" s="33" t="str">
        <f t="shared" si="3"/>
        <v>3 – 4</v>
      </c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</row>
    <row r="93" spans="1:40" x14ac:dyDescent="0.2">
      <c r="A93" s="4" t="s">
        <v>41</v>
      </c>
      <c r="B93" s="4" t="s">
        <v>10</v>
      </c>
      <c r="C93" s="6">
        <v>43878</v>
      </c>
      <c r="D93" s="44">
        <v>43989</v>
      </c>
      <c r="E93" s="3">
        <f>(Table93[[#This Row],[Serum date]]-Table93[[#This Row],[DOB]])/30.5</f>
        <v>3.639344262295082</v>
      </c>
      <c r="F93" s="3">
        <v>171716</v>
      </c>
      <c r="G93" s="4" t="s">
        <v>5</v>
      </c>
      <c r="H93" s="82">
        <v>88.5</v>
      </c>
      <c r="I93" s="4" t="s">
        <v>7</v>
      </c>
      <c r="J93" s="4">
        <f t="shared" si="2"/>
        <v>3</v>
      </c>
      <c r="K93" s="33" t="str">
        <f t="shared" si="3"/>
        <v>3 – 4</v>
      </c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</row>
    <row r="94" spans="1:40" x14ac:dyDescent="0.2">
      <c r="A94" s="4" t="s">
        <v>38</v>
      </c>
      <c r="B94" s="4" t="s">
        <v>10</v>
      </c>
      <c r="C94" s="6">
        <v>43794</v>
      </c>
      <c r="D94" s="6">
        <v>43894</v>
      </c>
      <c r="E94" s="3">
        <f>(Table93[[#This Row],[Serum date]]-Table93[[#This Row],[DOB]])/30.5</f>
        <v>3.278688524590164</v>
      </c>
      <c r="F94" s="3">
        <v>1949.6</v>
      </c>
      <c r="G94" s="4" t="s">
        <v>5</v>
      </c>
      <c r="H94" s="4">
        <v>0.9</v>
      </c>
      <c r="I94" s="4" t="s">
        <v>7</v>
      </c>
      <c r="J94" s="4">
        <f t="shared" si="2"/>
        <v>3</v>
      </c>
      <c r="K94" s="33" t="str">
        <f t="shared" si="3"/>
        <v>3 – 4</v>
      </c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</row>
    <row r="95" spans="1:40" x14ac:dyDescent="0.2">
      <c r="A95" s="4" t="s">
        <v>35</v>
      </c>
      <c r="B95" s="4" t="s">
        <v>10</v>
      </c>
      <c r="C95" s="6">
        <v>43794</v>
      </c>
      <c r="D95" s="6">
        <v>43894</v>
      </c>
      <c r="E95" s="3">
        <f>(Table93[[#This Row],[Serum date]]-Table93[[#This Row],[DOB]])/30.5</f>
        <v>3.278688524590164</v>
      </c>
      <c r="F95" s="3">
        <v>3383.5999999999995</v>
      </c>
      <c r="G95" s="4" t="s">
        <v>5</v>
      </c>
      <c r="H95" s="4">
        <v>1.6</v>
      </c>
      <c r="I95" s="4" t="s">
        <v>7</v>
      </c>
      <c r="J95" s="4">
        <f t="shared" si="2"/>
        <v>3</v>
      </c>
      <c r="K95" s="33" t="str">
        <f t="shared" si="3"/>
        <v>3 – 4</v>
      </c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</row>
    <row r="96" spans="1:40" x14ac:dyDescent="0.2">
      <c r="A96" s="4" t="s">
        <v>37</v>
      </c>
      <c r="B96" s="4" t="s">
        <v>10</v>
      </c>
      <c r="C96" s="6">
        <v>43794</v>
      </c>
      <c r="D96" s="36">
        <v>43910</v>
      </c>
      <c r="E96" s="3">
        <f>(Table93[[#This Row],[Serum date]]-Table93[[#This Row],[DOB]])/30.5</f>
        <v>3.8032786885245899</v>
      </c>
      <c r="F96" s="3">
        <v>10942</v>
      </c>
      <c r="G96" s="4" t="s">
        <v>5</v>
      </c>
      <c r="H96" s="17">
        <v>8.5385704412190933</v>
      </c>
      <c r="I96" s="4" t="s">
        <v>7</v>
      </c>
      <c r="J96" s="4">
        <f t="shared" si="2"/>
        <v>3</v>
      </c>
      <c r="K96" s="33" t="str">
        <f t="shared" si="3"/>
        <v>3 – 4</v>
      </c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</row>
    <row r="97" spans="1:40" x14ac:dyDescent="0.2">
      <c r="A97" s="4" t="s">
        <v>36</v>
      </c>
      <c r="B97" s="4" t="s">
        <v>10</v>
      </c>
      <c r="C97" s="6">
        <v>43794</v>
      </c>
      <c r="D97" s="37">
        <v>43894</v>
      </c>
      <c r="E97" s="3">
        <f>(Table93[[#This Row],[Serum date]]-Table93[[#This Row],[DOB]])/30.5</f>
        <v>3.278688524590164</v>
      </c>
      <c r="F97" s="77">
        <f>AVERAGE(D97:E97)</f>
        <v>21948.639344262294</v>
      </c>
      <c r="G97" s="4" t="s">
        <v>5</v>
      </c>
      <c r="H97" s="31">
        <v>1.2</v>
      </c>
      <c r="I97" s="4" t="s">
        <v>7</v>
      </c>
      <c r="J97" s="3">
        <f t="shared" si="2"/>
        <v>3</v>
      </c>
      <c r="K97" s="33" t="str">
        <f t="shared" si="3"/>
        <v>3 – 4</v>
      </c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</row>
    <row r="98" spans="1:40" x14ac:dyDescent="0.2">
      <c r="A98" s="4" t="s">
        <v>34</v>
      </c>
      <c r="B98" s="4" t="s">
        <v>10</v>
      </c>
      <c r="C98" s="6">
        <v>43794</v>
      </c>
      <c r="D98" s="36">
        <v>43894</v>
      </c>
      <c r="E98" s="3">
        <f>(Table93[[#This Row],[Serum date]]-Table93[[#This Row],[DOB]])/30.5</f>
        <v>3.278688524590164</v>
      </c>
      <c r="F98" s="74">
        <v>25703.7</v>
      </c>
      <c r="G98" s="4" t="s">
        <v>5</v>
      </c>
      <c r="H98" s="4">
        <v>12.5</v>
      </c>
      <c r="I98" s="4" t="s">
        <v>7</v>
      </c>
      <c r="J98" s="4">
        <f t="shared" si="2"/>
        <v>3</v>
      </c>
      <c r="K98" s="33" t="str">
        <f t="shared" si="3"/>
        <v>3 – 4</v>
      </c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</row>
    <row r="99" spans="1:40" x14ac:dyDescent="0.2">
      <c r="A99" s="4" t="s">
        <v>33</v>
      </c>
      <c r="B99" s="4" t="s">
        <v>10</v>
      </c>
      <c r="C99" s="6">
        <v>43763</v>
      </c>
      <c r="D99" s="6">
        <v>43862</v>
      </c>
      <c r="E99" s="3">
        <f>(Table93[[#This Row],[Serum date]]-Table93[[#This Row],[DOB]])/30.5</f>
        <v>3.2459016393442623</v>
      </c>
      <c r="F99" s="3">
        <v>54291.199999999997</v>
      </c>
      <c r="G99" s="4" t="s">
        <v>5</v>
      </c>
      <c r="H99" s="4">
        <v>58.2</v>
      </c>
      <c r="I99" s="4" t="s">
        <v>7</v>
      </c>
      <c r="J99" s="4">
        <f t="shared" si="2"/>
        <v>3</v>
      </c>
      <c r="K99" s="33" t="str">
        <f t="shared" si="3"/>
        <v>3 – 4</v>
      </c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</row>
    <row r="100" spans="1:40" x14ac:dyDescent="0.2">
      <c r="A100" s="7" t="s">
        <v>26</v>
      </c>
      <c r="B100" s="1" t="s">
        <v>10</v>
      </c>
      <c r="C100" s="2">
        <v>43165</v>
      </c>
      <c r="D100" s="2">
        <v>43258</v>
      </c>
      <c r="E100" s="3">
        <f>(Table93[[#This Row],[Serum date]]-Table93[[#This Row],[DOB]])/30.5</f>
        <v>3.0491803278688523</v>
      </c>
      <c r="F100" s="3">
        <v>945</v>
      </c>
      <c r="G100" s="4" t="s">
        <v>5</v>
      </c>
      <c r="H100" s="1">
        <v>1.2</v>
      </c>
      <c r="I100" s="4" t="s">
        <v>7</v>
      </c>
      <c r="J100" s="4">
        <f t="shared" si="2"/>
        <v>3</v>
      </c>
      <c r="K100" s="33" t="str">
        <f t="shared" si="3"/>
        <v>3 – 4</v>
      </c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</row>
    <row r="101" spans="1:40" x14ac:dyDescent="0.2">
      <c r="A101" s="7" t="s">
        <v>26</v>
      </c>
      <c r="B101" s="1" t="s">
        <v>10</v>
      </c>
      <c r="C101" s="2">
        <v>43165</v>
      </c>
      <c r="D101" s="2">
        <v>43284</v>
      </c>
      <c r="E101" s="3">
        <f>(Table93[[#This Row],[Serum date]]-Table93[[#This Row],[DOB]])/30.5</f>
        <v>3.901639344262295</v>
      </c>
      <c r="F101" s="3">
        <v>5828</v>
      </c>
      <c r="G101" s="4" t="s">
        <v>5</v>
      </c>
      <c r="H101" s="5">
        <v>9.0500000000000007</v>
      </c>
      <c r="I101" s="4" t="s">
        <v>8</v>
      </c>
      <c r="J101" s="4">
        <f t="shared" si="2"/>
        <v>3</v>
      </c>
      <c r="K101" s="33" t="str">
        <f t="shared" si="3"/>
        <v>3 – 4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</row>
    <row r="102" spans="1:40" x14ac:dyDescent="0.2">
      <c r="A102" s="4" t="s">
        <v>25</v>
      </c>
      <c r="B102" s="9" t="s">
        <v>10</v>
      </c>
      <c r="C102" s="6">
        <v>43528</v>
      </c>
      <c r="D102" s="6">
        <v>43621</v>
      </c>
      <c r="E102" s="3">
        <f>(Table93[[#This Row],[Serum date]]-Table93[[#This Row],[DOB]])/30.5</f>
        <v>3.0491803278688523</v>
      </c>
      <c r="F102" s="75">
        <f>AVERAGE(3622,6902,775)</f>
        <v>3766.3333333333335</v>
      </c>
      <c r="G102" s="4" t="s">
        <v>5</v>
      </c>
      <c r="H102" s="4">
        <v>3.5</v>
      </c>
      <c r="I102" s="4" t="s">
        <v>8</v>
      </c>
      <c r="J102" s="4">
        <f t="shared" si="2"/>
        <v>3</v>
      </c>
      <c r="K102" s="33" t="str">
        <f t="shared" si="3"/>
        <v>3 – 4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</row>
    <row r="103" spans="1:40" x14ac:dyDescent="0.2">
      <c r="A103" s="4" t="s">
        <v>20</v>
      </c>
      <c r="B103" s="4" t="s">
        <v>10</v>
      </c>
      <c r="C103" s="6">
        <v>43473</v>
      </c>
      <c r="D103" s="2">
        <v>43593</v>
      </c>
      <c r="E103" s="3">
        <f>(Table93[[#This Row],[Serum date]]-Table93[[#This Row],[DOB]])/30.5</f>
        <v>3.9344262295081966</v>
      </c>
      <c r="F103" s="76">
        <v>167237</v>
      </c>
      <c r="G103" s="4" t="s">
        <v>5</v>
      </c>
      <c r="H103" s="12">
        <v>308.60000000000002</v>
      </c>
      <c r="I103" s="4" t="s">
        <v>7</v>
      </c>
      <c r="J103" s="4">
        <f t="shared" si="2"/>
        <v>3</v>
      </c>
      <c r="K103" s="33" t="str">
        <f t="shared" si="3"/>
        <v>3 – 4</v>
      </c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</row>
    <row r="104" spans="1:40" x14ac:dyDescent="0.2">
      <c r="A104" s="4" t="s">
        <v>13</v>
      </c>
      <c r="B104" s="4" t="s">
        <v>10</v>
      </c>
      <c r="C104" s="6">
        <v>43369</v>
      </c>
      <c r="D104" s="2">
        <v>43474</v>
      </c>
      <c r="E104" s="3">
        <f>(Table93[[#This Row],[Serum date]]-Table93[[#This Row],[DOB]])/30.5</f>
        <v>3.442622950819672</v>
      </c>
      <c r="F104" s="3">
        <v>367</v>
      </c>
      <c r="G104" s="4" t="s">
        <v>5</v>
      </c>
      <c r="H104" s="7">
        <v>0.7</v>
      </c>
      <c r="I104" s="4" t="s">
        <v>7</v>
      </c>
      <c r="J104" s="4">
        <f t="shared" si="2"/>
        <v>3</v>
      </c>
      <c r="K104" s="33" t="str">
        <f t="shared" si="3"/>
        <v>3 – 4</v>
      </c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</row>
    <row r="105" spans="1:40" x14ac:dyDescent="0.2">
      <c r="A105" s="4" t="s">
        <v>12</v>
      </c>
      <c r="B105" s="4" t="s">
        <v>10</v>
      </c>
      <c r="C105" s="6">
        <v>43367</v>
      </c>
      <c r="D105" s="2">
        <v>43474</v>
      </c>
      <c r="E105" s="3">
        <f>(Table93[[#This Row],[Serum date]]-Table93[[#This Row],[DOB]])/30.5</f>
        <v>3.5081967213114753</v>
      </c>
      <c r="F105" s="3">
        <v>2682</v>
      </c>
      <c r="G105" s="4" t="s">
        <v>5</v>
      </c>
      <c r="H105" s="8">
        <v>5.0999999999999996</v>
      </c>
      <c r="I105" s="4" t="s">
        <v>7</v>
      </c>
      <c r="J105" s="4">
        <f t="shared" si="2"/>
        <v>3</v>
      </c>
      <c r="K105" s="33" t="str">
        <f t="shared" si="3"/>
        <v>3 – 4</v>
      </c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0" x14ac:dyDescent="0.2">
      <c r="A106" s="4" t="s">
        <v>11</v>
      </c>
      <c r="B106" s="4" t="s">
        <v>10</v>
      </c>
      <c r="C106" s="6">
        <v>43367</v>
      </c>
      <c r="D106" s="2">
        <v>43474</v>
      </c>
      <c r="E106" s="3">
        <f>(Table93[[#This Row],[Serum date]]-Table93[[#This Row],[DOB]])/30.5</f>
        <v>3.5081967213114753</v>
      </c>
      <c r="F106" s="3">
        <v>948</v>
      </c>
      <c r="G106" s="4" t="s">
        <v>5</v>
      </c>
      <c r="H106" s="7">
        <v>1.8</v>
      </c>
      <c r="I106" s="4" t="s">
        <v>7</v>
      </c>
      <c r="J106" s="4">
        <f t="shared" si="2"/>
        <v>3</v>
      </c>
      <c r="K106" s="33" t="str">
        <f t="shared" si="3"/>
        <v>3 – 4</v>
      </c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0" x14ac:dyDescent="0.2">
      <c r="A107" s="7" t="s">
        <v>9</v>
      </c>
      <c r="B107" s="1" t="s">
        <v>10</v>
      </c>
      <c r="C107" s="2">
        <v>43164</v>
      </c>
      <c r="D107" s="2">
        <v>43258</v>
      </c>
      <c r="E107" s="3">
        <f>(Table93[[#This Row],[Serum date]]-Table93[[#This Row],[DOB]])/30.5</f>
        <v>3.081967213114754</v>
      </c>
      <c r="F107" s="3">
        <v>1365</v>
      </c>
      <c r="G107" s="4" t="s">
        <v>5</v>
      </c>
      <c r="H107" s="1">
        <v>1.7</v>
      </c>
      <c r="I107" s="4" t="s">
        <v>7</v>
      </c>
      <c r="J107" s="4">
        <f t="shared" si="2"/>
        <v>3</v>
      </c>
      <c r="K107" s="33" t="str">
        <f t="shared" si="3"/>
        <v>3 – 4</v>
      </c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0" x14ac:dyDescent="0.2">
      <c r="A108" s="7" t="s">
        <v>9</v>
      </c>
      <c r="B108" s="1" t="s">
        <v>10</v>
      </c>
      <c r="C108" s="2">
        <v>43164</v>
      </c>
      <c r="D108" s="2">
        <v>43284</v>
      </c>
      <c r="E108" s="3">
        <f>(Table93[[#This Row],[Serum date]]-Table93[[#This Row],[DOB]])/30.5</f>
        <v>3.9344262295081966</v>
      </c>
      <c r="F108" s="75">
        <f>AVERAGE(50257,29970)</f>
        <v>40113.5</v>
      </c>
      <c r="G108" s="4" t="s">
        <v>5</v>
      </c>
      <c r="H108" s="5">
        <v>64.650000000000006</v>
      </c>
      <c r="I108" s="4" t="s">
        <v>8</v>
      </c>
      <c r="J108" s="4">
        <f t="shared" si="2"/>
        <v>3</v>
      </c>
      <c r="K108" s="33" t="str">
        <f t="shared" si="3"/>
        <v>3 – 4</v>
      </c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0" x14ac:dyDescent="0.2">
      <c r="A109" s="1" t="s">
        <v>40</v>
      </c>
      <c r="B109" s="1" t="s">
        <v>10</v>
      </c>
      <c r="C109" s="2">
        <v>43808</v>
      </c>
      <c r="D109" s="6">
        <v>43910</v>
      </c>
      <c r="E109" s="3">
        <f>(Table93[[#This Row],[Serum date]]-Table93[[#This Row],[DOB]])/30.5</f>
        <v>3.3442622950819674</v>
      </c>
      <c r="F109" s="76">
        <v>4972</v>
      </c>
      <c r="G109" s="4" t="s">
        <v>5</v>
      </c>
      <c r="H109" s="17">
        <v>3.8794729449535152</v>
      </c>
      <c r="I109" s="4" t="s">
        <v>7</v>
      </c>
      <c r="J109" s="4">
        <f t="shared" si="2"/>
        <v>3</v>
      </c>
      <c r="K109" s="33" t="str">
        <f t="shared" si="3"/>
        <v>3 – 4</v>
      </c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0" x14ac:dyDescent="0.2">
      <c r="A110" s="4" t="s">
        <v>39</v>
      </c>
      <c r="B110" s="4" t="s">
        <v>10</v>
      </c>
      <c r="C110" s="6">
        <v>43808</v>
      </c>
      <c r="D110" s="18">
        <v>43958</v>
      </c>
      <c r="E110" s="3">
        <f>(Table93[[#This Row],[Serum date]]-Table93[[#This Row],[DOB]])/30.5</f>
        <v>4.918032786885246</v>
      </c>
      <c r="F110" s="3">
        <v>1968.4</v>
      </c>
      <c r="G110" s="4" t="s">
        <v>5</v>
      </c>
      <c r="H110" s="10">
        <v>2.0076495486766279</v>
      </c>
      <c r="I110" s="4" t="s">
        <v>7</v>
      </c>
      <c r="J110" s="4">
        <f t="shared" si="2"/>
        <v>4</v>
      </c>
      <c r="K110" s="33" t="str">
        <f t="shared" si="3"/>
        <v>3 – 4</v>
      </c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0" x14ac:dyDescent="0.2">
      <c r="A111" s="4" t="s">
        <v>63</v>
      </c>
      <c r="B111" s="4" t="s">
        <v>10</v>
      </c>
      <c r="C111" s="9" t="s">
        <v>67</v>
      </c>
      <c r="D111" s="2">
        <v>43433</v>
      </c>
      <c r="E111" s="3">
        <f>(Table93[[#This Row],[Serum date]]-Table93[[#This Row],[DOB]])/30.5</f>
        <v>4.4262295081967213</v>
      </c>
      <c r="F111" s="3">
        <v>6695</v>
      </c>
      <c r="G111" s="4" t="s">
        <v>5</v>
      </c>
      <c r="H111" s="11">
        <v>3.7</v>
      </c>
      <c r="I111" s="4" t="s">
        <v>7</v>
      </c>
      <c r="J111" s="4">
        <f t="shared" si="2"/>
        <v>4</v>
      </c>
      <c r="K111" s="33" t="str">
        <f t="shared" si="3"/>
        <v>3 – 4</v>
      </c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0" x14ac:dyDescent="0.2">
      <c r="A112" s="4" t="s">
        <v>62</v>
      </c>
      <c r="B112" s="4" t="s">
        <v>10</v>
      </c>
      <c r="C112" s="9" t="s">
        <v>67</v>
      </c>
      <c r="D112" s="2">
        <v>43447</v>
      </c>
      <c r="E112" s="3">
        <f>(Table93[[#This Row],[Serum date]]-Table93[[#This Row],[DOB]])/30.5</f>
        <v>4.8852459016393439</v>
      </c>
      <c r="F112" s="3">
        <v>3248</v>
      </c>
      <c r="G112" s="4" t="s">
        <v>5</v>
      </c>
      <c r="H112" s="11">
        <v>1.8074568725653868</v>
      </c>
      <c r="I112" s="4" t="s">
        <v>7</v>
      </c>
      <c r="J112" s="4">
        <f t="shared" si="2"/>
        <v>4</v>
      </c>
      <c r="K112" s="33" t="str">
        <f t="shared" si="3"/>
        <v>3 – 4</v>
      </c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1:40" x14ac:dyDescent="0.2">
      <c r="A113" s="4" t="s">
        <v>61</v>
      </c>
      <c r="B113" s="4" t="s">
        <v>10</v>
      </c>
      <c r="C113" s="9" t="s">
        <v>67</v>
      </c>
      <c r="D113" s="2">
        <v>43447</v>
      </c>
      <c r="E113" s="3">
        <f>(Table93[[#This Row],[Serum date]]-Table93[[#This Row],[DOB]])/30.5</f>
        <v>4.8852459016393439</v>
      </c>
      <c r="F113" s="3">
        <v>95173</v>
      </c>
      <c r="G113" s="4" t="s">
        <v>5</v>
      </c>
      <c r="H113" s="5">
        <v>52.962381747356702</v>
      </c>
      <c r="I113" s="4" t="s">
        <v>7</v>
      </c>
      <c r="J113" s="4">
        <f t="shared" si="2"/>
        <v>4</v>
      </c>
      <c r="K113" s="33" t="str">
        <f t="shared" si="3"/>
        <v>3 – 4</v>
      </c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1:40" x14ac:dyDescent="0.2">
      <c r="A114" s="4" t="s">
        <v>60</v>
      </c>
      <c r="B114" s="4" t="s">
        <v>10</v>
      </c>
      <c r="C114" s="9" t="s">
        <v>67</v>
      </c>
      <c r="D114" s="2">
        <v>43433</v>
      </c>
      <c r="E114" s="3">
        <f>(Table93[[#This Row],[Serum date]]-Table93[[#This Row],[DOB]])/30.5</f>
        <v>4.4262295081967213</v>
      </c>
      <c r="F114" s="3">
        <v>5869</v>
      </c>
      <c r="G114" s="4" t="s">
        <v>5</v>
      </c>
      <c r="H114" s="1">
        <v>3.3</v>
      </c>
      <c r="I114" s="4" t="s">
        <v>7</v>
      </c>
      <c r="J114" s="4">
        <f t="shared" si="2"/>
        <v>4</v>
      </c>
      <c r="K114" s="33" t="str">
        <f t="shared" si="3"/>
        <v>3 – 4</v>
      </c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1:40" x14ac:dyDescent="0.2">
      <c r="A115" s="4" t="s">
        <v>59</v>
      </c>
      <c r="B115" s="4" t="s">
        <v>10</v>
      </c>
      <c r="C115" s="9" t="s">
        <v>67</v>
      </c>
      <c r="D115" s="2">
        <v>43433</v>
      </c>
      <c r="E115" s="3">
        <f>(Table93[[#This Row],[Serum date]]-Table93[[#This Row],[DOB]])/30.5</f>
        <v>4.4262295081967213</v>
      </c>
      <c r="F115" s="3" t="s">
        <v>75</v>
      </c>
      <c r="G115" s="4" t="s">
        <v>5</v>
      </c>
      <c r="H115" s="1">
        <v>1.3</v>
      </c>
      <c r="I115" s="4" t="s">
        <v>7</v>
      </c>
      <c r="J115" s="4">
        <f t="shared" si="2"/>
        <v>4</v>
      </c>
      <c r="K115" s="33" t="str">
        <f t="shared" si="3"/>
        <v>3 – 4</v>
      </c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1:40" x14ac:dyDescent="0.2">
      <c r="A116" s="4" t="s">
        <v>58</v>
      </c>
      <c r="B116" s="4" t="s">
        <v>10</v>
      </c>
      <c r="C116" s="9" t="s">
        <v>67</v>
      </c>
      <c r="D116" s="2">
        <v>43447</v>
      </c>
      <c r="E116" s="3">
        <f>(Table93[[#This Row],[Serum date]]-Table93[[#This Row],[DOB]])/30.5</f>
        <v>4.8852459016393439</v>
      </c>
      <c r="F116" s="3">
        <v>2833</v>
      </c>
      <c r="G116" s="4" t="s">
        <v>5</v>
      </c>
      <c r="H116" s="11">
        <v>1.5767390094602118</v>
      </c>
      <c r="I116" s="4" t="s">
        <v>7</v>
      </c>
      <c r="J116" s="4">
        <f t="shared" si="2"/>
        <v>4</v>
      </c>
      <c r="K116" s="33" t="str">
        <f t="shared" si="3"/>
        <v>3 – 4</v>
      </c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1:40" x14ac:dyDescent="0.2">
      <c r="A117" s="9" t="s">
        <v>57</v>
      </c>
      <c r="B117" s="1" t="s">
        <v>10</v>
      </c>
      <c r="C117" s="9" t="s">
        <v>66</v>
      </c>
      <c r="D117" s="2">
        <v>43413</v>
      </c>
      <c r="E117" s="3">
        <f>(Table93[[#This Row],[Serum date]]-Table93[[#This Row],[DOB]])/30.5</f>
        <v>4.6557377049180326</v>
      </c>
      <c r="F117" s="3">
        <v>2127</v>
      </c>
      <c r="G117" s="4" t="s">
        <v>5</v>
      </c>
      <c r="H117" s="1">
        <v>1.2</v>
      </c>
      <c r="I117" s="4" t="s">
        <v>7</v>
      </c>
      <c r="J117" s="4">
        <f t="shared" si="2"/>
        <v>4</v>
      </c>
      <c r="K117" s="33" t="str">
        <f t="shared" si="3"/>
        <v>3 – 4</v>
      </c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  <row r="118" spans="1:40" x14ac:dyDescent="0.2">
      <c r="A118" s="9" t="s">
        <v>56</v>
      </c>
      <c r="B118" s="1" t="s">
        <v>10</v>
      </c>
      <c r="C118" s="9" t="s">
        <v>66</v>
      </c>
      <c r="D118" s="6">
        <v>43413</v>
      </c>
      <c r="E118" s="3">
        <f>(Table93[[#This Row],[Serum date]]-Table93[[#This Row],[DOB]])/30.5</f>
        <v>4.6557377049180326</v>
      </c>
      <c r="F118" s="3">
        <v>6812</v>
      </c>
      <c r="G118" s="4" t="s">
        <v>5</v>
      </c>
      <c r="H118" s="1">
        <v>3.8</v>
      </c>
      <c r="I118" s="4" t="s">
        <v>7</v>
      </c>
      <c r="J118" s="4">
        <f t="shared" si="2"/>
        <v>4</v>
      </c>
      <c r="K118" s="33" t="str">
        <f t="shared" si="3"/>
        <v>3 – 4</v>
      </c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</row>
    <row r="119" spans="1:40" x14ac:dyDescent="0.2">
      <c r="A119" s="9" t="s">
        <v>55</v>
      </c>
      <c r="B119" s="1" t="s">
        <v>10</v>
      </c>
      <c r="C119" s="9" t="s">
        <v>66</v>
      </c>
      <c r="D119" s="2">
        <v>43413</v>
      </c>
      <c r="E119" s="3">
        <f>(Table93[[#This Row],[Serum date]]-Table93[[#This Row],[DOB]])/30.5</f>
        <v>4.6557377049180326</v>
      </c>
      <c r="F119" s="3">
        <v>2917</v>
      </c>
      <c r="G119" s="4" t="s">
        <v>5</v>
      </c>
      <c r="H119" s="1">
        <v>1.6</v>
      </c>
      <c r="I119" s="4" t="s">
        <v>7</v>
      </c>
      <c r="J119" s="4">
        <f t="shared" si="2"/>
        <v>4</v>
      </c>
      <c r="K119" s="33" t="str">
        <f t="shared" si="3"/>
        <v>3 – 4</v>
      </c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</row>
    <row r="120" spans="1:40" x14ac:dyDescent="0.2">
      <c r="A120" s="7" t="s">
        <v>54</v>
      </c>
      <c r="B120" s="1" t="s">
        <v>10</v>
      </c>
      <c r="C120" s="2">
        <v>43233</v>
      </c>
      <c r="D120" s="2">
        <v>43376</v>
      </c>
      <c r="E120" s="3">
        <f>(Table93[[#This Row],[Serum date]]-Table93[[#This Row],[DOB]])/30.5</f>
        <v>4.6885245901639347</v>
      </c>
      <c r="F120" s="3">
        <v>5008</v>
      </c>
      <c r="G120" s="4" t="s">
        <v>5</v>
      </c>
      <c r="H120" s="5">
        <v>8.9</v>
      </c>
      <c r="I120" s="4" t="s">
        <v>7</v>
      </c>
      <c r="J120" s="4">
        <f t="shared" si="2"/>
        <v>4</v>
      </c>
      <c r="K120" s="33" t="str">
        <f t="shared" si="3"/>
        <v>3 – 4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</row>
    <row r="121" spans="1:40" x14ac:dyDescent="0.2">
      <c r="A121" s="7" t="s">
        <v>53</v>
      </c>
      <c r="B121" s="1" t="s">
        <v>10</v>
      </c>
      <c r="C121" s="2">
        <v>43233</v>
      </c>
      <c r="D121" s="2">
        <v>43376</v>
      </c>
      <c r="E121" s="3">
        <f>(Table93[[#This Row],[Serum date]]-Table93[[#This Row],[DOB]])/30.5</f>
        <v>4.6885245901639347</v>
      </c>
      <c r="F121" s="3">
        <v>64219</v>
      </c>
      <c r="G121" s="4" t="s">
        <v>5</v>
      </c>
      <c r="H121" s="5">
        <v>114.1</v>
      </c>
      <c r="I121" s="4" t="s">
        <v>7</v>
      </c>
      <c r="J121" s="4">
        <f t="shared" si="2"/>
        <v>4</v>
      </c>
      <c r="K121" s="33" t="str">
        <f t="shared" si="3"/>
        <v>3 – 4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</row>
    <row r="122" spans="1:40" x14ac:dyDescent="0.2">
      <c r="A122" s="6" t="s">
        <v>51</v>
      </c>
      <c r="B122" s="4" t="s">
        <v>10</v>
      </c>
      <c r="C122" s="6">
        <v>44179</v>
      </c>
      <c r="D122" s="2">
        <v>44330</v>
      </c>
      <c r="E122" s="3">
        <f>(Table93[[#This Row],[Serum date]]-Table93[[#This Row],[DOB]])/30.5</f>
        <v>4.9508196721311473</v>
      </c>
      <c r="F122" s="3">
        <v>48960</v>
      </c>
      <c r="G122" s="4" t="s">
        <v>5</v>
      </c>
      <c r="H122" s="17">
        <v>90.732950333580419</v>
      </c>
      <c r="I122" s="4" t="s">
        <v>7</v>
      </c>
      <c r="J122" s="4">
        <f t="shared" si="2"/>
        <v>4</v>
      </c>
      <c r="K122" s="33" t="str">
        <f t="shared" si="3"/>
        <v>3 – 4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</row>
    <row r="123" spans="1:40" x14ac:dyDescent="0.2">
      <c r="A123" s="4" t="s">
        <v>52</v>
      </c>
      <c r="B123" s="4" t="s">
        <v>10</v>
      </c>
      <c r="C123" s="6">
        <v>44179</v>
      </c>
      <c r="D123" s="2">
        <v>44330</v>
      </c>
      <c r="E123" s="3">
        <f>(Table93[[#This Row],[Serum date]]-Table93[[#This Row],[DOB]])/30.5</f>
        <v>4.9508196721311473</v>
      </c>
      <c r="F123" s="3">
        <v>68039</v>
      </c>
      <c r="G123" s="4" t="s">
        <v>5</v>
      </c>
      <c r="H123" s="17">
        <v>126.09154929577464</v>
      </c>
      <c r="I123" s="4" t="s">
        <v>7</v>
      </c>
      <c r="J123" s="4">
        <f t="shared" si="2"/>
        <v>4</v>
      </c>
      <c r="K123" s="33" t="str">
        <f t="shared" si="3"/>
        <v>3 – 4</v>
      </c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</row>
    <row r="124" spans="1:40" x14ac:dyDescent="0.2">
      <c r="A124" s="4" t="s">
        <v>49</v>
      </c>
      <c r="B124" s="4" t="s">
        <v>10</v>
      </c>
      <c r="C124" s="6">
        <v>43892</v>
      </c>
      <c r="D124" s="25">
        <v>44019</v>
      </c>
      <c r="E124" s="3">
        <f>(Table93[[#This Row],[Serum date]]-Table93[[#This Row],[DOB]])/30.5</f>
        <v>4.1639344262295079</v>
      </c>
      <c r="F124" s="3">
        <v>308594</v>
      </c>
      <c r="G124" s="4" t="s">
        <v>5</v>
      </c>
      <c r="H124" s="4">
        <v>289.39999999999998</v>
      </c>
      <c r="I124" s="4" t="s">
        <v>7</v>
      </c>
      <c r="J124" s="4">
        <f t="shared" si="2"/>
        <v>4</v>
      </c>
      <c r="K124" s="33" t="str">
        <f t="shared" si="3"/>
        <v>3 – 4</v>
      </c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</row>
    <row r="125" spans="1:40" x14ac:dyDescent="0.2">
      <c r="A125" s="4" t="s">
        <v>48</v>
      </c>
      <c r="B125" s="4" t="s">
        <v>10</v>
      </c>
      <c r="C125" s="6">
        <v>43892</v>
      </c>
      <c r="D125" s="25">
        <v>44019</v>
      </c>
      <c r="E125" s="3">
        <f>(Table93[[#This Row],[Serum date]]-Table93[[#This Row],[DOB]])/30.5</f>
        <v>4.1639344262295079</v>
      </c>
      <c r="F125" s="3">
        <v>1193.8</v>
      </c>
      <c r="G125" s="4" t="s">
        <v>5</v>
      </c>
      <c r="H125" s="4">
        <v>2.4</v>
      </c>
      <c r="I125" s="4" t="s">
        <v>7</v>
      </c>
      <c r="J125" s="4">
        <f t="shared" si="2"/>
        <v>4</v>
      </c>
      <c r="K125" s="33" t="str">
        <f t="shared" si="3"/>
        <v>3 – 4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</row>
    <row r="126" spans="1:40" x14ac:dyDescent="0.2">
      <c r="A126" s="4" t="s">
        <v>47</v>
      </c>
      <c r="B126" s="4" t="s">
        <v>10</v>
      </c>
      <c r="C126" s="6">
        <v>43892</v>
      </c>
      <c r="D126" s="25">
        <v>44019</v>
      </c>
      <c r="E126" s="3">
        <f>(Table93[[#This Row],[Serum date]]-Table93[[#This Row],[DOB]])/30.5</f>
        <v>4.1639344262295079</v>
      </c>
      <c r="F126" s="3">
        <v>54942</v>
      </c>
      <c r="G126" s="4" t="s">
        <v>5</v>
      </c>
      <c r="H126" s="4">
        <v>51.5</v>
      </c>
      <c r="I126" s="4" t="s">
        <v>7</v>
      </c>
      <c r="J126" s="4">
        <f t="shared" si="2"/>
        <v>4</v>
      </c>
      <c r="K126" s="33" t="str">
        <f t="shared" si="3"/>
        <v>3 – 4</v>
      </c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</row>
    <row r="127" spans="1:40" x14ac:dyDescent="0.2">
      <c r="A127" s="4" t="s">
        <v>46</v>
      </c>
      <c r="B127" s="4" t="s">
        <v>10</v>
      </c>
      <c r="C127" s="6">
        <v>43892</v>
      </c>
      <c r="D127" s="25">
        <v>44019</v>
      </c>
      <c r="E127" s="3">
        <f>(Table93[[#This Row],[Serum date]]-Table93[[#This Row],[DOB]])/30.5</f>
        <v>4.1639344262295079</v>
      </c>
      <c r="F127" s="3">
        <v>4424</v>
      </c>
      <c r="G127" s="4" t="s">
        <v>5</v>
      </c>
      <c r="H127" s="4">
        <v>4.0999999999999996</v>
      </c>
      <c r="I127" s="4" t="s">
        <v>7</v>
      </c>
      <c r="J127" s="4">
        <f t="shared" si="2"/>
        <v>4</v>
      </c>
      <c r="K127" s="33" t="str">
        <f t="shared" si="3"/>
        <v>3 – 4</v>
      </c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</row>
    <row r="128" spans="1:40" x14ac:dyDescent="0.2">
      <c r="A128" s="4" t="s">
        <v>45</v>
      </c>
      <c r="B128" s="4" t="s">
        <v>10</v>
      </c>
      <c r="C128" s="6">
        <v>43892</v>
      </c>
      <c r="D128" s="25">
        <v>44019</v>
      </c>
      <c r="E128" s="3">
        <f>(Table93[[#This Row],[Serum date]]-Table93[[#This Row],[DOB]])/30.5</f>
        <v>4.1639344262295079</v>
      </c>
      <c r="F128" s="3">
        <v>99626</v>
      </c>
      <c r="G128" s="4" t="s">
        <v>5</v>
      </c>
      <c r="H128" s="26">
        <v>93.4</v>
      </c>
      <c r="I128" s="4" t="s">
        <v>7</v>
      </c>
      <c r="J128" s="4">
        <f t="shared" si="2"/>
        <v>4</v>
      </c>
      <c r="K128" s="33" t="str">
        <f t="shared" si="3"/>
        <v>3 – 4</v>
      </c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</row>
    <row r="129" spans="1:40" x14ac:dyDescent="0.2">
      <c r="A129" s="4" t="s">
        <v>43</v>
      </c>
      <c r="B129" s="4" t="s">
        <v>10</v>
      </c>
      <c r="C129" s="6">
        <v>43878</v>
      </c>
      <c r="D129" s="6">
        <v>44019</v>
      </c>
      <c r="E129" s="3">
        <f>(Table93[[#This Row],[Serum date]]-Table93[[#This Row],[DOB]])/30.5</f>
        <v>4.6229508196721314</v>
      </c>
      <c r="F129" s="3">
        <v>2020</v>
      </c>
      <c r="G129" s="4" t="s">
        <v>5</v>
      </c>
      <c r="H129" s="4">
        <v>4.0999999999999996</v>
      </c>
      <c r="I129" s="4" t="s">
        <v>7</v>
      </c>
      <c r="J129" s="4">
        <f t="shared" si="2"/>
        <v>4</v>
      </c>
      <c r="K129" s="33" t="str">
        <f t="shared" si="3"/>
        <v>3 – 4</v>
      </c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</row>
    <row r="130" spans="1:40" x14ac:dyDescent="0.2">
      <c r="A130" s="4" t="s">
        <v>42</v>
      </c>
      <c r="B130" s="4" t="s">
        <v>10</v>
      </c>
      <c r="C130" s="6">
        <v>43878</v>
      </c>
      <c r="D130" s="6">
        <v>44019</v>
      </c>
      <c r="E130" s="3">
        <f>(Table93[[#This Row],[Serum date]]-Table93[[#This Row],[DOB]])/30.5</f>
        <v>4.6229508196721314</v>
      </c>
      <c r="F130" s="3">
        <v>917</v>
      </c>
      <c r="G130" s="4" t="s">
        <v>5</v>
      </c>
      <c r="H130" s="4">
        <v>1.8</v>
      </c>
      <c r="I130" s="4" t="s">
        <v>7</v>
      </c>
      <c r="J130" s="4">
        <f t="shared" ref="J130:J193" si="4">IF($E130&lt;2,1,IF($E130&lt;3,2,IF($E130&lt;4,3,IF($E130&lt;5,4,IF($E130&lt;6,5,IF($E130&lt;7,6,IF($E130&lt;8,7,IF($E130&lt;9,8,IF($E130&lt;10,9,IF($E130&lt;11,10,IF($E130&lt;12,11,IF($E130&lt;13,12,IF($E130&lt;14,13,IF($E130&lt;15,14,IF($E130&lt;16,15,IF($E130&lt;17,16,IF($E130&lt;18,17,IF($E130&lt;19,18,IF($E130&lt;20,19,20)))))))))))))))))))</f>
        <v>4</v>
      </c>
      <c r="K130" s="33" t="str">
        <f t="shared" ref="K130:K193" si="5">IF($J130&lt;3,"1 – 2",IF($J130&lt;5,"3 – 4",IF($J130&lt;7,"5 – 6",IF($J130&lt;9,"7 – 8",IF($J130&lt;11,"9 – 10",IF($J130&lt;13,"11 – 12",IF($J130&lt;16,"13 – 15","16 – 19")))))))</f>
        <v>3 – 4</v>
      </c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</row>
    <row r="131" spans="1:40" x14ac:dyDescent="0.2">
      <c r="A131" s="4" t="s">
        <v>41</v>
      </c>
      <c r="B131" s="4" t="s">
        <v>10</v>
      </c>
      <c r="C131" s="6">
        <v>43878</v>
      </c>
      <c r="D131" s="6">
        <v>44019</v>
      </c>
      <c r="E131" s="3">
        <f>(Table93[[#This Row],[Serum date]]-Table93[[#This Row],[DOB]])/30.5</f>
        <v>4.6229508196721314</v>
      </c>
      <c r="F131" s="3">
        <v>205382</v>
      </c>
      <c r="G131" s="4" t="s">
        <v>5</v>
      </c>
      <c r="H131" s="4">
        <v>192.6</v>
      </c>
      <c r="I131" s="4" t="s">
        <v>7</v>
      </c>
      <c r="J131" s="4">
        <f t="shared" si="4"/>
        <v>4</v>
      </c>
      <c r="K131" s="33" t="str">
        <f t="shared" si="5"/>
        <v>3 – 4</v>
      </c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</row>
    <row r="132" spans="1:40" x14ac:dyDescent="0.2">
      <c r="A132" s="4" t="s">
        <v>38</v>
      </c>
      <c r="B132" s="4" t="s">
        <v>10</v>
      </c>
      <c r="C132" s="6">
        <v>43794</v>
      </c>
      <c r="D132" s="6">
        <v>43929</v>
      </c>
      <c r="E132" s="3">
        <f>(Table93[[#This Row],[Serum date]]-Table93[[#This Row],[DOB]])/30.5</f>
        <v>4.4262295081967213</v>
      </c>
      <c r="F132" s="3">
        <v>3245.6</v>
      </c>
      <c r="G132" s="4" t="s">
        <v>5</v>
      </c>
      <c r="H132" s="17">
        <v>1.5352885525070956</v>
      </c>
      <c r="I132" s="4" t="s">
        <v>7</v>
      </c>
      <c r="J132" s="4">
        <f t="shared" si="4"/>
        <v>4</v>
      </c>
      <c r="K132" s="33" t="str">
        <f t="shared" si="5"/>
        <v>3 – 4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</row>
    <row r="133" spans="1:40" x14ac:dyDescent="0.2">
      <c r="A133" s="4" t="s">
        <v>35</v>
      </c>
      <c r="B133" s="4" t="s">
        <v>10</v>
      </c>
      <c r="C133" s="6">
        <v>43794</v>
      </c>
      <c r="D133" s="6">
        <v>43929</v>
      </c>
      <c r="E133" s="3">
        <f>(Table93[[#This Row],[Serum date]]-Table93[[#This Row],[DOB]])/30.5</f>
        <v>4.4262295081967213</v>
      </c>
      <c r="F133" s="3">
        <v>19617</v>
      </c>
      <c r="G133" s="4" t="s">
        <v>5</v>
      </c>
      <c r="H133" s="17">
        <v>9.2795648060548714</v>
      </c>
      <c r="I133" s="4" t="s">
        <v>7</v>
      </c>
      <c r="J133" s="4">
        <f t="shared" si="4"/>
        <v>4</v>
      </c>
      <c r="K133" s="33" t="str">
        <f t="shared" si="5"/>
        <v>3 – 4</v>
      </c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</row>
    <row r="134" spans="1:40" x14ac:dyDescent="0.2">
      <c r="A134" s="4" t="s">
        <v>36</v>
      </c>
      <c r="B134" s="4" t="s">
        <v>10</v>
      </c>
      <c r="C134" s="6">
        <v>43794</v>
      </c>
      <c r="D134" s="30">
        <v>43929</v>
      </c>
      <c r="E134" s="3">
        <f>(Table93[[#This Row],[Serum date]]-Table93[[#This Row],[DOB]])/30.5</f>
        <v>4.4262295081967213</v>
      </c>
      <c r="F134" s="3">
        <v>2423.4</v>
      </c>
      <c r="G134" s="4" t="s">
        <v>5</v>
      </c>
      <c r="H134" s="32">
        <v>1.1463576158940398</v>
      </c>
      <c r="I134" s="4" t="s">
        <v>7</v>
      </c>
      <c r="J134" s="3">
        <f t="shared" si="4"/>
        <v>4</v>
      </c>
      <c r="K134" s="33" t="str">
        <f t="shared" si="5"/>
        <v>3 – 4</v>
      </c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</row>
    <row r="135" spans="1:40" x14ac:dyDescent="0.2">
      <c r="A135" s="4" t="s">
        <v>34</v>
      </c>
      <c r="B135" s="4" t="s">
        <v>10</v>
      </c>
      <c r="C135" s="6">
        <v>43794</v>
      </c>
      <c r="D135" s="6">
        <v>43929</v>
      </c>
      <c r="E135" s="3">
        <f>(Table93[[#This Row],[Serum date]]-Table93[[#This Row],[DOB]])/30.5</f>
        <v>4.4262295081967213</v>
      </c>
      <c r="F135" s="3">
        <v>34323.1</v>
      </c>
      <c r="G135" s="4" t="s">
        <v>5</v>
      </c>
      <c r="H135" s="17">
        <v>16.236092715231788</v>
      </c>
      <c r="I135" s="4" t="s">
        <v>7</v>
      </c>
      <c r="J135" s="4">
        <f t="shared" si="4"/>
        <v>4</v>
      </c>
      <c r="K135" s="33" t="str">
        <f t="shared" si="5"/>
        <v>3 – 4</v>
      </c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</row>
    <row r="136" spans="1:40" x14ac:dyDescent="0.2">
      <c r="A136" s="4" t="s">
        <v>33</v>
      </c>
      <c r="B136" s="4" t="s">
        <v>10</v>
      </c>
      <c r="C136" s="6">
        <v>43763</v>
      </c>
      <c r="D136" s="6">
        <v>43894</v>
      </c>
      <c r="E136" s="3">
        <f>(Table93[[#This Row],[Serum date]]-Table93[[#This Row],[DOB]])/30.5</f>
        <v>4.2950819672131146</v>
      </c>
      <c r="F136" s="3">
        <v>483254.4</v>
      </c>
      <c r="G136" s="4" t="s">
        <v>5</v>
      </c>
      <c r="H136" s="4">
        <v>235.5</v>
      </c>
      <c r="I136" s="4" t="s">
        <v>7</v>
      </c>
      <c r="J136" s="4">
        <f t="shared" si="4"/>
        <v>4</v>
      </c>
      <c r="K136" s="33" t="str">
        <f t="shared" si="5"/>
        <v>3 – 4</v>
      </c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</row>
    <row r="137" spans="1:40" x14ac:dyDescent="0.2">
      <c r="A137" s="4" t="s">
        <v>29</v>
      </c>
      <c r="B137" s="4" t="s">
        <v>10</v>
      </c>
      <c r="C137" s="6">
        <v>43622</v>
      </c>
      <c r="D137" s="2">
        <v>43760</v>
      </c>
      <c r="E137" s="3">
        <f>(Table93[[#This Row],[Serum date]]-Table93[[#This Row],[DOB]])/30.5</f>
        <v>4.5245901639344259</v>
      </c>
      <c r="F137" s="3">
        <v>15858</v>
      </c>
      <c r="G137" s="4" t="s">
        <v>5</v>
      </c>
      <c r="H137" s="4">
        <v>2.6</v>
      </c>
      <c r="I137" s="4" t="s">
        <v>7</v>
      </c>
      <c r="J137" s="4">
        <f t="shared" si="4"/>
        <v>4</v>
      </c>
      <c r="K137" s="33" t="str">
        <f t="shared" si="5"/>
        <v>3 – 4</v>
      </c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</row>
    <row r="138" spans="1:40" x14ac:dyDescent="0.2">
      <c r="A138" s="4" t="s">
        <v>28</v>
      </c>
      <c r="B138" s="4" t="s">
        <v>10</v>
      </c>
      <c r="C138" s="6">
        <v>43622</v>
      </c>
      <c r="D138" s="2">
        <v>43760</v>
      </c>
      <c r="E138" s="3">
        <f>(Table93[[#This Row],[Serum date]]-Table93[[#This Row],[DOB]])/30.5</f>
        <v>4.5245901639344259</v>
      </c>
      <c r="F138" s="3">
        <v>42140</v>
      </c>
      <c r="G138" s="4" t="s">
        <v>5</v>
      </c>
      <c r="H138" s="4">
        <v>7</v>
      </c>
      <c r="I138" s="4" t="s">
        <v>7</v>
      </c>
      <c r="J138" s="4">
        <f t="shared" si="4"/>
        <v>4</v>
      </c>
      <c r="K138" s="33" t="str">
        <f t="shared" si="5"/>
        <v>3 – 4</v>
      </c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</row>
    <row r="139" spans="1:40" x14ac:dyDescent="0.2">
      <c r="A139" s="4" t="s">
        <v>27</v>
      </c>
      <c r="B139" s="4" t="s">
        <v>10</v>
      </c>
      <c r="C139" s="6">
        <v>43622</v>
      </c>
      <c r="D139" s="39">
        <v>43760</v>
      </c>
      <c r="E139" s="3">
        <f>(Table93[[#This Row],[Serum date]]-Table93[[#This Row],[DOB]])/30.5</f>
        <v>4.5245901639344259</v>
      </c>
      <c r="F139" s="3">
        <v>4728</v>
      </c>
      <c r="G139" s="4" t="s">
        <v>5</v>
      </c>
      <c r="H139" s="4">
        <v>0.8</v>
      </c>
      <c r="I139" s="4" t="s">
        <v>7</v>
      </c>
      <c r="J139" s="4">
        <f t="shared" si="4"/>
        <v>4</v>
      </c>
      <c r="K139" s="33" t="str">
        <f t="shared" si="5"/>
        <v>3 – 4</v>
      </c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</row>
    <row r="140" spans="1:40" x14ac:dyDescent="0.2">
      <c r="A140" s="7" t="s">
        <v>26</v>
      </c>
      <c r="B140" s="1" t="s">
        <v>10</v>
      </c>
      <c r="C140" s="2">
        <v>43165</v>
      </c>
      <c r="D140" s="39">
        <v>43311</v>
      </c>
      <c r="E140" s="3">
        <f>(Table93[[#This Row],[Serum date]]-Table93[[#This Row],[DOB]])/30.5</f>
        <v>4.7868852459016393</v>
      </c>
      <c r="F140" s="75">
        <f>AVERAGE(49843,31602)</f>
        <v>40722.5</v>
      </c>
      <c r="G140" s="4" t="s">
        <v>5</v>
      </c>
      <c r="H140" s="5">
        <v>66.55</v>
      </c>
      <c r="I140" s="4" t="s">
        <v>8</v>
      </c>
      <c r="J140" s="4">
        <f t="shared" si="4"/>
        <v>4</v>
      </c>
      <c r="K140" s="33" t="str">
        <f t="shared" si="5"/>
        <v>3 – 4</v>
      </c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</row>
    <row r="141" spans="1:40" x14ac:dyDescent="0.2">
      <c r="A141" s="4" t="s">
        <v>20</v>
      </c>
      <c r="B141" s="4" t="s">
        <v>10</v>
      </c>
      <c r="C141" s="6">
        <v>43473</v>
      </c>
      <c r="D141" s="39">
        <v>43621</v>
      </c>
      <c r="E141" s="3">
        <f>(Table93[[#This Row],[Serum date]]-Table93[[#This Row],[DOB]])/30.5</f>
        <v>4.8524590163934427</v>
      </c>
      <c r="F141" s="76">
        <v>197402</v>
      </c>
      <c r="G141" s="4" t="s">
        <v>5</v>
      </c>
      <c r="H141" s="13">
        <v>364.2</v>
      </c>
      <c r="I141" s="4" t="s">
        <v>7</v>
      </c>
      <c r="J141" s="4">
        <f t="shared" si="4"/>
        <v>4</v>
      </c>
      <c r="K141" s="33" t="str">
        <f t="shared" si="5"/>
        <v>3 – 4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</row>
    <row r="142" spans="1:40" x14ac:dyDescent="0.2">
      <c r="A142" s="4" t="s">
        <v>13</v>
      </c>
      <c r="B142" s="4" t="s">
        <v>10</v>
      </c>
      <c r="C142" s="6">
        <v>43369</v>
      </c>
      <c r="D142" s="2">
        <v>43501</v>
      </c>
      <c r="E142" s="3">
        <f>(Table93[[#This Row],[Serum date]]-Table93[[#This Row],[DOB]])/30.5</f>
        <v>4.3278688524590168</v>
      </c>
      <c r="F142" s="3">
        <v>3839</v>
      </c>
      <c r="G142" s="4" t="s">
        <v>5</v>
      </c>
      <c r="H142" s="8">
        <v>4.9727979274611398</v>
      </c>
      <c r="I142" s="4" t="s">
        <v>7</v>
      </c>
      <c r="J142" s="4">
        <f t="shared" si="4"/>
        <v>4</v>
      </c>
      <c r="K142" s="33" t="str">
        <f t="shared" si="5"/>
        <v>3 – 4</v>
      </c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</row>
    <row r="143" spans="1:40" x14ac:dyDescent="0.2">
      <c r="A143" s="4" t="s">
        <v>12</v>
      </c>
      <c r="B143" s="4" t="s">
        <v>10</v>
      </c>
      <c r="C143" s="6">
        <v>43367</v>
      </c>
      <c r="D143" s="2">
        <v>43501</v>
      </c>
      <c r="E143" s="3">
        <f>(Table93[[#This Row],[Serum date]]-Table93[[#This Row],[DOB]])/30.5</f>
        <v>4.3934426229508201</v>
      </c>
      <c r="F143" s="3">
        <v>14826</v>
      </c>
      <c r="G143" s="4" t="s">
        <v>5</v>
      </c>
      <c r="H143" s="8">
        <v>19.20401554404145</v>
      </c>
      <c r="I143" s="4" t="s">
        <v>7</v>
      </c>
      <c r="J143" s="4">
        <f t="shared" si="4"/>
        <v>4</v>
      </c>
      <c r="K143" s="33" t="str">
        <f t="shared" si="5"/>
        <v>3 – 4</v>
      </c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</row>
    <row r="144" spans="1:40" x14ac:dyDescent="0.2">
      <c r="A144" s="4" t="s">
        <v>11</v>
      </c>
      <c r="B144" s="4" t="s">
        <v>10</v>
      </c>
      <c r="C144" s="6">
        <v>43367</v>
      </c>
      <c r="D144" s="2">
        <v>43501</v>
      </c>
      <c r="E144" s="3">
        <f>(Table93[[#This Row],[Serum date]]-Table93[[#This Row],[DOB]])/30.5</f>
        <v>4.3934426229508201</v>
      </c>
      <c r="F144" s="3">
        <v>817</v>
      </c>
      <c r="G144" s="4" t="s">
        <v>5</v>
      </c>
      <c r="H144" s="7">
        <v>1.0576424870466321</v>
      </c>
      <c r="I144" s="4" t="s">
        <v>7</v>
      </c>
      <c r="J144" s="4">
        <f t="shared" si="4"/>
        <v>4</v>
      </c>
      <c r="K144" s="33" t="str">
        <f t="shared" si="5"/>
        <v>3 – 4</v>
      </c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</row>
    <row r="145" spans="1:40" x14ac:dyDescent="0.2">
      <c r="A145" s="7" t="s">
        <v>9</v>
      </c>
      <c r="B145" s="1" t="s">
        <v>10</v>
      </c>
      <c r="C145" s="2">
        <v>43164</v>
      </c>
      <c r="D145" s="2">
        <v>43311</v>
      </c>
      <c r="E145" s="3">
        <f>(Table93[[#This Row],[Serum date]]-Table93[[#This Row],[DOB]])/30.5</f>
        <v>4.8196721311475406</v>
      </c>
      <c r="F145" s="75">
        <f>AVERAGE(163774,111151)</f>
        <v>137462.5</v>
      </c>
      <c r="G145" s="4" t="s">
        <v>5</v>
      </c>
      <c r="H145" s="5">
        <v>228.25</v>
      </c>
      <c r="I145" s="4" t="s">
        <v>8</v>
      </c>
      <c r="J145" s="4">
        <f t="shared" si="4"/>
        <v>4</v>
      </c>
      <c r="K145" s="33" t="str">
        <f t="shared" si="5"/>
        <v>3 – 4</v>
      </c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</row>
    <row r="146" spans="1:40" x14ac:dyDescent="0.2">
      <c r="A146" s="1" t="s">
        <v>40</v>
      </c>
      <c r="B146" s="1" t="s">
        <v>10</v>
      </c>
      <c r="C146" s="2">
        <v>43808</v>
      </c>
      <c r="D146" s="18">
        <v>43958</v>
      </c>
      <c r="E146" s="3">
        <f>(Table93[[#This Row],[Serum date]]-Table93[[#This Row],[DOB]])/30.5</f>
        <v>4.918032786885246</v>
      </c>
      <c r="F146" s="76">
        <v>37071.199999999997</v>
      </c>
      <c r="G146" s="4" t="s">
        <v>5</v>
      </c>
      <c r="H146" s="10">
        <v>37.810393186801974</v>
      </c>
      <c r="I146" s="4" t="s">
        <v>7</v>
      </c>
      <c r="J146" s="4">
        <f t="shared" si="4"/>
        <v>4</v>
      </c>
      <c r="K146" s="33" t="str">
        <f t="shared" si="5"/>
        <v>3 – 4</v>
      </c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</row>
    <row r="147" spans="1:40" x14ac:dyDescent="0.2">
      <c r="A147" s="4" t="s">
        <v>39</v>
      </c>
      <c r="B147" s="4" t="s">
        <v>10</v>
      </c>
      <c r="C147" s="6">
        <v>43808</v>
      </c>
      <c r="D147" s="19">
        <v>43989</v>
      </c>
      <c r="E147" s="3">
        <f>(Table93[[#This Row],[Serum date]]-Table93[[#This Row],[DOB]])/30.5</f>
        <v>5.9344262295081966</v>
      </c>
      <c r="F147" s="3">
        <v>2833</v>
      </c>
      <c r="G147" s="4" t="s">
        <v>5</v>
      </c>
      <c r="H147" s="4">
        <v>1.5</v>
      </c>
      <c r="I147" s="4" t="s">
        <v>7</v>
      </c>
      <c r="J147" s="4">
        <f t="shared" si="4"/>
        <v>5</v>
      </c>
      <c r="K147" s="33" t="str">
        <f t="shared" si="5"/>
        <v>5 – 6</v>
      </c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</row>
    <row r="148" spans="1:40" x14ac:dyDescent="0.2">
      <c r="A148" s="4" t="s">
        <v>62</v>
      </c>
      <c r="B148" s="4" t="s">
        <v>10</v>
      </c>
      <c r="C148" s="9" t="s">
        <v>67</v>
      </c>
      <c r="D148" s="2">
        <v>43474</v>
      </c>
      <c r="E148" s="3">
        <f>(Table93[[#This Row],[Serum date]]-Table93[[#This Row],[DOB]])/30.5</f>
        <v>5.7704918032786887</v>
      </c>
      <c r="F148" s="3">
        <v>2304</v>
      </c>
      <c r="G148" s="4" t="s">
        <v>5</v>
      </c>
      <c r="H148" s="1">
        <v>4.4000000000000004</v>
      </c>
      <c r="I148" s="4" t="s">
        <v>7</v>
      </c>
      <c r="J148" s="4">
        <f t="shared" si="4"/>
        <v>5</v>
      </c>
      <c r="K148" s="33" t="str">
        <f t="shared" si="5"/>
        <v>5 – 6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</row>
    <row r="149" spans="1:40" x14ac:dyDescent="0.2">
      <c r="A149" s="4" t="s">
        <v>61</v>
      </c>
      <c r="B149" s="4" t="s">
        <v>10</v>
      </c>
      <c r="C149" s="9" t="s">
        <v>67</v>
      </c>
      <c r="D149" s="2">
        <v>43474</v>
      </c>
      <c r="E149" s="3">
        <f>(Table93[[#This Row],[Serum date]]-Table93[[#This Row],[DOB]])/30.5</f>
        <v>5.7704918032786887</v>
      </c>
      <c r="F149" s="3">
        <v>112488</v>
      </c>
      <c r="G149" s="4" t="s">
        <v>5</v>
      </c>
      <c r="H149" s="13">
        <v>212.6</v>
      </c>
      <c r="I149" s="4" t="s">
        <v>7</v>
      </c>
      <c r="J149" s="4">
        <f t="shared" si="4"/>
        <v>5</v>
      </c>
      <c r="K149" s="33" t="str">
        <f t="shared" si="5"/>
        <v>5 – 6</v>
      </c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</row>
    <row r="150" spans="1:40" x14ac:dyDescent="0.2">
      <c r="A150" s="4" t="s">
        <v>58</v>
      </c>
      <c r="B150" s="4" t="s">
        <v>10</v>
      </c>
      <c r="C150" s="9" t="s">
        <v>67</v>
      </c>
      <c r="D150" s="2">
        <v>43474</v>
      </c>
      <c r="E150" s="3">
        <f>(Table93[[#This Row],[Serum date]]-Table93[[#This Row],[DOB]])/30.5</f>
        <v>5.7704918032786887</v>
      </c>
      <c r="F150" s="76">
        <v>2506</v>
      </c>
      <c r="G150" s="4" t="s">
        <v>5</v>
      </c>
      <c r="H150" s="1">
        <v>4.7</v>
      </c>
      <c r="I150" s="4" t="s">
        <v>7</v>
      </c>
      <c r="J150" s="4">
        <f t="shared" si="4"/>
        <v>5</v>
      </c>
      <c r="K150" s="33" t="str">
        <f t="shared" si="5"/>
        <v>5 – 6</v>
      </c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</row>
    <row r="151" spans="1:40" x14ac:dyDescent="0.2">
      <c r="A151" s="7" t="s">
        <v>54</v>
      </c>
      <c r="B151" s="1" t="s">
        <v>10</v>
      </c>
      <c r="C151" s="2">
        <v>43233</v>
      </c>
      <c r="D151" s="2">
        <v>43410</v>
      </c>
      <c r="E151" s="3">
        <f>(Table93[[#This Row],[Serum date]]-Table93[[#This Row],[DOB]])/30.5</f>
        <v>5.8032786885245899</v>
      </c>
      <c r="F151" s="48">
        <f>AVERAGE(44268,96779)</f>
        <v>70523.5</v>
      </c>
      <c r="G151" s="4" t="s">
        <v>5</v>
      </c>
      <c r="H151" s="13">
        <v>31.2</v>
      </c>
      <c r="I151" s="4" t="s">
        <v>8</v>
      </c>
      <c r="J151" s="4">
        <f t="shared" si="4"/>
        <v>5</v>
      </c>
      <c r="K151" s="33" t="str">
        <f t="shared" si="5"/>
        <v>5 – 6</v>
      </c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</row>
    <row r="152" spans="1:40" x14ac:dyDescent="0.2">
      <c r="A152" s="7" t="s">
        <v>53</v>
      </c>
      <c r="B152" s="1" t="s">
        <v>10</v>
      </c>
      <c r="C152" s="2">
        <v>43233</v>
      </c>
      <c r="D152" s="2">
        <v>43410</v>
      </c>
      <c r="E152" s="3">
        <f>(Table93[[#This Row],[Serum date]]-Table93[[#This Row],[DOB]])/30.5</f>
        <v>5.8032786885245899</v>
      </c>
      <c r="F152" s="75">
        <f>AVERAGE(161156,167616)</f>
        <v>164386</v>
      </c>
      <c r="G152" s="4" t="s">
        <v>5</v>
      </c>
      <c r="H152" s="13">
        <v>62.15</v>
      </c>
      <c r="I152" s="4" t="s">
        <v>8</v>
      </c>
      <c r="J152" s="4">
        <f t="shared" si="4"/>
        <v>5</v>
      </c>
      <c r="K152" s="33" t="str">
        <f t="shared" si="5"/>
        <v>5 – 6</v>
      </c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</row>
    <row r="153" spans="1:40" x14ac:dyDescent="0.2">
      <c r="A153" s="4" t="s">
        <v>49</v>
      </c>
      <c r="B153" s="4" t="s">
        <v>10</v>
      </c>
      <c r="C153" s="6">
        <v>43892</v>
      </c>
      <c r="D153" s="25">
        <v>44046</v>
      </c>
      <c r="E153" s="3">
        <f>(Table93[[#This Row],[Serum date]]-Table93[[#This Row],[DOB]])/30.5</f>
        <v>5.0491803278688527</v>
      </c>
      <c r="F153" s="3">
        <v>224787</v>
      </c>
      <c r="G153" s="4" t="s">
        <v>5</v>
      </c>
      <c r="H153" s="21">
        <v>210.79004126031506</v>
      </c>
      <c r="I153" s="4" t="s">
        <v>7</v>
      </c>
      <c r="J153" s="4">
        <f t="shared" si="4"/>
        <v>5</v>
      </c>
      <c r="K153" s="33" t="str">
        <f t="shared" si="5"/>
        <v>5 – 6</v>
      </c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</row>
    <row r="154" spans="1:40" x14ac:dyDescent="0.2">
      <c r="A154" s="4" t="s">
        <v>48</v>
      </c>
      <c r="B154" s="4" t="s">
        <v>10</v>
      </c>
      <c r="C154" s="6">
        <v>43892</v>
      </c>
      <c r="D154" s="25">
        <v>44046</v>
      </c>
      <c r="E154" s="3">
        <f>(Table93[[#This Row],[Serum date]]-Table93[[#This Row],[DOB]])/30.5</f>
        <v>5.0491803278688527</v>
      </c>
      <c r="F154" s="3">
        <v>11221</v>
      </c>
      <c r="G154" s="4" t="s">
        <v>5</v>
      </c>
      <c r="H154" s="21">
        <v>10.52222430607652</v>
      </c>
      <c r="I154" s="4" t="s">
        <v>7</v>
      </c>
      <c r="J154" s="4">
        <f t="shared" si="4"/>
        <v>5</v>
      </c>
      <c r="K154" s="33" t="str">
        <f t="shared" si="5"/>
        <v>5 – 6</v>
      </c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</row>
    <row r="155" spans="1:40" x14ac:dyDescent="0.2">
      <c r="A155" s="4" t="s">
        <v>47</v>
      </c>
      <c r="B155" s="4" t="s">
        <v>10</v>
      </c>
      <c r="C155" s="6">
        <v>43892</v>
      </c>
      <c r="D155" s="25">
        <v>44046</v>
      </c>
      <c r="E155" s="3">
        <f>(Table93[[#This Row],[Serum date]]-Table93[[#This Row],[DOB]])/30.5</f>
        <v>5.0491803278688527</v>
      </c>
      <c r="F155" s="3">
        <v>79916</v>
      </c>
      <c r="G155" s="4" t="s">
        <v>5</v>
      </c>
      <c r="H155" s="21">
        <v>74.939891222805684</v>
      </c>
      <c r="I155" s="4" t="s">
        <v>7</v>
      </c>
      <c r="J155" s="4">
        <f t="shared" si="4"/>
        <v>5</v>
      </c>
      <c r="K155" s="33" t="str">
        <f t="shared" si="5"/>
        <v>5 – 6</v>
      </c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</row>
    <row r="156" spans="1:40" x14ac:dyDescent="0.2">
      <c r="A156" s="4" t="s">
        <v>46</v>
      </c>
      <c r="B156" s="4" t="s">
        <v>10</v>
      </c>
      <c r="C156" s="6">
        <v>43892</v>
      </c>
      <c r="D156" s="25">
        <v>44046</v>
      </c>
      <c r="E156" s="3">
        <f>(Table93[[#This Row],[Serum date]]-Table93[[#This Row],[DOB]])/30.5</f>
        <v>5.0491803278688527</v>
      </c>
      <c r="F156" s="3">
        <v>2869</v>
      </c>
      <c r="G156" s="4" t="s">
        <v>5</v>
      </c>
      <c r="H156" s="21">
        <v>2.6905476369092267</v>
      </c>
      <c r="I156" s="4" t="s">
        <v>7</v>
      </c>
      <c r="J156" s="4">
        <f t="shared" si="4"/>
        <v>5</v>
      </c>
      <c r="K156" s="33" t="str">
        <f t="shared" si="5"/>
        <v>5 – 6</v>
      </c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</row>
    <row r="157" spans="1:40" x14ac:dyDescent="0.2">
      <c r="A157" s="4" t="s">
        <v>45</v>
      </c>
      <c r="B157" s="4" t="s">
        <v>10</v>
      </c>
      <c r="C157" s="6">
        <v>43892</v>
      </c>
      <c r="D157" s="25">
        <v>44046</v>
      </c>
      <c r="E157" s="3">
        <f>(Table93[[#This Row],[Serum date]]-Table93[[#This Row],[DOB]])/30.5</f>
        <v>5.0491803278688527</v>
      </c>
      <c r="F157" s="3">
        <v>63045.5</v>
      </c>
      <c r="G157" s="4" t="s">
        <v>5</v>
      </c>
      <c r="H157" s="27">
        <v>59.119936234058507</v>
      </c>
      <c r="I157" s="4" t="s">
        <v>7</v>
      </c>
      <c r="J157" s="4">
        <f t="shared" si="4"/>
        <v>5</v>
      </c>
      <c r="K157" s="33" t="str">
        <f t="shared" si="5"/>
        <v>5 – 6</v>
      </c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</row>
    <row r="158" spans="1:40" x14ac:dyDescent="0.2">
      <c r="A158" s="4" t="s">
        <v>43</v>
      </c>
      <c r="B158" s="4" t="s">
        <v>10</v>
      </c>
      <c r="C158" s="6">
        <v>43878</v>
      </c>
      <c r="D158" s="6">
        <v>44046</v>
      </c>
      <c r="E158" s="3">
        <f>(Table93[[#This Row],[Serum date]]-Table93[[#This Row],[DOB]])/30.5</f>
        <v>5.5081967213114753</v>
      </c>
      <c r="F158" s="3">
        <v>6789</v>
      </c>
      <c r="G158" s="4" t="s">
        <v>5</v>
      </c>
      <c r="H158" s="4">
        <v>6.3663728432108027</v>
      </c>
      <c r="I158" s="4" t="s">
        <v>7</v>
      </c>
      <c r="J158" s="4">
        <f t="shared" si="4"/>
        <v>5</v>
      </c>
      <c r="K158" s="33" t="str">
        <f t="shared" si="5"/>
        <v>5 – 6</v>
      </c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</row>
    <row r="159" spans="1:40" x14ac:dyDescent="0.2">
      <c r="A159" s="4" t="s">
        <v>42</v>
      </c>
      <c r="B159" s="4" t="s">
        <v>10</v>
      </c>
      <c r="C159" s="6">
        <v>43878</v>
      </c>
      <c r="D159" s="6">
        <v>44046</v>
      </c>
      <c r="E159" s="3">
        <f>(Table93[[#This Row],[Serum date]]-Table93[[#This Row],[DOB]])/30.5</f>
        <v>5.5081967213114753</v>
      </c>
      <c r="F159" s="3">
        <v>1933</v>
      </c>
      <c r="G159" s="4" t="s">
        <v>5</v>
      </c>
      <c r="H159" s="4">
        <v>4.7222086489127779</v>
      </c>
      <c r="I159" s="4" t="s">
        <v>7</v>
      </c>
      <c r="J159" s="4">
        <f t="shared" si="4"/>
        <v>5</v>
      </c>
      <c r="K159" s="33" t="str">
        <f t="shared" si="5"/>
        <v>5 – 6</v>
      </c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</row>
    <row r="160" spans="1:40" x14ac:dyDescent="0.2">
      <c r="A160" s="4" t="s">
        <v>41</v>
      </c>
      <c r="B160" s="4" t="s">
        <v>10</v>
      </c>
      <c r="C160" s="6">
        <v>43878</v>
      </c>
      <c r="D160" s="6">
        <v>44046</v>
      </c>
      <c r="E160" s="3">
        <f>(Table93[[#This Row],[Serum date]]-Table93[[#This Row],[DOB]])/30.5</f>
        <v>5.5081967213114753</v>
      </c>
      <c r="F160" s="3">
        <v>200392</v>
      </c>
      <c r="G160" s="4" t="s">
        <v>5</v>
      </c>
      <c r="H160" s="4">
        <v>187.91400975243809</v>
      </c>
      <c r="I160" s="4" t="s">
        <v>7</v>
      </c>
      <c r="J160" s="4">
        <f t="shared" si="4"/>
        <v>5</v>
      </c>
      <c r="K160" s="33" t="str">
        <f t="shared" si="5"/>
        <v>5 – 6</v>
      </c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</row>
    <row r="161" spans="1:40" x14ac:dyDescent="0.2">
      <c r="A161" s="4" t="s">
        <v>38</v>
      </c>
      <c r="B161" s="4" t="s">
        <v>10</v>
      </c>
      <c r="C161" s="6">
        <v>43794</v>
      </c>
      <c r="D161" s="18">
        <v>43958</v>
      </c>
      <c r="E161" s="3">
        <f>(Table93[[#This Row],[Serum date]]-Table93[[#This Row],[DOB]])/30.5</f>
        <v>5.3770491803278686</v>
      </c>
      <c r="F161" s="3">
        <v>3876.7999999999997</v>
      </c>
      <c r="G161" s="4" t="s">
        <v>5</v>
      </c>
      <c r="H161" s="10">
        <v>3.9541027079402311</v>
      </c>
      <c r="I161" s="4" t="s">
        <v>7</v>
      </c>
      <c r="J161" s="4">
        <f t="shared" si="4"/>
        <v>5</v>
      </c>
      <c r="K161" s="33" t="str">
        <f t="shared" si="5"/>
        <v>5 – 6</v>
      </c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</row>
    <row r="162" spans="1:40" x14ac:dyDescent="0.2">
      <c r="A162" s="4" t="s">
        <v>35</v>
      </c>
      <c r="B162" s="4" t="s">
        <v>10</v>
      </c>
      <c r="C162" s="6">
        <v>43794</v>
      </c>
      <c r="D162" s="18">
        <v>43958</v>
      </c>
      <c r="E162" s="3">
        <f>(Table93[[#This Row],[Serum date]]-Table93[[#This Row],[DOB]])/30.5</f>
        <v>5.3770491803278686</v>
      </c>
      <c r="F162" s="3">
        <v>111298.6</v>
      </c>
      <c r="G162" s="4" t="s">
        <v>5</v>
      </c>
      <c r="H162" s="10">
        <v>113.51787444540773</v>
      </c>
      <c r="I162" s="4" t="s">
        <v>7</v>
      </c>
      <c r="J162" s="4">
        <f t="shared" si="4"/>
        <v>5</v>
      </c>
      <c r="K162" s="33" t="str">
        <f t="shared" si="5"/>
        <v>5 – 6</v>
      </c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</row>
    <row r="163" spans="1:40" x14ac:dyDescent="0.2">
      <c r="A163" s="4" t="s">
        <v>37</v>
      </c>
      <c r="B163" s="4" t="s">
        <v>10</v>
      </c>
      <c r="C163" s="6">
        <v>43794</v>
      </c>
      <c r="D163" s="42">
        <v>43958</v>
      </c>
      <c r="E163" s="3">
        <f>(Table93[[#This Row],[Serum date]]-Table93[[#This Row],[DOB]])/30.5</f>
        <v>5.3770491803278686</v>
      </c>
      <c r="F163" s="3">
        <v>5528.2999999999993</v>
      </c>
      <c r="G163" s="4" t="s">
        <v>5</v>
      </c>
      <c r="H163" s="10">
        <v>5.6385333265337332</v>
      </c>
      <c r="I163" s="4" t="s">
        <v>7</v>
      </c>
      <c r="J163" s="4">
        <f t="shared" si="4"/>
        <v>5</v>
      </c>
      <c r="K163" s="33" t="str">
        <f t="shared" si="5"/>
        <v>5 – 6</v>
      </c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</row>
    <row r="164" spans="1:40" x14ac:dyDescent="0.2">
      <c r="A164" s="4" t="s">
        <v>36</v>
      </c>
      <c r="B164" s="4" t="s">
        <v>10</v>
      </c>
      <c r="C164" s="6">
        <v>43794</v>
      </c>
      <c r="D164" s="42">
        <v>43958</v>
      </c>
      <c r="E164" s="3">
        <f>(Table93[[#This Row],[Serum date]]-Table93[[#This Row],[DOB]])/30.5</f>
        <v>5.3770491803278686</v>
      </c>
      <c r="F164" s="3">
        <v>2015</v>
      </c>
      <c r="G164" s="4" t="s">
        <v>5</v>
      </c>
      <c r="H164" s="10">
        <v>2.0551787444540772</v>
      </c>
      <c r="I164" s="4" t="s">
        <v>7</v>
      </c>
      <c r="J164" s="4">
        <f t="shared" si="4"/>
        <v>5</v>
      </c>
      <c r="K164" s="33" t="str">
        <f t="shared" si="5"/>
        <v>5 – 6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</row>
    <row r="165" spans="1:40" x14ac:dyDescent="0.2">
      <c r="A165" s="4" t="s">
        <v>34</v>
      </c>
      <c r="B165" s="4" t="s">
        <v>10</v>
      </c>
      <c r="C165" s="6">
        <v>43794</v>
      </c>
      <c r="D165" s="42">
        <v>43958</v>
      </c>
      <c r="E165" s="3">
        <f>(Table93[[#This Row],[Serum date]]-Table93[[#This Row],[DOB]])/30.5</f>
        <v>5.3770491803278686</v>
      </c>
      <c r="F165" s="3">
        <v>122240</v>
      </c>
      <c r="G165" s="4" t="s">
        <v>5</v>
      </c>
      <c r="H165" s="10">
        <v>124.67744403080218</v>
      </c>
      <c r="I165" s="4" t="s">
        <v>7</v>
      </c>
      <c r="J165" s="4">
        <f t="shared" si="4"/>
        <v>5</v>
      </c>
      <c r="K165" s="33" t="str">
        <f t="shared" si="5"/>
        <v>5 – 6</v>
      </c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</row>
    <row r="166" spans="1:40" x14ac:dyDescent="0.2">
      <c r="A166" s="4" t="s">
        <v>33</v>
      </c>
      <c r="B166" s="4" t="s">
        <v>10</v>
      </c>
      <c r="C166" s="6">
        <v>43763</v>
      </c>
      <c r="D166" s="6">
        <v>43929</v>
      </c>
      <c r="E166" s="3">
        <f>(Table93[[#This Row],[Serum date]]-Table93[[#This Row],[DOB]])/30.5</f>
        <v>5.442622950819672</v>
      </c>
      <c r="F166" s="3">
        <v>179675.69999999998</v>
      </c>
      <c r="G166" s="4" t="s">
        <v>5</v>
      </c>
      <c r="H166" s="17">
        <v>84.993235572374644</v>
      </c>
      <c r="I166" s="4" t="s">
        <v>7</v>
      </c>
      <c r="J166" s="4">
        <f t="shared" si="4"/>
        <v>5</v>
      </c>
      <c r="K166" s="33" t="str">
        <f t="shared" si="5"/>
        <v>5 – 6</v>
      </c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</row>
    <row r="167" spans="1:40" x14ac:dyDescent="0.2">
      <c r="A167" s="7" t="s">
        <v>26</v>
      </c>
      <c r="B167" s="1" t="s">
        <v>10</v>
      </c>
      <c r="C167" s="2">
        <v>43165</v>
      </c>
      <c r="D167" s="6">
        <v>43347</v>
      </c>
      <c r="E167" s="3">
        <f>(Table93[[#This Row],[Serum date]]-Table93[[#This Row],[DOB]])/30.5</f>
        <v>5.9672131147540988</v>
      </c>
      <c r="F167" s="3">
        <v>146010</v>
      </c>
      <c r="G167" s="4" t="s">
        <v>5</v>
      </c>
      <c r="H167" s="5">
        <v>148.19999999999999</v>
      </c>
      <c r="I167" s="4" t="s">
        <v>7</v>
      </c>
      <c r="J167" s="4">
        <f t="shared" si="4"/>
        <v>5</v>
      </c>
      <c r="K167" s="33" t="str">
        <f t="shared" si="5"/>
        <v>5 – 6</v>
      </c>
    </row>
    <row r="168" spans="1:40" x14ac:dyDescent="0.2">
      <c r="A168" s="4" t="s">
        <v>13</v>
      </c>
      <c r="B168" s="4" t="s">
        <v>10</v>
      </c>
      <c r="C168" s="6">
        <v>43369</v>
      </c>
      <c r="D168" s="2">
        <v>43531</v>
      </c>
      <c r="E168" s="3">
        <f>(Table93[[#This Row],[Serum date]]-Table93[[#This Row],[DOB]])/30.5</f>
        <v>5.3114754098360653</v>
      </c>
      <c r="F168" s="3">
        <v>58766</v>
      </c>
      <c r="G168" s="4" t="s">
        <v>5</v>
      </c>
      <c r="H168" s="8">
        <v>46.4</v>
      </c>
      <c r="I168" s="4" t="s">
        <v>7</v>
      </c>
      <c r="J168" s="4">
        <f t="shared" si="4"/>
        <v>5</v>
      </c>
      <c r="K168" s="33" t="str">
        <f t="shared" si="5"/>
        <v>5 – 6</v>
      </c>
    </row>
    <row r="169" spans="1:40" x14ac:dyDescent="0.2">
      <c r="A169" s="4" t="s">
        <v>11</v>
      </c>
      <c r="B169" s="4" t="s">
        <v>10</v>
      </c>
      <c r="C169" s="6">
        <v>43367</v>
      </c>
      <c r="D169" s="2">
        <v>43531</v>
      </c>
      <c r="E169" s="3">
        <f>(Table93[[#This Row],[Serum date]]-Table93[[#This Row],[DOB]])/30.5</f>
        <v>5.3770491803278686</v>
      </c>
      <c r="F169" s="3">
        <v>4606</v>
      </c>
      <c r="G169" s="4" t="s">
        <v>5</v>
      </c>
      <c r="H169" s="7">
        <v>3.6</v>
      </c>
      <c r="I169" s="4" t="s">
        <v>7</v>
      </c>
      <c r="J169" s="4">
        <f t="shared" si="4"/>
        <v>5</v>
      </c>
      <c r="K169" s="33" t="str">
        <f t="shared" si="5"/>
        <v>5 – 6</v>
      </c>
    </row>
    <row r="170" spans="1:40" x14ac:dyDescent="0.2">
      <c r="A170" s="1" t="s">
        <v>40</v>
      </c>
      <c r="B170" s="1" t="s">
        <v>10</v>
      </c>
      <c r="C170" s="2">
        <v>43808</v>
      </c>
      <c r="D170" s="19">
        <v>43989</v>
      </c>
      <c r="E170" s="3">
        <f>(Table93[[#This Row],[Serum date]]-Table93[[#This Row],[DOB]])/30.5</f>
        <v>5.9344262295081966</v>
      </c>
      <c r="F170" s="3">
        <v>202335.7</v>
      </c>
      <c r="G170" s="4" t="s">
        <v>5</v>
      </c>
      <c r="H170" s="4">
        <v>104.3</v>
      </c>
      <c r="I170" s="4" t="s">
        <v>7</v>
      </c>
      <c r="J170" s="4">
        <f t="shared" si="4"/>
        <v>5</v>
      </c>
      <c r="K170" s="33" t="str">
        <f t="shared" si="5"/>
        <v>5 – 6</v>
      </c>
    </row>
    <row r="171" spans="1:40" x14ac:dyDescent="0.2">
      <c r="A171" s="4" t="s">
        <v>39</v>
      </c>
      <c r="B171" s="4" t="s">
        <v>10</v>
      </c>
      <c r="C171" s="6">
        <v>43808</v>
      </c>
      <c r="D171" s="6">
        <v>44019</v>
      </c>
      <c r="E171" s="3">
        <f>(Table93[[#This Row],[Serum date]]-Table93[[#This Row],[DOB]])/30.5</f>
        <v>6.918032786885246</v>
      </c>
      <c r="F171" s="3">
        <v>770</v>
      </c>
      <c r="G171" s="4" t="s">
        <v>5</v>
      </c>
      <c r="H171" s="4">
        <v>1.6</v>
      </c>
      <c r="I171" s="4" t="s">
        <v>7</v>
      </c>
      <c r="J171" s="4">
        <f t="shared" si="4"/>
        <v>6</v>
      </c>
      <c r="K171" s="33" t="str">
        <f t="shared" si="5"/>
        <v>5 – 6</v>
      </c>
    </row>
    <row r="172" spans="1:40" x14ac:dyDescent="0.2">
      <c r="A172" s="4" t="s">
        <v>62</v>
      </c>
      <c r="B172" s="4" t="s">
        <v>10</v>
      </c>
      <c r="C172" s="9" t="s">
        <v>67</v>
      </c>
      <c r="D172" s="2">
        <v>43501</v>
      </c>
      <c r="E172" s="3">
        <f>(Table93[[#This Row],[Serum date]]-Table93[[#This Row],[DOB]])/30.5</f>
        <v>6.6557377049180326</v>
      </c>
      <c r="F172" s="3">
        <v>2136</v>
      </c>
      <c r="G172" s="4" t="s">
        <v>5</v>
      </c>
      <c r="H172" s="11">
        <v>2.7661917098445596</v>
      </c>
      <c r="I172" s="4" t="s">
        <v>7</v>
      </c>
      <c r="J172" s="4">
        <f t="shared" si="4"/>
        <v>6</v>
      </c>
      <c r="K172" s="33" t="str">
        <f t="shared" si="5"/>
        <v>5 – 6</v>
      </c>
    </row>
    <row r="173" spans="1:40" x14ac:dyDescent="0.2">
      <c r="A173" s="4" t="s">
        <v>61</v>
      </c>
      <c r="B173" s="4" t="s">
        <v>10</v>
      </c>
      <c r="C173" s="9" t="s">
        <v>67</v>
      </c>
      <c r="D173" s="2">
        <v>43501</v>
      </c>
      <c r="E173" s="3">
        <f>(Table93[[#This Row],[Serum date]]-Table93[[#This Row],[DOB]])/30.5</f>
        <v>6.6557377049180326</v>
      </c>
      <c r="F173" s="3">
        <v>102295</v>
      </c>
      <c r="G173" s="4" t="s">
        <v>5</v>
      </c>
      <c r="H173" s="5">
        <v>132.50647668393782</v>
      </c>
      <c r="I173" s="4" t="s">
        <v>7</v>
      </c>
      <c r="J173" s="4">
        <f t="shared" si="4"/>
        <v>6</v>
      </c>
      <c r="K173" s="33" t="str">
        <f t="shared" si="5"/>
        <v>5 – 6</v>
      </c>
    </row>
    <row r="174" spans="1:40" x14ac:dyDescent="0.2">
      <c r="A174" s="4" t="s">
        <v>58</v>
      </c>
      <c r="B174" s="4" t="s">
        <v>10</v>
      </c>
      <c r="C174" s="9" t="s">
        <v>67</v>
      </c>
      <c r="D174" s="2">
        <v>43501</v>
      </c>
      <c r="E174" s="3">
        <f>(Table93[[#This Row],[Serum date]]-Table93[[#This Row],[DOB]])/30.5</f>
        <v>6.6557377049180326</v>
      </c>
      <c r="F174" s="3">
        <v>2284</v>
      </c>
      <c r="G174" s="4" t="s">
        <v>5</v>
      </c>
      <c r="H174" s="11">
        <v>2.9585492227979273</v>
      </c>
      <c r="I174" s="4" t="s">
        <v>7</v>
      </c>
      <c r="J174" s="4">
        <f t="shared" si="4"/>
        <v>6</v>
      </c>
      <c r="K174" s="33" t="str">
        <f t="shared" si="5"/>
        <v>5 – 6</v>
      </c>
    </row>
    <row r="175" spans="1:40" x14ac:dyDescent="0.2">
      <c r="A175" s="6" t="s">
        <v>51</v>
      </c>
      <c r="B175" s="4" t="s">
        <v>10</v>
      </c>
      <c r="C175" s="6">
        <v>44179</v>
      </c>
      <c r="D175" s="6">
        <v>44378</v>
      </c>
      <c r="E175" s="3">
        <f>(Table93[[#This Row],[Serum date]]-Table93[[#This Row],[DOB]])/30.5</f>
        <v>6.5245901639344259</v>
      </c>
      <c r="F175" s="3">
        <v>42421</v>
      </c>
      <c r="G175" s="4" t="s">
        <v>5</v>
      </c>
      <c r="H175" s="4">
        <v>78.615641215715343</v>
      </c>
      <c r="I175" s="4" t="s">
        <v>7</v>
      </c>
      <c r="J175" s="4">
        <f t="shared" si="4"/>
        <v>6</v>
      </c>
      <c r="K175" s="33" t="str">
        <f t="shared" si="5"/>
        <v>5 – 6</v>
      </c>
    </row>
    <row r="176" spans="1:40" x14ac:dyDescent="0.2">
      <c r="A176" s="4" t="s">
        <v>52</v>
      </c>
      <c r="B176" s="4" t="s">
        <v>10</v>
      </c>
      <c r="C176" s="6">
        <v>44179</v>
      </c>
      <c r="D176" s="6">
        <v>44378</v>
      </c>
      <c r="E176" s="3">
        <f>(Table93[[#This Row],[Serum date]]-Table93[[#This Row],[DOB]])/30.5</f>
        <v>6.5245901639344259</v>
      </c>
      <c r="F176" s="3">
        <v>47398</v>
      </c>
      <c r="G176" s="4" t="s">
        <v>5</v>
      </c>
      <c r="H176" s="4">
        <v>87.838213491475159</v>
      </c>
      <c r="I176" s="4" t="s">
        <v>7</v>
      </c>
      <c r="J176" s="4">
        <f t="shared" si="4"/>
        <v>6</v>
      </c>
      <c r="K176" s="33" t="str">
        <f t="shared" si="5"/>
        <v>5 – 6</v>
      </c>
    </row>
    <row r="177" spans="1:11" x14ac:dyDescent="0.2">
      <c r="A177" s="4" t="s">
        <v>50</v>
      </c>
      <c r="B177" s="4" t="s">
        <v>10</v>
      </c>
      <c r="C177" s="6">
        <v>44179</v>
      </c>
      <c r="D177" s="36">
        <v>44378</v>
      </c>
      <c r="E177" s="3">
        <f>(Table93[[#This Row],[Serum date]]-Table93[[#This Row],[DOB]])/30.5</f>
        <v>6.5245901639344259</v>
      </c>
      <c r="F177" s="3">
        <v>62238</v>
      </c>
      <c r="G177" s="4" t="s">
        <v>5</v>
      </c>
      <c r="H177" s="4">
        <v>115.34006671608599</v>
      </c>
      <c r="I177" s="4" t="s">
        <v>7</v>
      </c>
      <c r="J177" s="4">
        <f t="shared" si="4"/>
        <v>6</v>
      </c>
      <c r="K177" s="33" t="str">
        <f t="shared" si="5"/>
        <v>5 – 6</v>
      </c>
    </row>
    <row r="178" spans="1:11" x14ac:dyDescent="0.2">
      <c r="A178" s="4" t="s">
        <v>49</v>
      </c>
      <c r="B178" s="4" t="s">
        <v>10</v>
      </c>
      <c r="C178" s="6">
        <v>43892</v>
      </c>
      <c r="D178" s="41">
        <v>44085</v>
      </c>
      <c r="E178" s="3">
        <f>(Table93[[#This Row],[Serum date]]-Table93[[#This Row],[DOB]])/30.5</f>
        <v>6.3278688524590168</v>
      </c>
      <c r="F178" s="3">
        <v>268911</v>
      </c>
      <c r="G178" s="4" t="s">
        <v>5</v>
      </c>
      <c r="H178" s="22">
        <v>173.46852019094314</v>
      </c>
      <c r="I178" s="4" t="s">
        <v>7</v>
      </c>
      <c r="J178" s="4">
        <f t="shared" si="4"/>
        <v>6</v>
      </c>
      <c r="K178" s="33" t="str">
        <f t="shared" si="5"/>
        <v>5 – 6</v>
      </c>
    </row>
    <row r="179" spans="1:11" x14ac:dyDescent="0.2">
      <c r="A179" s="4" t="s">
        <v>48</v>
      </c>
      <c r="B179" s="4" t="s">
        <v>10</v>
      </c>
      <c r="C179" s="6">
        <v>43892</v>
      </c>
      <c r="D179" s="25">
        <v>44085</v>
      </c>
      <c r="E179" s="3">
        <f>(Table93[[#This Row],[Serum date]]-Table93[[#This Row],[DOB]])/30.5</f>
        <v>6.3278688524590168</v>
      </c>
      <c r="F179" s="3">
        <v>163494</v>
      </c>
      <c r="G179" s="4" t="s">
        <v>5</v>
      </c>
      <c r="H179" s="22">
        <v>105.46639143336346</v>
      </c>
      <c r="I179" s="4" t="s">
        <v>7</v>
      </c>
      <c r="J179" s="4">
        <f t="shared" si="4"/>
        <v>6</v>
      </c>
      <c r="K179" s="33" t="str">
        <f t="shared" si="5"/>
        <v>5 – 6</v>
      </c>
    </row>
    <row r="180" spans="1:11" x14ac:dyDescent="0.2">
      <c r="A180" s="4" t="s">
        <v>47</v>
      </c>
      <c r="B180" s="4" t="s">
        <v>10</v>
      </c>
      <c r="C180" s="6">
        <v>43892</v>
      </c>
      <c r="D180" s="25">
        <v>44085</v>
      </c>
      <c r="E180" s="3">
        <f>(Table93[[#This Row],[Serum date]]-Table93[[#This Row],[DOB]])/30.5</f>
        <v>6.3278688524590168</v>
      </c>
      <c r="F180" s="3">
        <v>202354</v>
      </c>
      <c r="G180" s="4" t="s">
        <v>5</v>
      </c>
      <c r="H180" s="22">
        <v>130.53418913688557</v>
      </c>
      <c r="I180" s="4" t="s">
        <v>7</v>
      </c>
      <c r="J180" s="4">
        <f t="shared" si="4"/>
        <v>6</v>
      </c>
      <c r="K180" s="33" t="str">
        <f t="shared" si="5"/>
        <v>5 – 6</v>
      </c>
    </row>
    <row r="181" spans="1:11" x14ac:dyDescent="0.2">
      <c r="A181" s="4" t="s">
        <v>46</v>
      </c>
      <c r="B181" s="4" t="s">
        <v>10</v>
      </c>
      <c r="C181" s="6">
        <v>43892</v>
      </c>
      <c r="D181" s="25">
        <v>44085</v>
      </c>
      <c r="E181" s="3">
        <f>(Table93[[#This Row],[Serum date]]-Table93[[#This Row],[DOB]])/30.5</f>
        <v>6.3278688524590168</v>
      </c>
      <c r="F181" s="3">
        <v>15909</v>
      </c>
      <c r="G181" s="4" t="s">
        <v>5</v>
      </c>
      <c r="H181" s="22">
        <v>10.262546768158948</v>
      </c>
      <c r="I181" s="4" t="s">
        <v>7</v>
      </c>
      <c r="J181" s="4">
        <f t="shared" si="4"/>
        <v>6</v>
      </c>
      <c r="K181" s="33" t="str">
        <f t="shared" si="5"/>
        <v>5 – 6</v>
      </c>
    </row>
    <row r="182" spans="1:11" x14ac:dyDescent="0.2">
      <c r="A182" s="4" t="s">
        <v>45</v>
      </c>
      <c r="B182" s="4" t="s">
        <v>10</v>
      </c>
      <c r="C182" s="6">
        <v>43892</v>
      </c>
      <c r="D182" s="25">
        <v>44085</v>
      </c>
      <c r="E182" s="3">
        <f>(Table93[[#This Row],[Serum date]]-Table93[[#This Row],[DOB]])/30.5</f>
        <v>6.3278688524590168</v>
      </c>
      <c r="F182" s="3">
        <v>193646</v>
      </c>
      <c r="G182" s="4" t="s">
        <v>5</v>
      </c>
      <c r="H182" s="28">
        <v>124.91691394658756</v>
      </c>
      <c r="I182" s="4" t="s">
        <v>7</v>
      </c>
      <c r="J182" s="4">
        <f t="shared" si="4"/>
        <v>6</v>
      </c>
      <c r="K182" s="33" t="str">
        <f t="shared" si="5"/>
        <v>5 – 6</v>
      </c>
    </row>
    <row r="183" spans="1:11" x14ac:dyDescent="0.2">
      <c r="A183" s="4" t="s">
        <v>43</v>
      </c>
      <c r="B183" s="4" t="s">
        <v>10</v>
      </c>
      <c r="C183" s="6">
        <v>43878</v>
      </c>
      <c r="D183" s="6">
        <v>44085</v>
      </c>
      <c r="E183" s="3">
        <f>(Table93[[#This Row],[Serum date]]-Table93[[#This Row],[DOB]])/30.5</f>
        <v>6.7868852459016393</v>
      </c>
      <c r="F183" s="3">
        <v>71812.100000000006</v>
      </c>
      <c r="G183" s="4" t="s">
        <v>5</v>
      </c>
      <c r="H183" s="20">
        <v>46.324409753580191</v>
      </c>
      <c r="I183" s="4" t="s">
        <v>7</v>
      </c>
      <c r="J183" s="4">
        <f t="shared" si="4"/>
        <v>6</v>
      </c>
      <c r="K183" s="33" t="str">
        <f t="shared" si="5"/>
        <v>5 – 6</v>
      </c>
    </row>
    <row r="184" spans="1:11" x14ac:dyDescent="0.2">
      <c r="A184" s="4" t="s">
        <v>42</v>
      </c>
      <c r="B184" s="4" t="s">
        <v>10</v>
      </c>
      <c r="C184" s="6">
        <v>43878</v>
      </c>
      <c r="D184" s="6">
        <v>44085</v>
      </c>
      <c r="E184" s="3">
        <f>(Table93[[#This Row],[Serum date]]-Table93[[#This Row],[DOB]])/30.5</f>
        <v>6.7868852459016393</v>
      </c>
      <c r="F184" s="3">
        <v>85516.9</v>
      </c>
      <c r="G184" s="4" t="s">
        <v>5</v>
      </c>
      <c r="H184" s="20">
        <v>55.165075474132372</v>
      </c>
      <c r="I184" s="4" t="s">
        <v>7</v>
      </c>
      <c r="J184" s="4">
        <f t="shared" si="4"/>
        <v>6</v>
      </c>
      <c r="K184" s="33" t="str">
        <f t="shared" si="5"/>
        <v>5 – 6</v>
      </c>
    </row>
    <row r="185" spans="1:11" x14ac:dyDescent="0.2">
      <c r="A185" s="4" t="s">
        <v>41</v>
      </c>
      <c r="B185" s="4" t="s">
        <v>10</v>
      </c>
      <c r="C185" s="6">
        <v>43878</v>
      </c>
      <c r="D185" s="6">
        <v>44085</v>
      </c>
      <c r="E185" s="3">
        <f>(Table93[[#This Row],[Serum date]]-Table93[[#This Row],[DOB]])/30.5</f>
        <v>6.7868852459016393</v>
      </c>
      <c r="F185" s="3">
        <v>311981</v>
      </c>
      <c r="G185" s="4" t="s">
        <v>5</v>
      </c>
      <c r="H185" s="20">
        <v>201.25222551928786</v>
      </c>
      <c r="I185" s="4" t="s">
        <v>7</v>
      </c>
      <c r="J185" s="4">
        <f t="shared" si="4"/>
        <v>6</v>
      </c>
      <c r="K185" s="33" t="str">
        <f t="shared" si="5"/>
        <v>5 – 6</v>
      </c>
    </row>
    <row r="186" spans="1:11" x14ac:dyDescent="0.2">
      <c r="A186" s="4" t="s">
        <v>38</v>
      </c>
      <c r="B186" s="4" t="s">
        <v>10</v>
      </c>
      <c r="C186" s="6">
        <v>43794</v>
      </c>
      <c r="D186" s="19">
        <v>43983</v>
      </c>
      <c r="E186" s="3">
        <f>(Table93[[#This Row],[Serum date]]-Table93[[#This Row],[DOB]])/30.5</f>
        <v>6.1967213114754101</v>
      </c>
      <c r="F186" s="3">
        <v>7570</v>
      </c>
      <c r="G186" s="4" t="s">
        <v>5</v>
      </c>
      <c r="H186" s="4">
        <v>3.9</v>
      </c>
      <c r="I186" s="4" t="s">
        <v>7</v>
      </c>
      <c r="J186" s="4">
        <f t="shared" si="4"/>
        <v>6</v>
      </c>
      <c r="K186" s="33" t="str">
        <f t="shared" si="5"/>
        <v>5 – 6</v>
      </c>
    </row>
    <row r="187" spans="1:11" x14ac:dyDescent="0.2">
      <c r="A187" s="4" t="s">
        <v>38</v>
      </c>
      <c r="B187" s="4" t="s">
        <v>10</v>
      </c>
      <c r="C187" s="6">
        <v>43794</v>
      </c>
      <c r="D187" s="6">
        <v>43985</v>
      </c>
      <c r="E187" s="3">
        <f>(Table93[[#This Row],[Serum date]]-Table93[[#This Row],[DOB]])/30.5</f>
        <v>6.2622950819672134</v>
      </c>
      <c r="F187" s="75">
        <f>AVERAGE(7238,4934)</f>
        <v>6086</v>
      </c>
      <c r="G187" s="4" t="s">
        <v>5</v>
      </c>
      <c r="H187" s="20">
        <v>3.75</v>
      </c>
      <c r="I187" s="4" t="s">
        <v>8</v>
      </c>
      <c r="J187" s="4">
        <f t="shared" si="4"/>
        <v>6</v>
      </c>
      <c r="K187" s="33" t="str">
        <f t="shared" si="5"/>
        <v>5 – 6</v>
      </c>
    </row>
    <row r="188" spans="1:11" x14ac:dyDescent="0.2">
      <c r="A188" s="4" t="s">
        <v>35</v>
      </c>
      <c r="B188" s="4" t="s">
        <v>10</v>
      </c>
      <c r="C188" s="6">
        <v>43794</v>
      </c>
      <c r="D188" s="19">
        <v>43983</v>
      </c>
      <c r="E188" s="3">
        <f>(Table93[[#This Row],[Serum date]]-Table93[[#This Row],[DOB]])/30.5</f>
        <v>6.1967213114754101</v>
      </c>
      <c r="F188" s="80">
        <v>103521</v>
      </c>
      <c r="G188" s="4" t="s">
        <v>5</v>
      </c>
      <c r="H188" s="4">
        <v>53.3</v>
      </c>
      <c r="I188" s="4" t="s">
        <v>7</v>
      </c>
      <c r="J188" s="4">
        <f t="shared" si="4"/>
        <v>6</v>
      </c>
      <c r="K188" s="33" t="str">
        <f t="shared" si="5"/>
        <v>5 – 6</v>
      </c>
    </row>
    <row r="189" spans="1:11" x14ac:dyDescent="0.2">
      <c r="A189" s="4" t="s">
        <v>35</v>
      </c>
      <c r="B189" s="4" t="s">
        <v>10</v>
      </c>
      <c r="C189" s="6">
        <v>43794</v>
      </c>
      <c r="D189" s="6">
        <v>43985</v>
      </c>
      <c r="E189" s="3">
        <f>(Table93[[#This Row],[Serum date]]-Table93[[#This Row],[DOB]])/30.5</f>
        <v>6.2622950819672134</v>
      </c>
      <c r="F189" s="81">
        <f>AVERAGE(76880,136642)</f>
        <v>106761</v>
      </c>
      <c r="G189" s="4" t="s">
        <v>5</v>
      </c>
      <c r="H189" s="20">
        <v>91.15</v>
      </c>
      <c r="I189" s="4" t="s">
        <v>8</v>
      </c>
      <c r="J189" s="4">
        <f t="shared" si="4"/>
        <v>6</v>
      </c>
      <c r="K189" s="33" t="str">
        <f t="shared" si="5"/>
        <v>5 – 6</v>
      </c>
    </row>
    <row r="190" spans="1:11" x14ac:dyDescent="0.2">
      <c r="A190" s="4" t="s">
        <v>37</v>
      </c>
      <c r="B190" s="4" t="s">
        <v>10</v>
      </c>
      <c r="C190" s="6">
        <v>43794</v>
      </c>
      <c r="D190" s="19">
        <v>43989</v>
      </c>
      <c r="E190" s="3">
        <f>(Table93[[#This Row],[Serum date]]-Table93[[#This Row],[DOB]])/30.5</f>
        <v>6.3934426229508201</v>
      </c>
      <c r="F190" s="76">
        <v>88483</v>
      </c>
      <c r="G190" s="4" t="s">
        <v>5</v>
      </c>
      <c r="H190" s="4">
        <v>45.6</v>
      </c>
      <c r="I190" s="4" t="s">
        <v>7</v>
      </c>
      <c r="J190" s="4">
        <f t="shared" si="4"/>
        <v>6</v>
      </c>
      <c r="K190" s="33" t="str">
        <f t="shared" si="5"/>
        <v>5 – 6</v>
      </c>
    </row>
    <row r="191" spans="1:11" x14ac:dyDescent="0.2">
      <c r="A191" s="4" t="s">
        <v>36</v>
      </c>
      <c r="B191" s="4" t="s">
        <v>10</v>
      </c>
      <c r="C191" s="6">
        <v>43794</v>
      </c>
      <c r="D191" s="19">
        <v>43989</v>
      </c>
      <c r="E191" s="3">
        <f>(Table93[[#This Row],[Serum date]]-Table93[[#This Row],[DOB]])/30.5</f>
        <v>6.3934426229508201</v>
      </c>
      <c r="F191" s="3">
        <v>1616</v>
      </c>
      <c r="G191" s="4" t="s">
        <v>5</v>
      </c>
      <c r="H191" s="4">
        <v>0.8</v>
      </c>
      <c r="I191" s="4" t="s">
        <v>7</v>
      </c>
      <c r="J191" s="4">
        <f t="shared" si="4"/>
        <v>6</v>
      </c>
      <c r="K191" s="33" t="str">
        <f t="shared" si="5"/>
        <v>5 – 6</v>
      </c>
    </row>
    <row r="192" spans="1:11" x14ac:dyDescent="0.2">
      <c r="A192" s="4" t="s">
        <v>34</v>
      </c>
      <c r="B192" s="4" t="s">
        <v>10</v>
      </c>
      <c r="C192" s="6">
        <v>43794</v>
      </c>
      <c r="D192" s="19">
        <v>43983</v>
      </c>
      <c r="E192" s="3">
        <f>(Table93[[#This Row],[Serum date]]-Table93[[#This Row],[DOB]])/30.5</f>
        <v>6.1967213114754101</v>
      </c>
      <c r="F192" s="3">
        <v>170989</v>
      </c>
      <c r="G192" s="4" t="s">
        <v>5</v>
      </c>
      <c r="H192" s="4">
        <v>88.1</v>
      </c>
      <c r="I192" s="4" t="s">
        <v>7</v>
      </c>
      <c r="J192" s="4">
        <f t="shared" si="4"/>
        <v>6</v>
      </c>
      <c r="K192" s="33" t="str">
        <f t="shared" si="5"/>
        <v>5 – 6</v>
      </c>
    </row>
    <row r="193" spans="1:11" x14ac:dyDescent="0.2">
      <c r="A193" s="4" t="s">
        <v>34</v>
      </c>
      <c r="B193" s="4" t="s">
        <v>10</v>
      </c>
      <c r="C193" s="6">
        <v>43794</v>
      </c>
      <c r="D193" s="6">
        <v>43985</v>
      </c>
      <c r="E193" s="3">
        <f>(Table93[[#This Row],[Serum date]]-Table93[[#This Row],[DOB]])/30.5</f>
        <v>6.2622950819672134</v>
      </c>
      <c r="F193" s="75">
        <f>AVERAGE(27820.3,59940)</f>
        <v>43880.15</v>
      </c>
      <c r="G193" s="4" t="s">
        <v>5</v>
      </c>
      <c r="H193" s="20">
        <v>39.4</v>
      </c>
      <c r="I193" s="4" t="s">
        <v>8</v>
      </c>
      <c r="J193" s="4">
        <f t="shared" si="4"/>
        <v>6</v>
      </c>
      <c r="K193" s="33" t="str">
        <f t="shared" si="5"/>
        <v>5 – 6</v>
      </c>
    </row>
    <row r="194" spans="1:11" x14ac:dyDescent="0.2">
      <c r="A194" s="4" t="s">
        <v>33</v>
      </c>
      <c r="B194" s="4" t="s">
        <v>10</v>
      </c>
      <c r="C194" s="6">
        <v>43763</v>
      </c>
      <c r="D194" s="18">
        <v>43958</v>
      </c>
      <c r="E194" s="3">
        <f>(Table93[[#This Row],[Serum date]]-Table93[[#This Row],[DOB]])/30.5</f>
        <v>6.3934426229508201</v>
      </c>
      <c r="F194" s="76">
        <v>201646.7</v>
      </c>
      <c r="G194" s="4" t="s">
        <v>5</v>
      </c>
      <c r="H194" s="10">
        <v>205.66749961752257</v>
      </c>
      <c r="I194" s="4" t="s">
        <v>7</v>
      </c>
      <c r="J194" s="4">
        <f t="shared" ref="J194:J257" si="6">IF($E194&lt;2,1,IF($E194&lt;3,2,IF($E194&lt;4,3,IF($E194&lt;5,4,IF($E194&lt;6,5,IF($E194&lt;7,6,IF($E194&lt;8,7,IF($E194&lt;9,8,IF($E194&lt;10,9,IF($E194&lt;11,10,IF($E194&lt;12,11,IF($E194&lt;13,12,IF($E194&lt;14,13,IF($E194&lt;15,14,IF($E194&lt;16,15,IF($E194&lt;17,16,IF($E194&lt;18,17,IF($E194&lt;19,18,IF($E194&lt;20,19,20)))))))))))))))))))</f>
        <v>6</v>
      </c>
      <c r="K194" s="33" t="str">
        <f t="shared" ref="K194:K257" si="7">IF($J194&lt;3,"1 – 2",IF($J194&lt;5,"3 – 4",IF($J194&lt;7,"5 – 6",IF($J194&lt;9,"7 – 8",IF($J194&lt;11,"9 – 10",IF($J194&lt;13,"11 – 12",IF($J194&lt;16,"13 – 15","16 – 19")))))))</f>
        <v>5 – 6</v>
      </c>
    </row>
    <row r="195" spans="1:11" x14ac:dyDescent="0.2">
      <c r="A195" s="7" t="s">
        <v>26</v>
      </c>
      <c r="B195" s="1" t="s">
        <v>10</v>
      </c>
      <c r="C195" s="2">
        <v>43165</v>
      </c>
      <c r="D195" s="2">
        <v>43376</v>
      </c>
      <c r="E195" s="3">
        <f>(Table93[[#This Row],[Serum date]]-Table93[[#This Row],[DOB]])/30.5</f>
        <v>6.918032786885246</v>
      </c>
      <c r="F195" s="3">
        <v>98138</v>
      </c>
      <c r="G195" s="4" t="s">
        <v>5</v>
      </c>
      <c r="H195" s="5">
        <v>174.3</v>
      </c>
      <c r="I195" s="4" t="s">
        <v>7</v>
      </c>
      <c r="J195" s="4">
        <f t="shared" si="6"/>
        <v>6</v>
      </c>
      <c r="K195" s="33" t="str">
        <f t="shared" si="7"/>
        <v>5 – 6</v>
      </c>
    </row>
    <row r="196" spans="1:11" x14ac:dyDescent="0.2">
      <c r="A196" s="4" t="s">
        <v>13</v>
      </c>
      <c r="B196" s="4" t="s">
        <v>10</v>
      </c>
      <c r="C196" s="6">
        <v>43369</v>
      </c>
      <c r="D196" s="2">
        <v>43559</v>
      </c>
      <c r="E196" s="3">
        <f>(Table93[[#This Row],[Serum date]]-Table93[[#This Row],[DOB]])/30.5</f>
        <v>6.2295081967213113</v>
      </c>
      <c r="F196" s="3">
        <v>89450</v>
      </c>
      <c r="G196" s="4" t="s">
        <v>5</v>
      </c>
      <c r="H196" s="8">
        <v>70.7</v>
      </c>
      <c r="I196" s="4" t="s">
        <v>7</v>
      </c>
      <c r="J196" s="4">
        <f t="shared" si="6"/>
        <v>6</v>
      </c>
      <c r="K196" s="33" t="str">
        <f t="shared" si="7"/>
        <v>5 – 6</v>
      </c>
    </row>
    <row r="197" spans="1:11" x14ac:dyDescent="0.2">
      <c r="A197" s="4" t="s">
        <v>11</v>
      </c>
      <c r="B197" s="4" t="s">
        <v>10</v>
      </c>
      <c r="C197" s="6">
        <v>43367</v>
      </c>
      <c r="D197" s="2">
        <v>43559</v>
      </c>
      <c r="E197" s="3">
        <f>(Table93[[#This Row],[Serum date]]-Table93[[#This Row],[DOB]])/30.5</f>
        <v>6.2950819672131146</v>
      </c>
      <c r="F197" s="3">
        <v>56792</v>
      </c>
      <c r="G197" s="4" t="s">
        <v>5</v>
      </c>
      <c r="H197" s="8">
        <v>44.9</v>
      </c>
      <c r="I197" s="4" t="s">
        <v>7</v>
      </c>
      <c r="J197" s="4">
        <f t="shared" si="6"/>
        <v>6</v>
      </c>
      <c r="K197" s="33" t="str">
        <f t="shared" si="7"/>
        <v>5 – 6</v>
      </c>
    </row>
    <row r="198" spans="1:11" x14ac:dyDescent="0.2">
      <c r="A198" s="7" t="s">
        <v>9</v>
      </c>
      <c r="B198" s="1" t="s">
        <v>10</v>
      </c>
      <c r="C198" s="2">
        <v>43164</v>
      </c>
      <c r="D198" s="6">
        <v>43347</v>
      </c>
      <c r="E198" s="3">
        <f>(Table93[[#This Row],[Serum date]]-Table93[[#This Row],[DOB]])/30.5</f>
        <v>6</v>
      </c>
      <c r="F198" s="79">
        <v>298496</v>
      </c>
      <c r="G198" s="4" t="s">
        <v>5</v>
      </c>
      <c r="H198" s="5">
        <v>303</v>
      </c>
      <c r="I198" s="4" t="s">
        <v>7</v>
      </c>
      <c r="J198" s="4">
        <f t="shared" si="6"/>
        <v>6</v>
      </c>
      <c r="K198" s="33" t="str">
        <f t="shared" si="7"/>
        <v>5 – 6</v>
      </c>
    </row>
    <row r="199" spans="1:11" x14ac:dyDescent="0.2">
      <c r="A199" s="7" t="s">
        <v>9</v>
      </c>
      <c r="B199" s="1" t="s">
        <v>10</v>
      </c>
      <c r="C199" s="2">
        <v>43164</v>
      </c>
      <c r="D199" s="2">
        <v>43376</v>
      </c>
      <c r="E199" s="3">
        <f>(Table93[[#This Row],[Serum date]]-Table93[[#This Row],[DOB]])/30.5</f>
        <v>6.9508196721311473</v>
      </c>
      <c r="F199" s="76">
        <v>163586</v>
      </c>
      <c r="G199" s="4" t="s">
        <v>5</v>
      </c>
      <c r="H199" s="5">
        <v>290.60000000000002</v>
      </c>
      <c r="I199" s="4" t="s">
        <v>7</v>
      </c>
      <c r="J199" s="4">
        <f t="shared" si="6"/>
        <v>6</v>
      </c>
      <c r="K199" s="33" t="str">
        <f t="shared" si="7"/>
        <v>5 – 6</v>
      </c>
    </row>
    <row r="200" spans="1:11" x14ac:dyDescent="0.2">
      <c r="A200" s="1" t="s">
        <v>40</v>
      </c>
      <c r="B200" s="1" t="s">
        <v>10</v>
      </c>
      <c r="C200" s="2">
        <v>43808</v>
      </c>
      <c r="D200" s="6">
        <v>44019</v>
      </c>
      <c r="E200" s="3">
        <f>(Table93[[#This Row],[Serum date]]-Table93[[#This Row],[DOB]])/30.5</f>
        <v>6.918032786885246</v>
      </c>
      <c r="F200" s="73">
        <v>292412</v>
      </c>
      <c r="G200" s="4" t="s">
        <v>5</v>
      </c>
      <c r="H200" s="4">
        <v>274.2</v>
      </c>
      <c r="I200" s="4" t="s">
        <v>7</v>
      </c>
      <c r="J200" s="4">
        <f t="shared" si="6"/>
        <v>6</v>
      </c>
      <c r="K200" s="33" t="str">
        <f t="shared" si="7"/>
        <v>5 – 6</v>
      </c>
    </row>
    <row r="201" spans="1:11" x14ac:dyDescent="0.2">
      <c r="A201" s="4" t="s">
        <v>39</v>
      </c>
      <c r="B201" s="4" t="s">
        <v>10</v>
      </c>
      <c r="C201" s="6">
        <v>43808</v>
      </c>
      <c r="D201" s="6">
        <v>44046</v>
      </c>
      <c r="E201" s="3">
        <f>(Table93[[#This Row],[Serum date]]-Table93[[#This Row],[DOB]])/30.5</f>
        <v>7.8032786885245899</v>
      </c>
      <c r="F201" s="3">
        <v>78630</v>
      </c>
      <c r="G201" s="4" t="s">
        <v>5</v>
      </c>
      <c r="H201" s="10">
        <v>73.734433608402085</v>
      </c>
      <c r="I201" s="4" t="s">
        <v>7</v>
      </c>
      <c r="J201" s="4">
        <f t="shared" si="6"/>
        <v>7</v>
      </c>
      <c r="K201" s="33" t="str">
        <f t="shared" si="7"/>
        <v>7 – 8</v>
      </c>
    </row>
    <row r="202" spans="1:11" x14ac:dyDescent="0.2">
      <c r="A202" s="4" t="s">
        <v>62</v>
      </c>
      <c r="B202" s="4" t="s">
        <v>10</v>
      </c>
      <c r="C202" s="9" t="s">
        <v>67</v>
      </c>
      <c r="D202" s="2">
        <v>43531</v>
      </c>
      <c r="E202" s="3">
        <f>(Table93[[#This Row],[Serum date]]-Table93[[#This Row],[DOB]])/30.5</f>
        <v>7.639344262295082</v>
      </c>
      <c r="F202" s="3">
        <v>3820</v>
      </c>
      <c r="G202" s="4" t="s">
        <v>5</v>
      </c>
      <c r="H202" s="11">
        <v>3</v>
      </c>
      <c r="I202" s="4" t="s">
        <v>7</v>
      </c>
      <c r="J202" s="4">
        <f t="shared" si="6"/>
        <v>7</v>
      </c>
      <c r="K202" s="33" t="str">
        <f t="shared" si="7"/>
        <v>7 – 8</v>
      </c>
    </row>
    <row r="203" spans="1:11" x14ac:dyDescent="0.2">
      <c r="A203" s="4" t="s">
        <v>61</v>
      </c>
      <c r="B203" s="4" t="s">
        <v>10</v>
      </c>
      <c r="C203" s="9" t="s">
        <v>67</v>
      </c>
      <c r="D203" s="2">
        <v>43531</v>
      </c>
      <c r="E203" s="3">
        <f>(Table93[[#This Row],[Serum date]]-Table93[[#This Row],[DOB]])/30.5</f>
        <v>7.639344262295082</v>
      </c>
      <c r="F203" s="3">
        <v>141633</v>
      </c>
      <c r="G203" s="4" t="s">
        <v>5</v>
      </c>
      <c r="H203" s="12">
        <v>111.9</v>
      </c>
      <c r="I203" s="4" t="s">
        <v>7</v>
      </c>
      <c r="J203" s="4">
        <f t="shared" si="6"/>
        <v>7</v>
      </c>
      <c r="K203" s="33" t="str">
        <f t="shared" si="7"/>
        <v>7 – 8</v>
      </c>
    </row>
    <row r="204" spans="1:11" x14ac:dyDescent="0.2">
      <c r="A204" s="4" t="s">
        <v>58</v>
      </c>
      <c r="B204" s="4" t="s">
        <v>10</v>
      </c>
      <c r="C204" s="9" t="s">
        <v>67</v>
      </c>
      <c r="D204" s="2">
        <v>43531</v>
      </c>
      <c r="E204" s="3">
        <f>(Table93[[#This Row],[Serum date]]-Table93[[#This Row],[DOB]])/30.5</f>
        <v>7.639344262295082</v>
      </c>
      <c r="F204" s="3">
        <v>4105</v>
      </c>
      <c r="G204" s="4" t="s">
        <v>5</v>
      </c>
      <c r="H204" s="1">
        <v>3.2</v>
      </c>
      <c r="I204" s="4" t="s">
        <v>7</v>
      </c>
      <c r="J204" s="4">
        <f t="shared" si="6"/>
        <v>7</v>
      </c>
      <c r="K204" s="33" t="str">
        <f t="shared" si="7"/>
        <v>7 – 8</v>
      </c>
    </row>
    <row r="205" spans="1:11" x14ac:dyDescent="0.2">
      <c r="A205" s="4" t="s">
        <v>49</v>
      </c>
      <c r="B205" s="4" t="s">
        <v>10</v>
      </c>
      <c r="C205" s="6">
        <v>43892</v>
      </c>
      <c r="D205" s="25">
        <v>44115</v>
      </c>
      <c r="E205" s="3">
        <f>(Table93[[#This Row],[Serum date]]-Table93[[#This Row],[DOB]])/30.5</f>
        <v>7.3114754098360653</v>
      </c>
      <c r="F205" s="3">
        <v>129570.29999999999</v>
      </c>
      <c r="G205" s="4" t="s">
        <v>5</v>
      </c>
      <c r="H205" s="22">
        <v>179.41055109387977</v>
      </c>
      <c r="I205" s="4" t="s">
        <v>7</v>
      </c>
      <c r="J205" s="4">
        <f t="shared" si="6"/>
        <v>7</v>
      </c>
      <c r="K205" s="33" t="str">
        <f t="shared" si="7"/>
        <v>7 – 8</v>
      </c>
    </row>
    <row r="206" spans="1:11" x14ac:dyDescent="0.2">
      <c r="A206" s="4" t="s">
        <v>48</v>
      </c>
      <c r="B206" s="4" t="s">
        <v>10</v>
      </c>
      <c r="C206" s="6">
        <v>43892</v>
      </c>
      <c r="D206" s="25">
        <v>44115</v>
      </c>
      <c r="E206" s="3">
        <f>(Table93[[#This Row],[Serum date]]-Table93[[#This Row],[DOB]])/30.5</f>
        <v>7.3114754098360653</v>
      </c>
      <c r="F206" s="3">
        <v>72762.2</v>
      </c>
      <c r="G206" s="4" t="s">
        <v>5</v>
      </c>
      <c r="H206" s="22">
        <v>100.75076156189421</v>
      </c>
      <c r="I206" s="4" t="s">
        <v>7</v>
      </c>
      <c r="J206" s="4">
        <f t="shared" si="6"/>
        <v>7</v>
      </c>
      <c r="K206" s="33" t="str">
        <f t="shared" si="7"/>
        <v>7 – 8</v>
      </c>
    </row>
    <row r="207" spans="1:11" x14ac:dyDescent="0.2">
      <c r="A207" s="4" t="s">
        <v>47</v>
      </c>
      <c r="B207" s="4" t="s">
        <v>10</v>
      </c>
      <c r="C207" s="6">
        <v>43892</v>
      </c>
      <c r="D207" s="25">
        <v>44115</v>
      </c>
      <c r="E207" s="3">
        <f>(Table93[[#This Row],[Serum date]]-Table93[[#This Row],[DOB]])/30.5</f>
        <v>7.3114754098360653</v>
      </c>
      <c r="F207" s="3">
        <v>135291.9</v>
      </c>
      <c r="G207" s="4" t="s">
        <v>5</v>
      </c>
      <c r="H207" s="22">
        <v>187.33301024646912</v>
      </c>
      <c r="I207" s="4" t="s">
        <v>7</v>
      </c>
      <c r="J207" s="4">
        <f t="shared" si="6"/>
        <v>7</v>
      </c>
      <c r="K207" s="33" t="str">
        <f t="shared" si="7"/>
        <v>7 – 8</v>
      </c>
    </row>
    <row r="208" spans="1:11" x14ac:dyDescent="0.2">
      <c r="A208" s="4" t="s">
        <v>46</v>
      </c>
      <c r="B208" s="4" t="s">
        <v>10</v>
      </c>
      <c r="C208" s="6">
        <v>43892</v>
      </c>
      <c r="D208" s="25">
        <v>44115</v>
      </c>
      <c r="E208" s="3">
        <f>(Table93[[#This Row],[Serum date]]-Table93[[#This Row],[DOB]])/30.5</f>
        <v>7.3114754098360653</v>
      </c>
      <c r="F208" s="3">
        <v>8030.2999999999993</v>
      </c>
      <c r="G208" s="4" t="s">
        <v>5</v>
      </c>
      <c r="H208" s="22">
        <v>11.119219052893934</v>
      </c>
      <c r="I208" s="4" t="s">
        <v>7</v>
      </c>
      <c r="J208" s="4">
        <f t="shared" si="6"/>
        <v>7</v>
      </c>
      <c r="K208" s="33" t="str">
        <f t="shared" si="7"/>
        <v>7 – 8</v>
      </c>
    </row>
    <row r="209" spans="1:11" x14ac:dyDescent="0.2">
      <c r="A209" s="4" t="s">
        <v>45</v>
      </c>
      <c r="B209" s="4" t="s">
        <v>10</v>
      </c>
      <c r="C209" s="6">
        <v>43892</v>
      </c>
      <c r="D209" s="25">
        <v>44115</v>
      </c>
      <c r="E209" s="3">
        <f>(Table93[[#This Row],[Serum date]]-Table93[[#This Row],[DOB]])/30.5</f>
        <v>7.3114754098360653</v>
      </c>
      <c r="F209" s="3">
        <v>129292.4</v>
      </c>
      <c r="G209" s="4" t="s">
        <v>5</v>
      </c>
      <c r="H209" s="22">
        <v>179.02575463860424</v>
      </c>
      <c r="I209" s="4" t="s">
        <v>7</v>
      </c>
      <c r="J209" s="4">
        <f t="shared" si="6"/>
        <v>7</v>
      </c>
      <c r="K209" s="33" t="str">
        <f t="shared" si="7"/>
        <v>7 – 8</v>
      </c>
    </row>
    <row r="210" spans="1:11" x14ac:dyDescent="0.2">
      <c r="A210" s="4" t="s">
        <v>43</v>
      </c>
      <c r="B210" s="4" t="s">
        <v>10</v>
      </c>
      <c r="C210" s="6">
        <v>43878</v>
      </c>
      <c r="D210" s="6">
        <v>44115</v>
      </c>
      <c r="E210" s="3">
        <f>(Table93[[#This Row],[Serum date]]-Table93[[#This Row],[DOB]])/30.5</f>
        <v>7.7704918032786887</v>
      </c>
      <c r="F210" s="3">
        <v>103618.4</v>
      </c>
      <c r="G210" s="4" t="s">
        <v>5</v>
      </c>
      <c r="H210" s="20">
        <v>143.47604541678203</v>
      </c>
      <c r="I210" s="4" t="s">
        <v>7</v>
      </c>
      <c r="J210" s="4">
        <f t="shared" si="6"/>
        <v>7</v>
      </c>
      <c r="K210" s="33" t="str">
        <f t="shared" si="7"/>
        <v>7 – 8</v>
      </c>
    </row>
    <row r="211" spans="1:11" x14ac:dyDescent="0.2">
      <c r="A211" s="4" t="s">
        <v>42</v>
      </c>
      <c r="B211" s="4" t="s">
        <v>10</v>
      </c>
      <c r="C211" s="6">
        <v>43878</v>
      </c>
      <c r="D211" s="6">
        <v>44115</v>
      </c>
      <c r="E211" s="3">
        <f>(Table93[[#This Row],[Serum date]]-Table93[[#This Row],[DOB]])/30.5</f>
        <v>7.7704918032786887</v>
      </c>
      <c r="F211" s="3">
        <v>48333.2</v>
      </c>
      <c r="G211" s="4" t="s">
        <v>5</v>
      </c>
      <c r="H211" s="20">
        <v>66.924951536970354</v>
      </c>
      <c r="I211" s="4" t="s">
        <v>7</v>
      </c>
      <c r="J211" s="4">
        <f t="shared" si="6"/>
        <v>7</v>
      </c>
      <c r="K211" s="33" t="str">
        <f t="shared" si="7"/>
        <v>7 – 8</v>
      </c>
    </row>
    <row r="212" spans="1:11" x14ac:dyDescent="0.2">
      <c r="A212" s="4" t="s">
        <v>41</v>
      </c>
      <c r="B212" s="4" t="s">
        <v>10</v>
      </c>
      <c r="C212" s="6">
        <v>43878</v>
      </c>
      <c r="D212" s="6">
        <v>44115</v>
      </c>
      <c r="E212" s="3">
        <f>(Table93[[#This Row],[Serum date]]-Table93[[#This Row],[DOB]])/30.5</f>
        <v>7.7704918032786887</v>
      </c>
      <c r="F212" s="3">
        <v>138128.6</v>
      </c>
      <c r="G212" s="4" t="s">
        <v>5</v>
      </c>
      <c r="H212" s="20">
        <v>191.26086956521738</v>
      </c>
      <c r="I212" s="4" t="s">
        <v>7</v>
      </c>
      <c r="J212" s="4">
        <f t="shared" si="6"/>
        <v>7</v>
      </c>
      <c r="K212" s="33" t="str">
        <f t="shared" si="7"/>
        <v>7 – 8</v>
      </c>
    </row>
    <row r="213" spans="1:11" x14ac:dyDescent="0.2">
      <c r="A213" s="4" t="s">
        <v>37</v>
      </c>
      <c r="B213" s="4" t="s">
        <v>10</v>
      </c>
      <c r="C213" s="6">
        <v>43794</v>
      </c>
      <c r="D213" s="6">
        <v>44019</v>
      </c>
      <c r="E213" s="3">
        <f>(Table93[[#This Row],[Serum date]]-Table93[[#This Row],[DOB]])/30.5</f>
        <v>7.3770491803278686</v>
      </c>
      <c r="F213" s="3">
        <v>198686</v>
      </c>
      <c r="G213" s="4" t="s">
        <v>5</v>
      </c>
      <c r="H213" s="4">
        <v>186.3</v>
      </c>
      <c r="I213" s="4" t="s">
        <v>7</v>
      </c>
      <c r="J213" s="4">
        <f t="shared" si="6"/>
        <v>7</v>
      </c>
      <c r="K213" s="33" t="str">
        <f t="shared" si="7"/>
        <v>7 – 8</v>
      </c>
    </row>
    <row r="214" spans="1:11" x14ac:dyDescent="0.2">
      <c r="A214" s="4" t="s">
        <v>36</v>
      </c>
      <c r="B214" s="4" t="s">
        <v>10</v>
      </c>
      <c r="C214" s="6">
        <v>43794</v>
      </c>
      <c r="D214" s="6">
        <v>44019</v>
      </c>
      <c r="E214" s="3">
        <f>(Table93[[#This Row],[Serum date]]-Table93[[#This Row],[DOB]])/30.5</f>
        <v>7.3770491803278686</v>
      </c>
      <c r="F214" s="3">
        <v>491</v>
      </c>
      <c r="G214" s="4" t="s">
        <v>5</v>
      </c>
      <c r="H214" s="4">
        <v>1</v>
      </c>
      <c r="I214" s="4" t="s">
        <v>7</v>
      </c>
      <c r="J214" s="4">
        <f t="shared" si="6"/>
        <v>7</v>
      </c>
      <c r="K214" s="33" t="str">
        <f t="shared" si="7"/>
        <v>7 – 8</v>
      </c>
    </row>
    <row r="215" spans="1:11" x14ac:dyDescent="0.2">
      <c r="A215" s="4" t="s">
        <v>33</v>
      </c>
      <c r="B215" s="4" t="s">
        <v>10</v>
      </c>
      <c r="C215" s="6">
        <v>43763</v>
      </c>
      <c r="D215" s="19">
        <v>43983</v>
      </c>
      <c r="E215" s="3">
        <f>(Table93[[#This Row],[Serum date]]-Table93[[#This Row],[DOB]])/30.5</f>
        <v>7.2131147540983607</v>
      </c>
      <c r="F215" s="3">
        <v>239676</v>
      </c>
      <c r="G215" s="4" t="s">
        <v>5</v>
      </c>
      <c r="H215" s="4">
        <v>123.5</v>
      </c>
      <c r="I215" s="4" t="s">
        <v>7</v>
      </c>
      <c r="J215" s="4">
        <f t="shared" si="6"/>
        <v>7</v>
      </c>
      <c r="K215" s="33" t="str">
        <f t="shared" si="7"/>
        <v>7 – 8</v>
      </c>
    </row>
    <row r="216" spans="1:11" x14ac:dyDescent="0.2">
      <c r="A216" s="4" t="s">
        <v>33</v>
      </c>
      <c r="B216" s="4" t="s">
        <v>10</v>
      </c>
      <c r="C216" s="6">
        <v>43763</v>
      </c>
      <c r="D216" s="6">
        <v>43985</v>
      </c>
      <c r="E216" s="3">
        <f>(Table93[[#This Row],[Serum date]]-Table93[[#This Row],[DOB]])/30.5</f>
        <v>7.278688524590164</v>
      </c>
      <c r="F216" s="75">
        <f>AVERAGE(121364,187078)</f>
        <v>154221</v>
      </c>
      <c r="G216" s="4" t="s">
        <v>5</v>
      </c>
      <c r="H216" s="20">
        <v>126.5</v>
      </c>
      <c r="I216" s="4" t="s">
        <v>8</v>
      </c>
      <c r="J216" s="4">
        <f t="shared" si="6"/>
        <v>7</v>
      </c>
      <c r="K216" s="33" t="str">
        <f t="shared" si="7"/>
        <v>7 – 8</v>
      </c>
    </row>
    <row r="217" spans="1:11" x14ac:dyDescent="0.2">
      <c r="A217" s="7" t="s">
        <v>26</v>
      </c>
      <c r="B217" s="1" t="s">
        <v>10</v>
      </c>
      <c r="C217" s="2">
        <v>43165</v>
      </c>
      <c r="D217" s="2">
        <v>43392</v>
      </c>
      <c r="E217" s="3">
        <f>(Table93[[#This Row],[Serum date]]-Table93[[#This Row],[DOB]])/30.5</f>
        <v>7.442622950819672</v>
      </c>
      <c r="F217" s="76">
        <v>176046</v>
      </c>
      <c r="G217" s="4" t="s">
        <v>5</v>
      </c>
      <c r="H217" s="5">
        <v>98</v>
      </c>
      <c r="I217" s="4" t="s">
        <v>7</v>
      </c>
      <c r="J217" s="4">
        <f t="shared" si="6"/>
        <v>7</v>
      </c>
      <c r="K217" s="33" t="str">
        <f t="shared" si="7"/>
        <v>7 – 8</v>
      </c>
    </row>
    <row r="218" spans="1:11" x14ac:dyDescent="0.2">
      <c r="A218" s="4" t="s">
        <v>13</v>
      </c>
      <c r="B218" s="4" t="s">
        <v>10</v>
      </c>
      <c r="C218" s="6">
        <v>43369</v>
      </c>
      <c r="D218" s="2">
        <v>43593</v>
      </c>
      <c r="E218" s="3">
        <f>(Table93[[#This Row],[Serum date]]-Table93[[#This Row],[DOB]])/30.5</f>
        <v>7.3442622950819674</v>
      </c>
      <c r="F218" s="79">
        <v>71078</v>
      </c>
      <c r="G218" s="4" t="s">
        <v>5</v>
      </c>
      <c r="H218" s="8">
        <v>131.1</v>
      </c>
      <c r="I218" s="4" t="s">
        <v>7</v>
      </c>
      <c r="J218" s="4">
        <f t="shared" si="6"/>
        <v>7</v>
      </c>
      <c r="K218" s="33" t="str">
        <f t="shared" si="7"/>
        <v>7 – 8</v>
      </c>
    </row>
    <row r="219" spans="1:11" x14ac:dyDescent="0.2">
      <c r="A219" s="4" t="s">
        <v>11</v>
      </c>
      <c r="B219" s="4" t="s">
        <v>10</v>
      </c>
      <c r="C219" s="6">
        <v>43367</v>
      </c>
      <c r="D219" s="2">
        <v>43593</v>
      </c>
      <c r="E219" s="3">
        <f>(Table93[[#This Row],[Serum date]]-Table93[[#This Row],[DOB]])/30.5</f>
        <v>7.4098360655737707</v>
      </c>
      <c r="F219" s="76">
        <v>61451</v>
      </c>
      <c r="G219" s="4" t="s">
        <v>5</v>
      </c>
      <c r="H219" s="8">
        <v>113.4</v>
      </c>
      <c r="I219" s="4" t="s">
        <v>7</v>
      </c>
      <c r="J219" s="4">
        <f t="shared" si="6"/>
        <v>7</v>
      </c>
      <c r="K219" s="33" t="str">
        <f t="shared" si="7"/>
        <v>7 – 8</v>
      </c>
    </row>
    <row r="220" spans="1:11" x14ac:dyDescent="0.2">
      <c r="A220" s="7" t="s">
        <v>9</v>
      </c>
      <c r="B220" s="1" t="s">
        <v>10</v>
      </c>
      <c r="C220" s="2">
        <v>43164</v>
      </c>
      <c r="D220" s="2">
        <v>43392</v>
      </c>
      <c r="E220" s="3">
        <f>(Table93[[#This Row],[Serum date]]-Table93[[#This Row],[DOB]])/30.5</f>
        <v>7.4754098360655741</v>
      </c>
      <c r="F220" s="3">
        <v>324190</v>
      </c>
      <c r="G220" s="4" t="s">
        <v>5</v>
      </c>
      <c r="H220" s="5">
        <v>180.4</v>
      </c>
      <c r="I220" s="4" t="s">
        <v>7</v>
      </c>
      <c r="J220" s="4">
        <f t="shared" si="6"/>
        <v>7</v>
      </c>
      <c r="K220" s="33" t="str">
        <f t="shared" si="7"/>
        <v>7 – 8</v>
      </c>
    </row>
    <row r="221" spans="1:11" x14ac:dyDescent="0.2">
      <c r="A221" s="1" t="s">
        <v>40</v>
      </c>
      <c r="B221" s="1" t="s">
        <v>10</v>
      </c>
      <c r="C221" s="2">
        <v>43808</v>
      </c>
      <c r="D221" s="6">
        <v>44046</v>
      </c>
      <c r="E221" s="3">
        <f>(Table93[[#This Row],[Serum date]]-Table93[[#This Row],[DOB]])/30.5</f>
        <v>7.8032786885245899</v>
      </c>
      <c r="F221" s="3">
        <v>245706</v>
      </c>
      <c r="G221" s="4" t="s">
        <v>5</v>
      </c>
      <c r="H221" s="21">
        <v>230.40650787696921</v>
      </c>
      <c r="I221" s="4" t="s">
        <v>7</v>
      </c>
      <c r="J221" s="4">
        <f t="shared" si="6"/>
        <v>7</v>
      </c>
      <c r="K221" s="33" t="str">
        <f t="shared" si="7"/>
        <v>7 – 8</v>
      </c>
    </row>
    <row r="222" spans="1:11" x14ac:dyDescent="0.2">
      <c r="A222" s="4" t="s">
        <v>62</v>
      </c>
      <c r="B222" s="4" t="s">
        <v>10</v>
      </c>
      <c r="C222" s="9" t="s">
        <v>67</v>
      </c>
      <c r="D222" s="2">
        <v>43559</v>
      </c>
      <c r="E222" s="3">
        <f>(Table93[[#This Row],[Serum date]]-Table93[[#This Row],[DOB]])/30.5</f>
        <v>8.557377049180328</v>
      </c>
      <c r="F222" s="3">
        <v>4393</v>
      </c>
      <c r="G222" s="4" t="s">
        <v>5</v>
      </c>
      <c r="H222" s="1">
        <v>3.5</v>
      </c>
      <c r="I222" s="4" t="s">
        <v>7</v>
      </c>
      <c r="J222" s="4">
        <f t="shared" si="6"/>
        <v>8</v>
      </c>
      <c r="K222" s="33" t="str">
        <f t="shared" si="7"/>
        <v>7 – 8</v>
      </c>
    </row>
    <row r="223" spans="1:11" x14ac:dyDescent="0.2">
      <c r="A223" s="4" t="s">
        <v>61</v>
      </c>
      <c r="B223" s="4" t="s">
        <v>10</v>
      </c>
      <c r="C223" s="9" t="s">
        <v>67</v>
      </c>
      <c r="D223" s="2">
        <v>43559</v>
      </c>
      <c r="E223" s="3">
        <f>(Table93[[#This Row],[Serum date]]-Table93[[#This Row],[DOB]])/30.5</f>
        <v>8.557377049180328</v>
      </c>
      <c r="F223" s="3">
        <v>130849</v>
      </c>
      <c r="G223" s="4" t="s">
        <v>5</v>
      </c>
      <c r="H223" s="13">
        <v>103.4</v>
      </c>
      <c r="I223" s="4" t="s">
        <v>7</v>
      </c>
      <c r="J223" s="4">
        <f t="shared" si="6"/>
        <v>8</v>
      </c>
      <c r="K223" s="33" t="str">
        <f t="shared" si="7"/>
        <v>7 – 8</v>
      </c>
    </row>
    <row r="224" spans="1:11" x14ac:dyDescent="0.2">
      <c r="A224" s="4" t="s">
        <v>58</v>
      </c>
      <c r="B224" s="4" t="s">
        <v>10</v>
      </c>
      <c r="C224" s="9" t="s">
        <v>67</v>
      </c>
      <c r="D224" s="2">
        <v>43559</v>
      </c>
      <c r="E224" s="3">
        <f>(Table93[[#This Row],[Serum date]]-Table93[[#This Row],[DOB]])/30.5</f>
        <v>8.557377049180328</v>
      </c>
      <c r="F224" s="3">
        <v>2915</v>
      </c>
      <c r="G224" s="4" t="s">
        <v>5</v>
      </c>
      <c r="H224" s="1">
        <v>2.2999999999999998</v>
      </c>
      <c r="I224" s="4" t="s">
        <v>7</v>
      </c>
      <c r="J224" s="4">
        <f t="shared" si="6"/>
        <v>8</v>
      </c>
      <c r="K224" s="33" t="str">
        <f t="shared" si="7"/>
        <v>7 – 8</v>
      </c>
    </row>
    <row r="225" spans="1:11" x14ac:dyDescent="0.2">
      <c r="A225" s="4" t="s">
        <v>37</v>
      </c>
      <c r="B225" s="4" t="s">
        <v>10</v>
      </c>
      <c r="C225" s="6">
        <v>43794</v>
      </c>
      <c r="D225" s="6">
        <v>44046</v>
      </c>
      <c r="E225" s="3">
        <f>(Table93[[#This Row],[Serum date]]-Table93[[#This Row],[DOB]])/30.5</f>
        <v>8.2622950819672134</v>
      </c>
      <c r="F225" s="3">
        <v>221161</v>
      </c>
      <c r="G225" s="4" t="s">
        <v>5</v>
      </c>
      <c r="H225" s="21">
        <v>207.39066016504123</v>
      </c>
      <c r="I225" s="4" t="s">
        <v>7</v>
      </c>
      <c r="J225" s="4">
        <f t="shared" si="6"/>
        <v>8</v>
      </c>
      <c r="K225" s="33" t="str">
        <f t="shared" si="7"/>
        <v>7 – 8</v>
      </c>
    </row>
    <row r="226" spans="1:11" x14ac:dyDescent="0.2">
      <c r="A226" s="4" t="s">
        <v>36</v>
      </c>
      <c r="B226" s="4" t="s">
        <v>10</v>
      </c>
      <c r="C226" s="6">
        <v>43794</v>
      </c>
      <c r="D226" s="6">
        <v>44046</v>
      </c>
      <c r="E226" s="3">
        <f>(Table93[[#This Row],[Serum date]]-Table93[[#This Row],[DOB]])/30.5</f>
        <v>8.2622950819672134</v>
      </c>
      <c r="F226" s="3">
        <v>702</v>
      </c>
      <c r="G226" s="4" t="s">
        <v>5</v>
      </c>
      <c r="H226" s="21">
        <v>1.7161006596628392</v>
      </c>
      <c r="I226" s="4" t="s">
        <v>7</v>
      </c>
      <c r="J226" s="4">
        <f t="shared" si="6"/>
        <v>8</v>
      </c>
      <c r="K226" s="33" t="str">
        <f t="shared" si="7"/>
        <v>7 – 8</v>
      </c>
    </row>
    <row r="227" spans="1:11" x14ac:dyDescent="0.2">
      <c r="A227" s="4" t="s">
        <v>13</v>
      </c>
      <c r="B227" s="4" t="s">
        <v>10</v>
      </c>
      <c r="C227" s="6">
        <v>43369</v>
      </c>
      <c r="D227" s="2">
        <v>43621</v>
      </c>
      <c r="E227" s="3">
        <f>(Table93[[#This Row],[Serum date]]-Table93[[#This Row],[DOB]])/30.5</f>
        <v>8.2622950819672134</v>
      </c>
      <c r="F227" s="3">
        <v>104297</v>
      </c>
      <c r="G227" s="4" t="s">
        <v>5</v>
      </c>
      <c r="H227" s="8">
        <v>192.4</v>
      </c>
      <c r="I227" s="4" t="s">
        <v>7</v>
      </c>
      <c r="J227" s="4">
        <f t="shared" si="6"/>
        <v>8</v>
      </c>
      <c r="K227" s="33" t="str">
        <f t="shared" si="7"/>
        <v>7 – 8</v>
      </c>
    </row>
    <row r="228" spans="1:11" x14ac:dyDescent="0.2">
      <c r="A228" s="4" t="s">
        <v>11</v>
      </c>
      <c r="B228" s="4" t="s">
        <v>10</v>
      </c>
      <c r="C228" s="6">
        <v>43367</v>
      </c>
      <c r="D228" s="2">
        <v>43621</v>
      </c>
      <c r="E228" s="3">
        <f>(Table93[[#This Row],[Serum date]]-Table93[[#This Row],[DOB]])/30.5</f>
        <v>8.3278688524590159</v>
      </c>
      <c r="F228" s="3">
        <v>103298</v>
      </c>
      <c r="G228" s="4" t="s">
        <v>5</v>
      </c>
      <c r="H228" s="8">
        <v>190.6</v>
      </c>
      <c r="I228" s="4" t="s">
        <v>7</v>
      </c>
      <c r="J228" s="4">
        <f t="shared" si="6"/>
        <v>8</v>
      </c>
      <c r="K228" s="33" t="str">
        <f t="shared" si="7"/>
        <v>7 – 8</v>
      </c>
    </row>
    <row r="229" spans="1:11" x14ac:dyDescent="0.2">
      <c r="A229" s="4" t="s">
        <v>39</v>
      </c>
      <c r="B229" s="4" t="s">
        <v>10</v>
      </c>
      <c r="C229" s="6">
        <v>43808</v>
      </c>
      <c r="D229" s="6">
        <v>44085</v>
      </c>
      <c r="E229" s="3">
        <f>(Table93[[#This Row],[Serum date]]-Table93[[#This Row],[DOB]])/30.5</f>
        <v>9.0819672131147549</v>
      </c>
      <c r="F229" s="3">
        <v>96941</v>
      </c>
      <c r="G229" s="4" t="s">
        <v>5</v>
      </c>
      <c r="H229" s="22">
        <v>62.534640691523677</v>
      </c>
      <c r="I229" s="4" t="s">
        <v>7</v>
      </c>
      <c r="J229" s="4">
        <f t="shared" si="6"/>
        <v>9</v>
      </c>
      <c r="K229" s="33" t="str">
        <f t="shared" si="7"/>
        <v>9 – 10</v>
      </c>
    </row>
    <row r="230" spans="1:11" x14ac:dyDescent="0.2">
      <c r="A230" s="4" t="s">
        <v>62</v>
      </c>
      <c r="B230" s="4" t="s">
        <v>10</v>
      </c>
      <c r="C230" s="9" t="s">
        <v>67</v>
      </c>
      <c r="D230" s="2">
        <v>43593</v>
      </c>
      <c r="E230" s="3">
        <f>(Table93[[#This Row],[Serum date]]-Table93[[#This Row],[DOB]])/30.5</f>
        <v>9.6721311475409841</v>
      </c>
      <c r="F230" s="3">
        <v>3490</v>
      </c>
      <c r="G230" s="4" t="s">
        <v>5</v>
      </c>
      <c r="H230" s="12">
        <v>6.4</v>
      </c>
      <c r="I230" s="4" t="s">
        <v>7</v>
      </c>
      <c r="J230" s="4">
        <f t="shared" si="6"/>
        <v>9</v>
      </c>
      <c r="K230" s="33" t="str">
        <f t="shared" si="7"/>
        <v>9 – 10</v>
      </c>
    </row>
    <row r="231" spans="1:11" x14ac:dyDescent="0.2">
      <c r="A231" s="4" t="s">
        <v>61</v>
      </c>
      <c r="B231" s="4" t="s">
        <v>10</v>
      </c>
      <c r="C231" s="9" t="s">
        <v>67</v>
      </c>
      <c r="D231" s="2">
        <v>43593</v>
      </c>
      <c r="E231" s="3">
        <f>(Table93[[#This Row],[Serum date]]-Table93[[#This Row],[DOB]])/30.5</f>
        <v>9.6721311475409841</v>
      </c>
      <c r="F231" s="3">
        <v>128704</v>
      </c>
      <c r="G231" s="4" t="s">
        <v>5</v>
      </c>
      <c r="H231" s="13">
        <v>237.5</v>
      </c>
      <c r="I231" s="4" t="s">
        <v>7</v>
      </c>
      <c r="J231" s="4">
        <f t="shared" si="6"/>
        <v>9</v>
      </c>
      <c r="K231" s="33" t="str">
        <f t="shared" si="7"/>
        <v>9 – 10</v>
      </c>
    </row>
    <row r="232" spans="1:11" x14ac:dyDescent="0.2">
      <c r="A232" s="4" t="s">
        <v>58</v>
      </c>
      <c r="B232" s="4" t="s">
        <v>10</v>
      </c>
      <c r="C232" s="9" t="s">
        <v>67</v>
      </c>
      <c r="D232" s="2">
        <v>43593</v>
      </c>
      <c r="E232" s="3">
        <f>(Table93[[#This Row],[Serum date]]-Table93[[#This Row],[DOB]])/30.5</f>
        <v>9.6721311475409841</v>
      </c>
      <c r="F232" s="3">
        <v>2773</v>
      </c>
      <c r="G232" s="4" t="s">
        <v>5</v>
      </c>
      <c r="H232" s="13">
        <v>5.0999999999999996</v>
      </c>
      <c r="I232" s="4" t="s">
        <v>7</v>
      </c>
      <c r="J232" s="4">
        <f t="shared" si="6"/>
        <v>9</v>
      </c>
      <c r="K232" s="33" t="str">
        <f t="shared" si="7"/>
        <v>9 – 10</v>
      </c>
    </row>
    <row r="233" spans="1:11" x14ac:dyDescent="0.2">
      <c r="A233" s="6" t="s">
        <v>51</v>
      </c>
      <c r="B233" s="4" t="s">
        <v>10</v>
      </c>
      <c r="C233" s="6">
        <v>44179</v>
      </c>
      <c r="D233" s="6">
        <v>44483</v>
      </c>
      <c r="E233" s="3">
        <f>(Table93[[#This Row],[Serum date]]-Table93[[#This Row],[DOB]])/30.5</f>
        <v>9.9672131147540988</v>
      </c>
      <c r="F233" s="3">
        <v>74883.899999999994</v>
      </c>
      <c r="G233" s="4" t="s">
        <v>5</v>
      </c>
      <c r="H233" s="4">
        <v>14.4</v>
      </c>
      <c r="I233" s="4" t="s">
        <v>7</v>
      </c>
      <c r="J233" s="4">
        <f t="shared" si="6"/>
        <v>9</v>
      </c>
      <c r="K233" s="33" t="str">
        <f t="shared" si="7"/>
        <v>9 – 10</v>
      </c>
    </row>
    <row r="234" spans="1:11" x14ac:dyDescent="0.2">
      <c r="A234" s="4" t="s">
        <v>52</v>
      </c>
      <c r="B234" s="4" t="s">
        <v>10</v>
      </c>
      <c r="C234" s="6">
        <v>44179</v>
      </c>
      <c r="D234" s="6">
        <v>44483</v>
      </c>
      <c r="E234" s="3">
        <f>(Table93[[#This Row],[Serum date]]-Table93[[#This Row],[DOB]])/30.5</f>
        <v>9.9672131147540988</v>
      </c>
      <c r="F234" s="3">
        <v>119085.30000000002</v>
      </c>
      <c r="G234" s="4" t="s">
        <v>5</v>
      </c>
      <c r="H234" s="4">
        <v>22.9</v>
      </c>
      <c r="I234" s="4" t="s">
        <v>7</v>
      </c>
      <c r="J234" s="4">
        <f t="shared" si="6"/>
        <v>9</v>
      </c>
      <c r="K234" s="33" t="str">
        <f t="shared" si="7"/>
        <v>9 – 10</v>
      </c>
    </row>
    <row r="235" spans="1:11" x14ac:dyDescent="0.2">
      <c r="A235" s="4" t="s">
        <v>50</v>
      </c>
      <c r="B235" s="4" t="s">
        <v>10</v>
      </c>
      <c r="C235" s="6">
        <v>44179</v>
      </c>
      <c r="D235" s="6">
        <v>44483</v>
      </c>
      <c r="E235" s="3">
        <f>(Table93[[#This Row],[Serum date]]-Table93[[#This Row],[DOB]])/30.5</f>
        <v>9.9672131147540988</v>
      </c>
      <c r="F235" s="3">
        <v>130760.2</v>
      </c>
      <c r="G235" s="4" t="s">
        <v>5</v>
      </c>
      <c r="H235" s="4">
        <v>25.1</v>
      </c>
      <c r="I235" s="4" t="s">
        <v>7</v>
      </c>
      <c r="J235" s="4">
        <f t="shared" si="6"/>
        <v>9</v>
      </c>
      <c r="K235" s="33" t="str">
        <f t="shared" si="7"/>
        <v>9 – 10</v>
      </c>
    </row>
    <row r="236" spans="1:11" x14ac:dyDescent="0.2">
      <c r="A236" s="4" t="s">
        <v>49</v>
      </c>
      <c r="B236" s="4" t="s">
        <v>10</v>
      </c>
      <c r="C236" s="6">
        <v>43892</v>
      </c>
      <c r="D236" s="25">
        <v>44186</v>
      </c>
      <c r="E236" s="3">
        <f>(Table93[[#This Row],[Serum date]]-Table93[[#This Row],[DOB]])/30.5</f>
        <v>9.6393442622950811</v>
      </c>
      <c r="F236" s="3">
        <v>377357</v>
      </c>
      <c r="G236" s="4" t="s">
        <v>5</v>
      </c>
      <c r="H236" s="10">
        <v>544.47</v>
      </c>
      <c r="I236" s="4" t="s">
        <v>7</v>
      </c>
      <c r="J236" s="4">
        <f t="shared" si="6"/>
        <v>9</v>
      </c>
      <c r="K236" s="33" t="str">
        <f t="shared" si="7"/>
        <v>9 – 10</v>
      </c>
    </row>
    <row r="237" spans="1:11" x14ac:dyDescent="0.2">
      <c r="A237" s="4" t="s">
        <v>48</v>
      </c>
      <c r="B237" s="4" t="s">
        <v>10</v>
      </c>
      <c r="C237" s="6">
        <v>43892</v>
      </c>
      <c r="D237" s="25">
        <v>44186</v>
      </c>
      <c r="E237" s="3">
        <f>(Table93[[#This Row],[Serum date]]-Table93[[#This Row],[DOB]])/30.5</f>
        <v>9.6393442622950811</v>
      </c>
      <c r="F237" s="3">
        <v>363249</v>
      </c>
      <c r="G237" s="4" t="s">
        <v>5</v>
      </c>
      <c r="H237" s="10">
        <v>524.12</v>
      </c>
      <c r="I237" s="4" t="s">
        <v>7</v>
      </c>
      <c r="J237" s="4">
        <f t="shared" si="6"/>
        <v>9</v>
      </c>
      <c r="K237" s="33" t="str">
        <f t="shared" si="7"/>
        <v>9 – 10</v>
      </c>
    </row>
    <row r="238" spans="1:11" x14ac:dyDescent="0.2">
      <c r="A238" s="4" t="s">
        <v>47</v>
      </c>
      <c r="B238" s="4" t="s">
        <v>10</v>
      </c>
      <c r="C238" s="6">
        <v>43892</v>
      </c>
      <c r="D238" s="25">
        <v>44186</v>
      </c>
      <c r="E238" s="3">
        <f>(Table93[[#This Row],[Serum date]]-Table93[[#This Row],[DOB]])/30.5</f>
        <v>9.6393442622950811</v>
      </c>
      <c r="F238" s="3">
        <v>353453</v>
      </c>
      <c r="G238" s="4" t="s">
        <v>5</v>
      </c>
      <c r="H238" s="10">
        <v>509.98</v>
      </c>
      <c r="I238" s="4" t="s">
        <v>7</v>
      </c>
      <c r="J238" s="4">
        <f t="shared" si="6"/>
        <v>9</v>
      </c>
      <c r="K238" s="33" t="str">
        <f t="shared" si="7"/>
        <v>9 – 10</v>
      </c>
    </row>
    <row r="239" spans="1:11" x14ac:dyDescent="0.2">
      <c r="A239" s="4" t="s">
        <v>46</v>
      </c>
      <c r="B239" s="4" t="s">
        <v>10</v>
      </c>
      <c r="C239" s="6">
        <v>43892</v>
      </c>
      <c r="D239" s="25">
        <v>44186</v>
      </c>
      <c r="E239" s="3">
        <f>(Table93[[#This Row],[Serum date]]-Table93[[#This Row],[DOB]])/30.5</f>
        <v>9.6393442622950811</v>
      </c>
      <c r="F239" s="3">
        <v>327361</v>
      </c>
      <c r="G239" s="4" t="s">
        <v>5</v>
      </c>
      <c r="H239" s="10">
        <v>472.34</v>
      </c>
      <c r="I239" s="4" t="s">
        <v>7</v>
      </c>
      <c r="J239" s="4">
        <f t="shared" si="6"/>
        <v>9</v>
      </c>
      <c r="K239" s="33" t="str">
        <f t="shared" si="7"/>
        <v>9 – 10</v>
      </c>
    </row>
    <row r="240" spans="1:11" x14ac:dyDescent="0.2">
      <c r="A240" s="4" t="s">
        <v>45</v>
      </c>
      <c r="B240" s="4" t="s">
        <v>10</v>
      </c>
      <c r="C240" s="6">
        <v>43892</v>
      </c>
      <c r="D240" s="25">
        <v>44186</v>
      </c>
      <c r="E240" s="3">
        <f>(Table93[[#This Row],[Serum date]]-Table93[[#This Row],[DOB]])/30.5</f>
        <v>9.6393442622950811</v>
      </c>
      <c r="F240" s="76">
        <v>267042</v>
      </c>
      <c r="G240" s="4" t="s">
        <v>5</v>
      </c>
      <c r="H240" s="10">
        <v>385.3</v>
      </c>
      <c r="I240" s="4" t="s">
        <v>7</v>
      </c>
      <c r="J240" s="4">
        <f t="shared" si="6"/>
        <v>9</v>
      </c>
      <c r="K240" s="33" t="str">
        <f t="shared" si="7"/>
        <v>9 – 10</v>
      </c>
    </row>
    <row r="241" spans="1:11" x14ac:dyDescent="0.2">
      <c r="A241" s="4" t="s">
        <v>37</v>
      </c>
      <c r="B241" s="4" t="s">
        <v>10</v>
      </c>
      <c r="C241" s="6">
        <v>43794</v>
      </c>
      <c r="D241" s="6">
        <v>44085</v>
      </c>
      <c r="E241" s="3">
        <f>(Table93[[#This Row],[Serum date]]-Table93[[#This Row],[DOB]])/30.5</f>
        <v>9.5409836065573774</v>
      </c>
      <c r="F241" s="3">
        <v>248767.09999999998</v>
      </c>
      <c r="G241" s="4" t="s">
        <v>5</v>
      </c>
      <c r="H241" s="22">
        <v>160.47419687782221</v>
      </c>
      <c r="I241" s="4" t="s">
        <v>7</v>
      </c>
      <c r="J241" s="4">
        <f t="shared" si="6"/>
        <v>9</v>
      </c>
      <c r="K241" s="33" t="str">
        <f t="shared" si="7"/>
        <v>9 – 10</v>
      </c>
    </row>
    <row r="242" spans="1:11" x14ac:dyDescent="0.2">
      <c r="A242" s="4" t="s">
        <v>36</v>
      </c>
      <c r="B242" s="4" t="s">
        <v>10</v>
      </c>
      <c r="C242" s="6">
        <v>43794</v>
      </c>
      <c r="D242" s="6">
        <v>44085</v>
      </c>
      <c r="E242" s="3">
        <f>(Table93[[#This Row],[Serum date]]-Table93[[#This Row],[DOB]])/30.5</f>
        <v>9.5409836065573774</v>
      </c>
      <c r="F242" s="3">
        <v>5144.4000000000005</v>
      </c>
      <c r="G242" s="4" t="s">
        <v>5</v>
      </c>
      <c r="H242" s="22">
        <v>3.318539543284738</v>
      </c>
      <c r="I242" s="4" t="s">
        <v>7</v>
      </c>
      <c r="J242" s="4">
        <f t="shared" si="6"/>
        <v>9</v>
      </c>
      <c r="K242" s="33" t="str">
        <f t="shared" si="7"/>
        <v>9 – 10</v>
      </c>
    </row>
    <row r="243" spans="1:11" x14ac:dyDescent="0.2">
      <c r="A243" s="1" t="s">
        <v>40</v>
      </c>
      <c r="B243" s="1" t="s">
        <v>10</v>
      </c>
      <c r="C243" s="2">
        <v>43808</v>
      </c>
      <c r="D243" s="6">
        <v>44085</v>
      </c>
      <c r="E243" s="3">
        <f>(Table93[[#This Row],[Serum date]]-Table93[[#This Row],[DOB]])/30.5</f>
        <v>9.0819672131147549</v>
      </c>
      <c r="F243" s="3">
        <v>260515</v>
      </c>
      <c r="G243" s="4" t="s">
        <v>5</v>
      </c>
      <c r="H243" s="22">
        <v>168.05244484582636</v>
      </c>
      <c r="I243" s="4" t="s">
        <v>7</v>
      </c>
      <c r="J243" s="4">
        <f t="shared" si="6"/>
        <v>9</v>
      </c>
      <c r="K243" s="33" t="str">
        <f t="shared" si="7"/>
        <v>9 – 10</v>
      </c>
    </row>
    <row r="244" spans="1:11" x14ac:dyDescent="0.2">
      <c r="A244" s="4" t="s">
        <v>39</v>
      </c>
      <c r="B244" s="4" t="s">
        <v>10</v>
      </c>
      <c r="C244" s="6">
        <v>43808</v>
      </c>
      <c r="D244" s="6">
        <v>44115</v>
      </c>
      <c r="E244" s="3">
        <f>(Table93[[#This Row],[Serum date]]-Table93[[#This Row],[DOB]])/30.5</f>
        <v>10.065573770491802</v>
      </c>
      <c r="F244" s="76">
        <v>36789.800000000003</v>
      </c>
      <c r="G244" s="4" t="s">
        <v>5</v>
      </c>
      <c r="H244" s="4">
        <v>50.941290501246193</v>
      </c>
      <c r="I244" s="4" t="s">
        <v>7</v>
      </c>
      <c r="J244" s="4">
        <f t="shared" si="6"/>
        <v>10</v>
      </c>
      <c r="K244" s="33" t="str">
        <f t="shared" si="7"/>
        <v>9 – 10</v>
      </c>
    </row>
    <row r="245" spans="1:11" x14ac:dyDescent="0.2">
      <c r="A245" s="4" t="s">
        <v>62</v>
      </c>
      <c r="B245" s="4" t="s">
        <v>10</v>
      </c>
      <c r="C245" s="9" t="s">
        <v>67</v>
      </c>
      <c r="D245" s="2">
        <v>43620</v>
      </c>
      <c r="E245" s="3">
        <f>(Table93[[#This Row],[Serum date]]-Table93[[#This Row],[DOB]])/30.5</f>
        <v>10.557377049180328</v>
      </c>
      <c r="F245" s="75">
        <f>AVERAGE(6388.1,4611)</f>
        <v>5499.55</v>
      </c>
      <c r="G245" s="4" t="s">
        <v>5</v>
      </c>
      <c r="H245" s="8">
        <v>4.8499999999999996</v>
      </c>
      <c r="I245" s="4" t="s">
        <v>8</v>
      </c>
      <c r="J245" s="4">
        <f t="shared" si="6"/>
        <v>10</v>
      </c>
      <c r="K245" s="33" t="str">
        <f t="shared" si="7"/>
        <v>9 – 10</v>
      </c>
    </row>
    <row r="246" spans="1:11" x14ac:dyDescent="0.2">
      <c r="A246" s="4" t="s">
        <v>61</v>
      </c>
      <c r="B246" s="4" t="s">
        <v>10</v>
      </c>
      <c r="C246" s="9" t="s">
        <v>67</v>
      </c>
      <c r="D246" s="2">
        <v>43620</v>
      </c>
      <c r="E246" s="3">
        <f>(Table93[[#This Row],[Serum date]]-Table93[[#This Row],[DOB]])/30.5</f>
        <v>10.557377049180328</v>
      </c>
      <c r="F246" s="76">
        <v>121885</v>
      </c>
      <c r="G246" s="4" t="s">
        <v>5</v>
      </c>
      <c r="H246" s="13">
        <v>224.9</v>
      </c>
      <c r="I246" s="4" t="s">
        <v>7</v>
      </c>
      <c r="J246" s="4">
        <f t="shared" si="6"/>
        <v>10</v>
      </c>
      <c r="K246" s="33" t="str">
        <f t="shared" si="7"/>
        <v>9 – 10</v>
      </c>
    </row>
    <row r="247" spans="1:11" x14ac:dyDescent="0.2">
      <c r="A247" s="4" t="s">
        <v>58</v>
      </c>
      <c r="B247" s="4" t="s">
        <v>10</v>
      </c>
      <c r="C247" s="9" t="s">
        <v>67</v>
      </c>
      <c r="D247" s="2">
        <v>43620</v>
      </c>
      <c r="E247" s="3">
        <f>(Table93[[#This Row],[Serum date]]-Table93[[#This Row],[DOB]])/30.5</f>
        <v>10.557377049180328</v>
      </c>
      <c r="F247" s="75">
        <f>AVERAGE(6848.6,2745)</f>
        <v>4796.8</v>
      </c>
      <c r="G247" s="4" t="s">
        <v>5</v>
      </c>
      <c r="H247" s="13">
        <v>3.2</v>
      </c>
      <c r="I247" s="4" t="s">
        <v>8</v>
      </c>
      <c r="J247" s="4">
        <f t="shared" si="6"/>
        <v>10</v>
      </c>
      <c r="K247" s="33" t="str">
        <f t="shared" si="7"/>
        <v>9 – 10</v>
      </c>
    </row>
    <row r="248" spans="1:11" x14ac:dyDescent="0.2">
      <c r="A248" s="4" t="s">
        <v>49</v>
      </c>
      <c r="B248" s="4" t="s">
        <v>10</v>
      </c>
      <c r="C248" s="6">
        <v>43892</v>
      </c>
      <c r="D248" s="25">
        <v>44217</v>
      </c>
      <c r="E248" s="3">
        <f>(Table93[[#This Row],[Serum date]]-Table93[[#This Row],[DOB]])/30.5</f>
        <v>10.655737704918034</v>
      </c>
      <c r="F248" s="3">
        <v>194822</v>
      </c>
      <c r="G248" s="4" t="s">
        <v>5</v>
      </c>
      <c r="H248" s="4">
        <v>366.8</v>
      </c>
      <c r="I248" s="4" t="s">
        <v>7</v>
      </c>
      <c r="J248" s="4">
        <f t="shared" si="6"/>
        <v>10</v>
      </c>
      <c r="K248" s="33" t="str">
        <f t="shared" si="7"/>
        <v>9 – 10</v>
      </c>
    </row>
    <row r="249" spans="1:11" x14ac:dyDescent="0.2">
      <c r="A249" s="4" t="s">
        <v>48</v>
      </c>
      <c r="B249" s="4" t="s">
        <v>10</v>
      </c>
      <c r="C249" s="6">
        <v>43892</v>
      </c>
      <c r="D249" s="25">
        <v>44217</v>
      </c>
      <c r="E249" s="3">
        <f>(Table93[[#This Row],[Serum date]]-Table93[[#This Row],[DOB]])/30.5</f>
        <v>10.655737704918034</v>
      </c>
      <c r="F249" s="3">
        <v>203117</v>
      </c>
      <c r="G249" s="4" t="s">
        <v>5</v>
      </c>
      <c r="H249" s="4">
        <v>382.42</v>
      </c>
      <c r="I249" s="4" t="s">
        <v>7</v>
      </c>
      <c r="J249" s="4">
        <f t="shared" si="6"/>
        <v>10</v>
      </c>
      <c r="K249" s="33" t="str">
        <f t="shared" si="7"/>
        <v>9 – 10</v>
      </c>
    </row>
    <row r="250" spans="1:11" x14ac:dyDescent="0.2">
      <c r="A250" s="4" t="s">
        <v>47</v>
      </c>
      <c r="B250" s="4" t="s">
        <v>10</v>
      </c>
      <c r="C250" s="6">
        <v>43892</v>
      </c>
      <c r="D250" s="25">
        <v>44217</v>
      </c>
      <c r="E250" s="3">
        <f>(Table93[[#This Row],[Serum date]]-Table93[[#This Row],[DOB]])/30.5</f>
        <v>10.655737704918034</v>
      </c>
      <c r="F250" s="3">
        <v>199158</v>
      </c>
      <c r="G250" s="4" t="s">
        <v>5</v>
      </c>
      <c r="H250" s="4">
        <v>374.97</v>
      </c>
      <c r="I250" s="4" t="s">
        <v>7</v>
      </c>
      <c r="J250" s="4">
        <f t="shared" si="6"/>
        <v>10</v>
      </c>
      <c r="K250" s="33" t="str">
        <f t="shared" si="7"/>
        <v>9 – 10</v>
      </c>
    </row>
    <row r="251" spans="1:11" x14ac:dyDescent="0.2">
      <c r="A251" s="4" t="s">
        <v>46</v>
      </c>
      <c r="B251" s="4" t="s">
        <v>10</v>
      </c>
      <c r="C251" s="6">
        <v>43892</v>
      </c>
      <c r="D251" s="25">
        <v>44217</v>
      </c>
      <c r="E251" s="3">
        <f>(Table93[[#This Row],[Serum date]]-Table93[[#This Row],[DOB]])/30.5</f>
        <v>10.655737704918034</v>
      </c>
      <c r="F251" s="3">
        <v>162881</v>
      </c>
      <c r="G251" s="4" t="s">
        <v>5</v>
      </c>
      <c r="H251" s="10">
        <v>306.67</v>
      </c>
      <c r="I251" s="4" t="s">
        <v>7</v>
      </c>
      <c r="J251" s="4">
        <f t="shared" si="6"/>
        <v>10</v>
      </c>
      <c r="K251" s="33" t="str">
        <f t="shared" si="7"/>
        <v>9 – 10</v>
      </c>
    </row>
    <row r="252" spans="1:11" x14ac:dyDescent="0.2">
      <c r="A252" s="4" t="s">
        <v>45</v>
      </c>
      <c r="B252" s="4" t="s">
        <v>10</v>
      </c>
      <c r="C252" s="6">
        <v>43892</v>
      </c>
      <c r="D252" s="25">
        <v>44217</v>
      </c>
      <c r="E252" s="3">
        <f>(Table93[[#This Row],[Serum date]]-Table93[[#This Row],[DOB]])/30.5</f>
        <v>10.655737704918034</v>
      </c>
      <c r="F252" s="3">
        <v>128531</v>
      </c>
      <c r="G252" s="4" t="s">
        <v>5</v>
      </c>
      <c r="H252" s="10">
        <v>241.99</v>
      </c>
      <c r="I252" s="4" t="s">
        <v>7</v>
      </c>
      <c r="J252" s="4">
        <f t="shared" si="6"/>
        <v>10</v>
      </c>
      <c r="K252" s="33" t="str">
        <f t="shared" si="7"/>
        <v>9 – 10</v>
      </c>
    </row>
    <row r="253" spans="1:11" x14ac:dyDescent="0.2">
      <c r="A253" s="4" t="s">
        <v>43</v>
      </c>
      <c r="B253" s="4" t="s">
        <v>10</v>
      </c>
      <c r="C253" s="6">
        <v>43878</v>
      </c>
      <c r="D253" s="6">
        <v>44186</v>
      </c>
      <c r="E253" s="3">
        <f>(Table93[[#This Row],[Serum date]]-Table93[[#This Row],[DOB]])/30.5</f>
        <v>10.098360655737705</v>
      </c>
      <c r="F253" s="3">
        <v>223020</v>
      </c>
      <c r="G253" s="4" t="s">
        <v>5</v>
      </c>
      <c r="H253" s="4">
        <v>321.79000000000002</v>
      </c>
      <c r="I253" s="4" t="s">
        <v>7</v>
      </c>
      <c r="J253" s="4">
        <f t="shared" si="6"/>
        <v>10</v>
      </c>
      <c r="K253" s="33" t="str">
        <f t="shared" si="7"/>
        <v>9 – 10</v>
      </c>
    </row>
    <row r="254" spans="1:11" x14ac:dyDescent="0.2">
      <c r="A254" s="4" t="s">
        <v>42</v>
      </c>
      <c r="B254" s="4" t="s">
        <v>10</v>
      </c>
      <c r="C254" s="6">
        <v>43878</v>
      </c>
      <c r="D254" s="6">
        <v>44186</v>
      </c>
      <c r="E254" s="3">
        <f>(Table93[[#This Row],[Serum date]]-Table93[[#This Row],[DOB]])/30.5</f>
        <v>10.098360655737705</v>
      </c>
      <c r="F254" s="3">
        <v>216753</v>
      </c>
      <c r="G254" s="4" t="s">
        <v>5</v>
      </c>
      <c r="H254" s="4">
        <v>312.74</v>
      </c>
      <c r="I254" s="4" t="s">
        <v>7</v>
      </c>
      <c r="J254" s="4">
        <f t="shared" si="6"/>
        <v>10</v>
      </c>
      <c r="K254" s="33" t="str">
        <f t="shared" si="7"/>
        <v>9 – 10</v>
      </c>
    </row>
    <row r="255" spans="1:11" x14ac:dyDescent="0.2">
      <c r="A255" s="4" t="s">
        <v>41</v>
      </c>
      <c r="B255" s="4" t="s">
        <v>10</v>
      </c>
      <c r="C255" s="6">
        <v>43878</v>
      </c>
      <c r="D255" s="6">
        <v>44186</v>
      </c>
      <c r="E255" s="3">
        <f>(Table93[[#This Row],[Serum date]]-Table93[[#This Row],[DOB]])/30.5</f>
        <v>10.098360655737705</v>
      </c>
      <c r="F255" s="3">
        <v>359818</v>
      </c>
      <c r="G255" s="4" t="s">
        <v>5</v>
      </c>
      <c r="H255" s="4">
        <v>519.16999999999996</v>
      </c>
      <c r="I255" s="4" t="s">
        <v>7</v>
      </c>
      <c r="J255" s="4">
        <f t="shared" si="6"/>
        <v>10</v>
      </c>
      <c r="K255" s="33" t="str">
        <f t="shared" si="7"/>
        <v>9 – 10</v>
      </c>
    </row>
    <row r="256" spans="1:11" x14ac:dyDescent="0.2">
      <c r="A256" s="4" t="s">
        <v>36</v>
      </c>
      <c r="B256" s="4" t="s">
        <v>10</v>
      </c>
      <c r="C256" s="6">
        <v>43794</v>
      </c>
      <c r="D256" s="6">
        <v>44105</v>
      </c>
      <c r="E256" s="3">
        <f>(Table93[[#This Row],[Serum date]]-Table93[[#This Row],[DOB]])/30.5</f>
        <v>10.196721311475409</v>
      </c>
      <c r="F256" s="3">
        <v>43222</v>
      </c>
      <c r="G256" s="4" t="s">
        <v>5</v>
      </c>
      <c r="H256" s="17">
        <v>94.536307961504818</v>
      </c>
      <c r="I256" s="4" t="s">
        <v>7</v>
      </c>
      <c r="J256" s="4">
        <f t="shared" si="6"/>
        <v>10</v>
      </c>
      <c r="K256" s="33" t="str">
        <f t="shared" si="7"/>
        <v>9 – 10</v>
      </c>
    </row>
    <row r="257" spans="1:11" x14ac:dyDescent="0.2">
      <c r="A257" s="4" t="s">
        <v>36</v>
      </c>
      <c r="B257" s="4" t="s">
        <v>10</v>
      </c>
      <c r="C257" s="6">
        <v>43794</v>
      </c>
      <c r="D257" s="6">
        <v>44115</v>
      </c>
      <c r="E257" s="3">
        <f>(Table93[[#This Row],[Serum date]]-Table93[[#This Row],[DOB]])/30.5</f>
        <v>10.524590163934427</v>
      </c>
      <c r="F257" s="3">
        <v>124900.6</v>
      </c>
      <c r="G257" s="4" t="s">
        <v>5</v>
      </c>
      <c r="H257" s="4">
        <v>172.94461368042093</v>
      </c>
      <c r="I257" s="4" t="s">
        <v>7</v>
      </c>
      <c r="J257" s="4">
        <f t="shared" si="6"/>
        <v>10</v>
      </c>
      <c r="K257" s="33" t="str">
        <f t="shared" si="7"/>
        <v>9 – 10</v>
      </c>
    </row>
    <row r="258" spans="1:11" x14ac:dyDescent="0.2">
      <c r="A258" s="4" t="s">
        <v>49</v>
      </c>
      <c r="B258" s="4" t="s">
        <v>10</v>
      </c>
      <c r="C258" s="6">
        <v>43892</v>
      </c>
      <c r="D258" s="35">
        <v>44248</v>
      </c>
      <c r="E258" s="3">
        <f>(Table93[[#This Row],[Serum date]]-Table93[[#This Row],[DOB]])/30.5</f>
        <v>11.672131147540984</v>
      </c>
      <c r="F258" s="3">
        <v>198731</v>
      </c>
      <c r="G258" s="4" t="s">
        <v>5</v>
      </c>
      <c r="H258" s="4">
        <v>374.16</v>
      </c>
      <c r="I258" s="4" t="s">
        <v>7</v>
      </c>
      <c r="J258" s="4">
        <f t="shared" ref="J258:J301" si="8">IF($E258&lt;2,1,IF($E258&lt;3,2,IF($E258&lt;4,3,IF($E258&lt;5,4,IF($E258&lt;6,5,IF($E258&lt;7,6,IF($E258&lt;8,7,IF($E258&lt;9,8,IF($E258&lt;10,9,IF($E258&lt;11,10,IF($E258&lt;12,11,IF($E258&lt;13,12,IF($E258&lt;14,13,IF($E258&lt;15,14,IF($E258&lt;16,15,IF($E258&lt;17,16,IF($E258&lt;18,17,IF($E258&lt;19,18,IF($E258&lt;20,19,20)))))))))))))))))))</f>
        <v>11</v>
      </c>
      <c r="K258" s="33" t="str">
        <f t="shared" ref="K258:K301" si="9">IF($J258&lt;3,"1 – 2",IF($J258&lt;5,"3 – 4",IF($J258&lt;7,"5 – 6",IF($J258&lt;9,"7 – 8",IF($J258&lt;11,"9 – 10",IF($J258&lt;13,"11 – 12",IF($J258&lt;16,"13 – 15","16 – 19")))))))</f>
        <v>11 – 12</v>
      </c>
    </row>
    <row r="259" spans="1:11" x14ac:dyDescent="0.2">
      <c r="A259" s="4" t="s">
        <v>48</v>
      </c>
      <c r="B259" s="4" t="s">
        <v>10</v>
      </c>
      <c r="C259" s="6">
        <v>43892</v>
      </c>
      <c r="D259" s="35">
        <v>44248</v>
      </c>
      <c r="E259" s="3">
        <f>(Table93[[#This Row],[Serum date]]-Table93[[#This Row],[DOB]])/30.5</f>
        <v>11.672131147540984</v>
      </c>
      <c r="F259" s="3">
        <v>175768</v>
      </c>
      <c r="G259" s="4" t="s">
        <v>5</v>
      </c>
      <c r="H259" s="4">
        <v>330.93</v>
      </c>
      <c r="I259" s="4" t="s">
        <v>7</v>
      </c>
      <c r="J259" s="4">
        <f t="shared" si="8"/>
        <v>11</v>
      </c>
      <c r="K259" s="33" t="str">
        <f t="shared" si="9"/>
        <v>11 – 12</v>
      </c>
    </row>
    <row r="260" spans="1:11" x14ac:dyDescent="0.2">
      <c r="A260" s="4" t="s">
        <v>47</v>
      </c>
      <c r="B260" s="4" t="s">
        <v>10</v>
      </c>
      <c r="C260" s="6">
        <v>43892</v>
      </c>
      <c r="D260" s="25">
        <v>44228</v>
      </c>
      <c r="E260" s="3">
        <f>(Table93[[#This Row],[Serum date]]-Table93[[#This Row],[DOB]])/30.5</f>
        <v>11.016393442622951</v>
      </c>
      <c r="F260" s="60">
        <v>192855</v>
      </c>
      <c r="G260" s="4" t="s">
        <v>5</v>
      </c>
      <c r="H260" s="4">
        <v>363.1</v>
      </c>
      <c r="I260" s="4" t="s">
        <v>7</v>
      </c>
      <c r="J260" s="4">
        <f t="shared" si="8"/>
        <v>11</v>
      </c>
      <c r="K260" s="33" t="str">
        <f t="shared" si="9"/>
        <v>11 – 12</v>
      </c>
    </row>
    <row r="261" spans="1:11" x14ac:dyDescent="0.2">
      <c r="A261" s="4" t="s">
        <v>47</v>
      </c>
      <c r="B261" s="4" t="s">
        <v>10</v>
      </c>
      <c r="C261" s="6">
        <v>43892</v>
      </c>
      <c r="D261" s="6">
        <v>44246</v>
      </c>
      <c r="E261" s="3">
        <f>(Table93[[#This Row],[Serum date]]-Table93[[#This Row],[DOB]])/30.5</f>
        <v>11.60655737704918</v>
      </c>
      <c r="F261" s="48">
        <f>AVERAGE(55279,28511)</f>
        <v>41895</v>
      </c>
      <c r="G261" s="4" t="s">
        <v>5</v>
      </c>
      <c r="H261" s="10">
        <v>31.7</v>
      </c>
      <c r="I261" s="4" t="s">
        <v>8</v>
      </c>
      <c r="J261" s="4">
        <f t="shared" si="8"/>
        <v>11</v>
      </c>
      <c r="K261" s="33" t="str">
        <f t="shared" si="9"/>
        <v>11 – 12</v>
      </c>
    </row>
    <row r="262" spans="1:11" x14ac:dyDescent="0.2">
      <c r="A262" s="4" t="s">
        <v>46</v>
      </c>
      <c r="B262" s="4" t="s">
        <v>10</v>
      </c>
      <c r="C262" s="6">
        <v>43892</v>
      </c>
      <c r="D262" s="25">
        <v>44228</v>
      </c>
      <c r="E262" s="3">
        <f>(Table93[[#This Row],[Serum date]]-Table93[[#This Row],[DOB]])/30.5</f>
        <v>11.016393442622951</v>
      </c>
      <c r="F262" s="60">
        <v>133908</v>
      </c>
      <c r="G262" s="4" t="s">
        <v>5</v>
      </c>
      <c r="H262" s="10">
        <v>252.12</v>
      </c>
      <c r="I262" s="4" t="s">
        <v>7</v>
      </c>
      <c r="J262" s="4">
        <f t="shared" si="8"/>
        <v>11</v>
      </c>
      <c r="K262" s="33" t="str">
        <f t="shared" si="9"/>
        <v>11 – 12</v>
      </c>
    </row>
    <row r="263" spans="1:11" x14ac:dyDescent="0.2">
      <c r="A263" s="4" t="s">
        <v>46</v>
      </c>
      <c r="B263" s="4" t="s">
        <v>10</v>
      </c>
      <c r="C263" s="6">
        <v>43892</v>
      </c>
      <c r="D263" s="6">
        <v>44245</v>
      </c>
      <c r="E263" s="3">
        <f>(Table93[[#This Row],[Serum date]]-Table93[[#This Row],[DOB]])/30.5</f>
        <v>11.573770491803279</v>
      </c>
      <c r="F263" s="3">
        <v>48079</v>
      </c>
      <c r="G263" s="4" t="s">
        <v>5</v>
      </c>
      <c r="H263" s="10">
        <v>9.1999999999999993</v>
      </c>
      <c r="I263" s="4" t="s">
        <v>7</v>
      </c>
      <c r="J263" s="4">
        <f t="shared" si="8"/>
        <v>11</v>
      </c>
      <c r="K263" s="33" t="str">
        <f t="shared" si="9"/>
        <v>11 – 12</v>
      </c>
    </row>
    <row r="264" spans="1:11" x14ac:dyDescent="0.2">
      <c r="A264" s="4" t="s">
        <v>45</v>
      </c>
      <c r="B264" s="4" t="s">
        <v>10</v>
      </c>
      <c r="C264" s="6">
        <v>43892</v>
      </c>
      <c r="D264" s="25">
        <v>44248</v>
      </c>
      <c r="E264" s="3">
        <f>(Table93[[#This Row],[Serum date]]-Table93[[#This Row],[DOB]])/30.5</f>
        <v>11.672131147540984</v>
      </c>
      <c r="F264" s="3">
        <v>135924</v>
      </c>
      <c r="G264" s="4" t="s">
        <v>5</v>
      </c>
      <c r="H264" s="10">
        <v>255.91</v>
      </c>
      <c r="I264" s="4" t="s">
        <v>7</v>
      </c>
      <c r="J264" s="4">
        <f t="shared" si="8"/>
        <v>11</v>
      </c>
      <c r="K264" s="33" t="str">
        <f t="shared" si="9"/>
        <v>11 – 12</v>
      </c>
    </row>
    <row r="265" spans="1:11" x14ac:dyDescent="0.2">
      <c r="A265" s="4" t="s">
        <v>44</v>
      </c>
      <c r="B265" s="4" t="s">
        <v>10</v>
      </c>
      <c r="C265" s="6">
        <v>43892</v>
      </c>
      <c r="D265" s="6">
        <v>44253</v>
      </c>
      <c r="E265" s="3">
        <f>(Table93[[#This Row],[Serum date]]-Table93[[#This Row],[DOB]])/30.5</f>
        <v>11.836065573770492</v>
      </c>
      <c r="F265" s="48">
        <f>AVERAGE(43515,34783)</f>
        <v>39149</v>
      </c>
      <c r="G265" s="4" t="s">
        <v>5</v>
      </c>
      <c r="H265" s="4">
        <v>42.25</v>
      </c>
      <c r="I265" s="4" t="s">
        <v>8</v>
      </c>
      <c r="J265" s="4">
        <f t="shared" si="8"/>
        <v>11</v>
      </c>
      <c r="K265" s="33" t="str">
        <f t="shared" si="9"/>
        <v>11 – 12</v>
      </c>
    </row>
    <row r="266" spans="1:11" x14ac:dyDescent="0.2">
      <c r="A266" s="4" t="s">
        <v>43</v>
      </c>
      <c r="B266" s="4" t="s">
        <v>10</v>
      </c>
      <c r="C266" s="6">
        <v>43878</v>
      </c>
      <c r="D266" s="6">
        <v>44217</v>
      </c>
      <c r="E266" s="3">
        <f>(Table93[[#This Row],[Serum date]]-Table93[[#This Row],[DOB]])/30.5</f>
        <v>11.114754098360656</v>
      </c>
      <c r="F266" s="3">
        <v>110059</v>
      </c>
      <c r="G266" s="4" t="s">
        <v>5</v>
      </c>
      <c r="H266" s="4">
        <v>207.22</v>
      </c>
      <c r="I266" s="4" t="s">
        <v>7</v>
      </c>
      <c r="J266" s="4">
        <f t="shared" si="8"/>
        <v>11</v>
      </c>
      <c r="K266" s="33" t="str">
        <f t="shared" si="9"/>
        <v>11 – 12</v>
      </c>
    </row>
    <row r="267" spans="1:11" x14ac:dyDescent="0.2">
      <c r="A267" s="4" t="s">
        <v>42</v>
      </c>
      <c r="B267" s="4" t="s">
        <v>10</v>
      </c>
      <c r="C267" s="6">
        <v>43878</v>
      </c>
      <c r="D267" s="6">
        <v>44217</v>
      </c>
      <c r="E267" s="3">
        <f>(Table93[[#This Row],[Serum date]]-Table93[[#This Row],[DOB]])/30.5</f>
        <v>11.114754098360656</v>
      </c>
      <c r="F267" s="3">
        <v>154583</v>
      </c>
      <c r="G267" s="4" t="s">
        <v>5</v>
      </c>
      <c r="H267" s="4">
        <v>291.04000000000002</v>
      </c>
      <c r="I267" s="4" t="s">
        <v>7</v>
      </c>
      <c r="J267" s="4">
        <f t="shared" si="8"/>
        <v>11</v>
      </c>
      <c r="K267" s="33" t="str">
        <f t="shared" si="9"/>
        <v>11 – 12</v>
      </c>
    </row>
    <row r="268" spans="1:11" x14ac:dyDescent="0.2">
      <c r="A268" s="4" t="s">
        <v>42</v>
      </c>
      <c r="B268" s="4" t="s">
        <v>10</v>
      </c>
      <c r="C268" s="6">
        <v>43878</v>
      </c>
      <c r="D268" s="6">
        <v>44228</v>
      </c>
      <c r="E268" s="3">
        <f>(Table93[[#This Row],[Serum date]]-Table93[[#This Row],[DOB]])/30.5</f>
        <v>11.475409836065573</v>
      </c>
      <c r="F268" s="60">
        <v>157464</v>
      </c>
      <c r="G268" s="4" t="s">
        <v>5</v>
      </c>
      <c r="H268" s="4">
        <v>296.47000000000003</v>
      </c>
      <c r="I268" s="4" t="s">
        <v>7</v>
      </c>
      <c r="J268" s="4">
        <f t="shared" si="8"/>
        <v>11</v>
      </c>
      <c r="K268" s="33" t="str">
        <f t="shared" si="9"/>
        <v>11 – 12</v>
      </c>
    </row>
    <row r="269" spans="1:11" x14ac:dyDescent="0.2">
      <c r="A269" s="4" t="s">
        <v>42</v>
      </c>
      <c r="B269" s="4" t="s">
        <v>10</v>
      </c>
      <c r="C269" s="6">
        <v>43878</v>
      </c>
      <c r="D269" s="6">
        <v>44238</v>
      </c>
      <c r="E269" s="3">
        <f>(Table93[[#This Row],[Serum date]]-Table93[[#This Row],[DOB]])/30.5</f>
        <v>11.803278688524591</v>
      </c>
      <c r="F269" s="3">
        <v>110617</v>
      </c>
      <c r="G269" s="4" t="s">
        <v>5</v>
      </c>
      <c r="H269" s="4">
        <v>21.3</v>
      </c>
      <c r="I269" s="4" t="s">
        <v>7</v>
      </c>
      <c r="J269" s="4">
        <f t="shared" si="8"/>
        <v>11</v>
      </c>
      <c r="K269" s="33" t="str">
        <f t="shared" si="9"/>
        <v>11 – 12</v>
      </c>
    </row>
    <row r="270" spans="1:11" x14ac:dyDescent="0.2">
      <c r="A270" s="4" t="s">
        <v>41</v>
      </c>
      <c r="B270" s="4" t="s">
        <v>10</v>
      </c>
      <c r="C270" s="6">
        <v>43878</v>
      </c>
      <c r="D270" s="6">
        <v>44217</v>
      </c>
      <c r="E270" s="3">
        <f>(Table93[[#This Row],[Serum date]]-Table93[[#This Row],[DOB]])/30.5</f>
        <v>11.114754098360656</v>
      </c>
      <c r="F270" s="3">
        <v>192879</v>
      </c>
      <c r="G270" s="4" t="s">
        <v>5</v>
      </c>
      <c r="H270" s="4">
        <v>363.15</v>
      </c>
      <c r="I270" s="4" t="s">
        <v>7</v>
      </c>
      <c r="J270" s="4">
        <f t="shared" si="8"/>
        <v>11</v>
      </c>
      <c r="K270" s="33" t="str">
        <f t="shared" si="9"/>
        <v>11 – 12</v>
      </c>
    </row>
    <row r="271" spans="1:11" x14ac:dyDescent="0.2">
      <c r="A271" s="4" t="s">
        <v>39</v>
      </c>
      <c r="B271" s="4" t="s">
        <v>10</v>
      </c>
      <c r="C271" s="6">
        <v>43808</v>
      </c>
      <c r="D271" s="6">
        <v>44186</v>
      </c>
      <c r="E271" s="3">
        <f>(Table93[[#This Row],[Serum date]]-Table93[[#This Row],[DOB]])/30.5</f>
        <v>12.39344262295082</v>
      </c>
      <c r="F271" s="3">
        <v>288764</v>
      </c>
      <c r="G271" s="4" t="s">
        <v>5</v>
      </c>
      <c r="H271" s="10">
        <v>416.65</v>
      </c>
      <c r="I271" s="4" t="s">
        <v>7</v>
      </c>
      <c r="J271" s="4">
        <f t="shared" si="8"/>
        <v>12</v>
      </c>
      <c r="K271" s="33" t="str">
        <f t="shared" si="9"/>
        <v>11 – 12</v>
      </c>
    </row>
    <row r="272" spans="1:11" x14ac:dyDescent="0.2">
      <c r="A272" s="4" t="s">
        <v>49</v>
      </c>
      <c r="B272" s="4" t="s">
        <v>10</v>
      </c>
      <c r="C272" s="6">
        <v>43892</v>
      </c>
      <c r="D272" s="35">
        <v>44276</v>
      </c>
      <c r="E272" s="3">
        <f>(Table93[[#This Row],[Serum date]]-Table93[[#This Row],[DOB]])/30.5</f>
        <v>12.590163934426229</v>
      </c>
      <c r="F272" s="78">
        <v>202506</v>
      </c>
      <c r="G272" s="4" t="s">
        <v>5</v>
      </c>
      <c r="H272" s="4">
        <v>381.27</v>
      </c>
      <c r="I272" s="4" t="s">
        <v>7</v>
      </c>
      <c r="J272" s="4">
        <f t="shared" si="8"/>
        <v>12</v>
      </c>
      <c r="K272" s="33" t="str">
        <f t="shared" si="9"/>
        <v>11 – 12</v>
      </c>
    </row>
    <row r="273" spans="1:11" x14ac:dyDescent="0.2">
      <c r="A273" s="4" t="s">
        <v>48</v>
      </c>
      <c r="B273" s="4" t="s">
        <v>10</v>
      </c>
      <c r="C273" s="6">
        <v>43892</v>
      </c>
      <c r="D273" s="35">
        <v>44276</v>
      </c>
      <c r="E273" s="3">
        <f>(Table93[[#This Row],[Serum date]]-Table93[[#This Row],[DOB]])/30.5</f>
        <v>12.590163934426229</v>
      </c>
      <c r="F273" s="73">
        <v>182714</v>
      </c>
      <c r="G273" s="4" t="s">
        <v>5</v>
      </c>
      <c r="H273" s="4">
        <v>344.01</v>
      </c>
      <c r="I273" s="4" t="s">
        <v>7</v>
      </c>
      <c r="J273" s="4">
        <f t="shared" si="8"/>
        <v>12</v>
      </c>
      <c r="K273" s="33" t="str">
        <f t="shared" si="9"/>
        <v>11 – 12</v>
      </c>
    </row>
    <row r="274" spans="1:11" x14ac:dyDescent="0.2">
      <c r="A274" s="4" t="s">
        <v>43</v>
      </c>
      <c r="B274" s="4" t="s">
        <v>10</v>
      </c>
      <c r="C274" s="6">
        <v>43878</v>
      </c>
      <c r="D274" s="38">
        <v>44248</v>
      </c>
      <c r="E274" s="3">
        <f>(Table93[[#This Row],[Serum date]]-Table93[[#This Row],[DOB]])/30.5</f>
        <v>12.131147540983607</v>
      </c>
      <c r="F274" s="3">
        <v>154998</v>
      </c>
      <c r="G274" s="4" t="s">
        <v>5</v>
      </c>
      <c r="H274" s="4">
        <v>291.83</v>
      </c>
      <c r="I274" s="4" t="s">
        <v>7</v>
      </c>
      <c r="J274" s="4">
        <f t="shared" si="8"/>
        <v>12</v>
      </c>
      <c r="K274" s="33" t="str">
        <f t="shared" si="9"/>
        <v>11 – 12</v>
      </c>
    </row>
    <row r="275" spans="1:11" x14ac:dyDescent="0.2">
      <c r="A275" s="4" t="s">
        <v>41</v>
      </c>
      <c r="B275" s="4" t="s">
        <v>10</v>
      </c>
      <c r="C275" s="6">
        <v>43878</v>
      </c>
      <c r="D275" s="38">
        <v>44248</v>
      </c>
      <c r="E275" s="3">
        <f>(Table93[[#This Row],[Serum date]]-Table93[[#This Row],[DOB]])/30.5</f>
        <v>12.131147540983607</v>
      </c>
      <c r="F275" s="3">
        <v>165989</v>
      </c>
      <c r="G275" s="4" t="s">
        <v>5</v>
      </c>
      <c r="H275" s="4">
        <v>312.52</v>
      </c>
      <c r="I275" s="4" t="s">
        <v>7</v>
      </c>
      <c r="J275" s="4">
        <f t="shared" si="8"/>
        <v>12</v>
      </c>
      <c r="K275" s="33" t="str">
        <f t="shared" si="9"/>
        <v>11 – 12</v>
      </c>
    </row>
    <row r="276" spans="1:11" x14ac:dyDescent="0.2">
      <c r="A276" s="4" t="s">
        <v>36</v>
      </c>
      <c r="B276" s="4" t="s">
        <v>10</v>
      </c>
      <c r="C276" s="6">
        <v>43794</v>
      </c>
      <c r="D276" s="15">
        <v>44160</v>
      </c>
      <c r="E276" s="3">
        <f>(Table93[[#This Row],[Serum date]]-Table93[[#This Row],[DOB]])/30.5</f>
        <v>12</v>
      </c>
      <c r="F276" s="3">
        <v>53092</v>
      </c>
      <c r="G276" s="4" t="s">
        <v>5</v>
      </c>
      <c r="H276" s="17">
        <v>116.12423447069116</v>
      </c>
      <c r="I276" s="4" t="s">
        <v>7</v>
      </c>
      <c r="J276" s="4">
        <f t="shared" si="8"/>
        <v>12</v>
      </c>
      <c r="K276" s="33" t="str">
        <f t="shared" si="9"/>
        <v>11 – 12</v>
      </c>
    </row>
    <row r="277" spans="1:11" x14ac:dyDescent="0.2">
      <c r="A277" s="1" t="s">
        <v>40</v>
      </c>
      <c r="B277" s="1" t="s">
        <v>10</v>
      </c>
      <c r="C277" s="2">
        <v>43808</v>
      </c>
      <c r="D277" s="6">
        <v>44186</v>
      </c>
      <c r="E277" s="3">
        <f>(Table93[[#This Row],[Serum date]]-Table93[[#This Row],[DOB]])/30.5</f>
        <v>12.39344262295082</v>
      </c>
      <c r="F277" s="3">
        <v>329638</v>
      </c>
      <c r="G277" s="4" t="s">
        <v>5</v>
      </c>
      <c r="H277" s="10">
        <v>475.62</v>
      </c>
      <c r="I277" s="4" t="s">
        <v>7</v>
      </c>
      <c r="J277" s="4">
        <f t="shared" si="8"/>
        <v>12</v>
      </c>
      <c r="K277" s="33" t="str">
        <f t="shared" si="9"/>
        <v>11 – 12</v>
      </c>
    </row>
    <row r="278" spans="1:11" x14ac:dyDescent="0.2">
      <c r="A278" s="4" t="s">
        <v>39</v>
      </c>
      <c r="B278" s="4" t="s">
        <v>10</v>
      </c>
      <c r="C278" s="6">
        <v>43808</v>
      </c>
      <c r="D278" s="6">
        <v>44217</v>
      </c>
      <c r="E278" s="3">
        <f>(Table93[[#This Row],[Serum date]]-Table93[[#This Row],[DOB]])/30.5</f>
        <v>13.409836065573771</v>
      </c>
      <c r="F278" s="3">
        <v>148513</v>
      </c>
      <c r="G278" s="4" t="s">
        <v>5</v>
      </c>
      <c r="H278" s="10">
        <v>279.61</v>
      </c>
      <c r="I278" s="4" t="s">
        <v>7</v>
      </c>
      <c r="J278" s="4">
        <f t="shared" si="8"/>
        <v>13</v>
      </c>
      <c r="K278" s="33" t="str">
        <f t="shared" si="9"/>
        <v>13 – 15</v>
      </c>
    </row>
    <row r="279" spans="1:11" x14ac:dyDescent="0.2">
      <c r="A279" s="4" t="s">
        <v>49</v>
      </c>
      <c r="B279" s="4" t="s">
        <v>10</v>
      </c>
      <c r="C279" s="6">
        <v>43892</v>
      </c>
      <c r="D279" s="35">
        <v>44307</v>
      </c>
      <c r="E279" s="3">
        <f>(Table93[[#This Row],[Serum date]]-Table93[[#This Row],[DOB]])/30.5</f>
        <v>13.60655737704918</v>
      </c>
      <c r="F279" s="3">
        <v>232152</v>
      </c>
      <c r="G279" s="4" t="s">
        <v>5</v>
      </c>
      <c r="H279" s="10">
        <v>314.48442156597139</v>
      </c>
      <c r="I279" s="4" t="s">
        <v>7</v>
      </c>
      <c r="J279" s="4">
        <f t="shared" si="8"/>
        <v>13</v>
      </c>
      <c r="K279" s="33" t="str">
        <f t="shared" si="9"/>
        <v>13 – 15</v>
      </c>
    </row>
    <row r="280" spans="1:11" x14ac:dyDescent="0.2">
      <c r="A280" s="4" t="s">
        <v>48</v>
      </c>
      <c r="B280" s="4" t="s">
        <v>10</v>
      </c>
      <c r="C280" s="6">
        <v>43892</v>
      </c>
      <c r="D280" s="35">
        <v>44307</v>
      </c>
      <c r="E280" s="3">
        <f>(Table93[[#This Row],[Serum date]]-Table93[[#This Row],[DOB]])/30.5</f>
        <v>13.60655737704918</v>
      </c>
      <c r="F280" s="3">
        <v>184447</v>
      </c>
      <c r="G280" s="4" t="s">
        <v>5</v>
      </c>
      <c r="H280" s="10">
        <v>249.86060688160396</v>
      </c>
      <c r="I280" s="4" t="s">
        <v>7</v>
      </c>
      <c r="J280" s="4">
        <f t="shared" si="8"/>
        <v>13</v>
      </c>
      <c r="K280" s="33" t="str">
        <f t="shared" si="9"/>
        <v>13 – 15</v>
      </c>
    </row>
    <row r="281" spans="1:11" x14ac:dyDescent="0.2">
      <c r="A281" s="4" t="s">
        <v>43</v>
      </c>
      <c r="B281" s="4" t="s">
        <v>10</v>
      </c>
      <c r="C281" s="6">
        <v>43878</v>
      </c>
      <c r="D281" s="38">
        <v>44276</v>
      </c>
      <c r="E281" s="3">
        <f>(Table93[[#This Row],[Serum date]]-Table93[[#This Row],[DOB]])/30.5</f>
        <v>13.049180327868852</v>
      </c>
      <c r="F281" s="3">
        <v>146937</v>
      </c>
      <c r="G281" s="4" t="s">
        <v>5</v>
      </c>
      <c r="H281" s="4">
        <v>276.64999999999998</v>
      </c>
      <c r="I281" s="4" t="s">
        <v>7</v>
      </c>
      <c r="J281" s="4">
        <f t="shared" si="8"/>
        <v>13</v>
      </c>
      <c r="K281" s="33" t="str">
        <f t="shared" si="9"/>
        <v>13 – 15</v>
      </c>
    </row>
    <row r="282" spans="1:11" x14ac:dyDescent="0.2">
      <c r="A282" s="4" t="s">
        <v>41</v>
      </c>
      <c r="B282" s="4" t="s">
        <v>10</v>
      </c>
      <c r="C282" s="6">
        <v>43878</v>
      </c>
      <c r="D282" s="38">
        <v>44276</v>
      </c>
      <c r="E282" s="3">
        <f>(Table93[[#This Row],[Serum date]]-Table93[[#This Row],[DOB]])/30.5</f>
        <v>13.049180327868852</v>
      </c>
      <c r="F282" s="3">
        <v>173696</v>
      </c>
      <c r="G282" s="4" t="s">
        <v>5</v>
      </c>
      <c r="H282" s="4">
        <v>327.02999999999997</v>
      </c>
      <c r="I282" s="4" t="s">
        <v>7</v>
      </c>
      <c r="J282" s="4">
        <f t="shared" si="8"/>
        <v>13</v>
      </c>
      <c r="K282" s="33" t="str">
        <f t="shared" si="9"/>
        <v>13 – 15</v>
      </c>
    </row>
    <row r="283" spans="1:11" x14ac:dyDescent="0.2">
      <c r="A283" s="4" t="s">
        <v>36</v>
      </c>
      <c r="B283" s="4" t="s">
        <v>10</v>
      </c>
      <c r="C283" s="6">
        <v>43794</v>
      </c>
      <c r="D283" s="6">
        <v>44207</v>
      </c>
      <c r="E283" s="3">
        <f>(Table93[[#This Row],[Serum date]]-Table93[[#This Row],[DOB]])/30.5</f>
        <v>13.540983606557377</v>
      </c>
      <c r="F283" s="74">
        <v>53257</v>
      </c>
      <c r="G283" s="4" t="s">
        <v>5</v>
      </c>
      <c r="H283" s="4">
        <v>100.27</v>
      </c>
      <c r="I283" s="4" t="s">
        <v>7</v>
      </c>
      <c r="J283" s="4">
        <f t="shared" si="8"/>
        <v>13</v>
      </c>
      <c r="K283" s="33" t="str">
        <f t="shared" si="9"/>
        <v>13 – 15</v>
      </c>
    </row>
    <row r="284" spans="1:11" x14ac:dyDescent="0.2">
      <c r="A284" s="1" t="s">
        <v>40</v>
      </c>
      <c r="B284" s="1" t="s">
        <v>10</v>
      </c>
      <c r="C284" s="2">
        <v>43808</v>
      </c>
      <c r="D284" s="6">
        <v>44217</v>
      </c>
      <c r="E284" s="3">
        <f>(Table93[[#This Row],[Serum date]]-Table93[[#This Row],[DOB]])/30.5</f>
        <v>13.409836065573771</v>
      </c>
      <c r="F284" s="3">
        <v>164380</v>
      </c>
      <c r="G284" s="4" t="s">
        <v>5</v>
      </c>
      <c r="H284" s="10">
        <v>309.49</v>
      </c>
      <c r="I284" s="4" t="s">
        <v>7</v>
      </c>
      <c r="J284" s="4">
        <f t="shared" si="8"/>
        <v>13</v>
      </c>
      <c r="K284" s="33" t="str">
        <f t="shared" si="9"/>
        <v>13 – 15</v>
      </c>
    </row>
    <row r="285" spans="1:11" x14ac:dyDescent="0.2">
      <c r="A285" s="4" t="s">
        <v>39</v>
      </c>
      <c r="B285" s="4" t="s">
        <v>10</v>
      </c>
      <c r="C285" s="6">
        <v>43808</v>
      </c>
      <c r="D285" s="6">
        <v>44248</v>
      </c>
      <c r="E285" s="3">
        <f>(Table93[[#This Row],[Serum date]]-Table93[[#This Row],[DOB]])/30.5</f>
        <v>14.426229508196721</v>
      </c>
      <c r="F285" s="3">
        <v>142623</v>
      </c>
      <c r="G285" s="4" t="s">
        <v>5</v>
      </c>
      <c r="H285" s="10">
        <v>268.52999999999997</v>
      </c>
      <c r="I285" s="4" t="s">
        <v>7</v>
      </c>
      <c r="J285" s="4">
        <f t="shared" si="8"/>
        <v>14</v>
      </c>
      <c r="K285" s="33" t="str">
        <f t="shared" si="9"/>
        <v>13 – 15</v>
      </c>
    </row>
    <row r="286" spans="1:11" x14ac:dyDescent="0.2">
      <c r="A286" s="4" t="s">
        <v>43</v>
      </c>
      <c r="B286" s="4" t="s">
        <v>10</v>
      </c>
      <c r="C286" s="6">
        <v>43878</v>
      </c>
      <c r="D286" s="38">
        <v>44307</v>
      </c>
      <c r="E286" s="3">
        <f>(Table93[[#This Row],[Serum date]]-Table93[[#This Row],[DOB]])/30.5</f>
        <v>14.065573770491802</v>
      </c>
      <c r="F286" s="3">
        <v>139924</v>
      </c>
      <c r="G286" s="4" t="s">
        <v>5</v>
      </c>
      <c r="H286" s="4">
        <v>189.54714169601735</v>
      </c>
      <c r="I286" s="4" t="s">
        <v>7</v>
      </c>
      <c r="J286" s="4">
        <f t="shared" si="8"/>
        <v>14</v>
      </c>
      <c r="K286" s="33" t="str">
        <f t="shared" si="9"/>
        <v>13 – 15</v>
      </c>
    </row>
    <row r="287" spans="1:11" x14ac:dyDescent="0.2">
      <c r="A287" s="4" t="s">
        <v>41</v>
      </c>
      <c r="B287" s="4" t="s">
        <v>10</v>
      </c>
      <c r="C287" s="6">
        <v>43878</v>
      </c>
      <c r="D287" s="38">
        <v>44307</v>
      </c>
      <c r="E287" s="3">
        <f>(Table93[[#This Row],[Serum date]]-Table93[[#This Row],[DOB]])/30.5</f>
        <v>14.065573770491802</v>
      </c>
      <c r="F287" s="3">
        <v>153579</v>
      </c>
      <c r="G287" s="4" t="s">
        <v>5</v>
      </c>
      <c r="H287" s="4">
        <v>208.04470333243029</v>
      </c>
      <c r="I287" s="4" t="s">
        <v>7</v>
      </c>
      <c r="J287" s="4">
        <f t="shared" si="8"/>
        <v>14</v>
      </c>
      <c r="K287" s="33" t="str">
        <f t="shared" si="9"/>
        <v>13 – 15</v>
      </c>
    </row>
    <row r="288" spans="1:11" x14ac:dyDescent="0.2">
      <c r="A288" s="4" t="s">
        <v>36</v>
      </c>
      <c r="B288" s="4" t="s">
        <v>10</v>
      </c>
      <c r="C288" s="6">
        <v>43794</v>
      </c>
      <c r="D288" s="6">
        <v>44238</v>
      </c>
      <c r="E288" s="3">
        <f>(Table93[[#This Row],[Serum date]]-Table93[[#This Row],[DOB]])/30.5</f>
        <v>14.557377049180328</v>
      </c>
      <c r="F288" s="77">
        <v>57174.6</v>
      </c>
      <c r="G288" s="4" t="s">
        <v>5</v>
      </c>
      <c r="H288" s="10">
        <v>107.65</v>
      </c>
      <c r="I288" s="4" t="s">
        <v>7</v>
      </c>
      <c r="J288" s="4">
        <f t="shared" si="8"/>
        <v>14</v>
      </c>
      <c r="K288" s="33" t="str">
        <f t="shared" si="9"/>
        <v>13 – 15</v>
      </c>
    </row>
    <row r="289" spans="1:11" x14ac:dyDescent="0.2">
      <c r="A289" s="1" t="s">
        <v>40</v>
      </c>
      <c r="B289" s="1" t="s">
        <v>10</v>
      </c>
      <c r="C289" s="2">
        <v>43808</v>
      </c>
      <c r="D289" s="38">
        <v>44248</v>
      </c>
      <c r="E289" s="3">
        <f>(Table93[[#This Row],[Serum date]]-Table93[[#This Row],[DOB]])/30.5</f>
        <v>14.426229508196721</v>
      </c>
      <c r="F289" s="78">
        <v>187657</v>
      </c>
      <c r="G289" s="4" t="s">
        <v>5</v>
      </c>
      <c r="H289" s="10">
        <v>353.31400000000002</v>
      </c>
      <c r="I289" s="4" t="s">
        <v>7</v>
      </c>
      <c r="J289" s="4">
        <f t="shared" si="8"/>
        <v>14</v>
      </c>
      <c r="K289" s="33" t="str">
        <f t="shared" si="9"/>
        <v>13 – 15</v>
      </c>
    </row>
    <row r="290" spans="1:11" x14ac:dyDescent="0.2">
      <c r="A290" s="4" t="s">
        <v>39</v>
      </c>
      <c r="B290" s="4" t="s">
        <v>10</v>
      </c>
      <c r="C290" s="6">
        <v>43808</v>
      </c>
      <c r="D290" s="6">
        <v>44276</v>
      </c>
      <c r="E290" s="3">
        <f>(Table93[[#This Row],[Serum date]]-Table93[[#This Row],[DOB]])/30.5</f>
        <v>15.344262295081966</v>
      </c>
      <c r="F290" s="76">
        <v>186436</v>
      </c>
      <c r="G290" s="4" t="s">
        <v>5</v>
      </c>
      <c r="H290" s="10">
        <v>351.01</v>
      </c>
      <c r="I290" s="4" t="s">
        <v>7</v>
      </c>
      <c r="J290" s="4">
        <f t="shared" si="8"/>
        <v>15</v>
      </c>
      <c r="K290" s="33" t="str">
        <f t="shared" si="9"/>
        <v>13 – 15</v>
      </c>
    </row>
    <row r="291" spans="1:11" x14ac:dyDescent="0.2">
      <c r="A291" s="4" t="s">
        <v>49</v>
      </c>
      <c r="B291" s="4" t="s">
        <v>10</v>
      </c>
      <c r="C291" s="6">
        <v>43892</v>
      </c>
      <c r="D291" s="6">
        <v>44375</v>
      </c>
      <c r="E291" s="3">
        <f>(Table93[[#This Row],[Serum date]]-Table93[[#This Row],[DOB]])/30.5</f>
        <v>15.836065573770492</v>
      </c>
      <c r="F291" s="48">
        <f>AVERAGE(90650,198139)</f>
        <v>144394.5</v>
      </c>
      <c r="G291" s="4" t="s">
        <v>5</v>
      </c>
      <c r="H291" s="4">
        <v>130.1</v>
      </c>
      <c r="I291" s="4" t="s">
        <v>8</v>
      </c>
      <c r="J291" s="4">
        <f t="shared" si="8"/>
        <v>15</v>
      </c>
      <c r="K291" s="33" t="str">
        <f t="shared" si="9"/>
        <v>13 – 15</v>
      </c>
    </row>
    <row r="292" spans="1:11" x14ac:dyDescent="0.2">
      <c r="A292" s="4" t="s">
        <v>48</v>
      </c>
      <c r="B292" s="4" t="s">
        <v>10</v>
      </c>
      <c r="C292" s="6">
        <v>43892</v>
      </c>
      <c r="D292" s="6">
        <v>44375</v>
      </c>
      <c r="E292" s="3">
        <f>(Table93[[#This Row],[Serum date]]-Table93[[#This Row],[DOB]])/30.5</f>
        <v>15.836065573770492</v>
      </c>
      <c r="F292" s="75">
        <f>AVERAGE(73738,173442)</f>
        <v>123590</v>
      </c>
      <c r="G292" s="4" t="s">
        <v>5</v>
      </c>
      <c r="H292" s="4">
        <v>113.3</v>
      </c>
      <c r="I292" s="4" t="s">
        <v>8</v>
      </c>
      <c r="J292" s="4">
        <f t="shared" si="8"/>
        <v>15</v>
      </c>
      <c r="K292" s="33" t="str">
        <f t="shared" si="9"/>
        <v>13 – 15</v>
      </c>
    </row>
    <row r="293" spans="1:11" x14ac:dyDescent="0.2">
      <c r="A293" s="4" t="s">
        <v>36</v>
      </c>
      <c r="B293" s="4" t="s">
        <v>10</v>
      </c>
      <c r="C293" s="6">
        <v>43794</v>
      </c>
      <c r="D293" s="6">
        <v>44266</v>
      </c>
      <c r="E293" s="3">
        <f>(Table93[[#This Row],[Serum date]]-Table93[[#This Row],[DOB]])/30.5</f>
        <v>15.475409836065573</v>
      </c>
      <c r="F293" s="3">
        <v>74840</v>
      </c>
      <c r="G293" s="4" t="s">
        <v>5</v>
      </c>
      <c r="H293" s="10">
        <v>140.91</v>
      </c>
      <c r="I293" s="4" t="s">
        <v>7</v>
      </c>
      <c r="J293" s="4">
        <f t="shared" si="8"/>
        <v>15</v>
      </c>
      <c r="K293" s="33" t="str">
        <f t="shared" si="9"/>
        <v>13 – 15</v>
      </c>
    </row>
    <row r="294" spans="1:11" x14ac:dyDescent="0.2">
      <c r="A294" s="1" t="s">
        <v>40</v>
      </c>
      <c r="B294" s="1" t="s">
        <v>10</v>
      </c>
      <c r="C294" s="2">
        <v>43808</v>
      </c>
      <c r="D294" s="38">
        <v>44276</v>
      </c>
      <c r="E294" s="3">
        <f>(Table93[[#This Row],[Serum date]]-Table93[[#This Row],[DOB]])/30.5</f>
        <v>15.344262295081966</v>
      </c>
      <c r="F294" s="3">
        <v>185514</v>
      </c>
      <c r="G294" s="4" t="s">
        <v>5</v>
      </c>
      <c r="H294" s="10">
        <v>349.28</v>
      </c>
      <c r="I294" s="4" t="s">
        <v>7</v>
      </c>
      <c r="J294" s="4">
        <f t="shared" si="8"/>
        <v>15</v>
      </c>
      <c r="K294" s="33" t="str">
        <f t="shared" si="9"/>
        <v>13 – 15</v>
      </c>
    </row>
    <row r="295" spans="1:11" x14ac:dyDescent="0.2">
      <c r="A295" s="4" t="s">
        <v>39</v>
      </c>
      <c r="B295" s="4" t="s">
        <v>10</v>
      </c>
      <c r="C295" s="6">
        <v>43808</v>
      </c>
      <c r="D295" s="6">
        <v>44307</v>
      </c>
      <c r="E295" s="3">
        <f>(Table93[[#This Row],[Serum date]]-Table93[[#This Row],[DOB]])/30.5</f>
        <v>16.360655737704917</v>
      </c>
      <c r="F295" s="3">
        <v>166353</v>
      </c>
      <c r="G295" s="4" t="s">
        <v>5</v>
      </c>
      <c r="H295" s="10">
        <v>225.34936331617456</v>
      </c>
      <c r="I295" s="4" t="s">
        <v>7</v>
      </c>
      <c r="J295" s="4">
        <f t="shared" si="8"/>
        <v>16</v>
      </c>
      <c r="K295" s="33" t="str">
        <f t="shared" si="9"/>
        <v>16 – 19</v>
      </c>
    </row>
    <row r="296" spans="1:11" x14ac:dyDescent="0.2">
      <c r="A296" s="4" t="s">
        <v>43</v>
      </c>
      <c r="B296" s="4" t="s">
        <v>10</v>
      </c>
      <c r="C296" s="6">
        <v>43878</v>
      </c>
      <c r="D296" s="6">
        <v>44376</v>
      </c>
      <c r="E296" s="3">
        <f>(Table93[[#This Row],[Serum date]]-Table93[[#This Row],[DOB]])/30.5</f>
        <v>16.327868852459016</v>
      </c>
      <c r="F296" s="76">
        <v>104509</v>
      </c>
      <c r="G296" s="4" t="s">
        <v>5</v>
      </c>
      <c r="H296" s="4">
        <v>20.100000000000001</v>
      </c>
      <c r="I296" s="4" t="s">
        <v>7</v>
      </c>
      <c r="J296" s="4">
        <f t="shared" si="8"/>
        <v>16</v>
      </c>
      <c r="K296" s="33" t="str">
        <f t="shared" si="9"/>
        <v>16 – 19</v>
      </c>
    </row>
    <row r="297" spans="1:11" x14ac:dyDescent="0.2">
      <c r="A297" s="4" t="s">
        <v>41</v>
      </c>
      <c r="B297" s="4" t="s">
        <v>10</v>
      </c>
      <c r="C297" s="6">
        <v>43878</v>
      </c>
      <c r="D297" s="6">
        <v>44387</v>
      </c>
      <c r="E297" s="3">
        <f>(Table93[[#This Row],[Serum date]]-Table93[[#This Row],[DOB]])/30.5</f>
        <v>16.688524590163933</v>
      </c>
      <c r="F297" s="75">
        <f>AVERAGE(121902,63850)</f>
        <v>92876</v>
      </c>
      <c r="G297" s="4" t="s">
        <v>5</v>
      </c>
      <c r="H297" s="4">
        <v>80.849999999999994</v>
      </c>
      <c r="I297" s="4" t="s">
        <v>8</v>
      </c>
      <c r="J297" s="4">
        <f t="shared" si="8"/>
        <v>16</v>
      </c>
      <c r="K297" s="33" t="str">
        <f t="shared" si="9"/>
        <v>16 – 19</v>
      </c>
    </row>
    <row r="298" spans="1:11" x14ac:dyDescent="0.2">
      <c r="A298" s="4" t="s">
        <v>36</v>
      </c>
      <c r="B298" s="4" t="s">
        <v>10</v>
      </c>
      <c r="C298" s="6">
        <v>43794</v>
      </c>
      <c r="D298" s="6">
        <v>44297</v>
      </c>
      <c r="E298" s="3">
        <f>(Table93[[#This Row],[Serum date]]-Table93[[#This Row],[DOB]])/30.5</f>
        <v>16.491803278688526</v>
      </c>
      <c r="F298" s="3">
        <v>100144</v>
      </c>
      <c r="G298" s="4" t="s">
        <v>5</v>
      </c>
      <c r="H298" s="10">
        <v>135.65930642102416</v>
      </c>
      <c r="I298" s="4" t="s">
        <v>7</v>
      </c>
      <c r="J298" s="4">
        <f t="shared" si="8"/>
        <v>16</v>
      </c>
      <c r="K298" s="33" t="str">
        <f t="shared" si="9"/>
        <v>16 – 19</v>
      </c>
    </row>
    <row r="299" spans="1:11" x14ac:dyDescent="0.2">
      <c r="A299" s="1" t="s">
        <v>40</v>
      </c>
      <c r="B299" s="1" t="s">
        <v>10</v>
      </c>
      <c r="C299" s="2">
        <v>43808</v>
      </c>
      <c r="D299" s="38">
        <v>44307</v>
      </c>
      <c r="E299" s="3">
        <f>(Table93[[#This Row],[Serum date]]-Table93[[#This Row],[DOB]])/30.5</f>
        <v>16.360655737704917</v>
      </c>
      <c r="F299" s="3">
        <v>156324</v>
      </c>
      <c r="G299" s="4" t="s">
        <v>5</v>
      </c>
      <c r="H299" s="10">
        <v>211.7640205906259</v>
      </c>
      <c r="I299" s="4" t="s">
        <v>7</v>
      </c>
      <c r="J299" s="4">
        <f t="shared" si="8"/>
        <v>16</v>
      </c>
      <c r="K299" s="33" t="str">
        <f t="shared" si="9"/>
        <v>16 – 19</v>
      </c>
    </row>
    <row r="300" spans="1:11" x14ac:dyDescent="0.2">
      <c r="A300" s="1" t="s">
        <v>40</v>
      </c>
      <c r="B300" s="1" t="s">
        <v>10</v>
      </c>
      <c r="C300" s="2">
        <v>43808</v>
      </c>
      <c r="D300" s="6">
        <v>44369</v>
      </c>
      <c r="E300" s="3">
        <f>(Table93[[#This Row],[Serum date]]-Table93[[#This Row],[DOB]])/30.5</f>
        <v>18.393442622950818</v>
      </c>
      <c r="F300" s="75">
        <f>AVERAGE(136196,47326)</f>
        <v>91761</v>
      </c>
      <c r="G300" s="4" t="s">
        <v>5</v>
      </c>
      <c r="H300" s="4">
        <v>64.855000000000004</v>
      </c>
      <c r="I300" s="4" t="s">
        <v>8</v>
      </c>
      <c r="J300" s="4">
        <f t="shared" si="8"/>
        <v>18</v>
      </c>
      <c r="K300" s="33" t="str">
        <f t="shared" si="9"/>
        <v>16 – 19</v>
      </c>
    </row>
    <row r="301" spans="1:11" x14ac:dyDescent="0.2">
      <c r="A301" s="4" t="s">
        <v>39</v>
      </c>
      <c r="B301" s="4" t="s">
        <v>10</v>
      </c>
      <c r="C301" s="6">
        <v>43808</v>
      </c>
      <c r="D301" s="6">
        <v>44391</v>
      </c>
      <c r="E301" s="3">
        <f>(Table93[[#This Row],[Serum date]]-Table93[[#This Row],[DOB]])/30.5</f>
        <v>19.114754098360656</v>
      </c>
      <c r="F301" s="48">
        <f>AVERAGE(163156,58427)</f>
        <v>110791.5</v>
      </c>
      <c r="G301" s="4" t="s">
        <v>5</v>
      </c>
      <c r="H301" s="4">
        <v>79.594999999999999</v>
      </c>
      <c r="I301" s="4" t="s">
        <v>8</v>
      </c>
      <c r="J301" s="4">
        <f t="shared" si="8"/>
        <v>19</v>
      </c>
      <c r="K301" s="33" t="str">
        <f t="shared" si="9"/>
        <v>16 – 19</v>
      </c>
    </row>
    <row r="302" spans="1:11" x14ac:dyDescent="0.2">
      <c r="A302" s="103" t="s">
        <v>92</v>
      </c>
      <c r="B302" s="1" t="s">
        <v>10</v>
      </c>
      <c r="C302" s="2" t="s">
        <v>91</v>
      </c>
      <c r="D302" s="2" t="s">
        <v>91</v>
      </c>
      <c r="E302" s="3">
        <v>1</v>
      </c>
      <c r="F302" s="5">
        <v>293</v>
      </c>
      <c r="G302" s="4" t="s">
        <v>5</v>
      </c>
      <c r="H302" s="107">
        <f t="shared" ref="H302:H307" si="10">F302/$F$7</f>
        <v>0.85923753665689151</v>
      </c>
      <c r="I302" s="4" t="s">
        <v>7</v>
      </c>
      <c r="J302" s="4">
        <f t="shared" ref="J302:J307" si="11">IF($E302&lt;2,1,IF($E302&lt;3,2,IF($E302&lt;4,3,IF($E302&lt;5,4,IF($E302&lt;6,5,IF($E302&lt;7,6,IF($E302&lt;8,7,IF($E302&lt;9,8,IF($E302&lt;10,9,IF($E302&lt;11,10,IF($E302&lt;12,11,IF($E302&lt;13,12,IF($E302&lt;14,13,IF($E302&lt;15,14,IF($E302&lt;16,15,IF($E302&lt;17,16,IF($E302&lt;18,17,IF($E302&lt;19,18,IF($E302&lt;20,19,20)))))))))))))))))))</f>
        <v>1</v>
      </c>
      <c r="K302" s="3" t="str">
        <f t="shared" ref="K302:K307" si="12">IF($J302&lt;3,"1 – 2",IF($J302&lt;5,"3 – 4",IF($J302&lt;7,"5 – 6",IF($J302&lt;9,"7 – 8",IF($J302&lt;11,"9 – 10",IF($J302&lt;13,"11 – 12",IF($J302&lt;16,"13 – 15","16 – 19")))))))</f>
        <v>1 – 2</v>
      </c>
    </row>
    <row r="303" spans="1:11" x14ac:dyDescent="0.2">
      <c r="A303" s="104" t="s">
        <v>88</v>
      </c>
      <c r="B303" s="1" t="s">
        <v>10</v>
      </c>
      <c r="C303" s="2" t="s">
        <v>91</v>
      </c>
      <c r="D303" s="2" t="s">
        <v>91</v>
      </c>
      <c r="E303" s="76">
        <v>1</v>
      </c>
      <c r="F303" s="105">
        <v>284</v>
      </c>
      <c r="G303" s="4" t="s">
        <v>5</v>
      </c>
      <c r="H303" s="107">
        <f t="shared" si="10"/>
        <v>0.83284457478005869</v>
      </c>
      <c r="I303" s="4" t="s">
        <v>7</v>
      </c>
      <c r="J303" s="33">
        <f t="shared" si="11"/>
        <v>1</v>
      </c>
      <c r="K303" s="76" t="str">
        <f t="shared" si="12"/>
        <v>1 – 2</v>
      </c>
    </row>
    <row r="304" spans="1:11" x14ac:dyDescent="0.2">
      <c r="A304" s="104" t="s">
        <v>89</v>
      </c>
      <c r="B304" s="1" t="s">
        <v>10</v>
      </c>
      <c r="C304" s="2" t="s">
        <v>91</v>
      </c>
      <c r="D304" s="2" t="s">
        <v>91</v>
      </c>
      <c r="E304" s="76">
        <v>1</v>
      </c>
      <c r="F304" s="105">
        <v>370.5</v>
      </c>
      <c r="G304" s="4" t="s">
        <v>5</v>
      </c>
      <c r="H304" s="107">
        <f t="shared" si="10"/>
        <v>1.0865102639296187</v>
      </c>
      <c r="I304" s="4" t="s">
        <v>7</v>
      </c>
      <c r="J304" s="33">
        <f t="shared" si="11"/>
        <v>1</v>
      </c>
      <c r="K304" s="76" t="str">
        <f t="shared" si="12"/>
        <v>1 – 2</v>
      </c>
    </row>
    <row r="305" spans="1:11" x14ac:dyDescent="0.2">
      <c r="A305" s="104" t="s">
        <v>90</v>
      </c>
      <c r="B305" s="1" t="s">
        <v>10</v>
      </c>
      <c r="C305" s="2" t="s">
        <v>91</v>
      </c>
      <c r="D305" s="2" t="s">
        <v>91</v>
      </c>
      <c r="E305" s="76">
        <v>1</v>
      </c>
      <c r="F305" s="105">
        <v>308</v>
      </c>
      <c r="G305" s="4" t="s">
        <v>5</v>
      </c>
      <c r="H305" s="107">
        <f t="shared" si="10"/>
        <v>0.90322580645161288</v>
      </c>
      <c r="I305" s="4" t="s">
        <v>7</v>
      </c>
      <c r="J305" s="33">
        <f t="shared" si="11"/>
        <v>1</v>
      </c>
      <c r="K305" s="76" t="str">
        <f t="shared" si="12"/>
        <v>1 – 2</v>
      </c>
    </row>
    <row r="306" spans="1:11" x14ac:dyDescent="0.2">
      <c r="A306" s="104" t="s">
        <v>86</v>
      </c>
      <c r="B306" s="1" t="s">
        <v>10</v>
      </c>
      <c r="C306" s="2" t="s">
        <v>91</v>
      </c>
      <c r="D306" s="2" t="s">
        <v>91</v>
      </c>
      <c r="E306" s="76">
        <v>4.8</v>
      </c>
      <c r="F306" s="105">
        <v>3030</v>
      </c>
      <c r="G306" s="4" t="s">
        <v>5</v>
      </c>
      <c r="H306" s="107">
        <f t="shared" si="10"/>
        <v>8.8856304985337236</v>
      </c>
      <c r="I306" s="4" t="s">
        <v>7</v>
      </c>
      <c r="J306" s="33">
        <f t="shared" si="11"/>
        <v>4</v>
      </c>
      <c r="K306" s="76" t="str">
        <f t="shared" si="12"/>
        <v>3 – 4</v>
      </c>
    </row>
    <row r="307" spans="1:11" x14ac:dyDescent="0.2">
      <c r="A307" s="104" t="s">
        <v>85</v>
      </c>
      <c r="B307" s="1" t="s">
        <v>10</v>
      </c>
      <c r="C307" s="2" t="s">
        <v>91</v>
      </c>
      <c r="D307" s="2" t="s">
        <v>91</v>
      </c>
      <c r="E307" s="76">
        <v>4.8</v>
      </c>
      <c r="F307" s="105">
        <v>11291</v>
      </c>
      <c r="G307" s="4" t="s">
        <v>5</v>
      </c>
      <c r="H307" s="107">
        <f t="shared" si="10"/>
        <v>33.111436950146626</v>
      </c>
      <c r="I307" s="4" t="s">
        <v>7</v>
      </c>
      <c r="J307" s="33">
        <f t="shared" si="11"/>
        <v>4</v>
      </c>
      <c r="K307" s="76" t="str">
        <f t="shared" si="12"/>
        <v>3 – 4</v>
      </c>
    </row>
    <row r="308" spans="1:11" x14ac:dyDescent="0.2">
      <c r="A308" s="7" t="s">
        <v>13</v>
      </c>
      <c r="B308" s="1" t="s">
        <v>10</v>
      </c>
      <c r="C308" s="2">
        <v>43369</v>
      </c>
      <c r="D308" s="2">
        <v>43411</v>
      </c>
      <c r="E308" s="3">
        <v>1.4426229508196722</v>
      </c>
      <c r="F308" s="3">
        <v>1056</v>
      </c>
      <c r="G308" s="4" t="s">
        <v>5</v>
      </c>
      <c r="H308" s="5">
        <v>0.92469352014010509</v>
      </c>
      <c r="I308" s="4" t="s">
        <v>7</v>
      </c>
      <c r="J308" s="4">
        <f t="shared" ref="J308:J314" si="13">IF($E308&lt;2,1,IF($E308&lt;3,2,IF($E308&lt;4,3,IF($E308&lt;5,4,IF($E308&lt;6,5,IF($E308&lt;7,6,IF($E308&lt;8,7,IF($E308&lt;9,8,IF($E308&lt;10,9,IF($E308&lt;11,10,IF($E308&lt;12,11,IF($E308&lt;13,12,IF($E308&lt;14,13,IF($E308&lt;15,14,IF($E308&lt;16,15,IF($E308&lt;17,16,IF($E308&lt;18,17,IF($E308&lt;19,18,IF($E308&lt;20,19,20)))))))))))))))))))</f>
        <v>1</v>
      </c>
      <c r="K308" s="3" t="str">
        <f t="shared" ref="K308:K314" si="14">IF($J308&lt;3,"1 – 2",IF($J308&lt;5,"3 – 4",IF($J308&lt;7,"5 – 6",IF($J308&lt;9,"7 – 8",IF($J308&lt;11,"9 – 10",IF($J308&lt;13,"11 – 12",IF($J308&lt;16,"13 – 15","16 – 19")))))))</f>
        <v>1 – 2</v>
      </c>
    </row>
    <row r="309" spans="1:11" x14ac:dyDescent="0.2">
      <c r="A309" s="114" t="s">
        <v>62</v>
      </c>
      <c r="B309" s="84" t="s">
        <v>10</v>
      </c>
      <c r="C309" s="39" t="s">
        <v>67</v>
      </c>
      <c r="D309" s="39">
        <v>43376</v>
      </c>
      <c r="E309" s="76">
        <v>1.4426229508196722</v>
      </c>
      <c r="F309" s="76">
        <v>3229</v>
      </c>
      <c r="G309" s="33" t="s">
        <v>5</v>
      </c>
      <c r="H309" s="105">
        <v>5.7</v>
      </c>
      <c r="I309" s="33" t="s">
        <v>7</v>
      </c>
      <c r="J309" s="33">
        <f t="shared" si="13"/>
        <v>1</v>
      </c>
      <c r="K309" s="76" t="str">
        <f t="shared" si="14"/>
        <v>1 – 2</v>
      </c>
    </row>
    <row r="310" spans="1:11" x14ac:dyDescent="0.2">
      <c r="A310" s="114" t="s">
        <v>61</v>
      </c>
      <c r="B310" s="84" t="s">
        <v>10</v>
      </c>
      <c r="C310" s="39" t="s">
        <v>67</v>
      </c>
      <c r="D310" s="39">
        <v>43376</v>
      </c>
      <c r="E310" s="76">
        <v>1.6065573770491803</v>
      </c>
      <c r="F310" s="76">
        <v>899</v>
      </c>
      <c r="G310" s="33" t="s">
        <v>5</v>
      </c>
      <c r="H310" s="105">
        <v>1.6</v>
      </c>
      <c r="I310" s="33" t="s">
        <v>7</v>
      </c>
      <c r="J310" s="33">
        <f t="shared" si="13"/>
        <v>1</v>
      </c>
      <c r="K310" s="76" t="str">
        <f t="shared" si="14"/>
        <v>1 – 2</v>
      </c>
    </row>
    <row r="311" spans="1:11" x14ac:dyDescent="0.2">
      <c r="A311" s="114" t="s">
        <v>49</v>
      </c>
      <c r="B311" s="84" t="s">
        <v>10</v>
      </c>
      <c r="C311" s="39">
        <v>43892</v>
      </c>
      <c r="D311" s="39">
        <v>44105</v>
      </c>
      <c r="E311" s="76">
        <v>1.6065573770491803</v>
      </c>
      <c r="F311" s="76">
        <v>363112</v>
      </c>
      <c r="G311" s="33" t="s">
        <v>5</v>
      </c>
      <c r="H311" s="105">
        <v>548.9</v>
      </c>
      <c r="I311" s="33" t="s">
        <v>7</v>
      </c>
      <c r="J311" s="33">
        <f t="shared" si="13"/>
        <v>1</v>
      </c>
      <c r="K311" s="76" t="str">
        <f t="shared" si="14"/>
        <v>1 – 2</v>
      </c>
    </row>
    <row r="312" spans="1:11" x14ac:dyDescent="0.2">
      <c r="A312" s="114" t="s">
        <v>48</v>
      </c>
      <c r="B312" s="84" t="s">
        <v>10</v>
      </c>
      <c r="C312" s="39">
        <v>43892</v>
      </c>
      <c r="D312" s="39">
        <v>44105</v>
      </c>
      <c r="E312" s="76">
        <v>1.6065573770491803</v>
      </c>
      <c r="F312" s="76">
        <v>250434</v>
      </c>
      <c r="G312" s="33" t="s">
        <v>5</v>
      </c>
      <c r="H312" s="105">
        <v>378.58427815570667</v>
      </c>
      <c r="I312" s="33" t="s">
        <v>7</v>
      </c>
      <c r="J312" s="33">
        <f t="shared" si="13"/>
        <v>1</v>
      </c>
      <c r="K312" s="76" t="str">
        <f t="shared" si="14"/>
        <v>1 – 2</v>
      </c>
    </row>
    <row r="313" spans="1:11" x14ac:dyDescent="0.2">
      <c r="A313" s="114" t="s">
        <v>47</v>
      </c>
      <c r="B313" s="84" t="s">
        <v>10</v>
      </c>
      <c r="C313" s="39">
        <v>43892</v>
      </c>
      <c r="D313" s="39">
        <v>44105</v>
      </c>
      <c r="E313" s="76">
        <v>1.6721311475409837</v>
      </c>
      <c r="F313" s="76">
        <v>248785</v>
      </c>
      <c r="G313" s="33" t="s">
        <v>5</v>
      </c>
      <c r="H313" s="105">
        <v>376.1</v>
      </c>
      <c r="I313" s="33" t="s">
        <v>7</v>
      </c>
      <c r="J313" s="33">
        <f t="shared" si="13"/>
        <v>1</v>
      </c>
      <c r="K313" s="76" t="str">
        <f t="shared" si="14"/>
        <v>1 – 2</v>
      </c>
    </row>
    <row r="314" spans="1:11" x14ac:dyDescent="0.2">
      <c r="A314" s="114" t="s">
        <v>45</v>
      </c>
      <c r="B314" s="84" t="s">
        <v>10</v>
      </c>
      <c r="C314" s="39">
        <v>43892</v>
      </c>
      <c r="D314" s="39">
        <v>44105</v>
      </c>
      <c r="E314" s="76">
        <v>6.9836065573770494</v>
      </c>
      <c r="F314" s="76">
        <v>225570</v>
      </c>
      <c r="G314" s="33" t="s">
        <v>81</v>
      </c>
      <c r="H314" s="105">
        <v>340.9977324263038</v>
      </c>
      <c r="I314" s="33" t="s">
        <v>7</v>
      </c>
      <c r="J314" s="33">
        <f t="shared" si="13"/>
        <v>6</v>
      </c>
      <c r="K314" s="76" t="str">
        <f t="shared" si="14"/>
        <v>5 – 6</v>
      </c>
    </row>
    <row r="315" spans="1:11" x14ac:dyDescent="0.2">
      <c r="A315" s="114"/>
      <c r="B315" s="84"/>
      <c r="C315" s="39"/>
      <c r="D315" s="39"/>
      <c r="E315" s="76"/>
      <c r="F315" s="76"/>
      <c r="G315" s="33"/>
      <c r="H315" s="105"/>
      <c r="I315" s="33"/>
      <c r="J315" s="33"/>
      <c r="K315" s="76"/>
    </row>
    <row r="316" spans="1:11" x14ac:dyDescent="0.2">
      <c r="A316" s="114"/>
      <c r="B316" s="84"/>
      <c r="C316" s="39"/>
      <c r="D316" s="39"/>
      <c r="E316" s="76"/>
      <c r="F316" s="76"/>
      <c r="G316" s="33"/>
      <c r="H316" s="105"/>
      <c r="I316" s="33"/>
      <c r="J316" s="33"/>
      <c r="K316" s="76"/>
    </row>
    <row r="317" spans="1:11" x14ac:dyDescent="0.2">
      <c r="A317" s="114"/>
      <c r="B317" s="84"/>
      <c r="C317" s="39"/>
      <c r="D317" s="39"/>
      <c r="E317" s="76"/>
      <c r="F317" s="76"/>
      <c r="G317" s="33"/>
      <c r="H317" s="105"/>
      <c r="I317" s="33"/>
      <c r="J317" s="33"/>
      <c r="K317" s="76"/>
    </row>
  </sheetData>
  <mergeCells count="2">
    <mergeCell ref="AP34:AR36"/>
    <mergeCell ref="AT34:AV36"/>
  </mergeCells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775A-6E66-C74F-98FC-FEFD63DE0D68}">
  <dimension ref="A1:AX307"/>
  <sheetViews>
    <sheetView topLeftCell="A7" zoomScale="92" zoomScaleNormal="75" workbookViewId="0">
      <selection activeCell="M16" sqref="M16"/>
    </sheetView>
  </sheetViews>
  <sheetFormatPr baseColWidth="10" defaultColWidth="11" defaultRowHeight="16" x14ac:dyDescent="0.2"/>
  <cols>
    <col min="2" max="2" width="11.5" customWidth="1"/>
    <col min="4" max="4" width="13" customWidth="1"/>
    <col min="6" max="6" width="17.83203125" customWidth="1"/>
    <col min="8" max="8" width="11.83203125" customWidth="1"/>
    <col min="9" max="9" width="15" customWidth="1"/>
    <col min="10" max="10" width="13.33203125" customWidth="1"/>
    <col min="14" max="14" width="12.1640625" customWidth="1"/>
    <col min="15" max="15" width="11" bestFit="1" customWidth="1"/>
    <col min="16" max="16" width="19.5" customWidth="1"/>
    <col min="17" max="17" width="12.1640625" bestFit="1" customWidth="1"/>
    <col min="18" max="18" width="12.1640625" customWidth="1"/>
    <col min="19" max="19" width="18.6640625" customWidth="1"/>
    <col min="20" max="20" width="18" customWidth="1"/>
    <col min="21" max="21" width="14.1640625" customWidth="1"/>
    <col min="23" max="24" width="11" bestFit="1" customWidth="1"/>
    <col min="27" max="27" width="11" bestFit="1" customWidth="1"/>
    <col min="33" max="33" width="13.83203125" customWidth="1"/>
    <col min="38" max="38" width="13" bestFit="1" customWidth="1"/>
  </cols>
  <sheetData>
    <row r="1" spans="1:50" x14ac:dyDescent="0.2">
      <c r="A1" s="29" t="s">
        <v>0</v>
      </c>
      <c r="B1" s="29" t="s">
        <v>80</v>
      </c>
      <c r="C1" s="29" t="s">
        <v>1</v>
      </c>
      <c r="D1" s="29" t="s">
        <v>2</v>
      </c>
      <c r="E1" s="29" t="s">
        <v>3</v>
      </c>
      <c r="F1" s="29" t="s">
        <v>74</v>
      </c>
      <c r="G1" s="29" t="s">
        <v>4</v>
      </c>
      <c r="H1" s="29" t="s">
        <v>124</v>
      </c>
      <c r="I1" s="29" t="s">
        <v>125</v>
      </c>
      <c r="J1" s="29" t="s">
        <v>126</v>
      </c>
      <c r="K1" s="34" t="s">
        <v>127</v>
      </c>
      <c r="L1" s="48"/>
      <c r="M1" s="91"/>
      <c r="N1" s="91"/>
      <c r="O1" s="92"/>
      <c r="P1" s="92"/>
      <c r="Q1" s="92"/>
      <c r="R1" s="92"/>
      <c r="S1" s="92"/>
      <c r="T1" s="92"/>
      <c r="U1" s="92"/>
      <c r="V1" s="91"/>
      <c r="W1" s="91"/>
      <c r="X1" s="91"/>
      <c r="Y1" s="91"/>
      <c r="Z1" s="91"/>
      <c r="AA1" s="91"/>
      <c r="AB1" s="91"/>
      <c r="AC1" s="91"/>
      <c r="AD1" s="48"/>
      <c r="AE1" s="48"/>
      <c r="AF1" s="48"/>
      <c r="AG1" s="50"/>
      <c r="AH1" s="50"/>
      <c r="AI1" s="50"/>
      <c r="AJ1" s="50"/>
      <c r="AK1" s="50"/>
      <c r="AL1" s="50"/>
      <c r="AM1" s="50"/>
      <c r="AN1" s="50"/>
      <c r="AO1" s="50"/>
      <c r="AP1" s="48"/>
      <c r="AQ1" s="48"/>
      <c r="AR1" s="48"/>
      <c r="AS1" s="48"/>
      <c r="AT1" s="48"/>
      <c r="AU1" s="48"/>
      <c r="AV1" s="48"/>
      <c r="AW1" s="48"/>
      <c r="AX1" s="48"/>
    </row>
    <row r="2" spans="1:50" x14ac:dyDescent="0.2">
      <c r="A2" s="4" t="s">
        <v>102</v>
      </c>
      <c r="B2" s="4" t="s">
        <v>73</v>
      </c>
      <c r="C2" s="6">
        <v>43164</v>
      </c>
      <c r="D2" s="6">
        <v>43230</v>
      </c>
      <c r="E2" s="3">
        <v>2.1639344262295084</v>
      </c>
      <c r="F2" s="3">
        <v>923</v>
      </c>
      <c r="G2" s="4" t="s">
        <v>5</v>
      </c>
      <c r="H2" s="4">
        <v>1.8</v>
      </c>
      <c r="I2" s="4" t="s">
        <v>7</v>
      </c>
      <c r="J2" s="4">
        <v>2</v>
      </c>
      <c r="K2" s="33" t="s">
        <v>72</v>
      </c>
      <c r="L2" s="48"/>
      <c r="M2" s="48"/>
      <c r="N2" s="48"/>
      <c r="O2" s="91"/>
      <c r="P2" s="91"/>
      <c r="Q2" s="91"/>
      <c r="R2" s="91"/>
      <c r="S2" s="91"/>
      <c r="T2" s="93"/>
      <c r="U2" s="91"/>
      <c r="V2" s="91"/>
      <c r="W2" s="91"/>
      <c r="X2" s="91"/>
      <c r="Y2" s="91"/>
      <c r="Z2" s="91"/>
      <c r="AA2" s="91"/>
      <c r="AB2" s="91"/>
      <c r="AC2" s="91"/>
      <c r="AD2" s="48"/>
      <c r="AE2" s="48"/>
      <c r="AF2" s="48"/>
      <c r="AG2" s="90"/>
      <c r="AH2" s="52"/>
      <c r="AI2" s="53"/>
      <c r="AJ2" s="90"/>
      <c r="AK2" s="90"/>
      <c r="AL2" s="54"/>
      <c r="AM2" s="90"/>
      <c r="AN2" s="90"/>
      <c r="AO2" s="90"/>
      <c r="AP2" s="48"/>
      <c r="AQ2" s="48"/>
      <c r="AR2" s="48"/>
      <c r="AS2" s="48"/>
      <c r="AT2" s="48"/>
      <c r="AU2" s="48"/>
      <c r="AV2" s="48"/>
      <c r="AW2" s="48"/>
      <c r="AX2" s="48"/>
    </row>
    <row r="3" spans="1:50" x14ac:dyDescent="0.2">
      <c r="A3" s="4" t="s">
        <v>102</v>
      </c>
      <c r="B3" s="4" t="s">
        <v>73</v>
      </c>
      <c r="C3" s="6">
        <v>43164</v>
      </c>
      <c r="D3" s="6">
        <v>43258</v>
      </c>
      <c r="E3" s="3">
        <v>3.081967213114754</v>
      </c>
      <c r="F3" s="3">
        <v>532</v>
      </c>
      <c r="G3" s="4" t="s">
        <v>5</v>
      </c>
      <c r="H3" s="4">
        <v>0.7</v>
      </c>
      <c r="I3" s="4" t="s">
        <v>7</v>
      </c>
      <c r="J3" s="4">
        <v>3</v>
      </c>
      <c r="K3" s="33" t="s">
        <v>76</v>
      </c>
      <c r="L3" s="48"/>
      <c r="M3" s="48"/>
      <c r="N3" s="48"/>
      <c r="O3" s="91"/>
      <c r="P3" s="91"/>
      <c r="Q3" s="91"/>
      <c r="R3" s="91"/>
      <c r="S3" s="91"/>
      <c r="T3" s="93"/>
      <c r="U3" s="91"/>
      <c r="V3" s="91"/>
      <c r="W3" s="91"/>
      <c r="X3" s="91"/>
      <c r="Y3" s="91"/>
      <c r="Z3" s="91"/>
      <c r="AA3" s="91"/>
      <c r="AB3" s="91"/>
      <c r="AC3" s="91"/>
      <c r="AD3" s="48"/>
      <c r="AE3" s="48"/>
      <c r="AF3" s="48"/>
      <c r="AG3" s="90"/>
      <c r="AH3" s="52"/>
      <c r="AI3" s="53"/>
      <c r="AJ3" s="90"/>
      <c r="AK3" s="90"/>
      <c r="AL3" s="55"/>
      <c r="AM3" s="90"/>
      <c r="AN3" s="90"/>
      <c r="AO3" s="90"/>
      <c r="AP3" s="48"/>
      <c r="AQ3" s="48"/>
      <c r="AR3" s="48"/>
      <c r="AS3" s="48"/>
      <c r="AT3" s="48"/>
      <c r="AU3" s="48"/>
      <c r="AV3" s="48"/>
      <c r="AW3" s="48"/>
      <c r="AX3" s="48"/>
    </row>
    <row r="4" spans="1:50" x14ac:dyDescent="0.2">
      <c r="A4" s="4" t="s">
        <v>102</v>
      </c>
      <c r="B4" s="4" t="s">
        <v>73</v>
      </c>
      <c r="C4" s="15">
        <v>43164</v>
      </c>
      <c r="D4" s="6">
        <v>43284</v>
      </c>
      <c r="E4" s="3">
        <v>3.9344262295081966</v>
      </c>
      <c r="F4" s="3">
        <f>AVERAGE(342,300)</f>
        <v>321</v>
      </c>
      <c r="G4" s="4" t="s">
        <v>5</v>
      </c>
      <c r="H4" s="61">
        <v>0.44999999999999996</v>
      </c>
      <c r="I4" s="4" t="s">
        <v>8</v>
      </c>
      <c r="J4" s="4">
        <v>3</v>
      </c>
      <c r="K4" s="33" t="s">
        <v>76</v>
      </c>
      <c r="L4" s="48"/>
      <c r="M4" s="48"/>
      <c r="N4" s="48"/>
      <c r="O4" s="91"/>
      <c r="P4" s="91"/>
      <c r="Q4" s="91"/>
      <c r="R4" s="91"/>
      <c r="S4" s="91"/>
      <c r="T4" s="93"/>
      <c r="U4" s="91"/>
      <c r="V4" s="91"/>
      <c r="W4" s="91"/>
      <c r="X4" s="91"/>
      <c r="Y4" s="91"/>
      <c r="Z4" s="91"/>
      <c r="AA4" s="91"/>
      <c r="AB4" s="91"/>
      <c r="AC4" s="91"/>
      <c r="AD4" s="48"/>
      <c r="AE4" s="48"/>
      <c r="AF4" s="48"/>
      <c r="AG4" s="90"/>
      <c r="AH4" s="52"/>
      <c r="AI4" s="53"/>
      <c r="AJ4" s="90"/>
      <c r="AK4" s="90"/>
      <c r="AL4" s="55"/>
      <c r="AM4" s="90"/>
      <c r="AN4" s="90"/>
      <c r="AO4" s="90"/>
      <c r="AP4" s="48"/>
      <c r="AQ4" s="48"/>
      <c r="AR4" s="48"/>
      <c r="AS4" s="48"/>
      <c r="AT4" s="48"/>
      <c r="AU4" s="48"/>
      <c r="AV4" s="48"/>
      <c r="AW4" s="48"/>
      <c r="AX4" s="48"/>
    </row>
    <row r="5" spans="1:50" x14ac:dyDescent="0.2">
      <c r="A5" s="33" t="s">
        <v>102</v>
      </c>
      <c r="B5" s="108" t="s">
        <v>73</v>
      </c>
      <c r="C5" s="36">
        <v>43164</v>
      </c>
      <c r="D5" s="36">
        <v>43311</v>
      </c>
      <c r="E5" s="76">
        <v>4.8196721311475406</v>
      </c>
      <c r="F5" s="80">
        <f>AVERAGE(300,249)</f>
        <v>274.5</v>
      </c>
      <c r="G5" s="33" t="s">
        <v>5</v>
      </c>
      <c r="H5" s="113">
        <v>3.35</v>
      </c>
      <c r="I5" s="33" t="s">
        <v>8</v>
      </c>
      <c r="J5" s="33">
        <v>4</v>
      </c>
      <c r="K5" s="33" t="s">
        <v>76</v>
      </c>
      <c r="L5" s="48"/>
      <c r="M5" s="48"/>
      <c r="N5" s="48"/>
      <c r="O5" s="91"/>
      <c r="P5" s="91"/>
      <c r="Q5" s="91"/>
      <c r="R5" s="91"/>
      <c r="S5" s="91"/>
      <c r="T5" s="93"/>
      <c r="U5" s="91"/>
      <c r="V5" s="91"/>
      <c r="W5" s="91"/>
      <c r="X5" s="91"/>
      <c r="Y5" s="91"/>
      <c r="Z5" s="91"/>
      <c r="AA5" s="91"/>
      <c r="AB5" s="91"/>
      <c r="AC5" s="91"/>
      <c r="AD5" s="48"/>
      <c r="AE5" s="48"/>
      <c r="AF5" s="48"/>
      <c r="AG5" s="90"/>
      <c r="AH5" s="52"/>
      <c r="AI5" s="53"/>
      <c r="AJ5" s="90"/>
      <c r="AK5" s="90"/>
      <c r="AL5" s="55"/>
      <c r="AM5" s="90"/>
      <c r="AN5" s="90"/>
      <c r="AO5" s="90"/>
      <c r="AP5" s="48"/>
      <c r="AQ5" s="48"/>
      <c r="AR5" s="48"/>
      <c r="AS5" s="48"/>
      <c r="AT5" s="48"/>
      <c r="AU5" s="48"/>
      <c r="AV5" s="48"/>
      <c r="AW5" s="48"/>
      <c r="AX5" s="48"/>
    </row>
    <row r="6" spans="1:50" x14ac:dyDescent="0.2">
      <c r="A6" s="33" t="s">
        <v>93</v>
      </c>
      <c r="B6" s="33" t="s">
        <v>73</v>
      </c>
      <c r="C6" s="36">
        <v>43367</v>
      </c>
      <c r="D6" s="39">
        <v>43411</v>
      </c>
      <c r="E6" s="76">
        <f>(Table932[[#This Row],[Serum date]]-Table932[[#This Row],[DOB]])/30.5</f>
        <v>1.4426229508196722</v>
      </c>
      <c r="F6" s="76">
        <v>767</v>
      </c>
      <c r="G6" s="33" t="s">
        <v>5</v>
      </c>
      <c r="H6" s="114">
        <v>0.67162872154115583</v>
      </c>
      <c r="I6" s="33" t="s">
        <v>7</v>
      </c>
      <c r="J6" s="33">
        <v>1</v>
      </c>
      <c r="K6" s="33" t="s">
        <v>72</v>
      </c>
      <c r="L6" s="48"/>
      <c r="M6" s="48"/>
      <c r="N6" s="48"/>
      <c r="O6" s="91"/>
      <c r="P6" s="91"/>
      <c r="Q6" s="91"/>
      <c r="R6" s="91"/>
      <c r="S6" s="91"/>
      <c r="T6" s="93"/>
      <c r="U6" s="91"/>
      <c r="V6" s="91"/>
      <c r="W6" s="91"/>
      <c r="X6" s="91"/>
      <c r="Y6" s="91"/>
      <c r="Z6" s="91"/>
      <c r="AA6" s="91"/>
      <c r="AB6" s="91"/>
      <c r="AC6" s="91"/>
      <c r="AD6" s="48"/>
      <c r="AE6" s="48"/>
      <c r="AF6" s="48"/>
      <c r="AG6" s="90"/>
      <c r="AH6" s="52"/>
      <c r="AI6" s="52"/>
      <c r="AJ6" s="90"/>
      <c r="AK6" s="90"/>
      <c r="AL6" s="90"/>
      <c r="AM6" s="90"/>
      <c r="AN6" s="90"/>
      <c r="AO6" s="90"/>
      <c r="AP6" s="48"/>
      <c r="AQ6" s="48"/>
      <c r="AR6" s="48"/>
      <c r="AS6" s="48"/>
      <c r="AT6" s="48"/>
      <c r="AU6" s="48"/>
      <c r="AV6" s="48"/>
      <c r="AW6" s="48"/>
      <c r="AX6" s="48"/>
    </row>
    <row r="7" spans="1:50" x14ac:dyDescent="0.2">
      <c r="A7" s="33" t="s">
        <v>110</v>
      </c>
      <c r="B7" s="33" t="s">
        <v>73</v>
      </c>
      <c r="C7" s="36" t="s">
        <v>91</v>
      </c>
      <c r="D7" s="39" t="s">
        <v>91</v>
      </c>
      <c r="E7" s="76">
        <v>8</v>
      </c>
      <c r="F7" s="76">
        <v>355</v>
      </c>
      <c r="G7" s="33" t="s">
        <v>5</v>
      </c>
      <c r="H7" s="114">
        <v>1.2</v>
      </c>
      <c r="I7" s="33" t="s">
        <v>7</v>
      </c>
      <c r="J7" s="33">
        <v>8</v>
      </c>
      <c r="K7" s="33" t="s">
        <v>77</v>
      </c>
      <c r="L7" s="48"/>
      <c r="M7" s="48"/>
      <c r="N7" s="48"/>
      <c r="O7" s="91"/>
      <c r="P7" s="91"/>
      <c r="Q7" s="91"/>
      <c r="R7" s="91"/>
      <c r="S7" s="91"/>
      <c r="T7" s="93"/>
      <c r="U7" s="91"/>
      <c r="V7" s="91"/>
      <c r="W7" s="91"/>
      <c r="X7" s="91"/>
      <c r="Y7" s="91"/>
      <c r="Z7" s="91"/>
      <c r="AA7" s="91"/>
      <c r="AB7" s="91"/>
      <c r="AC7" s="91"/>
      <c r="AD7" s="48"/>
      <c r="AE7" s="48"/>
      <c r="AF7" s="48"/>
      <c r="AG7" s="90"/>
      <c r="AH7" s="52"/>
      <c r="AI7" s="53"/>
      <c r="AJ7" s="90"/>
      <c r="AK7" s="90"/>
      <c r="AL7" s="55"/>
      <c r="AM7" s="90"/>
      <c r="AN7" s="90"/>
      <c r="AO7" s="90"/>
      <c r="AP7" s="48"/>
      <c r="AQ7" s="49"/>
      <c r="AR7" s="48"/>
      <c r="AS7" s="48"/>
      <c r="AT7" s="48"/>
      <c r="AU7" s="48"/>
      <c r="AV7" s="48"/>
      <c r="AW7" s="48"/>
      <c r="AX7" s="48"/>
    </row>
    <row r="8" spans="1:50" x14ac:dyDescent="0.2">
      <c r="A8" s="84" t="s">
        <v>111</v>
      </c>
      <c r="B8" s="84" t="s">
        <v>73</v>
      </c>
      <c r="C8" s="39" t="s">
        <v>91</v>
      </c>
      <c r="D8" s="36" t="s">
        <v>91</v>
      </c>
      <c r="E8" s="76">
        <v>8</v>
      </c>
      <c r="F8" s="76">
        <v>321</v>
      </c>
      <c r="G8" s="33" t="s">
        <v>5</v>
      </c>
      <c r="H8" s="33">
        <v>1</v>
      </c>
      <c r="I8" s="33" t="s">
        <v>7</v>
      </c>
      <c r="J8" s="33">
        <v>8</v>
      </c>
      <c r="K8" s="33" t="s">
        <v>77</v>
      </c>
      <c r="L8" s="48"/>
      <c r="M8" s="48"/>
      <c r="N8" s="48"/>
      <c r="O8" s="91"/>
      <c r="P8" s="91"/>
      <c r="Q8" s="91"/>
      <c r="R8" s="91"/>
      <c r="S8" s="91"/>
      <c r="T8" s="93"/>
      <c r="U8" s="91"/>
      <c r="V8" s="91"/>
      <c r="W8" s="91"/>
      <c r="X8" s="91"/>
      <c r="Y8" s="91"/>
      <c r="Z8" s="91"/>
      <c r="AA8" s="91"/>
      <c r="AB8" s="91"/>
      <c r="AC8" s="91"/>
      <c r="AD8" s="48"/>
      <c r="AE8" s="48"/>
      <c r="AF8" s="48"/>
      <c r="AG8" s="90"/>
      <c r="AH8" s="52"/>
      <c r="AI8" s="52"/>
      <c r="AJ8" s="90"/>
      <c r="AK8" s="90"/>
      <c r="AL8" s="90"/>
      <c r="AM8" s="90"/>
      <c r="AN8" s="90"/>
      <c r="AO8" s="90"/>
      <c r="AP8" s="48"/>
      <c r="AQ8" s="47"/>
      <c r="AR8" s="48"/>
      <c r="AS8" s="48"/>
      <c r="AT8" s="48"/>
      <c r="AU8" s="48"/>
      <c r="AV8" s="48"/>
      <c r="AW8" s="48"/>
      <c r="AX8" s="48"/>
    </row>
    <row r="9" spans="1:50" x14ac:dyDescent="0.2">
      <c r="A9" s="33" t="s">
        <v>94</v>
      </c>
      <c r="B9" s="33" t="s">
        <v>73</v>
      </c>
      <c r="C9" s="36">
        <v>43472</v>
      </c>
      <c r="D9" s="39">
        <v>43522</v>
      </c>
      <c r="E9" s="76">
        <v>1.639344262295082</v>
      </c>
      <c r="F9" s="76">
        <f>AVERAGE(608,833)</f>
        <v>720.5</v>
      </c>
      <c r="G9" s="33" t="s">
        <v>5</v>
      </c>
      <c r="H9" s="114">
        <v>0.4</v>
      </c>
      <c r="I9" s="33" t="s">
        <v>8</v>
      </c>
      <c r="J9" s="33">
        <v>1</v>
      </c>
      <c r="K9" s="33" t="s">
        <v>72</v>
      </c>
      <c r="L9" s="48"/>
      <c r="M9" s="48"/>
      <c r="N9" s="48"/>
      <c r="O9" s="91"/>
      <c r="P9" s="91"/>
      <c r="Q9" s="91"/>
      <c r="R9" s="91"/>
      <c r="S9" s="91"/>
      <c r="T9" s="93"/>
      <c r="U9" s="91"/>
      <c r="V9" s="91"/>
      <c r="W9" s="91"/>
      <c r="X9" s="91"/>
      <c r="Y9" s="91"/>
      <c r="Z9" s="91"/>
      <c r="AA9" s="91"/>
      <c r="AB9" s="91"/>
      <c r="AC9" s="91"/>
      <c r="AD9" s="48"/>
      <c r="AE9" s="48"/>
      <c r="AF9" s="48"/>
      <c r="AG9" s="55"/>
      <c r="AH9" s="53"/>
      <c r="AI9" s="53"/>
      <c r="AJ9" s="90"/>
      <c r="AK9" s="90"/>
      <c r="AL9" s="90"/>
      <c r="AM9" s="90"/>
      <c r="AN9" s="90"/>
      <c r="AO9" s="90"/>
      <c r="AP9" s="48"/>
      <c r="AQ9" s="47"/>
      <c r="AR9" s="48"/>
      <c r="AS9" s="48"/>
      <c r="AT9" s="48"/>
      <c r="AU9" s="48"/>
      <c r="AV9" s="48"/>
      <c r="AW9" s="48"/>
      <c r="AX9" s="48"/>
    </row>
    <row r="10" spans="1:50" x14ac:dyDescent="0.2">
      <c r="A10" s="33" t="s">
        <v>95</v>
      </c>
      <c r="B10" s="33" t="s">
        <v>73</v>
      </c>
      <c r="C10" s="39">
        <v>43472</v>
      </c>
      <c r="D10" s="36">
        <v>43529</v>
      </c>
      <c r="E10" s="76">
        <v>1.8688524590163935</v>
      </c>
      <c r="F10" s="76">
        <f>AVERAGE(1139,822)</f>
        <v>980.5</v>
      </c>
      <c r="G10" s="33" t="s">
        <v>5</v>
      </c>
      <c r="H10" s="109">
        <v>0.4</v>
      </c>
      <c r="I10" s="33" t="s">
        <v>8</v>
      </c>
      <c r="J10" s="33">
        <v>1</v>
      </c>
      <c r="K10" s="33" t="s">
        <v>72</v>
      </c>
      <c r="L10" s="48"/>
      <c r="M10" s="48"/>
      <c r="N10" s="48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48"/>
      <c r="AE10" s="48"/>
      <c r="AF10" s="48"/>
      <c r="AG10" s="55"/>
      <c r="AH10" s="53"/>
      <c r="AI10" s="53"/>
      <c r="AJ10" s="90"/>
      <c r="AK10" s="90"/>
      <c r="AL10" s="55"/>
      <c r="AM10" s="90"/>
      <c r="AN10" s="90"/>
      <c r="AO10" s="90"/>
      <c r="AP10" s="48"/>
      <c r="AQ10" s="47"/>
      <c r="AR10" s="48"/>
      <c r="AS10" s="48"/>
      <c r="AT10" s="48"/>
      <c r="AU10" s="48"/>
      <c r="AV10" s="48"/>
      <c r="AW10" s="48"/>
      <c r="AX10" s="48"/>
    </row>
    <row r="11" spans="1:50" x14ac:dyDescent="0.2">
      <c r="A11" s="33" t="s">
        <v>96</v>
      </c>
      <c r="B11" s="33" t="s">
        <v>73</v>
      </c>
      <c r="C11" s="39">
        <v>43472</v>
      </c>
      <c r="D11" s="36">
        <v>43522</v>
      </c>
      <c r="E11" s="76">
        <v>1.639344262295082</v>
      </c>
      <c r="F11" s="76">
        <f>AVERAGE(670,1709)</f>
        <v>1189.5</v>
      </c>
      <c r="G11" s="33" t="s">
        <v>5</v>
      </c>
      <c r="H11" s="109">
        <v>0.7</v>
      </c>
      <c r="I11" s="33" t="s">
        <v>8</v>
      </c>
      <c r="J11" s="33">
        <v>1</v>
      </c>
      <c r="K11" s="33" t="s">
        <v>72</v>
      </c>
      <c r="L11" s="48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48"/>
      <c r="AE11" s="48"/>
      <c r="AF11" s="48"/>
      <c r="AG11" s="55"/>
      <c r="AH11" s="53"/>
      <c r="AI11" s="53"/>
      <c r="AJ11" s="90"/>
      <c r="AK11" s="90"/>
      <c r="AL11" s="90"/>
      <c r="AM11" s="90"/>
      <c r="AN11" s="90"/>
      <c r="AO11" s="90"/>
      <c r="AP11" s="48"/>
      <c r="AQ11" s="47"/>
      <c r="AR11" s="48"/>
      <c r="AS11" s="48"/>
      <c r="AT11" s="48"/>
      <c r="AU11" s="48"/>
      <c r="AV11" s="48"/>
      <c r="AW11" s="48"/>
      <c r="AX11" s="48"/>
    </row>
    <row r="12" spans="1:50" x14ac:dyDescent="0.2">
      <c r="A12" s="33" t="s">
        <v>109</v>
      </c>
      <c r="B12" s="33" t="s">
        <v>73</v>
      </c>
      <c r="C12" s="36">
        <v>43472</v>
      </c>
      <c r="D12" s="39">
        <v>43713</v>
      </c>
      <c r="E12" s="76">
        <v>7.9016393442622954</v>
      </c>
      <c r="F12" s="76">
        <v>29377</v>
      </c>
      <c r="G12" s="33" t="s">
        <v>5</v>
      </c>
      <c r="H12" s="114">
        <v>6</v>
      </c>
      <c r="I12" s="33" t="s">
        <v>7</v>
      </c>
      <c r="J12" s="33">
        <v>7</v>
      </c>
      <c r="K12" s="33" t="s">
        <v>77</v>
      </c>
      <c r="L12" s="48"/>
      <c r="M12" s="91"/>
      <c r="N12" s="91"/>
      <c r="O12" s="94"/>
      <c r="P12" s="91"/>
      <c r="Q12" s="91"/>
      <c r="R12" s="95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48"/>
      <c r="AE12" s="48"/>
      <c r="AF12" s="48"/>
      <c r="AG12" s="55"/>
      <c r="AH12" s="53"/>
      <c r="AI12" s="53"/>
      <c r="AJ12" s="90"/>
      <c r="AK12" s="90"/>
      <c r="AL12" s="90"/>
      <c r="AM12" s="90"/>
      <c r="AN12" s="90"/>
      <c r="AO12" s="90"/>
      <c r="AP12" s="48"/>
      <c r="AQ12" s="47"/>
      <c r="AR12" s="48"/>
      <c r="AS12" s="48"/>
      <c r="AT12" s="48"/>
      <c r="AU12" s="48"/>
      <c r="AV12" s="48"/>
      <c r="AW12" s="48"/>
      <c r="AX12" s="48"/>
    </row>
    <row r="13" spans="1:50" x14ac:dyDescent="0.2">
      <c r="A13" s="33" t="s">
        <v>97</v>
      </c>
      <c r="B13" s="33" t="s">
        <v>73</v>
      </c>
      <c r="C13" s="39">
        <v>43473</v>
      </c>
      <c r="D13" s="36">
        <v>43529</v>
      </c>
      <c r="E13" s="76">
        <v>1.8360655737704918</v>
      </c>
      <c r="F13" s="76">
        <v>923</v>
      </c>
      <c r="G13" s="33" t="s">
        <v>5</v>
      </c>
      <c r="H13" s="109">
        <v>0.2</v>
      </c>
      <c r="I13" s="33" t="s">
        <v>7</v>
      </c>
      <c r="J13" s="33">
        <v>1</v>
      </c>
      <c r="K13" s="33" t="s">
        <v>72</v>
      </c>
      <c r="L13" s="48"/>
      <c r="M13" s="91"/>
      <c r="N13" s="91"/>
      <c r="O13" s="91"/>
      <c r="P13" s="93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48"/>
      <c r="AE13" s="48"/>
      <c r="AF13" s="48"/>
      <c r="AG13" s="55"/>
      <c r="AH13" s="53"/>
      <c r="AI13" s="53"/>
      <c r="AJ13" s="90"/>
      <c r="AK13" s="90"/>
      <c r="AL13" s="55"/>
      <c r="AM13" s="90"/>
      <c r="AN13" s="90"/>
      <c r="AO13" s="90"/>
      <c r="AP13" s="48"/>
      <c r="AQ13" s="47"/>
      <c r="AR13" s="48"/>
      <c r="AS13" s="48"/>
      <c r="AT13" s="48"/>
      <c r="AU13" s="48"/>
      <c r="AV13" s="48"/>
      <c r="AW13" s="48"/>
      <c r="AX13" s="48"/>
    </row>
    <row r="14" spans="1:50" x14ac:dyDescent="0.2">
      <c r="A14" s="33" t="s">
        <v>97</v>
      </c>
      <c r="B14" s="33" t="s">
        <v>73</v>
      </c>
      <c r="C14" s="36" t="s">
        <v>91</v>
      </c>
      <c r="D14" s="39" t="s">
        <v>91</v>
      </c>
      <c r="E14" s="76">
        <v>5</v>
      </c>
      <c r="F14" s="48">
        <v>339</v>
      </c>
      <c r="G14" s="33" t="s">
        <v>5</v>
      </c>
      <c r="H14" s="84">
        <v>1.1000000000000001</v>
      </c>
      <c r="I14" s="33" t="s">
        <v>7</v>
      </c>
      <c r="J14" s="33">
        <v>5</v>
      </c>
      <c r="K14" s="33" t="s">
        <v>76</v>
      </c>
      <c r="L14" s="48"/>
      <c r="M14" s="91"/>
      <c r="N14" s="91"/>
      <c r="O14" s="91"/>
      <c r="P14" s="93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48"/>
      <c r="AE14" s="48"/>
      <c r="AF14" s="48"/>
      <c r="AG14" s="55"/>
      <c r="AH14" s="53"/>
      <c r="AI14" s="53"/>
      <c r="AJ14" s="90"/>
      <c r="AK14" s="90"/>
      <c r="AL14" s="56"/>
      <c r="AM14" s="90"/>
      <c r="AN14" s="90"/>
      <c r="AO14" s="90"/>
      <c r="AP14" s="48"/>
      <c r="AQ14" s="47"/>
      <c r="AR14" s="48"/>
      <c r="AS14" s="48"/>
      <c r="AT14" s="48"/>
      <c r="AU14" s="48"/>
      <c r="AV14" s="48"/>
      <c r="AW14" s="48"/>
      <c r="AX14" s="48"/>
    </row>
    <row r="15" spans="1:50" x14ac:dyDescent="0.2">
      <c r="A15" s="33" t="s">
        <v>98</v>
      </c>
      <c r="B15" s="33" t="s">
        <v>73</v>
      </c>
      <c r="C15" s="39">
        <v>43473</v>
      </c>
      <c r="D15" s="36">
        <v>43529</v>
      </c>
      <c r="E15" s="76">
        <v>1.8360655737704918</v>
      </c>
      <c r="F15" s="76">
        <f>AVERAGE(750,558)</f>
        <v>654</v>
      </c>
      <c r="G15" s="33" t="s">
        <v>5</v>
      </c>
      <c r="H15" s="109">
        <v>0.3</v>
      </c>
      <c r="I15" s="33" t="s">
        <v>8</v>
      </c>
      <c r="J15" s="33">
        <v>1</v>
      </c>
      <c r="K15" s="33" t="s">
        <v>72</v>
      </c>
      <c r="L15" s="48"/>
      <c r="M15" s="91"/>
      <c r="N15" s="91"/>
      <c r="O15" s="91"/>
      <c r="P15" s="93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48"/>
      <c r="AE15" s="48"/>
      <c r="AF15" s="48"/>
      <c r="AG15" s="55"/>
      <c r="AH15" s="53"/>
      <c r="AI15" s="53"/>
      <c r="AJ15" s="90"/>
      <c r="AK15" s="90"/>
      <c r="AL15" s="90"/>
      <c r="AM15" s="90"/>
      <c r="AN15" s="90"/>
      <c r="AO15" s="90"/>
      <c r="AP15" s="48"/>
      <c r="AQ15" s="47"/>
      <c r="AR15" s="48"/>
      <c r="AS15" s="48"/>
      <c r="AT15" s="48"/>
      <c r="AU15" s="48"/>
      <c r="AV15" s="48"/>
      <c r="AW15" s="48"/>
      <c r="AX15" s="48"/>
    </row>
    <row r="16" spans="1:50" x14ac:dyDescent="0.2">
      <c r="A16" s="33" t="s">
        <v>99</v>
      </c>
      <c r="B16" s="33" t="s">
        <v>73</v>
      </c>
      <c r="C16" s="39">
        <v>43528</v>
      </c>
      <c r="D16" s="36">
        <v>43577</v>
      </c>
      <c r="E16" s="76">
        <v>1.6065573770491803</v>
      </c>
      <c r="F16" s="76">
        <v>550</v>
      </c>
      <c r="G16" s="33" t="s">
        <v>5</v>
      </c>
      <c r="H16" s="109">
        <v>0.1</v>
      </c>
      <c r="I16" s="33" t="s">
        <v>7</v>
      </c>
      <c r="J16" s="33">
        <v>1</v>
      </c>
      <c r="K16" s="33" t="s">
        <v>72</v>
      </c>
      <c r="L16" s="48"/>
      <c r="M16" s="91"/>
      <c r="N16" s="91"/>
      <c r="O16" s="91"/>
      <c r="P16" s="93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48"/>
      <c r="AE16" s="48"/>
      <c r="AF16" s="48"/>
      <c r="AG16" s="55"/>
      <c r="AH16" s="53"/>
      <c r="AI16" s="53"/>
      <c r="AJ16" s="90"/>
      <c r="AK16" s="90"/>
      <c r="AL16" s="55"/>
      <c r="AM16" s="90"/>
      <c r="AN16" s="90"/>
      <c r="AO16" s="90"/>
      <c r="AP16" s="48"/>
      <c r="AQ16" s="48"/>
      <c r="AR16" s="48"/>
      <c r="AS16" s="48"/>
      <c r="AT16" s="48"/>
      <c r="AU16" s="48"/>
      <c r="AV16" s="48"/>
      <c r="AW16" s="48"/>
      <c r="AX16" s="48"/>
    </row>
    <row r="17" spans="1:50" x14ac:dyDescent="0.2">
      <c r="A17" s="33" t="s">
        <v>103</v>
      </c>
      <c r="B17" s="33" t="s">
        <v>73</v>
      </c>
      <c r="C17" s="36">
        <v>43165</v>
      </c>
      <c r="D17" s="36">
        <v>43230</v>
      </c>
      <c r="E17" s="76">
        <v>2.1311475409836067</v>
      </c>
      <c r="F17" s="76">
        <v>1624</v>
      </c>
      <c r="G17" s="33" t="s">
        <v>5</v>
      </c>
      <c r="H17" s="33">
        <v>3.1</v>
      </c>
      <c r="I17" s="33" t="s">
        <v>7</v>
      </c>
      <c r="J17" s="33">
        <v>2</v>
      </c>
      <c r="K17" s="33" t="s">
        <v>72</v>
      </c>
      <c r="L17" s="48"/>
      <c r="M17" s="91"/>
      <c r="N17" s="91"/>
      <c r="O17" s="91"/>
      <c r="P17" s="93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48"/>
      <c r="AE17" s="48"/>
      <c r="AF17" s="48"/>
      <c r="AG17" s="90"/>
      <c r="AH17" s="52"/>
      <c r="AI17" s="52"/>
      <c r="AJ17" s="90"/>
      <c r="AK17" s="90"/>
      <c r="AL17" s="90"/>
      <c r="AM17" s="90"/>
      <c r="AN17" s="90"/>
      <c r="AO17" s="90"/>
      <c r="AP17" s="48"/>
      <c r="AQ17" s="48"/>
      <c r="AR17" s="48"/>
      <c r="AS17" s="48"/>
      <c r="AT17" s="48"/>
      <c r="AU17" s="48"/>
      <c r="AV17" s="48"/>
      <c r="AW17" s="48"/>
      <c r="AX17" s="48"/>
    </row>
    <row r="18" spans="1:50" x14ac:dyDescent="0.2">
      <c r="A18" s="33" t="s">
        <v>103</v>
      </c>
      <c r="B18" s="33" t="s">
        <v>73</v>
      </c>
      <c r="C18" s="110">
        <v>43165</v>
      </c>
      <c r="D18" s="36">
        <v>43258</v>
      </c>
      <c r="E18" s="76">
        <v>3.0491803278688523</v>
      </c>
      <c r="F18" s="76">
        <v>1190</v>
      </c>
      <c r="G18" s="33" t="s">
        <v>5</v>
      </c>
      <c r="H18" s="111">
        <v>1.5</v>
      </c>
      <c r="I18" s="33" t="s">
        <v>7</v>
      </c>
      <c r="J18" s="33">
        <v>3</v>
      </c>
      <c r="K18" s="33" t="s">
        <v>76</v>
      </c>
      <c r="L18" s="48"/>
      <c r="M18" s="91"/>
      <c r="N18" s="91"/>
      <c r="O18" s="91"/>
      <c r="P18" s="93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48"/>
      <c r="AE18" s="48"/>
      <c r="AF18" s="48"/>
      <c r="AG18" s="55"/>
      <c r="AH18" s="53"/>
      <c r="AI18" s="53"/>
      <c r="AJ18" s="90"/>
      <c r="AK18" s="90"/>
      <c r="AL18" s="55"/>
      <c r="AM18" s="90"/>
      <c r="AN18" s="90"/>
      <c r="AO18" s="90"/>
      <c r="AP18" s="48"/>
      <c r="AQ18" s="48"/>
      <c r="AR18" s="48"/>
      <c r="AS18" s="48"/>
      <c r="AT18" s="48"/>
      <c r="AU18" s="48"/>
      <c r="AV18" s="48"/>
      <c r="AW18" s="48"/>
      <c r="AX18" s="48"/>
    </row>
    <row r="19" spans="1:50" x14ac:dyDescent="0.2">
      <c r="A19" s="33" t="s">
        <v>103</v>
      </c>
      <c r="B19" s="33" t="s">
        <v>73</v>
      </c>
      <c r="C19" s="110">
        <v>43165</v>
      </c>
      <c r="D19" s="112">
        <v>43284</v>
      </c>
      <c r="E19" s="76">
        <v>3.901639344262295</v>
      </c>
      <c r="F19" s="76">
        <f>AVERAGE(328,810)</f>
        <v>569</v>
      </c>
      <c r="G19" s="33" t="s">
        <v>5</v>
      </c>
      <c r="H19" s="86">
        <v>1.2</v>
      </c>
      <c r="I19" s="33" t="s">
        <v>8</v>
      </c>
      <c r="J19" s="33">
        <v>3</v>
      </c>
      <c r="K19" s="33" t="s">
        <v>76</v>
      </c>
      <c r="L19" s="48"/>
      <c r="M19" s="91"/>
      <c r="N19" s="91"/>
      <c r="O19" s="91"/>
      <c r="P19" s="93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48"/>
      <c r="AE19" s="48"/>
      <c r="AF19" s="48"/>
      <c r="AG19" s="90"/>
      <c r="AH19" s="52"/>
      <c r="AI19" s="52"/>
      <c r="AJ19" s="90"/>
      <c r="AK19" s="90"/>
      <c r="AL19" s="57"/>
      <c r="AM19" s="90"/>
      <c r="AN19" s="90"/>
      <c r="AO19" s="90"/>
      <c r="AP19" s="48"/>
      <c r="AQ19" s="48"/>
      <c r="AR19" s="48"/>
      <c r="AS19" s="48"/>
      <c r="AT19" s="48"/>
      <c r="AU19" s="48"/>
      <c r="AV19" s="48"/>
      <c r="AW19" s="48"/>
      <c r="AX19" s="48"/>
    </row>
    <row r="20" spans="1:50" x14ac:dyDescent="0.2">
      <c r="A20" s="33" t="s">
        <v>103</v>
      </c>
      <c r="B20" s="33" t="s">
        <v>73</v>
      </c>
      <c r="C20" s="36">
        <v>43165</v>
      </c>
      <c r="D20" s="39">
        <v>43311</v>
      </c>
      <c r="E20" s="76">
        <v>4.7868852459016393</v>
      </c>
      <c r="F20" s="76">
        <f>AVERAGE(543,292)</f>
        <v>417.5</v>
      </c>
      <c r="G20" s="33" t="s">
        <v>5</v>
      </c>
      <c r="H20" s="84">
        <v>0.7</v>
      </c>
      <c r="I20" s="33" t="s">
        <v>8</v>
      </c>
      <c r="J20" s="33">
        <v>4</v>
      </c>
      <c r="K20" s="33" t="s">
        <v>76</v>
      </c>
      <c r="L20" s="48"/>
      <c r="M20" s="91"/>
      <c r="N20" s="91"/>
      <c r="O20" s="91"/>
      <c r="P20" s="93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48"/>
      <c r="AE20" s="48"/>
      <c r="AF20" s="48"/>
      <c r="AG20" s="90"/>
      <c r="AH20" s="52"/>
      <c r="AI20" s="52"/>
      <c r="AJ20" s="90"/>
      <c r="AK20" s="90"/>
      <c r="AL20" s="90"/>
      <c r="AM20" s="90"/>
      <c r="AN20" s="90"/>
      <c r="AO20" s="90"/>
      <c r="AP20" s="48"/>
      <c r="AQ20" s="48"/>
      <c r="AR20" s="48"/>
      <c r="AS20" s="48"/>
      <c r="AT20" s="48"/>
      <c r="AU20" s="48"/>
      <c r="AV20" s="48"/>
      <c r="AW20" s="48"/>
      <c r="AX20" s="48"/>
    </row>
    <row r="21" spans="1:50" x14ac:dyDescent="0.2">
      <c r="A21" s="33" t="s">
        <v>103</v>
      </c>
      <c r="B21" s="33" t="s">
        <v>73</v>
      </c>
      <c r="C21" s="36">
        <v>43165</v>
      </c>
      <c r="D21" s="39">
        <v>43392</v>
      </c>
      <c r="E21" s="76">
        <v>7.442622950819672</v>
      </c>
      <c r="F21" s="76">
        <v>1093</v>
      </c>
      <c r="G21" s="33" t="s">
        <v>5</v>
      </c>
      <c r="H21" s="114">
        <v>0.6</v>
      </c>
      <c r="I21" s="33" t="s">
        <v>7</v>
      </c>
      <c r="J21" s="33">
        <v>7</v>
      </c>
      <c r="K21" s="33" t="s">
        <v>77</v>
      </c>
      <c r="L21" s="48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48"/>
      <c r="AE21" s="48"/>
      <c r="AF21" s="48"/>
      <c r="AG21" s="90"/>
      <c r="AH21" s="52"/>
      <c r="AI21" s="52"/>
      <c r="AJ21" s="90"/>
      <c r="AK21" s="90"/>
      <c r="AL21" s="90"/>
      <c r="AM21" s="90"/>
      <c r="AN21" s="90"/>
      <c r="AO21" s="90"/>
      <c r="AP21" s="48"/>
      <c r="AQ21" s="48"/>
      <c r="AR21" s="48"/>
      <c r="AS21" s="48"/>
      <c r="AT21" s="48"/>
      <c r="AU21" s="48"/>
      <c r="AV21" s="48"/>
      <c r="AW21" s="48"/>
      <c r="AX21" s="48"/>
    </row>
    <row r="22" spans="1:50" x14ac:dyDescent="0.2">
      <c r="A22" s="33" t="s">
        <v>104</v>
      </c>
      <c r="B22" s="108" t="s">
        <v>73</v>
      </c>
      <c r="C22" s="36" t="s">
        <v>91</v>
      </c>
      <c r="D22" s="36" t="s">
        <v>91</v>
      </c>
      <c r="E22" s="76">
        <v>3.5</v>
      </c>
      <c r="F22" s="76">
        <v>288</v>
      </c>
      <c r="G22" s="33" t="s">
        <v>5</v>
      </c>
      <c r="H22" s="33">
        <v>0.9</v>
      </c>
      <c r="I22" s="33" t="s">
        <v>7</v>
      </c>
      <c r="J22" s="33">
        <v>3</v>
      </c>
      <c r="K22" s="33" t="s">
        <v>76</v>
      </c>
      <c r="L22" s="48"/>
      <c r="M22" s="91"/>
      <c r="N22" s="91"/>
      <c r="O22" s="99"/>
      <c r="P22" s="99"/>
      <c r="Q22" s="99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</row>
    <row r="23" spans="1:50" x14ac:dyDescent="0.2">
      <c r="A23" s="33" t="s">
        <v>106</v>
      </c>
      <c r="B23" s="33" t="s">
        <v>73</v>
      </c>
      <c r="C23" s="36" t="s">
        <v>91</v>
      </c>
      <c r="D23" s="39" t="s">
        <v>91</v>
      </c>
      <c r="E23" s="76">
        <v>4.5</v>
      </c>
      <c r="F23" s="76">
        <v>296</v>
      </c>
      <c r="G23" s="33" t="s">
        <v>5</v>
      </c>
      <c r="H23" s="109">
        <v>1</v>
      </c>
      <c r="I23" s="33" t="s">
        <v>7</v>
      </c>
      <c r="J23" s="33">
        <v>4</v>
      </c>
      <c r="K23" s="33" t="s">
        <v>76</v>
      </c>
      <c r="L23" s="48"/>
      <c r="M23" s="91"/>
      <c r="N23" s="99"/>
      <c r="O23" s="99"/>
      <c r="P23" s="99"/>
      <c r="Q23" s="99"/>
      <c r="R23" s="99"/>
      <c r="S23" s="99"/>
      <c r="T23" s="99"/>
      <c r="U23" s="91"/>
      <c r="V23" s="91"/>
      <c r="W23" s="91"/>
      <c r="X23" s="91"/>
      <c r="Y23" s="91"/>
      <c r="Z23" s="91"/>
      <c r="AA23" s="91"/>
      <c r="AB23" s="91"/>
      <c r="AC23" s="91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</row>
    <row r="24" spans="1:50" x14ac:dyDescent="0.2">
      <c r="A24" s="108" t="s">
        <v>121</v>
      </c>
      <c r="B24" s="84" t="s">
        <v>73</v>
      </c>
      <c r="C24" s="39" t="s">
        <v>91</v>
      </c>
      <c r="D24" s="36" t="s">
        <v>91</v>
      </c>
      <c r="E24" s="76">
        <v>16.600000000000001</v>
      </c>
      <c r="F24" s="76">
        <v>278</v>
      </c>
      <c r="G24" s="33" t="s">
        <v>5</v>
      </c>
      <c r="H24" s="109">
        <v>0.9</v>
      </c>
      <c r="I24" s="33" t="s">
        <v>7</v>
      </c>
      <c r="J24" s="33">
        <v>16</v>
      </c>
      <c r="K24" s="33" t="s">
        <v>79</v>
      </c>
      <c r="L24" s="48"/>
      <c r="M24" s="94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</row>
    <row r="25" spans="1:50" x14ac:dyDescent="0.2">
      <c r="A25" s="36" t="s">
        <v>122</v>
      </c>
      <c r="B25" s="33" t="s">
        <v>73</v>
      </c>
      <c r="C25" s="36" t="s">
        <v>91</v>
      </c>
      <c r="D25" s="41" t="s">
        <v>91</v>
      </c>
      <c r="E25" s="76">
        <v>18.399999999999999</v>
      </c>
      <c r="F25" s="76">
        <v>315</v>
      </c>
      <c r="G25" s="33" t="s">
        <v>5</v>
      </c>
      <c r="H25" s="33">
        <v>1</v>
      </c>
      <c r="I25" s="33" t="s">
        <v>7</v>
      </c>
      <c r="J25" s="33">
        <v>18</v>
      </c>
      <c r="K25" s="33" t="s">
        <v>79</v>
      </c>
      <c r="L25" s="48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47"/>
      <c r="AE25" s="47"/>
      <c r="AF25" s="47"/>
      <c r="AG25" s="48"/>
      <c r="AH25" s="47"/>
      <c r="AI25" s="48"/>
      <c r="AJ25" s="48"/>
      <c r="AK25" s="48"/>
      <c r="AL25" s="47"/>
      <c r="AM25" s="47"/>
      <c r="AN25" s="47"/>
      <c r="AO25" s="48"/>
      <c r="AP25" s="47"/>
      <c r="AQ25" s="47"/>
      <c r="AR25" s="47"/>
      <c r="AS25" s="48"/>
      <c r="AT25" s="47"/>
      <c r="AU25" s="47"/>
      <c r="AV25" s="47"/>
      <c r="AW25" s="48"/>
      <c r="AX25" s="48"/>
    </row>
    <row r="26" spans="1:50" x14ac:dyDescent="0.2">
      <c r="A26" s="33" t="s">
        <v>118</v>
      </c>
      <c r="B26" s="33" t="s">
        <v>73</v>
      </c>
      <c r="C26" s="39" t="s">
        <v>91</v>
      </c>
      <c r="D26" s="39" t="s">
        <v>91</v>
      </c>
      <c r="E26" s="76">
        <v>11.8</v>
      </c>
      <c r="F26" s="76">
        <v>280</v>
      </c>
      <c r="G26" s="33" t="s">
        <v>5</v>
      </c>
      <c r="H26" s="109">
        <v>0.9</v>
      </c>
      <c r="I26" s="33" t="s">
        <v>7</v>
      </c>
      <c r="J26" s="33">
        <v>11</v>
      </c>
      <c r="K26" s="33" t="s">
        <v>78</v>
      </c>
      <c r="L26" s="48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</row>
    <row r="27" spans="1:50" x14ac:dyDescent="0.2">
      <c r="A27" s="33" t="s">
        <v>112</v>
      </c>
      <c r="B27" s="33" t="s">
        <v>73</v>
      </c>
      <c r="C27" s="36" t="s">
        <v>91</v>
      </c>
      <c r="D27" s="36" t="s">
        <v>91</v>
      </c>
      <c r="E27" s="76">
        <v>9.9700000000000006</v>
      </c>
      <c r="F27" s="76">
        <v>294</v>
      </c>
      <c r="G27" s="33" t="s">
        <v>5</v>
      </c>
      <c r="H27" s="33">
        <v>1</v>
      </c>
      <c r="I27" s="33" t="s">
        <v>7</v>
      </c>
      <c r="J27" s="33">
        <v>9</v>
      </c>
      <c r="K27" s="33" t="s">
        <v>78</v>
      </c>
      <c r="L27" s="48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48"/>
      <c r="AE27" s="48"/>
      <c r="AF27" s="48"/>
      <c r="AG27" s="48"/>
      <c r="AH27" s="58"/>
      <c r="AI27" s="58"/>
      <c r="AJ27" s="58"/>
      <c r="AK27" s="48"/>
      <c r="AL27" s="58"/>
      <c r="AM27" s="58"/>
      <c r="AN27" s="58"/>
      <c r="AO27" s="48"/>
      <c r="AP27" s="58"/>
      <c r="AQ27" s="58"/>
      <c r="AR27" s="58"/>
      <c r="AS27" s="48"/>
      <c r="AT27" s="58"/>
      <c r="AU27" s="58"/>
      <c r="AV27" s="58"/>
      <c r="AW27" s="48"/>
      <c r="AX27" s="48"/>
    </row>
    <row r="28" spans="1:50" x14ac:dyDescent="0.2">
      <c r="A28" s="33" t="s">
        <v>115</v>
      </c>
      <c r="B28" s="33" t="s">
        <v>73</v>
      </c>
      <c r="C28" s="39">
        <v>43892</v>
      </c>
      <c r="D28" s="39">
        <v>44245</v>
      </c>
      <c r="E28" s="76">
        <v>11.573770491803279</v>
      </c>
      <c r="F28" s="76">
        <v>10473</v>
      </c>
      <c r="G28" s="33" t="s">
        <v>5</v>
      </c>
      <c r="H28" s="109">
        <v>2</v>
      </c>
      <c r="I28" s="33" t="s">
        <v>7</v>
      </c>
      <c r="J28" s="33">
        <v>11</v>
      </c>
      <c r="K28" s="33" t="s">
        <v>78</v>
      </c>
      <c r="L28" s="48"/>
      <c r="M28" s="91"/>
      <c r="N28" s="96"/>
      <c r="O28" s="96"/>
      <c r="P28" s="96"/>
      <c r="Q28" s="91"/>
      <c r="R28" s="96"/>
      <c r="S28" s="96"/>
      <c r="T28" s="96"/>
      <c r="U28" s="91"/>
      <c r="V28" s="96"/>
      <c r="W28" s="96"/>
      <c r="X28" s="96"/>
      <c r="Y28" s="91"/>
      <c r="Z28" s="96"/>
      <c r="AA28" s="96"/>
      <c r="AB28" s="96"/>
      <c r="AC28" s="91"/>
      <c r="AD28" s="48"/>
      <c r="AE28" s="48"/>
      <c r="AF28" s="48"/>
      <c r="AG28" s="48"/>
      <c r="AH28" s="46"/>
      <c r="AI28" s="46"/>
      <c r="AJ28" s="46"/>
      <c r="AK28" s="48"/>
      <c r="AL28" s="46"/>
      <c r="AM28" s="46"/>
      <c r="AN28" s="46"/>
      <c r="AO28" s="48"/>
      <c r="AP28" s="46"/>
      <c r="AQ28" s="46"/>
      <c r="AR28" s="46"/>
      <c r="AS28" s="48"/>
      <c r="AT28" s="46"/>
      <c r="AU28" s="46"/>
      <c r="AV28" s="46"/>
      <c r="AW28" s="48"/>
      <c r="AX28" s="48"/>
    </row>
    <row r="29" spans="1:50" x14ac:dyDescent="0.2">
      <c r="A29" s="33" t="s">
        <v>116</v>
      </c>
      <c r="B29" s="33" t="s">
        <v>73</v>
      </c>
      <c r="C29" s="39">
        <v>43892</v>
      </c>
      <c r="D29" s="39">
        <v>44253</v>
      </c>
      <c r="E29" s="76">
        <v>11.836065573770492</v>
      </c>
      <c r="F29" s="76">
        <v>2493</v>
      </c>
      <c r="G29" s="33" t="s">
        <v>5</v>
      </c>
      <c r="H29" s="109">
        <v>0.5</v>
      </c>
      <c r="I29" s="33" t="s">
        <v>7</v>
      </c>
      <c r="J29" s="33">
        <v>11</v>
      </c>
      <c r="K29" s="33" t="s">
        <v>78</v>
      </c>
      <c r="L29" s="48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48"/>
      <c r="AE29" s="48"/>
      <c r="AF29" s="48"/>
      <c r="AG29" s="48"/>
      <c r="AH29" s="46"/>
      <c r="AI29" s="46"/>
      <c r="AJ29" s="46"/>
      <c r="AK29" s="48"/>
      <c r="AL29" s="46"/>
      <c r="AM29" s="46"/>
      <c r="AN29" s="46"/>
      <c r="AO29" s="48"/>
      <c r="AP29" s="46"/>
      <c r="AQ29" s="46"/>
      <c r="AR29" s="46"/>
      <c r="AS29" s="48"/>
      <c r="AT29" s="46"/>
      <c r="AU29" s="46"/>
      <c r="AV29" s="46"/>
      <c r="AW29" s="48"/>
      <c r="AX29" s="48"/>
    </row>
    <row r="30" spans="1:50" x14ac:dyDescent="0.2">
      <c r="A30" s="108" t="s">
        <v>120</v>
      </c>
      <c r="B30" s="84" t="s">
        <v>73</v>
      </c>
      <c r="C30" s="39" t="s">
        <v>91</v>
      </c>
      <c r="D30" s="36" t="s">
        <v>91</v>
      </c>
      <c r="E30" s="76">
        <v>15.6</v>
      </c>
      <c r="F30" s="76">
        <v>266</v>
      </c>
      <c r="G30" s="33" t="s">
        <v>5</v>
      </c>
      <c r="H30" s="86">
        <v>0.9</v>
      </c>
      <c r="I30" s="33" t="s">
        <v>7</v>
      </c>
      <c r="J30" s="33">
        <v>15</v>
      </c>
      <c r="K30" s="33" t="s">
        <v>79</v>
      </c>
      <c r="L30" s="48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48"/>
      <c r="AE30" s="48"/>
      <c r="AF30" s="48"/>
      <c r="AG30" s="48"/>
      <c r="AH30" s="46"/>
      <c r="AI30" s="46"/>
      <c r="AJ30" s="46"/>
      <c r="AK30" s="48"/>
      <c r="AL30" s="46"/>
      <c r="AM30" s="46"/>
      <c r="AN30" s="46"/>
      <c r="AO30" s="48"/>
      <c r="AP30" s="46"/>
      <c r="AQ30" s="46"/>
      <c r="AR30" s="46"/>
      <c r="AS30" s="48"/>
      <c r="AT30" s="46"/>
      <c r="AU30" s="46"/>
      <c r="AV30" s="46"/>
      <c r="AW30" s="48"/>
      <c r="AX30" s="48"/>
    </row>
    <row r="31" spans="1:50" x14ac:dyDescent="0.2">
      <c r="A31" s="33" t="s">
        <v>117</v>
      </c>
      <c r="B31" s="33" t="s">
        <v>73</v>
      </c>
      <c r="C31" s="39">
        <v>43892</v>
      </c>
      <c r="D31" s="39">
        <v>44246</v>
      </c>
      <c r="E31" s="76">
        <v>11.60655737704918</v>
      </c>
      <c r="F31" s="115">
        <v>2643</v>
      </c>
      <c r="G31" s="33" t="s">
        <v>5</v>
      </c>
      <c r="H31" s="109">
        <v>0.5</v>
      </c>
      <c r="I31" s="33" t="s">
        <v>7</v>
      </c>
      <c r="J31" s="33">
        <v>11</v>
      </c>
      <c r="K31" s="33" t="s">
        <v>78</v>
      </c>
      <c r="L31" s="48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48"/>
      <c r="AE31" s="48"/>
      <c r="AF31" s="48"/>
      <c r="AG31" s="48"/>
      <c r="AH31" s="46"/>
      <c r="AI31" s="46"/>
      <c r="AJ31" s="46"/>
      <c r="AK31" s="48"/>
      <c r="AL31" s="46"/>
      <c r="AM31" s="46"/>
      <c r="AN31" s="46"/>
      <c r="AO31" s="48"/>
      <c r="AP31" s="46"/>
      <c r="AQ31" s="46"/>
      <c r="AR31" s="46"/>
      <c r="AS31" s="48"/>
      <c r="AT31" s="46"/>
      <c r="AU31" s="46"/>
      <c r="AV31" s="46"/>
      <c r="AW31" s="48"/>
      <c r="AX31" s="48"/>
    </row>
    <row r="32" spans="1:50" x14ac:dyDescent="0.2">
      <c r="A32" s="33" t="s">
        <v>105</v>
      </c>
      <c r="B32" s="108" t="s">
        <v>73</v>
      </c>
      <c r="C32" s="36" t="s">
        <v>91</v>
      </c>
      <c r="D32" s="36" t="s">
        <v>91</v>
      </c>
      <c r="E32" s="76">
        <v>3.5</v>
      </c>
      <c r="F32" s="76">
        <v>267</v>
      </c>
      <c r="G32" s="33" t="s">
        <v>5</v>
      </c>
      <c r="H32" s="33">
        <v>0.9</v>
      </c>
      <c r="I32" s="33" t="s">
        <v>7</v>
      </c>
      <c r="J32" s="33">
        <v>3</v>
      </c>
      <c r="K32" s="33" t="s">
        <v>76</v>
      </c>
      <c r="L32" s="48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48"/>
      <c r="AE32" s="48"/>
      <c r="AF32" s="48"/>
      <c r="AG32" s="48"/>
      <c r="AH32" s="46"/>
      <c r="AI32" s="46"/>
      <c r="AJ32" s="46"/>
      <c r="AK32" s="48"/>
      <c r="AL32" s="46"/>
      <c r="AM32" s="46"/>
      <c r="AN32" s="46"/>
      <c r="AO32" s="48"/>
      <c r="AP32" s="46"/>
      <c r="AQ32" s="46"/>
      <c r="AR32" s="46"/>
      <c r="AS32" s="48"/>
      <c r="AT32" s="46"/>
      <c r="AU32" s="46"/>
      <c r="AV32" s="46"/>
      <c r="AW32" s="48"/>
      <c r="AX32" s="48"/>
    </row>
    <row r="33" spans="1:50" x14ac:dyDescent="0.2">
      <c r="A33" s="33" t="s">
        <v>107</v>
      </c>
      <c r="B33" s="33" t="s">
        <v>73</v>
      </c>
      <c r="C33" s="36" t="s">
        <v>91</v>
      </c>
      <c r="D33" s="39" t="s">
        <v>91</v>
      </c>
      <c r="E33" s="76">
        <v>4.8</v>
      </c>
      <c r="F33" s="48">
        <v>290</v>
      </c>
      <c r="G33" s="33" t="s">
        <v>5</v>
      </c>
      <c r="H33" s="84">
        <v>0.9</v>
      </c>
      <c r="I33" s="33" t="s">
        <v>7</v>
      </c>
      <c r="J33" s="33">
        <v>4</v>
      </c>
      <c r="K33" s="33" t="s">
        <v>76</v>
      </c>
      <c r="L33" s="48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</row>
    <row r="34" spans="1:50" ht="16" customHeight="1" x14ac:dyDescent="0.2">
      <c r="A34" s="33" t="s">
        <v>108</v>
      </c>
      <c r="B34" s="33" t="s">
        <v>73</v>
      </c>
      <c r="C34" s="36" t="s">
        <v>91</v>
      </c>
      <c r="D34" s="39" t="s">
        <v>91</v>
      </c>
      <c r="E34" s="76">
        <v>4.8</v>
      </c>
      <c r="F34" s="48">
        <v>322</v>
      </c>
      <c r="G34" s="33" t="s">
        <v>5</v>
      </c>
      <c r="H34" s="84">
        <v>1.1000000000000001</v>
      </c>
      <c r="I34" s="33" t="s">
        <v>7</v>
      </c>
      <c r="J34" s="33">
        <v>4</v>
      </c>
      <c r="K34" s="33" t="s">
        <v>76</v>
      </c>
      <c r="L34" s="48"/>
      <c r="M34" s="91"/>
      <c r="N34" s="91"/>
      <c r="O34" s="97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7"/>
      <c r="AB34" s="91"/>
      <c r="AC34" s="91"/>
      <c r="AD34" s="48"/>
      <c r="AE34" s="48"/>
      <c r="AF34" s="48"/>
      <c r="AG34" s="48"/>
      <c r="AH34" s="88"/>
      <c r="AI34" s="88"/>
      <c r="AJ34" s="88"/>
      <c r="AK34" s="48"/>
      <c r="AL34" s="88"/>
      <c r="AM34" s="88"/>
      <c r="AN34" s="88"/>
      <c r="AO34" s="48"/>
      <c r="AP34" s="143"/>
      <c r="AQ34" s="143"/>
      <c r="AR34" s="143"/>
      <c r="AS34" s="48"/>
      <c r="AT34" s="143"/>
      <c r="AU34" s="143"/>
      <c r="AV34" s="143"/>
      <c r="AW34" s="48"/>
      <c r="AX34" s="48"/>
    </row>
    <row r="35" spans="1:50" x14ac:dyDescent="0.2">
      <c r="A35" s="108" t="s">
        <v>119</v>
      </c>
      <c r="B35" s="84" t="s">
        <v>73</v>
      </c>
      <c r="C35" s="39" t="s">
        <v>91</v>
      </c>
      <c r="D35" s="36" t="s">
        <v>91</v>
      </c>
      <c r="E35" s="76">
        <v>11</v>
      </c>
      <c r="F35" s="76">
        <v>314</v>
      </c>
      <c r="G35" s="33" t="s">
        <v>5</v>
      </c>
      <c r="H35" s="109">
        <v>1</v>
      </c>
      <c r="I35" s="33" t="s">
        <v>7</v>
      </c>
      <c r="J35" s="33">
        <v>11</v>
      </c>
      <c r="K35" s="33" t="s">
        <v>78</v>
      </c>
      <c r="L35" s="48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48"/>
      <c r="AE35" s="48"/>
      <c r="AF35" s="48"/>
      <c r="AG35" s="48"/>
      <c r="AH35" s="88"/>
      <c r="AI35" s="88"/>
      <c r="AJ35" s="88"/>
      <c r="AK35" s="48"/>
      <c r="AL35" s="88"/>
      <c r="AM35" s="88"/>
      <c r="AN35" s="88"/>
      <c r="AO35" s="48"/>
      <c r="AP35" s="143"/>
      <c r="AQ35" s="143"/>
      <c r="AR35" s="143"/>
      <c r="AS35" s="48"/>
      <c r="AT35" s="143"/>
      <c r="AU35" s="143"/>
      <c r="AV35" s="143"/>
      <c r="AW35" s="48"/>
      <c r="AX35" s="48"/>
    </row>
    <row r="36" spans="1:50" x14ac:dyDescent="0.2">
      <c r="A36" s="33" t="s">
        <v>113</v>
      </c>
      <c r="B36" s="33" t="s">
        <v>73</v>
      </c>
      <c r="C36" s="36" t="s">
        <v>91</v>
      </c>
      <c r="D36" s="39" t="s">
        <v>91</v>
      </c>
      <c r="E36" s="76">
        <v>10</v>
      </c>
      <c r="F36" s="76">
        <v>343</v>
      </c>
      <c r="G36" s="33" t="s">
        <v>5</v>
      </c>
      <c r="H36" s="114">
        <v>1.1000000000000001</v>
      </c>
      <c r="I36" s="33" t="s">
        <v>7</v>
      </c>
      <c r="J36" s="33">
        <v>10</v>
      </c>
      <c r="K36" s="33" t="s">
        <v>78</v>
      </c>
      <c r="L36" s="48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48"/>
      <c r="AE36" s="48"/>
      <c r="AF36" s="48"/>
      <c r="AG36" s="48"/>
      <c r="AH36" s="88"/>
      <c r="AI36" s="88"/>
      <c r="AJ36" s="88"/>
      <c r="AK36" s="48"/>
      <c r="AL36" s="88"/>
      <c r="AM36" s="88"/>
      <c r="AN36" s="88"/>
      <c r="AO36" s="48"/>
      <c r="AP36" s="143"/>
      <c r="AQ36" s="143"/>
      <c r="AR36" s="143"/>
      <c r="AS36" s="48"/>
      <c r="AT36" s="143"/>
      <c r="AU36" s="143"/>
      <c r="AV36" s="143"/>
      <c r="AW36" s="48"/>
      <c r="AX36" s="48"/>
    </row>
    <row r="37" spans="1:50" ht="32" customHeight="1" x14ac:dyDescent="0.2">
      <c r="A37" s="33" t="s">
        <v>114</v>
      </c>
      <c r="B37" s="33" t="s">
        <v>73</v>
      </c>
      <c r="C37" s="36" t="s">
        <v>91</v>
      </c>
      <c r="D37" s="39" t="s">
        <v>91</v>
      </c>
      <c r="E37" s="76">
        <v>10</v>
      </c>
      <c r="F37" s="76">
        <v>305</v>
      </c>
      <c r="G37" s="33" t="s">
        <v>5</v>
      </c>
      <c r="H37" s="114">
        <v>1</v>
      </c>
      <c r="I37" s="33" t="s">
        <v>7</v>
      </c>
      <c r="J37" s="33">
        <v>10</v>
      </c>
      <c r="K37" s="33" t="s">
        <v>78</v>
      </c>
      <c r="L37" s="48"/>
      <c r="M37" s="91"/>
      <c r="N37" s="100"/>
      <c r="O37" s="100"/>
      <c r="P37" s="100"/>
      <c r="Q37" s="91"/>
      <c r="R37" s="100"/>
      <c r="S37" s="100"/>
      <c r="T37" s="100"/>
      <c r="U37" s="91"/>
      <c r="V37" s="100"/>
      <c r="W37" s="100"/>
      <c r="X37" s="100"/>
      <c r="Y37" s="91"/>
      <c r="Z37" s="100"/>
      <c r="AA37" s="100"/>
      <c r="AB37" s="100"/>
      <c r="AC37" s="9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</row>
    <row r="38" spans="1:50" x14ac:dyDescent="0.2">
      <c r="A38" s="33" t="s">
        <v>100</v>
      </c>
      <c r="B38" s="33" t="s">
        <v>73</v>
      </c>
      <c r="C38" s="39" t="s">
        <v>91</v>
      </c>
      <c r="D38" s="36" t="s">
        <v>91</v>
      </c>
      <c r="E38" s="76">
        <v>1</v>
      </c>
      <c r="F38" s="76">
        <v>294</v>
      </c>
      <c r="G38" s="33" t="s">
        <v>5</v>
      </c>
      <c r="H38" s="109">
        <v>1</v>
      </c>
      <c r="I38" s="33" t="s">
        <v>7</v>
      </c>
      <c r="J38" s="33">
        <v>1</v>
      </c>
      <c r="K38" s="33" t="s">
        <v>72</v>
      </c>
      <c r="L38" s="48"/>
      <c r="M38" s="91"/>
      <c r="N38" s="100"/>
      <c r="O38" s="100"/>
      <c r="P38" s="100"/>
      <c r="Q38" s="91"/>
      <c r="R38" s="100"/>
      <c r="S38" s="100"/>
      <c r="T38" s="100"/>
      <c r="U38" s="91"/>
      <c r="V38" s="100"/>
      <c r="W38" s="100"/>
      <c r="X38" s="100"/>
      <c r="Y38" s="91"/>
      <c r="Z38" s="100"/>
      <c r="AA38" s="100"/>
      <c r="AB38" s="100"/>
      <c r="AC38" s="91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</row>
    <row r="39" spans="1:50" x14ac:dyDescent="0.2">
      <c r="A39" s="33" t="s">
        <v>101</v>
      </c>
      <c r="B39" s="33" t="s">
        <v>73</v>
      </c>
      <c r="C39" s="36" t="s">
        <v>91</v>
      </c>
      <c r="D39" s="36" t="s">
        <v>91</v>
      </c>
      <c r="E39" s="76">
        <v>1</v>
      </c>
      <c r="F39" s="76">
        <v>334</v>
      </c>
      <c r="G39" s="33" t="s">
        <v>5</v>
      </c>
      <c r="H39" s="33">
        <v>1.1000000000000001</v>
      </c>
      <c r="I39" s="33" t="s">
        <v>7</v>
      </c>
      <c r="J39" s="33">
        <v>1</v>
      </c>
      <c r="K39" s="33" t="s">
        <v>72</v>
      </c>
      <c r="L39" s="48"/>
      <c r="M39" s="91"/>
      <c r="N39" s="100"/>
      <c r="O39" s="100"/>
      <c r="P39" s="100"/>
      <c r="Q39" s="91"/>
      <c r="R39" s="100"/>
      <c r="S39" s="100"/>
      <c r="T39" s="100"/>
      <c r="U39" s="91"/>
      <c r="V39" s="100"/>
      <c r="W39" s="100"/>
      <c r="X39" s="100"/>
      <c r="Y39" s="91"/>
      <c r="Z39" s="100"/>
      <c r="AA39" s="100"/>
      <c r="AB39" s="100"/>
      <c r="AC39" s="91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</row>
    <row r="40" spans="1:50" ht="19" x14ac:dyDescent="0.25">
      <c r="A40" s="33"/>
      <c r="B40" s="33"/>
      <c r="C40" s="36"/>
      <c r="D40" s="41"/>
      <c r="E40" s="76"/>
      <c r="F40" s="76"/>
      <c r="G40" s="33"/>
      <c r="H40" s="33"/>
      <c r="I40" s="33"/>
      <c r="J40" s="33"/>
      <c r="K40" s="33"/>
      <c r="L40" s="48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48"/>
      <c r="AE40" s="48"/>
      <c r="AF40" s="48"/>
      <c r="AG40" s="48"/>
      <c r="AH40" s="89"/>
      <c r="AI40" s="89"/>
      <c r="AJ40" s="89"/>
      <c r="AK40" s="89"/>
      <c r="AL40" s="89"/>
      <c r="AM40" s="89"/>
      <c r="AN40" s="89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  <row r="41" spans="1:50" ht="19" x14ac:dyDescent="0.25">
      <c r="A41" s="33"/>
      <c r="B41" s="33"/>
      <c r="C41" s="36"/>
      <c r="D41" s="41"/>
      <c r="E41" s="76"/>
      <c r="F41" s="76"/>
      <c r="G41" s="33"/>
      <c r="H41" s="33"/>
      <c r="I41" s="33"/>
      <c r="J41" s="33"/>
      <c r="K41" s="33"/>
      <c r="L41" s="48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48"/>
      <c r="AE41" s="48"/>
      <c r="AF41" s="48"/>
      <c r="AG41" s="48"/>
      <c r="AH41" s="59"/>
      <c r="AI41" s="48"/>
      <c r="AJ41" s="48"/>
      <c r="AK41" s="49"/>
      <c r="AL41" s="49"/>
      <c r="AM41" s="87"/>
      <c r="AN41" s="87"/>
      <c r="AO41" s="48"/>
      <c r="AP41" s="48"/>
      <c r="AQ41" s="48"/>
      <c r="AR41" s="48"/>
      <c r="AS41" s="48"/>
      <c r="AT41" s="48"/>
      <c r="AU41" s="48"/>
      <c r="AV41" s="48"/>
      <c r="AW41" s="48"/>
      <c r="AX41" s="48"/>
    </row>
    <row r="42" spans="1:50" x14ac:dyDescent="0.2">
      <c r="A42" s="33"/>
      <c r="B42" s="33"/>
      <c r="C42" s="36"/>
      <c r="D42" s="42"/>
      <c r="E42" s="76"/>
      <c r="F42" s="76"/>
      <c r="G42" s="33"/>
      <c r="H42" s="86"/>
      <c r="I42" s="33"/>
      <c r="J42" s="33"/>
      <c r="K42" s="33"/>
      <c r="L42" s="48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48"/>
      <c r="AE42" s="48"/>
      <c r="AF42" s="48"/>
      <c r="AG42" s="48"/>
      <c r="AH42" s="47"/>
      <c r="AI42" s="48"/>
      <c r="AJ42" s="47"/>
      <c r="AK42" s="48"/>
      <c r="AL42" s="48"/>
      <c r="AM42" s="46"/>
      <c r="AN42" s="46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1:50" x14ac:dyDescent="0.2">
      <c r="A43" s="33"/>
      <c r="B43" s="33"/>
      <c r="C43" s="36"/>
      <c r="D43" s="42"/>
      <c r="E43" s="76"/>
      <c r="F43" s="76"/>
      <c r="G43" s="33"/>
      <c r="H43" s="86"/>
      <c r="I43" s="33"/>
      <c r="J43" s="33"/>
      <c r="K43" s="33"/>
      <c r="L43" s="48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48"/>
      <c r="AE43" s="48"/>
      <c r="AF43" s="48"/>
      <c r="AG43" s="48"/>
      <c r="AH43" s="47"/>
      <c r="AI43" s="48"/>
      <c r="AJ43" s="47"/>
      <c r="AK43" s="48"/>
      <c r="AL43" s="48"/>
      <c r="AM43" s="46"/>
      <c r="AN43" s="46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  <row r="44" spans="1:50" x14ac:dyDescent="0.2">
      <c r="A44" s="33"/>
      <c r="B44" s="33"/>
      <c r="C44" s="36"/>
      <c r="D44" s="42"/>
      <c r="E44" s="76"/>
      <c r="F44" s="76"/>
      <c r="G44" s="33"/>
      <c r="H44" s="86"/>
      <c r="I44" s="33"/>
      <c r="J44" s="33"/>
      <c r="K44" s="33"/>
      <c r="L44" s="48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48"/>
      <c r="AE44" s="48"/>
      <c r="AF44" s="48"/>
      <c r="AG44" s="48"/>
      <c r="AH44" s="47"/>
      <c r="AI44" s="48"/>
      <c r="AJ44" s="47"/>
      <c r="AK44" s="48"/>
      <c r="AL44" s="48"/>
      <c r="AM44" s="46"/>
      <c r="AN44" s="46"/>
      <c r="AO44" s="48"/>
      <c r="AP44" s="48"/>
      <c r="AQ44" s="48"/>
      <c r="AR44" s="48"/>
      <c r="AS44" s="48"/>
      <c r="AT44" s="48"/>
      <c r="AU44" s="48"/>
      <c r="AV44" s="48"/>
      <c r="AW44" s="48"/>
      <c r="AX44" s="48"/>
    </row>
    <row r="45" spans="1:50" x14ac:dyDescent="0.2">
      <c r="A45" s="33"/>
      <c r="B45" s="33"/>
      <c r="C45" s="36"/>
      <c r="D45" s="42"/>
      <c r="E45" s="76"/>
      <c r="F45" s="76"/>
      <c r="G45" s="33"/>
      <c r="H45" s="86"/>
      <c r="I45" s="33"/>
      <c r="J45" s="33"/>
      <c r="K45" s="33"/>
      <c r="L45" s="48"/>
      <c r="M45" s="91"/>
      <c r="N45" s="96"/>
      <c r="O45" s="96"/>
      <c r="P45" s="96"/>
      <c r="Q45" s="91"/>
      <c r="R45" s="96"/>
      <c r="S45" s="96"/>
      <c r="T45" s="96"/>
      <c r="U45" s="91"/>
      <c r="V45" s="96"/>
      <c r="W45" s="96"/>
      <c r="X45" s="96"/>
      <c r="Y45" s="91"/>
      <c r="Z45" s="91"/>
      <c r="AA45" s="91"/>
      <c r="AB45" s="91"/>
      <c r="AC45" s="91"/>
      <c r="AD45" s="48"/>
      <c r="AE45" s="48"/>
      <c r="AF45" s="48"/>
      <c r="AG45" s="48"/>
      <c r="AH45" s="47"/>
      <c r="AI45" s="48"/>
      <c r="AJ45" s="47"/>
      <c r="AK45" s="48"/>
      <c r="AL45" s="48"/>
      <c r="AM45" s="46"/>
      <c r="AN45" s="46"/>
      <c r="AO45" s="48"/>
      <c r="AP45" s="48"/>
      <c r="AQ45" s="48"/>
      <c r="AR45" s="48"/>
      <c r="AS45" s="48"/>
      <c r="AT45" s="48"/>
      <c r="AU45" s="48"/>
      <c r="AV45" s="48"/>
      <c r="AW45" s="48"/>
      <c r="AX45" s="48"/>
    </row>
    <row r="46" spans="1:50" x14ac:dyDescent="0.2">
      <c r="A46" s="33"/>
      <c r="B46" s="33"/>
      <c r="C46" s="36"/>
      <c r="D46" s="42"/>
      <c r="E46" s="76"/>
      <c r="F46" s="76"/>
      <c r="G46" s="33"/>
      <c r="H46" s="86"/>
      <c r="I46" s="33"/>
      <c r="J46" s="33"/>
      <c r="K46" s="33"/>
      <c r="L46" s="48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</row>
    <row r="47" spans="1:50" x14ac:dyDescent="0.2">
      <c r="A47" s="33"/>
      <c r="B47" s="33"/>
      <c r="C47" s="36"/>
      <c r="D47" s="42"/>
      <c r="E47" s="76"/>
      <c r="F47" s="76"/>
      <c r="G47" s="33"/>
      <c r="H47" s="33"/>
      <c r="I47" s="33"/>
      <c r="J47" s="33"/>
      <c r="K47" s="33"/>
      <c r="L47" s="48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</row>
    <row r="48" spans="1:50" x14ac:dyDescent="0.2">
      <c r="A48" s="33"/>
      <c r="B48" s="33"/>
      <c r="C48" s="36"/>
      <c r="D48" s="42"/>
      <c r="E48" s="76"/>
      <c r="F48" s="76"/>
      <c r="G48" s="33"/>
      <c r="H48" s="33"/>
      <c r="I48" s="33"/>
      <c r="J48" s="33"/>
      <c r="K48" s="33"/>
      <c r="L48" s="48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</row>
    <row r="49" spans="1:50" x14ac:dyDescent="0.2">
      <c r="A49" s="33"/>
      <c r="B49" s="33"/>
      <c r="C49" s="36"/>
      <c r="D49" s="42"/>
      <c r="E49" s="76"/>
      <c r="F49" s="76"/>
      <c r="G49" s="33"/>
      <c r="H49" s="33"/>
      <c r="I49" s="33"/>
      <c r="J49" s="33"/>
      <c r="K49" s="33"/>
      <c r="L49" s="48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</row>
    <row r="50" spans="1:50" x14ac:dyDescent="0.2">
      <c r="A50" s="33"/>
      <c r="B50" s="33"/>
      <c r="C50" s="36"/>
      <c r="D50" s="36"/>
      <c r="E50" s="76"/>
      <c r="F50" s="76"/>
      <c r="G50" s="33"/>
      <c r="H50" s="33"/>
      <c r="I50" s="33"/>
      <c r="J50" s="33"/>
      <c r="K50" s="33"/>
      <c r="L50" s="48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</row>
    <row r="51" spans="1:50" x14ac:dyDescent="0.2">
      <c r="A51" s="33"/>
      <c r="B51" s="33"/>
      <c r="C51" s="36"/>
      <c r="D51" s="36"/>
      <c r="E51" s="76"/>
      <c r="F51" s="76"/>
      <c r="G51" s="33"/>
      <c r="H51" s="33"/>
      <c r="I51" s="33"/>
      <c r="J51" s="33"/>
      <c r="K51" s="33"/>
      <c r="L51" s="48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</row>
    <row r="52" spans="1:50" x14ac:dyDescent="0.2">
      <c r="A52" s="33"/>
      <c r="B52" s="33"/>
      <c r="C52" s="36"/>
      <c r="D52" s="36"/>
      <c r="E52" s="76"/>
      <c r="F52" s="76"/>
      <c r="G52" s="33"/>
      <c r="H52" s="33"/>
      <c r="I52" s="33"/>
      <c r="J52" s="33"/>
      <c r="K52" s="33"/>
      <c r="L52" s="48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</row>
    <row r="53" spans="1:50" x14ac:dyDescent="0.2">
      <c r="A53" s="33"/>
      <c r="B53" s="33"/>
      <c r="C53" s="36"/>
      <c r="D53" s="37"/>
      <c r="E53" s="76"/>
      <c r="F53" s="76"/>
      <c r="G53" s="33"/>
      <c r="H53" s="116"/>
      <c r="I53" s="33"/>
      <c r="J53" s="76"/>
      <c r="K53" s="33"/>
      <c r="L53" s="48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</row>
    <row r="54" spans="1:50" ht="32" customHeight="1" x14ac:dyDescent="0.2">
      <c r="A54" s="33"/>
      <c r="B54" s="33"/>
      <c r="C54" s="36"/>
      <c r="D54" s="36"/>
      <c r="E54" s="76"/>
      <c r="F54" s="76"/>
      <c r="G54" s="33"/>
      <c r="H54" s="33"/>
      <c r="I54" s="33"/>
      <c r="J54" s="33"/>
      <c r="K54" s="33"/>
      <c r="L54" s="48"/>
      <c r="M54" s="91"/>
      <c r="N54" s="100"/>
      <c r="O54" s="100"/>
      <c r="P54" s="100"/>
      <c r="Q54" s="91"/>
      <c r="R54" s="100"/>
      <c r="S54" s="100"/>
      <c r="T54" s="100"/>
      <c r="U54" s="91"/>
      <c r="V54" s="100"/>
      <c r="W54" s="100"/>
      <c r="X54" s="100"/>
      <c r="Y54" s="91"/>
      <c r="Z54" s="91"/>
      <c r="AA54" s="91"/>
      <c r="AB54" s="91"/>
      <c r="AC54" s="91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</row>
    <row r="55" spans="1:50" x14ac:dyDescent="0.2">
      <c r="A55" s="33"/>
      <c r="B55" s="33"/>
      <c r="C55" s="36"/>
      <c r="D55" s="36"/>
      <c r="E55" s="76"/>
      <c r="F55" s="76"/>
      <c r="G55" s="33"/>
      <c r="H55" s="86"/>
      <c r="I55" s="33"/>
      <c r="J55" s="33"/>
      <c r="K55" s="33"/>
      <c r="L55" s="48"/>
      <c r="M55" s="91"/>
      <c r="N55" s="100"/>
      <c r="O55" s="100"/>
      <c r="P55" s="100"/>
      <c r="Q55" s="91"/>
      <c r="R55" s="100"/>
      <c r="S55" s="100"/>
      <c r="T55" s="100"/>
      <c r="U55" s="91"/>
      <c r="V55" s="100"/>
      <c r="W55" s="100"/>
      <c r="X55" s="100"/>
      <c r="Y55" s="91"/>
      <c r="Z55" s="91"/>
      <c r="AA55" s="91"/>
      <c r="AB55" s="91"/>
      <c r="AC55" s="91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</row>
    <row r="56" spans="1:50" x14ac:dyDescent="0.2">
      <c r="A56" s="33"/>
      <c r="B56" s="33"/>
      <c r="C56" s="36"/>
      <c r="D56" s="36"/>
      <c r="E56" s="76"/>
      <c r="F56" s="76"/>
      <c r="G56" s="33"/>
      <c r="H56" s="86"/>
      <c r="I56" s="33"/>
      <c r="J56" s="33"/>
      <c r="K56" s="33"/>
      <c r="L56" s="48"/>
      <c r="M56" s="91"/>
      <c r="N56" s="100"/>
      <c r="O56" s="100"/>
      <c r="P56" s="100"/>
      <c r="Q56" s="91"/>
      <c r="R56" s="100"/>
      <c r="S56" s="100"/>
      <c r="T56" s="100"/>
      <c r="U56" s="91"/>
      <c r="V56" s="100"/>
      <c r="W56" s="100"/>
      <c r="X56" s="100"/>
      <c r="Y56" s="91"/>
      <c r="Z56" s="91"/>
      <c r="AA56" s="91"/>
      <c r="AB56" s="91"/>
      <c r="AC56" s="91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</row>
    <row r="57" spans="1:50" x14ac:dyDescent="0.2">
      <c r="A57" s="33"/>
      <c r="B57" s="33"/>
      <c r="C57" s="36"/>
      <c r="D57" s="36"/>
      <c r="E57" s="76"/>
      <c r="F57" s="76"/>
      <c r="G57" s="33"/>
      <c r="H57" s="86"/>
      <c r="I57" s="33"/>
      <c r="J57" s="33"/>
      <c r="K57" s="33"/>
      <c r="L57" s="48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</row>
    <row r="58" spans="1:50" x14ac:dyDescent="0.2">
      <c r="A58" s="114"/>
      <c r="B58" s="84"/>
      <c r="C58" s="39"/>
      <c r="D58" s="39"/>
      <c r="E58" s="76"/>
      <c r="F58" s="76"/>
      <c r="G58" s="33"/>
      <c r="H58" s="84"/>
      <c r="I58" s="33"/>
      <c r="J58" s="33"/>
      <c r="K58" s="33"/>
      <c r="L58" s="48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</row>
    <row r="59" spans="1:50" x14ac:dyDescent="0.2">
      <c r="A59" s="33"/>
      <c r="B59" s="108"/>
      <c r="C59" s="36"/>
      <c r="D59" s="36"/>
      <c r="E59" s="76"/>
      <c r="F59" s="76"/>
      <c r="G59" s="33"/>
      <c r="H59" s="113"/>
      <c r="I59" s="33"/>
      <c r="J59" s="33"/>
      <c r="K59" s="33"/>
      <c r="L59" s="48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</row>
    <row r="60" spans="1:50" ht="19" x14ac:dyDescent="0.25">
      <c r="A60" s="33"/>
      <c r="B60" s="33"/>
      <c r="C60" s="36"/>
      <c r="D60" s="39"/>
      <c r="E60" s="76"/>
      <c r="F60" s="76"/>
      <c r="G60" s="33"/>
      <c r="H60" s="105"/>
      <c r="I60" s="33"/>
      <c r="J60" s="33"/>
      <c r="K60" s="33"/>
      <c r="L60" s="48"/>
      <c r="M60" s="91"/>
      <c r="N60" s="101"/>
      <c r="O60" s="101"/>
      <c r="P60" s="101"/>
      <c r="Q60" s="101"/>
      <c r="R60" s="101"/>
      <c r="S60" s="101"/>
      <c r="T60" s="101"/>
      <c r="U60" s="91"/>
      <c r="V60" s="91"/>
      <c r="W60" s="91"/>
      <c r="X60" s="91"/>
      <c r="Y60" s="91"/>
      <c r="Z60" s="91"/>
      <c r="AA60" s="91"/>
      <c r="AB60" s="91"/>
      <c r="AC60" s="91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</row>
    <row r="61" spans="1:50" ht="19" x14ac:dyDescent="0.25">
      <c r="A61" s="33"/>
      <c r="B61" s="108"/>
      <c r="C61" s="36"/>
      <c r="D61" s="36"/>
      <c r="E61" s="76"/>
      <c r="F61" s="80"/>
      <c r="G61" s="33"/>
      <c r="H61" s="86"/>
      <c r="I61" s="33"/>
      <c r="J61" s="33"/>
      <c r="K61" s="33"/>
      <c r="L61" s="48"/>
      <c r="M61" s="91"/>
      <c r="N61" s="98"/>
      <c r="O61" s="91"/>
      <c r="P61" s="91"/>
      <c r="Q61" s="94"/>
      <c r="R61" s="94"/>
      <c r="S61" s="102"/>
      <c r="T61" s="102"/>
      <c r="U61" s="91"/>
      <c r="V61" s="91"/>
      <c r="W61" s="91"/>
      <c r="X61" s="91"/>
      <c r="Y61" s="91"/>
      <c r="Z61" s="91"/>
      <c r="AA61" s="91"/>
      <c r="AB61" s="91"/>
      <c r="AC61" s="91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</row>
    <row r="62" spans="1:50" x14ac:dyDescent="0.2">
      <c r="A62" s="33"/>
      <c r="B62" s="108"/>
      <c r="C62" s="36"/>
      <c r="D62" s="36"/>
      <c r="E62" s="76"/>
      <c r="F62" s="76"/>
      <c r="G62" s="33"/>
      <c r="H62" s="86"/>
      <c r="I62" s="33"/>
      <c r="J62" s="33"/>
      <c r="K62" s="33"/>
      <c r="L62" s="48"/>
      <c r="M62" s="91"/>
      <c r="N62" s="91"/>
      <c r="O62" s="91"/>
      <c r="P62" s="91"/>
      <c r="Q62" s="91"/>
      <c r="R62" s="97"/>
      <c r="S62" s="99"/>
      <c r="T62" s="99"/>
      <c r="U62" s="91"/>
      <c r="V62" s="91"/>
      <c r="W62" s="91"/>
      <c r="X62" s="91"/>
      <c r="Y62" s="91"/>
      <c r="Z62" s="91"/>
      <c r="AA62" s="91"/>
      <c r="AB62" s="91"/>
      <c r="AC62" s="91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</row>
    <row r="63" spans="1:50" x14ac:dyDescent="0.2">
      <c r="A63" s="33"/>
      <c r="B63" s="33"/>
      <c r="C63" s="36"/>
      <c r="D63" s="39"/>
      <c r="E63" s="76"/>
      <c r="F63" s="115"/>
      <c r="G63" s="33"/>
      <c r="H63" s="114"/>
      <c r="I63" s="33"/>
      <c r="J63" s="33"/>
      <c r="K63" s="33"/>
      <c r="L63" s="48"/>
      <c r="M63" s="91"/>
      <c r="N63" s="91"/>
      <c r="O63" s="91"/>
      <c r="P63" s="91"/>
      <c r="Q63" s="91"/>
      <c r="R63" s="91"/>
      <c r="S63" s="99"/>
      <c r="T63" s="99"/>
      <c r="U63" s="91"/>
      <c r="V63" s="91"/>
      <c r="W63" s="91"/>
      <c r="X63" s="91"/>
      <c r="Y63" s="91"/>
      <c r="Z63" s="91"/>
      <c r="AA63" s="91"/>
      <c r="AB63" s="91"/>
      <c r="AC63" s="91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</row>
    <row r="64" spans="1:50" x14ac:dyDescent="0.2">
      <c r="A64" s="33"/>
      <c r="B64" s="33"/>
      <c r="C64" s="36"/>
      <c r="D64" s="39"/>
      <c r="E64" s="76"/>
      <c r="F64" s="76"/>
      <c r="G64" s="33"/>
      <c r="H64" s="114"/>
      <c r="I64" s="33"/>
      <c r="J64" s="33"/>
      <c r="K64" s="33"/>
      <c r="L64" s="48"/>
      <c r="M64" s="91"/>
      <c r="N64" s="91"/>
      <c r="O64" s="91"/>
      <c r="P64" s="91"/>
      <c r="Q64" s="91"/>
      <c r="R64" s="91"/>
      <c r="S64" s="99"/>
      <c r="T64" s="99"/>
      <c r="U64" s="91"/>
      <c r="V64" s="91"/>
      <c r="W64" s="91"/>
      <c r="X64" s="91"/>
      <c r="Y64" s="91"/>
      <c r="Z64" s="91"/>
      <c r="AA64" s="91"/>
      <c r="AB64" s="91"/>
      <c r="AC64" s="91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</row>
    <row r="65" spans="1:50" x14ac:dyDescent="0.2">
      <c r="A65" s="33"/>
      <c r="B65" s="33"/>
      <c r="C65" s="36"/>
      <c r="D65" s="39"/>
      <c r="E65" s="76"/>
      <c r="F65" s="76"/>
      <c r="G65" s="33"/>
      <c r="H65" s="114"/>
      <c r="I65" s="33"/>
      <c r="J65" s="33"/>
      <c r="K65" s="33"/>
      <c r="L65" s="48"/>
      <c r="M65" s="91"/>
      <c r="N65" s="91"/>
      <c r="O65" s="91"/>
      <c r="P65" s="91"/>
      <c r="Q65" s="91"/>
      <c r="R65" s="91"/>
      <c r="S65" s="99"/>
      <c r="T65" s="99"/>
      <c r="U65" s="91"/>
      <c r="V65" s="91"/>
      <c r="W65" s="91"/>
      <c r="X65" s="91"/>
      <c r="Y65" s="91"/>
      <c r="Z65" s="91"/>
      <c r="AA65" s="91"/>
      <c r="AB65" s="91"/>
      <c r="AC65" s="91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</row>
    <row r="66" spans="1:50" x14ac:dyDescent="0.2">
      <c r="A66" s="33"/>
      <c r="B66" s="33"/>
      <c r="C66" s="36"/>
      <c r="D66" s="39"/>
      <c r="E66" s="76"/>
      <c r="F66" s="76"/>
      <c r="G66" s="33"/>
      <c r="H66" s="114"/>
      <c r="I66" s="33"/>
      <c r="J66" s="33"/>
      <c r="K66" s="33"/>
      <c r="L66" s="48"/>
      <c r="M66" s="91"/>
      <c r="N66" s="91"/>
      <c r="O66" s="91"/>
      <c r="P66" s="91"/>
      <c r="Q66" s="91"/>
      <c r="R66" s="91"/>
      <c r="S66" s="99"/>
      <c r="T66" s="99"/>
      <c r="U66" s="91"/>
      <c r="V66" s="91"/>
      <c r="W66" s="91"/>
      <c r="X66" s="91"/>
      <c r="Y66" s="91"/>
      <c r="Z66" s="91"/>
      <c r="AA66" s="91"/>
      <c r="AB66" s="91"/>
      <c r="AC66" s="91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</row>
    <row r="67" spans="1:50" x14ac:dyDescent="0.2">
      <c r="A67" s="114"/>
      <c r="B67" s="84"/>
      <c r="C67" s="39"/>
      <c r="D67" s="39"/>
      <c r="E67" s="76"/>
      <c r="F67" s="76"/>
      <c r="G67" s="33"/>
      <c r="H67" s="84"/>
      <c r="I67" s="33"/>
      <c r="J67" s="33"/>
      <c r="K67" s="33"/>
      <c r="L67" s="48"/>
      <c r="M67" s="91"/>
      <c r="N67" s="91"/>
      <c r="O67" s="91"/>
      <c r="P67" s="91"/>
      <c r="Q67" s="91"/>
      <c r="R67" s="91"/>
      <c r="S67" s="99"/>
      <c r="T67" s="99"/>
      <c r="U67" s="91"/>
      <c r="V67" s="91"/>
      <c r="W67" s="91"/>
      <c r="X67" s="91"/>
      <c r="Y67" s="91"/>
      <c r="Z67" s="91"/>
      <c r="AA67" s="91"/>
      <c r="AB67" s="91"/>
      <c r="AC67" s="91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</row>
    <row r="68" spans="1:50" x14ac:dyDescent="0.2">
      <c r="A68" s="84"/>
      <c r="B68" s="84"/>
      <c r="C68" s="39"/>
      <c r="D68" s="36"/>
      <c r="E68" s="76"/>
      <c r="F68" s="76"/>
      <c r="G68" s="33"/>
      <c r="H68" s="33"/>
      <c r="I68" s="33"/>
      <c r="J68" s="33"/>
      <c r="K68" s="33"/>
      <c r="L68" s="48"/>
      <c r="M68" s="91"/>
      <c r="N68" s="91"/>
      <c r="O68" s="91"/>
      <c r="P68" s="91"/>
      <c r="Q68" s="91"/>
      <c r="R68" s="91"/>
      <c r="S68" s="99"/>
      <c r="T68" s="99"/>
      <c r="U68" s="91"/>
      <c r="V68" s="91"/>
      <c r="W68" s="91"/>
      <c r="X68" s="91"/>
      <c r="Y68" s="91"/>
      <c r="Z68" s="91"/>
      <c r="AA68" s="91"/>
      <c r="AB68" s="91"/>
      <c r="AC68" s="91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</row>
    <row r="69" spans="1:50" x14ac:dyDescent="0.2">
      <c r="A69" s="33"/>
      <c r="B69" s="33"/>
      <c r="C69" s="36"/>
      <c r="D69" s="36"/>
      <c r="E69" s="76"/>
      <c r="F69" s="76"/>
      <c r="G69" s="33"/>
      <c r="H69" s="117"/>
      <c r="I69" s="33"/>
      <c r="J69" s="33"/>
      <c r="K69" s="33"/>
      <c r="L69" s="48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</row>
    <row r="70" spans="1:50" x14ac:dyDescent="0.2">
      <c r="A70" s="33"/>
      <c r="B70" s="33"/>
      <c r="C70" s="108"/>
      <c r="D70" s="39"/>
      <c r="E70" s="76"/>
      <c r="F70" s="76"/>
      <c r="G70" s="33"/>
      <c r="H70" s="109"/>
      <c r="I70" s="33"/>
      <c r="J70" s="33"/>
      <c r="K70" s="33"/>
      <c r="L70" s="48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</row>
    <row r="71" spans="1:50" x14ac:dyDescent="0.2">
      <c r="A71" s="33"/>
      <c r="B71" s="33"/>
      <c r="C71" s="108"/>
      <c r="D71" s="39"/>
      <c r="E71" s="76"/>
      <c r="F71" s="76"/>
      <c r="G71" s="33"/>
      <c r="H71" s="109"/>
      <c r="I71" s="33"/>
      <c r="J71" s="33"/>
      <c r="K71" s="33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</row>
    <row r="72" spans="1:50" x14ac:dyDescent="0.2">
      <c r="A72" s="33"/>
      <c r="B72" s="33"/>
      <c r="C72" s="108"/>
      <c r="D72" s="39"/>
      <c r="E72" s="76"/>
      <c r="F72" s="76"/>
      <c r="G72" s="33"/>
      <c r="H72" s="105"/>
      <c r="I72" s="33"/>
      <c r="J72" s="33"/>
      <c r="K72" s="33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</row>
    <row r="73" spans="1:50" x14ac:dyDescent="0.2">
      <c r="A73" s="33"/>
      <c r="B73" s="33"/>
      <c r="C73" s="108"/>
      <c r="D73" s="39"/>
      <c r="E73" s="76"/>
      <c r="F73" s="76"/>
      <c r="G73" s="33"/>
      <c r="H73" s="109"/>
      <c r="I73" s="33"/>
      <c r="J73" s="33"/>
      <c r="K73" s="33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</row>
    <row r="74" spans="1:50" x14ac:dyDescent="0.2">
      <c r="A74" s="33"/>
      <c r="B74" s="33"/>
      <c r="C74" s="108"/>
      <c r="D74" s="39"/>
      <c r="E74" s="76"/>
      <c r="F74" s="76"/>
      <c r="G74" s="33"/>
      <c r="H74" s="109"/>
      <c r="I74" s="33"/>
      <c r="J74" s="33"/>
      <c r="K74" s="33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</row>
    <row r="75" spans="1:50" x14ac:dyDescent="0.2">
      <c r="A75" s="33"/>
      <c r="B75" s="33"/>
      <c r="C75" s="108"/>
      <c r="D75" s="39"/>
      <c r="E75" s="76"/>
      <c r="F75" s="76"/>
      <c r="G75" s="33"/>
      <c r="H75" s="109"/>
      <c r="I75" s="33"/>
      <c r="J75" s="33"/>
      <c r="K75" s="33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</row>
    <row r="76" spans="1:50" x14ac:dyDescent="0.2">
      <c r="A76" s="108"/>
      <c r="B76" s="84"/>
      <c r="C76" s="108"/>
      <c r="D76" s="39"/>
      <c r="E76" s="76"/>
      <c r="F76" s="76"/>
      <c r="G76" s="33"/>
      <c r="H76" s="109"/>
      <c r="I76" s="33"/>
      <c r="J76" s="33"/>
      <c r="K76" s="33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</row>
    <row r="77" spans="1:50" x14ac:dyDescent="0.2">
      <c r="A77" s="108"/>
      <c r="B77" s="84"/>
      <c r="C77" s="108"/>
      <c r="D77" s="39"/>
      <c r="E77" s="76"/>
      <c r="F77" s="76"/>
      <c r="G77" s="33"/>
      <c r="H77" s="109"/>
      <c r="I77" s="33"/>
      <c r="J77" s="33"/>
      <c r="K77" s="33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</row>
    <row r="78" spans="1:50" x14ac:dyDescent="0.2">
      <c r="A78" s="108"/>
      <c r="B78" s="84"/>
      <c r="C78" s="108"/>
      <c r="D78" s="39"/>
      <c r="E78" s="76"/>
      <c r="F78" s="76"/>
      <c r="G78" s="33"/>
      <c r="H78" s="109"/>
      <c r="I78" s="33"/>
      <c r="J78" s="33"/>
      <c r="K78" s="33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</row>
    <row r="79" spans="1:50" x14ac:dyDescent="0.2">
      <c r="A79" s="114"/>
      <c r="B79" s="84"/>
      <c r="C79" s="39"/>
      <c r="D79" s="36"/>
      <c r="E79" s="76"/>
      <c r="F79" s="76"/>
      <c r="G79" s="33"/>
      <c r="H79" s="109"/>
      <c r="I79" s="33"/>
      <c r="J79" s="33"/>
      <c r="K79" s="33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</row>
    <row r="80" spans="1:50" x14ac:dyDescent="0.2">
      <c r="A80" s="114"/>
      <c r="B80" s="84"/>
      <c r="C80" s="39"/>
      <c r="D80" s="36"/>
      <c r="E80" s="76"/>
      <c r="F80" s="76"/>
      <c r="G80" s="33"/>
      <c r="H80" s="118"/>
      <c r="I80" s="33"/>
      <c r="J80" s="33"/>
      <c r="K80" s="33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</row>
    <row r="81" spans="1:40" x14ac:dyDescent="0.2">
      <c r="A81" s="36"/>
      <c r="B81" s="33"/>
      <c r="C81" s="36"/>
      <c r="D81" s="41"/>
      <c r="E81" s="76"/>
      <c r="F81" s="119"/>
      <c r="G81" s="33"/>
      <c r="H81" s="86"/>
      <c r="I81" s="33"/>
      <c r="J81" s="33"/>
      <c r="K81" s="33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</row>
    <row r="82" spans="1:40" x14ac:dyDescent="0.2">
      <c r="A82" s="33"/>
      <c r="B82" s="33"/>
      <c r="C82" s="36"/>
      <c r="D82" s="41"/>
      <c r="E82" s="76"/>
      <c r="F82" s="76"/>
      <c r="G82" s="33"/>
      <c r="H82" s="86"/>
      <c r="I82" s="33"/>
      <c r="J82" s="33"/>
      <c r="K82" s="33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</row>
    <row r="83" spans="1:40" x14ac:dyDescent="0.2">
      <c r="A83" s="33"/>
      <c r="B83" s="33"/>
      <c r="C83" s="36"/>
      <c r="D83" s="41"/>
      <c r="E83" s="76"/>
      <c r="F83" s="76"/>
      <c r="G83" s="33"/>
      <c r="H83" s="86"/>
      <c r="I83" s="33"/>
      <c r="J83" s="33"/>
      <c r="K83" s="33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</row>
    <row r="84" spans="1:40" x14ac:dyDescent="0.2">
      <c r="A84" s="33"/>
      <c r="B84" s="33"/>
      <c r="C84" s="36"/>
      <c r="D84" s="40"/>
      <c r="E84" s="76"/>
      <c r="F84" s="76"/>
      <c r="G84" s="33"/>
      <c r="H84" s="33"/>
      <c r="I84" s="33"/>
      <c r="J84" s="33"/>
      <c r="K84" s="33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</row>
    <row r="85" spans="1:40" x14ac:dyDescent="0.2">
      <c r="A85" s="33"/>
      <c r="B85" s="33"/>
      <c r="C85" s="36"/>
      <c r="D85" s="40"/>
      <c r="E85" s="76"/>
      <c r="F85" s="76"/>
      <c r="G85" s="33"/>
      <c r="H85" s="33"/>
      <c r="I85" s="33"/>
      <c r="J85" s="33"/>
      <c r="K85" s="33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</row>
    <row r="86" spans="1:40" x14ac:dyDescent="0.2">
      <c r="A86" s="33"/>
      <c r="B86" s="33"/>
      <c r="C86" s="36"/>
      <c r="D86" s="40"/>
      <c r="E86" s="76"/>
      <c r="F86" s="76"/>
      <c r="G86" s="33"/>
      <c r="H86" s="33"/>
      <c r="I86" s="33"/>
      <c r="J86" s="33"/>
      <c r="K86" s="33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</row>
    <row r="87" spans="1:40" x14ac:dyDescent="0.2">
      <c r="A87" s="33"/>
      <c r="B87" s="33"/>
      <c r="C87" s="36"/>
      <c r="D87" s="40"/>
      <c r="E87" s="76"/>
      <c r="F87" s="76"/>
      <c r="G87" s="33"/>
      <c r="H87" s="33"/>
      <c r="I87" s="33"/>
      <c r="J87" s="33"/>
      <c r="K87" s="33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</row>
    <row r="88" spans="1:40" x14ac:dyDescent="0.2">
      <c r="A88" s="33"/>
      <c r="B88" s="33"/>
      <c r="C88" s="36"/>
      <c r="D88" s="36"/>
      <c r="E88" s="76"/>
      <c r="F88" s="76"/>
      <c r="G88" s="33"/>
      <c r="H88" s="33"/>
      <c r="I88" s="33"/>
      <c r="J88" s="33"/>
      <c r="K88" s="33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</row>
    <row r="89" spans="1:40" x14ac:dyDescent="0.2">
      <c r="A89" s="33"/>
      <c r="B89" s="33"/>
      <c r="C89" s="36"/>
      <c r="D89" s="120"/>
      <c r="E89" s="76"/>
      <c r="F89" s="76"/>
      <c r="G89" s="33"/>
      <c r="H89" s="121"/>
      <c r="I89" s="33"/>
      <c r="J89" s="33"/>
      <c r="K89" s="33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</row>
    <row r="90" spans="1:40" x14ac:dyDescent="0.2">
      <c r="A90" s="33"/>
      <c r="B90" s="33"/>
      <c r="C90" s="36"/>
      <c r="D90" s="36"/>
      <c r="E90" s="76"/>
      <c r="F90" s="76"/>
      <c r="G90" s="33"/>
      <c r="H90" s="121"/>
      <c r="I90" s="33"/>
      <c r="J90" s="33"/>
      <c r="K90" s="33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</row>
    <row r="91" spans="1:40" x14ac:dyDescent="0.2">
      <c r="A91" s="33"/>
      <c r="B91" s="33"/>
      <c r="C91" s="36"/>
      <c r="D91" s="40"/>
      <c r="E91" s="76"/>
      <c r="F91" s="76"/>
      <c r="G91" s="33"/>
      <c r="H91" s="114"/>
      <c r="I91" s="33"/>
      <c r="J91" s="33"/>
      <c r="K91" s="33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</row>
    <row r="92" spans="1:40" x14ac:dyDescent="0.2">
      <c r="A92" s="33"/>
      <c r="B92" s="33"/>
      <c r="C92" s="36"/>
      <c r="D92" s="40"/>
      <c r="E92" s="76"/>
      <c r="F92" s="76"/>
      <c r="G92" s="33"/>
      <c r="H92" s="114"/>
      <c r="I92" s="33"/>
      <c r="J92" s="33"/>
      <c r="K92" s="33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</row>
    <row r="93" spans="1:40" x14ac:dyDescent="0.2">
      <c r="A93" s="33"/>
      <c r="B93" s="33"/>
      <c r="C93" s="36"/>
      <c r="D93" s="40"/>
      <c r="E93" s="76"/>
      <c r="F93" s="76"/>
      <c r="G93" s="33"/>
      <c r="H93" s="114"/>
      <c r="I93" s="33"/>
      <c r="J93" s="33"/>
      <c r="K93" s="33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</row>
    <row r="94" spans="1:40" x14ac:dyDescent="0.2">
      <c r="A94" s="33"/>
      <c r="B94" s="33"/>
      <c r="C94" s="36"/>
      <c r="D94" s="36"/>
      <c r="E94" s="76"/>
      <c r="F94" s="76"/>
      <c r="G94" s="33"/>
      <c r="H94" s="33"/>
      <c r="I94" s="33"/>
      <c r="J94" s="33"/>
      <c r="K94" s="33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</row>
    <row r="95" spans="1:40" x14ac:dyDescent="0.2">
      <c r="A95" s="33"/>
      <c r="B95" s="33"/>
      <c r="C95" s="36"/>
      <c r="D95" s="36"/>
      <c r="E95" s="76"/>
      <c r="F95" s="76"/>
      <c r="G95" s="33"/>
      <c r="H95" s="33"/>
      <c r="I95" s="33"/>
      <c r="J95" s="33"/>
      <c r="K95" s="33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</row>
    <row r="96" spans="1:40" x14ac:dyDescent="0.2">
      <c r="A96" s="33"/>
      <c r="B96" s="33"/>
      <c r="C96" s="36"/>
      <c r="D96" s="36"/>
      <c r="E96" s="76"/>
      <c r="F96" s="76"/>
      <c r="G96" s="33"/>
      <c r="H96" s="117"/>
      <c r="I96" s="33"/>
      <c r="J96" s="33"/>
      <c r="K96" s="33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</row>
    <row r="97" spans="1:40" x14ac:dyDescent="0.2">
      <c r="A97" s="33"/>
      <c r="B97" s="33"/>
      <c r="C97" s="36"/>
      <c r="D97" s="37"/>
      <c r="E97" s="76"/>
      <c r="F97" s="119"/>
      <c r="G97" s="33"/>
      <c r="H97" s="116"/>
      <c r="I97" s="33"/>
      <c r="J97" s="76"/>
      <c r="K97" s="33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</row>
    <row r="98" spans="1:40" x14ac:dyDescent="0.2">
      <c r="A98" s="33"/>
      <c r="B98" s="33"/>
      <c r="C98" s="36"/>
      <c r="D98" s="36"/>
      <c r="E98" s="76"/>
      <c r="F98" s="76"/>
      <c r="G98" s="33"/>
      <c r="H98" s="33"/>
      <c r="I98" s="33"/>
      <c r="J98" s="33"/>
      <c r="K98" s="33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</row>
    <row r="99" spans="1:40" x14ac:dyDescent="0.2">
      <c r="A99" s="33"/>
      <c r="B99" s="33"/>
      <c r="C99" s="36"/>
      <c r="D99" s="36"/>
      <c r="E99" s="76"/>
      <c r="F99" s="76"/>
      <c r="G99" s="33"/>
      <c r="H99" s="33"/>
      <c r="I99" s="33"/>
      <c r="J99" s="33"/>
      <c r="K99" s="33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</row>
    <row r="100" spans="1:40" x14ac:dyDescent="0.2">
      <c r="A100" s="114"/>
      <c r="B100" s="84"/>
      <c r="C100" s="39"/>
      <c r="D100" s="39"/>
      <c r="E100" s="76"/>
      <c r="F100" s="76"/>
      <c r="G100" s="33"/>
      <c r="H100" s="84"/>
      <c r="I100" s="33"/>
      <c r="J100" s="33"/>
      <c r="K100" s="33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</row>
    <row r="101" spans="1:40" x14ac:dyDescent="0.2">
      <c r="A101" s="114"/>
      <c r="B101" s="84"/>
      <c r="C101" s="39"/>
      <c r="D101" s="39"/>
      <c r="E101" s="76"/>
      <c r="F101" s="76"/>
      <c r="G101" s="33"/>
      <c r="H101" s="105"/>
      <c r="I101" s="33"/>
      <c r="J101" s="33"/>
      <c r="K101" s="33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</row>
    <row r="102" spans="1:40" x14ac:dyDescent="0.2">
      <c r="A102" s="33"/>
      <c r="B102" s="108"/>
      <c r="C102" s="36"/>
      <c r="D102" s="36"/>
      <c r="E102" s="76"/>
      <c r="F102" s="48"/>
      <c r="G102" s="33"/>
      <c r="H102" s="33"/>
      <c r="I102" s="33"/>
      <c r="J102" s="33"/>
      <c r="K102" s="33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</row>
    <row r="103" spans="1:40" x14ac:dyDescent="0.2">
      <c r="A103" s="33"/>
      <c r="B103" s="33"/>
      <c r="C103" s="36"/>
      <c r="D103" s="39"/>
      <c r="E103" s="76"/>
      <c r="F103" s="76"/>
      <c r="G103" s="33"/>
      <c r="H103" s="122"/>
      <c r="I103" s="33"/>
      <c r="J103" s="33"/>
      <c r="K103" s="33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</row>
    <row r="104" spans="1:40" x14ac:dyDescent="0.2">
      <c r="A104" s="33"/>
      <c r="B104" s="33"/>
      <c r="C104" s="36"/>
      <c r="D104" s="39"/>
      <c r="E104" s="76"/>
      <c r="F104" s="76"/>
      <c r="G104" s="33"/>
      <c r="H104" s="114"/>
      <c r="I104" s="33"/>
      <c r="J104" s="33"/>
      <c r="K104" s="33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</row>
    <row r="105" spans="1:40" x14ac:dyDescent="0.2">
      <c r="A105" s="33"/>
      <c r="B105" s="33"/>
      <c r="C105" s="36"/>
      <c r="D105" s="39"/>
      <c r="E105" s="76"/>
      <c r="F105" s="76"/>
      <c r="G105" s="33"/>
      <c r="H105" s="118"/>
      <c r="I105" s="33"/>
      <c r="J105" s="33"/>
      <c r="K105" s="33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0" x14ac:dyDescent="0.2">
      <c r="A106" s="33"/>
      <c r="B106" s="33"/>
      <c r="C106" s="36"/>
      <c r="D106" s="39"/>
      <c r="E106" s="76"/>
      <c r="F106" s="76"/>
      <c r="G106" s="33"/>
      <c r="H106" s="114"/>
      <c r="I106" s="33"/>
      <c r="J106" s="33"/>
      <c r="K106" s="33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0" x14ac:dyDescent="0.2">
      <c r="A107" s="114"/>
      <c r="B107" s="84"/>
      <c r="C107" s="39"/>
      <c r="D107" s="39"/>
      <c r="E107" s="76"/>
      <c r="F107" s="76"/>
      <c r="G107" s="33"/>
      <c r="H107" s="84"/>
      <c r="I107" s="33"/>
      <c r="J107" s="33"/>
      <c r="K107" s="33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0" x14ac:dyDescent="0.2">
      <c r="A108" s="114"/>
      <c r="B108" s="84"/>
      <c r="C108" s="39"/>
      <c r="D108" s="39"/>
      <c r="E108" s="76"/>
      <c r="F108" s="48"/>
      <c r="G108" s="33"/>
      <c r="H108" s="105"/>
      <c r="I108" s="33"/>
      <c r="J108" s="33"/>
      <c r="K108" s="33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0" x14ac:dyDescent="0.2">
      <c r="A109" s="84"/>
      <c r="B109" s="84"/>
      <c r="C109" s="39"/>
      <c r="D109" s="36"/>
      <c r="E109" s="76"/>
      <c r="F109" s="76"/>
      <c r="G109" s="33"/>
      <c r="H109" s="117"/>
      <c r="I109" s="33"/>
      <c r="J109" s="33"/>
      <c r="K109" s="33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0" x14ac:dyDescent="0.2">
      <c r="A110" s="33"/>
      <c r="B110" s="33"/>
      <c r="C110" s="36"/>
      <c r="D110" s="42"/>
      <c r="E110" s="76"/>
      <c r="F110" s="76"/>
      <c r="G110" s="33"/>
      <c r="H110" s="86"/>
      <c r="I110" s="33"/>
      <c r="J110" s="33"/>
      <c r="K110" s="33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0" x14ac:dyDescent="0.2">
      <c r="A111" s="33"/>
      <c r="B111" s="33"/>
      <c r="C111" s="108"/>
      <c r="D111" s="39"/>
      <c r="E111" s="76"/>
      <c r="F111" s="76"/>
      <c r="G111" s="33"/>
      <c r="H111" s="109"/>
      <c r="I111" s="33"/>
      <c r="J111" s="33"/>
      <c r="K111" s="33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0" x14ac:dyDescent="0.2">
      <c r="A112" s="33"/>
      <c r="B112" s="33"/>
      <c r="C112" s="108"/>
      <c r="D112" s="39"/>
      <c r="E112" s="76"/>
      <c r="F112" s="76"/>
      <c r="G112" s="33"/>
      <c r="H112" s="109"/>
      <c r="I112" s="33"/>
      <c r="J112" s="33"/>
      <c r="K112" s="33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1:40" x14ac:dyDescent="0.2">
      <c r="A113" s="33"/>
      <c r="B113" s="33"/>
      <c r="C113" s="108"/>
      <c r="D113" s="39"/>
      <c r="E113" s="76"/>
      <c r="F113" s="76"/>
      <c r="G113" s="33"/>
      <c r="H113" s="105"/>
      <c r="I113" s="33"/>
      <c r="J113" s="33"/>
      <c r="K113" s="33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1:40" x14ac:dyDescent="0.2">
      <c r="A114" s="33"/>
      <c r="B114" s="33"/>
      <c r="C114" s="108"/>
      <c r="D114" s="39"/>
      <c r="E114" s="76"/>
      <c r="F114" s="76"/>
      <c r="G114" s="33"/>
      <c r="H114" s="84"/>
      <c r="I114" s="33"/>
      <c r="J114" s="33"/>
      <c r="K114" s="33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1:40" x14ac:dyDescent="0.2">
      <c r="A115" s="33"/>
      <c r="B115" s="33"/>
      <c r="C115" s="108"/>
      <c r="D115" s="39"/>
      <c r="E115" s="76"/>
      <c r="F115" s="76"/>
      <c r="G115" s="33"/>
      <c r="H115" s="84"/>
      <c r="I115" s="33"/>
      <c r="J115" s="33"/>
      <c r="K115" s="33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1:40" x14ac:dyDescent="0.2">
      <c r="A116" s="33"/>
      <c r="B116" s="33"/>
      <c r="C116" s="108"/>
      <c r="D116" s="39"/>
      <c r="E116" s="76"/>
      <c r="F116" s="76"/>
      <c r="G116" s="33"/>
      <c r="H116" s="109"/>
      <c r="I116" s="33"/>
      <c r="J116" s="33"/>
      <c r="K116" s="33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1:40" x14ac:dyDescent="0.2">
      <c r="A117" s="108"/>
      <c r="B117" s="84"/>
      <c r="C117" s="108"/>
      <c r="D117" s="39"/>
      <c r="E117" s="76"/>
      <c r="F117" s="76"/>
      <c r="G117" s="33"/>
      <c r="H117" s="84"/>
      <c r="I117" s="33"/>
      <c r="J117" s="33"/>
      <c r="K117" s="33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  <row r="118" spans="1:40" x14ac:dyDescent="0.2">
      <c r="A118" s="108"/>
      <c r="B118" s="84"/>
      <c r="C118" s="108"/>
      <c r="D118" s="36"/>
      <c r="E118" s="76"/>
      <c r="F118" s="76"/>
      <c r="G118" s="33"/>
      <c r="H118" s="84"/>
      <c r="I118" s="33"/>
      <c r="J118" s="33"/>
      <c r="K118" s="33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</row>
    <row r="119" spans="1:40" x14ac:dyDescent="0.2">
      <c r="A119" s="108"/>
      <c r="B119" s="84"/>
      <c r="C119" s="108"/>
      <c r="D119" s="39"/>
      <c r="E119" s="76"/>
      <c r="F119" s="76"/>
      <c r="G119" s="33"/>
      <c r="H119" s="84"/>
      <c r="I119" s="33"/>
      <c r="J119" s="33"/>
      <c r="K119" s="33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</row>
    <row r="120" spans="1:40" x14ac:dyDescent="0.2">
      <c r="A120" s="114"/>
      <c r="B120" s="84"/>
      <c r="C120" s="39"/>
      <c r="D120" s="39"/>
      <c r="E120" s="76"/>
      <c r="F120" s="76"/>
      <c r="G120" s="33"/>
      <c r="H120" s="105"/>
      <c r="I120" s="33"/>
      <c r="J120" s="33"/>
      <c r="K120" s="33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</row>
    <row r="121" spans="1:40" x14ac:dyDescent="0.2">
      <c r="A121" s="114"/>
      <c r="B121" s="84"/>
      <c r="C121" s="39"/>
      <c r="D121" s="39"/>
      <c r="E121" s="76"/>
      <c r="F121" s="76"/>
      <c r="G121" s="33"/>
      <c r="H121" s="105"/>
      <c r="I121" s="33"/>
      <c r="J121" s="33"/>
      <c r="K121" s="33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</row>
    <row r="122" spans="1:40" x14ac:dyDescent="0.2">
      <c r="A122" s="36"/>
      <c r="B122" s="33"/>
      <c r="C122" s="36"/>
      <c r="D122" s="39"/>
      <c r="E122" s="76"/>
      <c r="F122" s="76"/>
      <c r="G122" s="33"/>
      <c r="H122" s="117"/>
      <c r="I122" s="33"/>
      <c r="J122" s="33"/>
      <c r="K122" s="33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</row>
    <row r="123" spans="1:40" x14ac:dyDescent="0.2">
      <c r="A123" s="33"/>
      <c r="B123" s="33"/>
      <c r="C123" s="36"/>
      <c r="D123" s="39"/>
      <c r="E123" s="76"/>
      <c r="F123" s="76"/>
      <c r="G123" s="33"/>
      <c r="H123" s="117"/>
      <c r="I123" s="33"/>
      <c r="J123" s="33"/>
      <c r="K123" s="33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</row>
    <row r="124" spans="1:40" x14ac:dyDescent="0.2">
      <c r="A124" s="33"/>
      <c r="B124" s="33"/>
      <c r="C124" s="36"/>
      <c r="D124" s="41"/>
      <c r="E124" s="76"/>
      <c r="F124" s="76"/>
      <c r="G124" s="33"/>
      <c r="H124" s="33"/>
      <c r="I124" s="33"/>
      <c r="J124" s="33"/>
      <c r="K124" s="33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</row>
    <row r="125" spans="1:40" x14ac:dyDescent="0.2">
      <c r="A125" s="33"/>
      <c r="B125" s="33"/>
      <c r="C125" s="36"/>
      <c r="D125" s="41"/>
      <c r="E125" s="76"/>
      <c r="F125" s="76"/>
      <c r="G125" s="33"/>
      <c r="H125" s="33"/>
      <c r="I125" s="33"/>
      <c r="J125" s="33"/>
      <c r="K125" s="33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</row>
    <row r="126" spans="1:40" x14ac:dyDescent="0.2">
      <c r="A126" s="33"/>
      <c r="B126" s="33"/>
      <c r="C126" s="36"/>
      <c r="D126" s="41"/>
      <c r="E126" s="76"/>
      <c r="F126" s="76"/>
      <c r="G126" s="33"/>
      <c r="H126" s="33"/>
      <c r="I126" s="33"/>
      <c r="J126" s="33"/>
      <c r="K126" s="33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</row>
    <row r="127" spans="1:40" x14ac:dyDescent="0.2">
      <c r="A127" s="33"/>
      <c r="B127" s="33"/>
      <c r="C127" s="36"/>
      <c r="D127" s="41"/>
      <c r="E127" s="76"/>
      <c r="F127" s="76"/>
      <c r="G127" s="33"/>
      <c r="H127" s="33"/>
      <c r="I127" s="33"/>
      <c r="J127" s="33"/>
      <c r="K127" s="33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</row>
    <row r="128" spans="1:40" x14ac:dyDescent="0.2">
      <c r="A128" s="33"/>
      <c r="B128" s="33"/>
      <c r="C128" s="36"/>
      <c r="D128" s="41"/>
      <c r="E128" s="76"/>
      <c r="F128" s="76"/>
      <c r="G128" s="33"/>
      <c r="H128" s="123"/>
      <c r="I128" s="33"/>
      <c r="J128" s="33"/>
      <c r="K128" s="33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</row>
    <row r="129" spans="1:40" x14ac:dyDescent="0.2">
      <c r="A129" s="33"/>
      <c r="B129" s="33"/>
      <c r="C129" s="36"/>
      <c r="D129" s="36"/>
      <c r="E129" s="76"/>
      <c r="F129" s="76"/>
      <c r="G129" s="33"/>
      <c r="H129" s="33"/>
      <c r="I129" s="33"/>
      <c r="J129" s="33"/>
      <c r="K129" s="33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</row>
    <row r="130" spans="1:40" x14ac:dyDescent="0.2">
      <c r="A130" s="33"/>
      <c r="B130" s="33"/>
      <c r="C130" s="36"/>
      <c r="D130" s="36"/>
      <c r="E130" s="76"/>
      <c r="F130" s="76"/>
      <c r="G130" s="33"/>
      <c r="H130" s="33"/>
      <c r="I130" s="33"/>
      <c r="J130" s="33"/>
      <c r="K130" s="33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</row>
    <row r="131" spans="1:40" x14ac:dyDescent="0.2">
      <c r="A131" s="33"/>
      <c r="B131" s="33"/>
      <c r="C131" s="36"/>
      <c r="D131" s="36"/>
      <c r="E131" s="76"/>
      <c r="F131" s="76"/>
      <c r="G131" s="33"/>
      <c r="H131" s="33"/>
      <c r="I131" s="33"/>
      <c r="J131" s="33"/>
      <c r="K131" s="33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</row>
    <row r="132" spans="1:40" x14ac:dyDescent="0.2">
      <c r="A132" s="33"/>
      <c r="B132" s="33"/>
      <c r="C132" s="36"/>
      <c r="D132" s="36"/>
      <c r="E132" s="76"/>
      <c r="F132" s="76"/>
      <c r="G132" s="33"/>
      <c r="H132" s="117"/>
      <c r="I132" s="33"/>
      <c r="J132" s="33"/>
      <c r="K132" s="33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</row>
    <row r="133" spans="1:40" x14ac:dyDescent="0.2">
      <c r="A133" s="33"/>
      <c r="B133" s="33"/>
      <c r="C133" s="36"/>
      <c r="D133" s="36"/>
      <c r="E133" s="76"/>
      <c r="F133" s="76"/>
      <c r="G133" s="33"/>
      <c r="H133" s="117"/>
      <c r="I133" s="33"/>
      <c r="J133" s="33"/>
      <c r="K133" s="33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</row>
    <row r="134" spans="1:40" x14ac:dyDescent="0.2">
      <c r="A134" s="33"/>
      <c r="B134" s="33"/>
      <c r="C134" s="36"/>
      <c r="D134" s="37"/>
      <c r="E134" s="76"/>
      <c r="F134" s="76"/>
      <c r="G134" s="33"/>
      <c r="H134" s="124"/>
      <c r="I134" s="33"/>
      <c r="J134" s="76"/>
      <c r="K134" s="33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</row>
    <row r="135" spans="1:40" x14ac:dyDescent="0.2">
      <c r="A135" s="33"/>
      <c r="B135" s="33"/>
      <c r="C135" s="36"/>
      <c r="D135" s="36"/>
      <c r="E135" s="76"/>
      <c r="F135" s="76"/>
      <c r="G135" s="33"/>
      <c r="H135" s="117"/>
      <c r="I135" s="33"/>
      <c r="J135" s="33"/>
      <c r="K135" s="33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</row>
    <row r="136" spans="1:40" x14ac:dyDescent="0.2">
      <c r="A136" s="33"/>
      <c r="B136" s="33"/>
      <c r="C136" s="36"/>
      <c r="D136" s="36"/>
      <c r="E136" s="76"/>
      <c r="F136" s="76"/>
      <c r="G136" s="33"/>
      <c r="H136" s="33"/>
      <c r="I136" s="33"/>
      <c r="J136" s="33"/>
      <c r="K136" s="33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</row>
    <row r="137" spans="1:40" x14ac:dyDescent="0.2">
      <c r="A137" s="33"/>
      <c r="B137" s="33"/>
      <c r="C137" s="36"/>
      <c r="D137" s="39"/>
      <c r="E137" s="76"/>
      <c r="F137" s="76"/>
      <c r="G137" s="33"/>
      <c r="H137" s="33"/>
      <c r="I137" s="33"/>
      <c r="J137" s="33"/>
      <c r="K137" s="33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</row>
    <row r="138" spans="1:40" x14ac:dyDescent="0.2">
      <c r="A138" s="33"/>
      <c r="B138" s="33"/>
      <c r="C138" s="36"/>
      <c r="D138" s="39"/>
      <c r="E138" s="76"/>
      <c r="F138" s="76"/>
      <c r="G138" s="33"/>
      <c r="H138" s="33"/>
      <c r="I138" s="33"/>
      <c r="J138" s="33"/>
      <c r="K138" s="33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</row>
    <row r="139" spans="1:40" x14ac:dyDescent="0.2">
      <c r="A139" s="33"/>
      <c r="B139" s="33"/>
      <c r="C139" s="36"/>
      <c r="D139" s="39"/>
      <c r="E139" s="76"/>
      <c r="F139" s="76"/>
      <c r="G139" s="33"/>
      <c r="H139" s="33"/>
      <c r="I139" s="33"/>
      <c r="J139" s="33"/>
      <c r="K139" s="33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</row>
    <row r="140" spans="1:40" x14ac:dyDescent="0.2">
      <c r="A140" s="114"/>
      <c r="B140" s="84"/>
      <c r="C140" s="39"/>
      <c r="D140" s="39"/>
      <c r="E140" s="76"/>
      <c r="F140" s="48"/>
      <c r="G140" s="33"/>
      <c r="H140" s="105"/>
      <c r="I140" s="33"/>
      <c r="J140" s="33"/>
      <c r="K140" s="33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</row>
    <row r="141" spans="1:40" x14ac:dyDescent="0.2">
      <c r="A141" s="33"/>
      <c r="B141" s="33"/>
      <c r="C141" s="36"/>
      <c r="D141" s="39"/>
      <c r="E141" s="76"/>
      <c r="F141" s="76"/>
      <c r="G141" s="33"/>
      <c r="H141" s="125"/>
      <c r="I141" s="33"/>
      <c r="J141" s="33"/>
      <c r="K141" s="33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</row>
    <row r="142" spans="1:40" x14ac:dyDescent="0.2">
      <c r="A142" s="33"/>
      <c r="B142" s="33"/>
      <c r="C142" s="36"/>
      <c r="D142" s="39"/>
      <c r="E142" s="76"/>
      <c r="F142" s="76"/>
      <c r="G142" s="33"/>
      <c r="H142" s="118"/>
      <c r="I142" s="33"/>
      <c r="J142" s="33"/>
      <c r="K142" s="33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</row>
    <row r="143" spans="1:40" x14ac:dyDescent="0.2">
      <c r="A143" s="33"/>
      <c r="B143" s="33"/>
      <c r="C143" s="36"/>
      <c r="D143" s="39"/>
      <c r="E143" s="76"/>
      <c r="F143" s="76"/>
      <c r="G143" s="33"/>
      <c r="H143" s="118"/>
      <c r="I143" s="33"/>
      <c r="J143" s="33"/>
      <c r="K143" s="33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</row>
    <row r="144" spans="1:40" x14ac:dyDescent="0.2">
      <c r="A144" s="33"/>
      <c r="B144" s="33"/>
      <c r="C144" s="36"/>
      <c r="D144" s="39"/>
      <c r="E144" s="76"/>
      <c r="F144" s="76"/>
      <c r="G144" s="33"/>
      <c r="H144" s="114"/>
      <c r="I144" s="33"/>
      <c r="J144" s="33"/>
      <c r="K144" s="33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</row>
    <row r="145" spans="1:40" x14ac:dyDescent="0.2">
      <c r="A145" s="114"/>
      <c r="B145" s="84"/>
      <c r="C145" s="39"/>
      <c r="D145" s="39"/>
      <c r="E145" s="76"/>
      <c r="F145" s="48"/>
      <c r="G145" s="33"/>
      <c r="H145" s="105"/>
      <c r="I145" s="33"/>
      <c r="J145" s="33"/>
      <c r="K145" s="33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</row>
    <row r="146" spans="1:40" x14ac:dyDescent="0.2">
      <c r="A146" s="84"/>
      <c r="B146" s="84"/>
      <c r="C146" s="39"/>
      <c r="D146" s="42"/>
      <c r="E146" s="76"/>
      <c r="F146" s="76"/>
      <c r="G146" s="33"/>
      <c r="H146" s="86"/>
      <c r="I146" s="33"/>
      <c r="J146" s="33"/>
      <c r="K146" s="33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</row>
    <row r="147" spans="1:40" x14ac:dyDescent="0.2">
      <c r="A147" s="33"/>
      <c r="B147" s="33"/>
      <c r="C147" s="36"/>
      <c r="D147" s="40"/>
      <c r="E147" s="76"/>
      <c r="F147" s="76"/>
      <c r="G147" s="33"/>
      <c r="H147" s="33"/>
      <c r="I147" s="33"/>
      <c r="J147" s="33"/>
      <c r="K147" s="33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</row>
    <row r="148" spans="1:40" x14ac:dyDescent="0.2">
      <c r="A148" s="33"/>
      <c r="B148" s="33"/>
      <c r="C148" s="108"/>
      <c r="D148" s="39"/>
      <c r="E148" s="76"/>
      <c r="F148" s="76"/>
      <c r="G148" s="33"/>
      <c r="H148" s="84"/>
      <c r="I148" s="33"/>
      <c r="J148" s="33"/>
      <c r="K148" s="33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</row>
    <row r="149" spans="1:40" x14ac:dyDescent="0.2">
      <c r="A149" s="33"/>
      <c r="B149" s="33"/>
      <c r="C149" s="108"/>
      <c r="D149" s="39"/>
      <c r="E149" s="76"/>
      <c r="F149" s="76"/>
      <c r="G149" s="33"/>
      <c r="H149" s="125"/>
      <c r="I149" s="33"/>
      <c r="J149" s="33"/>
      <c r="K149" s="33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</row>
    <row r="150" spans="1:40" x14ac:dyDescent="0.2">
      <c r="A150" s="33"/>
      <c r="B150" s="33"/>
      <c r="C150" s="108"/>
      <c r="D150" s="39"/>
      <c r="E150" s="76"/>
      <c r="F150" s="76"/>
      <c r="G150" s="33"/>
      <c r="H150" s="84"/>
      <c r="I150" s="33"/>
      <c r="J150" s="33"/>
      <c r="K150" s="33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</row>
    <row r="151" spans="1:40" x14ac:dyDescent="0.2">
      <c r="A151" s="114"/>
      <c r="B151" s="84"/>
      <c r="C151" s="39"/>
      <c r="D151" s="39"/>
      <c r="E151" s="76"/>
      <c r="F151" s="48"/>
      <c r="G151" s="33"/>
      <c r="H151" s="125"/>
      <c r="I151" s="33"/>
      <c r="J151" s="33"/>
      <c r="K151" s="33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</row>
    <row r="152" spans="1:40" x14ac:dyDescent="0.2">
      <c r="A152" s="114"/>
      <c r="B152" s="84"/>
      <c r="C152" s="39"/>
      <c r="D152" s="39"/>
      <c r="E152" s="76"/>
      <c r="F152" s="48"/>
      <c r="G152" s="33"/>
      <c r="H152" s="125"/>
      <c r="I152" s="33"/>
      <c r="J152" s="33"/>
      <c r="K152" s="33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</row>
    <row r="153" spans="1:40" x14ac:dyDescent="0.2">
      <c r="A153" s="33"/>
      <c r="B153" s="33"/>
      <c r="C153" s="36"/>
      <c r="D153" s="41"/>
      <c r="E153" s="76"/>
      <c r="F153" s="76"/>
      <c r="G153" s="33"/>
      <c r="H153" s="126"/>
      <c r="I153" s="33"/>
      <c r="J153" s="33"/>
      <c r="K153" s="33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</row>
    <row r="154" spans="1:40" x14ac:dyDescent="0.2">
      <c r="A154" s="33"/>
      <c r="B154" s="33"/>
      <c r="C154" s="36"/>
      <c r="D154" s="41"/>
      <c r="E154" s="76"/>
      <c r="F154" s="76"/>
      <c r="G154" s="33"/>
      <c r="H154" s="126"/>
      <c r="I154" s="33"/>
      <c r="J154" s="33"/>
      <c r="K154" s="33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</row>
    <row r="155" spans="1:40" x14ac:dyDescent="0.2">
      <c r="A155" s="33"/>
      <c r="B155" s="33"/>
      <c r="C155" s="36"/>
      <c r="D155" s="41"/>
      <c r="E155" s="76"/>
      <c r="F155" s="76"/>
      <c r="G155" s="33"/>
      <c r="H155" s="126"/>
      <c r="I155" s="33"/>
      <c r="J155" s="33"/>
      <c r="K155" s="33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</row>
    <row r="156" spans="1:40" x14ac:dyDescent="0.2">
      <c r="A156" s="33"/>
      <c r="B156" s="33"/>
      <c r="C156" s="36"/>
      <c r="D156" s="41"/>
      <c r="E156" s="76"/>
      <c r="F156" s="76"/>
      <c r="G156" s="33"/>
      <c r="H156" s="126"/>
      <c r="I156" s="33"/>
      <c r="J156" s="33"/>
      <c r="K156" s="33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</row>
    <row r="157" spans="1:40" x14ac:dyDescent="0.2">
      <c r="A157" s="33"/>
      <c r="B157" s="33"/>
      <c r="C157" s="36"/>
      <c r="D157" s="41"/>
      <c r="E157" s="76"/>
      <c r="F157" s="76"/>
      <c r="G157" s="33"/>
      <c r="H157" s="127"/>
      <c r="I157" s="33"/>
      <c r="J157" s="33"/>
      <c r="K157" s="33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</row>
    <row r="158" spans="1:40" x14ac:dyDescent="0.2">
      <c r="A158" s="33"/>
      <c r="B158" s="33"/>
      <c r="C158" s="36"/>
      <c r="D158" s="36"/>
      <c r="E158" s="76"/>
      <c r="F158" s="76"/>
      <c r="G158" s="33"/>
      <c r="H158" s="33"/>
      <c r="I158" s="33"/>
      <c r="J158" s="33"/>
      <c r="K158" s="33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</row>
    <row r="159" spans="1:40" x14ac:dyDescent="0.2">
      <c r="A159" s="33"/>
      <c r="B159" s="33"/>
      <c r="C159" s="36"/>
      <c r="D159" s="36"/>
      <c r="E159" s="76"/>
      <c r="F159" s="76"/>
      <c r="G159" s="33"/>
      <c r="H159" s="33"/>
      <c r="I159" s="33"/>
      <c r="J159" s="33"/>
      <c r="K159" s="33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</row>
    <row r="160" spans="1:40" x14ac:dyDescent="0.2">
      <c r="A160" s="33"/>
      <c r="B160" s="33"/>
      <c r="C160" s="36"/>
      <c r="D160" s="36"/>
      <c r="E160" s="76"/>
      <c r="F160" s="76"/>
      <c r="G160" s="33"/>
      <c r="H160" s="33"/>
      <c r="I160" s="33"/>
      <c r="J160" s="33"/>
      <c r="K160" s="33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</row>
    <row r="161" spans="1:40" x14ac:dyDescent="0.2">
      <c r="A161" s="33"/>
      <c r="B161" s="33"/>
      <c r="C161" s="36"/>
      <c r="D161" s="42"/>
      <c r="E161" s="76"/>
      <c r="F161" s="76"/>
      <c r="G161" s="33"/>
      <c r="H161" s="86"/>
      <c r="I161" s="33"/>
      <c r="J161" s="33"/>
      <c r="K161" s="33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</row>
    <row r="162" spans="1:40" x14ac:dyDescent="0.2">
      <c r="A162" s="33"/>
      <c r="B162" s="33"/>
      <c r="C162" s="36"/>
      <c r="D162" s="42"/>
      <c r="E162" s="76"/>
      <c r="F162" s="76"/>
      <c r="G162" s="33"/>
      <c r="H162" s="86"/>
      <c r="I162" s="33"/>
      <c r="J162" s="33"/>
      <c r="K162" s="33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</row>
    <row r="163" spans="1:40" x14ac:dyDescent="0.2">
      <c r="A163" s="33"/>
      <c r="B163" s="33"/>
      <c r="C163" s="36"/>
      <c r="D163" s="42"/>
      <c r="E163" s="76"/>
      <c r="F163" s="76"/>
      <c r="G163" s="33"/>
      <c r="H163" s="86"/>
      <c r="I163" s="33"/>
      <c r="J163" s="33"/>
      <c r="K163" s="33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</row>
    <row r="164" spans="1:40" x14ac:dyDescent="0.2">
      <c r="A164" s="33"/>
      <c r="B164" s="33"/>
      <c r="C164" s="36"/>
      <c r="D164" s="42"/>
      <c r="E164" s="76"/>
      <c r="F164" s="76"/>
      <c r="G164" s="33"/>
      <c r="H164" s="86"/>
      <c r="I164" s="33"/>
      <c r="J164" s="33"/>
      <c r="K164" s="33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</row>
    <row r="165" spans="1:40" x14ac:dyDescent="0.2">
      <c r="A165" s="33"/>
      <c r="B165" s="33"/>
      <c r="C165" s="36"/>
      <c r="D165" s="42"/>
      <c r="E165" s="76"/>
      <c r="F165" s="76"/>
      <c r="G165" s="33"/>
      <c r="H165" s="86"/>
      <c r="I165" s="33"/>
      <c r="J165" s="33"/>
      <c r="K165" s="33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</row>
    <row r="166" spans="1:40" x14ac:dyDescent="0.2">
      <c r="A166" s="33"/>
      <c r="B166" s="33"/>
      <c r="C166" s="36"/>
      <c r="D166" s="36"/>
      <c r="E166" s="76"/>
      <c r="F166" s="76"/>
      <c r="G166" s="33"/>
      <c r="H166" s="117"/>
      <c r="I166" s="33"/>
      <c r="J166" s="33"/>
      <c r="K166" s="33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</row>
    <row r="167" spans="1:40" x14ac:dyDescent="0.2">
      <c r="A167" s="114"/>
      <c r="B167" s="84"/>
      <c r="C167" s="39"/>
      <c r="D167" s="36"/>
      <c r="E167" s="76"/>
      <c r="F167" s="76"/>
      <c r="G167" s="33"/>
      <c r="H167" s="105"/>
      <c r="I167" s="33"/>
      <c r="J167" s="33"/>
      <c r="K167" s="33"/>
    </row>
    <row r="168" spans="1:40" x14ac:dyDescent="0.2">
      <c r="A168" s="33"/>
      <c r="B168" s="33"/>
      <c r="C168" s="36"/>
      <c r="D168" s="39"/>
      <c r="E168" s="76"/>
      <c r="F168" s="76"/>
      <c r="G168" s="33"/>
      <c r="H168" s="118"/>
      <c r="I168" s="33"/>
      <c r="J168" s="33"/>
      <c r="K168" s="33"/>
    </row>
    <row r="169" spans="1:40" x14ac:dyDescent="0.2">
      <c r="A169" s="33"/>
      <c r="B169" s="33"/>
      <c r="C169" s="36"/>
      <c r="D169" s="39"/>
      <c r="E169" s="76"/>
      <c r="F169" s="76"/>
      <c r="G169" s="33"/>
      <c r="H169" s="114"/>
      <c r="I169" s="33"/>
      <c r="J169" s="33"/>
      <c r="K169" s="33"/>
    </row>
    <row r="170" spans="1:40" x14ac:dyDescent="0.2">
      <c r="A170" s="84"/>
      <c r="B170" s="84"/>
      <c r="C170" s="39"/>
      <c r="D170" s="40"/>
      <c r="E170" s="76"/>
      <c r="F170" s="76"/>
      <c r="G170" s="33"/>
      <c r="H170" s="33"/>
      <c r="I170" s="33"/>
      <c r="J170" s="33"/>
      <c r="K170" s="33"/>
    </row>
    <row r="171" spans="1:40" x14ac:dyDescent="0.2">
      <c r="A171" s="33"/>
      <c r="B171" s="33"/>
      <c r="C171" s="36"/>
      <c r="D171" s="36"/>
      <c r="E171" s="76"/>
      <c r="F171" s="76"/>
      <c r="G171" s="33"/>
      <c r="H171" s="33"/>
      <c r="I171" s="33"/>
      <c r="J171" s="33"/>
      <c r="K171" s="33"/>
    </row>
    <row r="172" spans="1:40" x14ac:dyDescent="0.2">
      <c r="A172" s="33"/>
      <c r="B172" s="33"/>
      <c r="C172" s="108"/>
      <c r="D172" s="39"/>
      <c r="E172" s="76"/>
      <c r="F172" s="76"/>
      <c r="G172" s="33"/>
      <c r="H172" s="109"/>
      <c r="I172" s="33"/>
      <c r="J172" s="33"/>
      <c r="K172" s="33"/>
    </row>
    <row r="173" spans="1:40" x14ac:dyDescent="0.2">
      <c r="A173" s="33"/>
      <c r="B173" s="33"/>
      <c r="C173" s="108"/>
      <c r="D173" s="39"/>
      <c r="E173" s="76"/>
      <c r="F173" s="76"/>
      <c r="G173" s="33"/>
      <c r="H173" s="105"/>
      <c r="I173" s="33"/>
      <c r="J173" s="33"/>
      <c r="K173" s="33"/>
    </row>
    <row r="174" spans="1:40" x14ac:dyDescent="0.2">
      <c r="A174" s="33"/>
      <c r="B174" s="33"/>
      <c r="C174" s="108"/>
      <c r="D174" s="39"/>
      <c r="E174" s="76"/>
      <c r="F174" s="76"/>
      <c r="G174" s="33"/>
      <c r="H174" s="109"/>
      <c r="I174" s="33"/>
      <c r="J174" s="33"/>
      <c r="K174" s="33"/>
    </row>
    <row r="175" spans="1:40" x14ac:dyDescent="0.2">
      <c r="A175" s="36"/>
      <c r="B175" s="33"/>
      <c r="C175" s="36"/>
      <c r="D175" s="36"/>
      <c r="E175" s="76"/>
      <c r="F175" s="76"/>
      <c r="G175" s="33"/>
      <c r="H175" s="33"/>
      <c r="I175" s="33"/>
      <c r="J175" s="33"/>
      <c r="K175" s="33"/>
    </row>
    <row r="176" spans="1:40" x14ac:dyDescent="0.2">
      <c r="A176" s="33"/>
      <c r="B176" s="33"/>
      <c r="C176" s="36"/>
      <c r="D176" s="36"/>
      <c r="E176" s="76"/>
      <c r="F176" s="76"/>
      <c r="G176" s="33"/>
      <c r="H176" s="33"/>
      <c r="I176" s="33"/>
      <c r="J176" s="33"/>
      <c r="K176" s="33"/>
    </row>
    <row r="177" spans="1:11" x14ac:dyDescent="0.2">
      <c r="A177" s="33"/>
      <c r="B177" s="33"/>
      <c r="C177" s="36"/>
      <c r="D177" s="36"/>
      <c r="E177" s="76"/>
      <c r="F177" s="76"/>
      <c r="G177" s="33"/>
      <c r="H177" s="33"/>
      <c r="I177" s="33"/>
      <c r="J177" s="33"/>
      <c r="K177" s="33"/>
    </row>
    <row r="178" spans="1:11" x14ac:dyDescent="0.2">
      <c r="A178" s="33"/>
      <c r="B178" s="33"/>
      <c r="C178" s="36"/>
      <c r="D178" s="41"/>
      <c r="E178" s="76"/>
      <c r="F178" s="76"/>
      <c r="G178" s="33"/>
      <c r="H178" s="128"/>
      <c r="I178" s="33"/>
      <c r="J178" s="33"/>
      <c r="K178" s="33"/>
    </row>
    <row r="179" spans="1:11" x14ac:dyDescent="0.2">
      <c r="A179" s="33"/>
      <c r="B179" s="33"/>
      <c r="C179" s="36"/>
      <c r="D179" s="41"/>
      <c r="E179" s="76"/>
      <c r="F179" s="76"/>
      <c r="G179" s="33"/>
      <c r="H179" s="128"/>
      <c r="I179" s="33"/>
      <c r="J179" s="33"/>
      <c r="K179" s="33"/>
    </row>
    <row r="180" spans="1:11" x14ac:dyDescent="0.2">
      <c r="A180" s="33"/>
      <c r="B180" s="33"/>
      <c r="C180" s="36"/>
      <c r="D180" s="41"/>
      <c r="E180" s="76"/>
      <c r="F180" s="76"/>
      <c r="G180" s="33"/>
      <c r="H180" s="128"/>
      <c r="I180" s="33"/>
      <c r="J180" s="33"/>
      <c r="K180" s="33"/>
    </row>
    <row r="181" spans="1:11" x14ac:dyDescent="0.2">
      <c r="A181" s="33"/>
      <c r="B181" s="33"/>
      <c r="C181" s="36"/>
      <c r="D181" s="41"/>
      <c r="E181" s="76"/>
      <c r="F181" s="76"/>
      <c r="G181" s="33"/>
      <c r="H181" s="128"/>
      <c r="I181" s="33"/>
      <c r="J181" s="33"/>
      <c r="K181" s="33"/>
    </row>
    <row r="182" spans="1:11" x14ac:dyDescent="0.2">
      <c r="A182" s="33"/>
      <c r="B182" s="33"/>
      <c r="C182" s="36"/>
      <c r="D182" s="41"/>
      <c r="E182" s="76"/>
      <c r="F182" s="76"/>
      <c r="G182" s="33"/>
      <c r="H182" s="129"/>
      <c r="I182" s="33"/>
      <c r="J182" s="33"/>
      <c r="K182" s="33"/>
    </row>
    <row r="183" spans="1:11" x14ac:dyDescent="0.2">
      <c r="A183" s="33"/>
      <c r="B183" s="33"/>
      <c r="C183" s="36"/>
      <c r="D183" s="36"/>
      <c r="E183" s="76"/>
      <c r="F183" s="76"/>
      <c r="G183" s="33"/>
      <c r="H183" s="130"/>
      <c r="I183" s="33"/>
      <c r="J183" s="33"/>
      <c r="K183" s="33"/>
    </row>
    <row r="184" spans="1:11" x14ac:dyDescent="0.2">
      <c r="A184" s="33"/>
      <c r="B184" s="33"/>
      <c r="C184" s="36"/>
      <c r="D184" s="36"/>
      <c r="E184" s="76"/>
      <c r="F184" s="76"/>
      <c r="G184" s="33"/>
      <c r="H184" s="130"/>
      <c r="I184" s="33"/>
      <c r="J184" s="33"/>
      <c r="K184" s="33"/>
    </row>
    <row r="185" spans="1:11" x14ac:dyDescent="0.2">
      <c r="A185" s="33"/>
      <c r="B185" s="33"/>
      <c r="C185" s="36"/>
      <c r="D185" s="36"/>
      <c r="E185" s="76"/>
      <c r="F185" s="76"/>
      <c r="G185" s="33"/>
      <c r="H185" s="130"/>
      <c r="I185" s="33"/>
      <c r="J185" s="33"/>
      <c r="K185" s="33"/>
    </row>
    <row r="186" spans="1:11" x14ac:dyDescent="0.2">
      <c r="A186" s="33"/>
      <c r="B186" s="33"/>
      <c r="C186" s="36"/>
      <c r="D186" s="40"/>
      <c r="E186" s="76"/>
      <c r="F186" s="76"/>
      <c r="G186" s="33"/>
      <c r="H186" s="33"/>
      <c r="I186" s="33"/>
      <c r="J186" s="33"/>
      <c r="K186" s="33"/>
    </row>
    <row r="187" spans="1:11" x14ac:dyDescent="0.2">
      <c r="A187" s="33"/>
      <c r="B187" s="33"/>
      <c r="C187" s="36"/>
      <c r="D187" s="36"/>
      <c r="E187" s="76"/>
      <c r="F187" s="48"/>
      <c r="G187" s="33"/>
      <c r="H187" s="130"/>
      <c r="I187" s="33"/>
      <c r="J187" s="33"/>
      <c r="K187" s="33"/>
    </row>
    <row r="188" spans="1:11" x14ac:dyDescent="0.2">
      <c r="A188" s="33"/>
      <c r="B188" s="33"/>
      <c r="C188" s="36"/>
      <c r="D188" s="40"/>
      <c r="E188" s="76"/>
      <c r="F188" s="80"/>
      <c r="G188" s="33"/>
      <c r="H188" s="33"/>
      <c r="I188" s="33"/>
      <c r="J188" s="33"/>
      <c r="K188" s="33"/>
    </row>
    <row r="189" spans="1:11" x14ac:dyDescent="0.2">
      <c r="A189" s="33"/>
      <c r="B189" s="33"/>
      <c r="C189" s="36"/>
      <c r="D189" s="36"/>
      <c r="E189" s="76"/>
      <c r="F189" s="48"/>
      <c r="G189" s="33"/>
      <c r="H189" s="130"/>
      <c r="I189" s="33"/>
      <c r="J189" s="33"/>
      <c r="K189" s="33"/>
    </row>
    <row r="190" spans="1:11" x14ac:dyDescent="0.2">
      <c r="A190" s="33"/>
      <c r="B190" s="33"/>
      <c r="C190" s="36"/>
      <c r="D190" s="40"/>
      <c r="E190" s="76"/>
      <c r="F190" s="76"/>
      <c r="G190" s="33"/>
      <c r="H190" s="33"/>
      <c r="I190" s="33"/>
      <c r="J190" s="33"/>
      <c r="K190" s="33"/>
    </row>
    <row r="191" spans="1:11" x14ac:dyDescent="0.2">
      <c r="A191" s="33"/>
      <c r="B191" s="33"/>
      <c r="C191" s="36"/>
      <c r="D191" s="40"/>
      <c r="E191" s="76"/>
      <c r="F191" s="76"/>
      <c r="G191" s="33"/>
      <c r="H191" s="33"/>
      <c r="I191" s="33"/>
      <c r="J191" s="33"/>
      <c r="K191" s="33"/>
    </row>
    <row r="192" spans="1:11" x14ac:dyDescent="0.2">
      <c r="A192" s="33"/>
      <c r="B192" s="33"/>
      <c r="C192" s="36"/>
      <c r="D192" s="40"/>
      <c r="E192" s="76"/>
      <c r="F192" s="76"/>
      <c r="G192" s="33"/>
      <c r="H192" s="33"/>
      <c r="I192" s="33"/>
      <c r="J192" s="33"/>
      <c r="K192" s="33"/>
    </row>
    <row r="193" spans="1:11" x14ac:dyDescent="0.2">
      <c r="A193" s="33"/>
      <c r="B193" s="33"/>
      <c r="C193" s="36"/>
      <c r="D193" s="36"/>
      <c r="E193" s="76"/>
      <c r="F193" s="48"/>
      <c r="G193" s="33"/>
      <c r="H193" s="130"/>
      <c r="I193" s="33"/>
      <c r="J193" s="33"/>
      <c r="K193" s="33"/>
    </row>
    <row r="194" spans="1:11" x14ac:dyDescent="0.2">
      <c r="A194" s="33"/>
      <c r="B194" s="33"/>
      <c r="C194" s="36"/>
      <c r="D194" s="42"/>
      <c r="E194" s="76"/>
      <c r="F194" s="76"/>
      <c r="G194" s="33"/>
      <c r="H194" s="86"/>
      <c r="I194" s="33"/>
      <c r="J194" s="33"/>
      <c r="K194" s="33"/>
    </row>
    <row r="195" spans="1:11" x14ac:dyDescent="0.2">
      <c r="A195" s="114"/>
      <c r="B195" s="84"/>
      <c r="C195" s="39"/>
      <c r="D195" s="39"/>
      <c r="E195" s="76"/>
      <c r="F195" s="76"/>
      <c r="G195" s="33"/>
      <c r="H195" s="105"/>
      <c r="I195" s="33"/>
      <c r="J195" s="33"/>
      <c r="K195" s="33"/>
    </row>
    <row r="196" spans="1:11" x14ac:dyDescent="0.2">
      <c r="A196" s="33"/>
      <c r="B196" s="33"/>
      <c r="C196" s="36"/>
      <c r="D196" s="39"/>
      <c r="E196" s="76"/>
      <c r="F196" s="76"/>
      <c r="G196" s="33"/>
      <c r="H196" s="118"/>
      <c r="I196" s="33"/>
      <c r="J196" s="33"/>
      <c r="K196" s="33"/>
    </row>
    <row r="197" spans="1:11" x14ac:dyDescent="0.2">
      <c r="A197" s="33"/>
      <c r="B197" s="33"/>
      <c r="C197" s="36"/>
      <c r="D197" s="39"/>
      <c r="E197" s="76"/>
      <c r="F197" s="76"/>
      <c r="G197" s="33"/>
      <c r="H197" s="118"/>
      <c r="I197" s="33"/>
      <c r="J197" s="33"/>
      <c r="K197" s="33"/>
    </row>
    <row r="198" spans="1:11" x14ac:dyDescent="0.2">
      <c r="A198" s="114"/>
      <c r="B198" s="84"/>
      <c r="C198" s="39"/>
      <c r="D198" s="36"/>
      <c r="E198" s="76"/>
      <c r="F198" s="115"/>
      <c r="G198" s="33"/>
      <c r="H198" s="105"/>
      <c r="I198" s="33"/>
      <c r="J198" s="33"/>
      <c r="K198" s="33"/>
    </row>
    <row r="199" spans="1:11" x14ac:dyDescent="0.2">
      <c r="A199" s="114"/>
      <c r="B199" s="84"/>
      <c r="C199" s="39"/>
      <c r="D199" s="39"/>
      <c r="E199" s="76"/>
      <c r="F199" s="76"/>
      <c r="G199" s="33"/>
      <c r="H199" s="105"/>
      <c r="I199" s="33"/>
      <c r="J199" s="33"/>
      <c r="K199" s="33"/>
    </row>
    <row r="200" spans="1:11" x14ac:dyDescent="0.2">
      <c r="A200" s="84"/>
      <c r="B200" s="84"/>
      <c r="C200" s="39"/>
      <c r="D200" s="36"/>
      <c r="E200" s="76"/>
      <c r="F200" s="80"/>
      <c r="G200" s="33"/>
      <c r="H200" s="33"/>
      <c r="I200" s="33"/>
      <c r="J200" s="33"/>
      <c r="K200" s="33"/>
    </row>
    <row r="201" spans="1:11" x14ac:dyDescent="0.2">
      <c r="A201" s="33"/>
      <c r="B201" s="33"/>
      <c r="C201" s="36"/>
      <c r="D201" s="36"/>
      <c r="E201" s="76"/>
      <c r="F201" s="76"/>
      <c r="G201" s="33"/>
      <c r="H201" s="86"/>
      <c r="I201" s="33"/>
      <c r="J201" s="33"/>
      <c r="K201" s="33"/>
    </row>
    <row r="202" spans="1:11" x14ac:dyDescent="0.2">
      <c r="A202" s="33"/>
      <c r="B202" s="33"/>
      <c r="C202" s="108"/>
      <c r="D202" s="39"/>
      <c r="E202" s="76"/>
      <c r="F202" s="76"/>
      <c r="G202" s="33"/>
      <c r="H202" s="109"/>
      <c r="I202" s="33"/>
      <c r="J202" s="33"/>
      <c r="K202" s="33"/>
    </row>
    <row r="203" spans="1:11" x14ac:dyDescent="0.2">
      <c r="A203" s="33"/>
      <c r="B203" s="33"/>
      <c r="C203" s="108"/>
      <c r="D203" s="39"/>
      <c r="E203" s="76"/>
      <c r="F203" s="76"/>
      <c r="G203" s="33"/>
      <c r="H203" s="122"/>
      <c r="I203" s="33"/>
      <c r="J203" s="33"/>
      <c r="K203" s="33"/>
    </row>
    <row r="204" spans="1:11" x14ac:dyDescent="0.2">
      <c r="A204" s="33"/>
      <c r="B204" s="33"/>
      <c r="C204" s="108"/>
      <c r="D204" s="39"/>
      <c r="E204" s="76"/>
      <c r="F204" s="76"/>
      <c r="G204" s="33"/>
      <c r="H204" s="84"/>
      <c r="I204" s="33"/>
      <c r="J204" s="33"/>
      <c r="K204" s="33"/>
    </row>
    <row r="205" spans="1:11" x14ac:dyDescent="0.2">
      <c r="A205" s="33"/>
      <c r="B205" s="33"/>
      <c r="C205" s="36"/>
      <c r="D205" s="41"/>
      <c r="E205" s="76"/>
      <c r="F205" s="76"/>
      <c r="G205" s="33"/>
      <c r="H205" s="128"/>
      <c r="I205" s="33"/>
      <c r="J205" s="33"/>
      <c r="K205" s="33"/>
    </row>
    <row r="206" spans="1:11" x14ac:dyDescent="0.2">
      <c r="A206" s="33"/>
      <c r="B206" s="33"/>
      <c r="C206" s="36"/>
      <c r="D206" s="41"/>
      <c r="E206" s="76"/>
      <c r="F206" s="76"/>
      <c r="G206" s="33"/>
      <c r="H206" s="128"/>
      <c r="I206" s="33"/>
      <c r="J206" s="33"/>
      <c r="K206" s="33"/>
    </row>
    <row r="207" spans="1:11" x14ac:dyDescent="0.2">
      <c r="A207" s="33"/>
      <c r="B207" s="33"/>
      <c r="C207" s="36"/>
      <c r="D207" s="41"/>
      <c r="E207" s="76"/>
      <c r="F207" s="76"/>
      <c r="G207" s="33"/>
      <c r="H207" s="128"/>
      <c r="I207" s="33"/>
      <c r="J207" s="33"/>
      <c r="K207" s="33"/>
    </row>
    <row r="208" spans="1:11" x14ac:dyDescent="0.2">
      <c r="A208" s="33"/>
      <c r="B208" s="33"/>
      <c r="C208" s="36"/>
      <c r="D208" s="41"/>
      <c r="E208" s="76"/>
      <c r="F208" s="76"/>
      <c r="G208" s="33"/>
      <c r="H208" s="128"/>
      <c r="I208" s="33"/>
      <c r="J208" s="33"/>
      <c r="K208" s="33"/>
    </row>
    <row r="209" spans="1:11" x14ac:dyDescent="0.2">
      <c r="A209" s="33"/>
      <c r="B209" s="33"/>
      <c r="C209" s="36"/>
      <c r="D209" s="41"/>
      <c r="E209" s="76"/>
      <c r="F209" s="76"/>
      <c r="G209" s="33"/>
      <c r="H209" s="128"/>
      <c r="I209" s="33"/>
      <c r="J209" s="33"/>
      <c r="K209" s="33"/>
    </row>
    <row r="210" spans="1:11" x14ac:dyDescent="0.2">
      <c r="A210" s="33"/>
      <c r="B210" s="33"/>
      <c r="C210" s="36"/>
      <c r="D210" s="36"/>
      <c r="E210" s="76"/>
      <c r="F210" s="76"/>
      <c r="G210" s="33"/>
      <c r="H210" s="130"/>
      <c r="I210" s="33"/>
      <c r="J210" s="33"/>
      <c r="K210" s="33"/>
    </row>
    <row r="211" spans="1:11" x14ac:dyDescent="0.2">
      <c r="A211" s="33"/>
      <c r="B211" s="33"/>
      <c r="C211" s="36"/>
      <c r="D211" s="36"/>
      <c r="E211" s="76"/>
      <c r="F211" s="76"/>
      <c r="G211" s="33"/>
      <c r="H211" s="130"/>
      <c r="I211" s="33"/>
      <c r="J211" s="33"/>
      <c r="K211" s="33"/>
    </row>
    <row r="212" spans="1:11" x14ac:dyDescent="0.2">
      <c r="A212" s="33"/>
      <c r="B212" s="33"/>
      <c r="C212" s="36"/>
      <c r="D212" s="36"/>
      <c r="E212" s="76"/>
      <c r="F212" s="76"/>
      <c r="G212" s="33"/>
      <c r="H212" s="130"/>
      <c r="I212" s="33"/>
      <c r="J212" s="33"/>
      <c r="K212" s="33"/>
    </row>
    <row r="213" spans="1:11" x14ac:dyDescent="0.2">
      <c r="A213" s="33"/>
      <c r="B213" s="33"/>
      <c r="C213" s="36"/>
      <c r="D213" s="36"/>
      <c r="E213" s="76"/>
      <c r="F213" s="76"/>
      <c r="G213" s="33"/>
      <c r="H213" s="33"/>
      <c r="I213" s="33"/>
      <c r="J213" s="33"/>
      <c r="K213" s="33"/>
    </row>
    <row r="214" spans="1:11" x14ac:dyDescent="0.2">
      <c r="A214" s="33"/>
      <c r="B214" s="33"/>
      <c r="C214" s="36"/>
      <c r="D214" s="36"/>
      <c r="E214" s="76"/>
      <c r="F214" s="76"/>
      <c r="G214" s="33"/>
      <c r="H214" s="33"/>
      <c r="I214" s="33"/>
      <c r="J214" s="33"/>
      <c r="K214" s="33"/>
    </row>
    <row r="215" spans="1:11" x14ac:dyDescent="0.2">
      <c r="A215" s="33"/>
      <c r="B215" s="33"/>
      <c r="C215" s="36"/>
      <c r="D215" s="40"/>
      <c r="E215" s="76"/>
      <c r="F215" s="76"/>
      <c r="G215" s="33"/>
      <c r="H215" s="33"/>
      <c r="I215" s="33"/>
      <c r="J215" s="33"/>
      <c r="K215" s="33"/>
    </row>
    <row r="216" spans="1:11" x14ac:dyDescent="0.2">
      <c r="A216" s="33"/>
      <c r="B216" s="33"/>
      <c r="C216" s="36"/>
      <c r="D216" s="36"/>
      <c r="E216" s="76"/>
      <c r="F216" s="48"/>
      <c r="G216" s="33"/>
      <c r="H216" s="130"/>
      <c r="I216" s="33"/>
      <c r="J216" s="33"/>
      <c r="K216" s="33"/>
    </row>
    <row r="217" spans="1:11" x14ac:dyDescent="0.2">
      <c r="A217" s="114"/>
      <c r="B217" s="84"/>
      <c r="C217" s="39"/>
      <c r="D217" s="39"/>
      <c r="E217" s="76"/>
      <c r="F217" s="76"/>
      <c r="G217" s="33"/>
      <c r="H217" s="105"/>
      <c r="I217" s="33"/>
      <c r="J217" s="33"/>
      <c r="K217" s="33"/>
    </row>
    <row r="218" spans="1:11" x14ac:dyDescent="0.2">
      <c r="A218" s="33"/>
      <c r="B218" s="33"/>
      <c r="C218" s="36"/>
      <c r="D218" s="39"/>
      <c r="E218" s="76"/>
      <c r="F218" s="115"/>
      <c r="G218" s="33"/>
      <c r="H218" s="118"/>
      <c r="I218" s="33"/>
      <c r="J218" s="33"/>
      <c r="K218" s="33"/>
    </row>
    <row r="219" spans="1:11" x14ac:dyDescent="0.2">
      <c r="A219" s="33"/>
      <c r="B219" s="33"/>
      <c r="C219" s="36"/>
      <c r="D219" s="39"/>
      <c r="E219" s="76"/>
      <c r="F219" s="76"/>
      <c r="G219" s="33"/>
      <c r="H219" s="118"/>
      <c r="I219" s="33"/>
      <c r="J219" s="33"/>
      <c r="K219" s="33"/>
    </row>
    <row r="220" spans="1:11" x14ac:dyDescent="0.2">
      <c r="A220" s="114"/>
      <c r="B220" s="84"/>
      <c r="C220" s="39"/>
      <c r="D220" s="39"/>
      <c r="E220" s="76"/>
      <c r="F220" s="76"/>
      <c r="G220" s="33"/>
      <c r="H220" s="105"/>
      <c r="I220" s="33"/>
      <c r="J220" s="33"/>
      <c r="K220" s="33"/>
    </row>
    <row r="221" spans="1:11" x14ac:dyDescent="0.2">
      <c r="A221" s="84"/>
      <c r="B221" s="84"/>
      <c r="C221" s="39"/>
      <c r="D221" s="36"/>
      <c r="E221" s="76"/>
      <c r="F221" s="76"/>
      <c r="G221" s="33"/>
      <c r="H221" s="126"/>
      <c r="I221" s="33"/>
      <c r="J221" s="33"/>
      <c r="K221" s="33"/>
    </row>
    <row r="222" spans="1:11" x14ac:dyDescent="0.2">
      <c r="A222" s="33"/>
      <c r="B222" s="33"/>
      <c r="C222" s="108"/>
      <c r="D222" s="39"/>
      <c r="E222" s="76"/>
      <c r="F222" s="76"/>
      <c r="G222" s="33"/>
      <c r="H222" s="84"/>
      <c r="I222" s="33"/>
      <c r="J222" s="33"/>
      <c r="K222" s="33"/>
    </row>
    <row r="223" spans="1:11" x14ac:dyDescent="0.2">
      <c r="A223" s="33"/>
      <c r="B223" s="33"/>
      <c r="C223" s="108"/>
      <c r="D223" s="39"/>
      <c r="E223" s="76"/>
      <c r="F223" s="76"/>
      <c r="G223" s="33"/>
      <c r="H223" s="125"/>
      <c r="I223" s="33"/>
      <c r="J223" s="33"/>
      <c r="K223" s="33"/>
    </row>
    <row r="224" spans="1:11" x14ac:dyDescent="0.2">
      <c r="A224" s="33"/>
      <c r="B224" s="33"/>
      <c r="C224" s="108"/>
      <c r="D224" s="39"/>
      <c r="E224" s="76"/>
      <c r="F224" s="76"/>
      <c r="G224" s="33"/>
      <c r="H224" s="84"/>
      <c r="I224" s="33"/>
      <c r="J224" s="33"/>
      <c r="K224" s="33"/>
    </row>
    <row r="225" spans="1:11" x14ac:dyDescent="0.2">
      <c r="A225" s="33"/>
      <c r="B225" s="33"/>
      <c r="C225" s="36"/>
      <c r="D225" s="36"/>
      <c r="E225" s="76"/>
      <c r="F225" s="76"/>
      <c r="G225" s="33"/>
      <c r="H225" s="126"/>
      <c r="I225" s="33"/>
      <c r="J225" s="33"/>
      <c r="K225" s="33"/>
    </row>
    <row r="226" spans="1:11" x14ac:dyDescent="0.2">
      <c r="A226" s="33"/>
      <c r="B226" s="33"/>
      <c r="C226" s="36"/>
      <c r="D226" s="36"/>
      <c r="E226" s="76"/>
      <c r="F226" s="76"/>
      <c r="G226" s="33"/>
      <c r="H226" s="126"/>
      <c r="I226" s="33"/>
      <c r="J226" s="33"/>
      <c r="K226" s="33"/>
    </row>
    <row r="227" spans="1:11" x14ac:dyDescent="0.2">
      <c r="A227" s="33"/>
      <c r="B227" s="33"/>
      <c r="C227" s="36"/>
      <c r="D227" s="39"/>
      <c r="E227" s="76"/>
      <c r="F227" s="76"/>
      <c r="G227" s="33"/>
      <c r="H227" s="118"/>
      <c r="I227" s="33"/>
      <c r="J227" s="33"/>
      <c r="K227" s="33"/>
    </row>
    <row r="228" spans="1:11" x14ac:dyDescent="0.2">
      <c r="A228" s="33"/>
      <c r="B228" s="33"/>
      <c r="C228" s="36"/>
      <c r="D228" s="39"/>
      <c r="E228" s="76"/>
      <c r="F228" s="76"/>
      <c r="G228" s="33"/>
      <c r="H228" s="118"/>
      <c r="I228" s="33"/>
      <c r="J228" s="33"/>
      <c r="K228" s="33"/>
    </row>
    <row r="229" spans="1:11" x14ac:dyDescent="0.2">
      <c r="A229" s="33"/>
      <c r="B229" s="33"/>
      <c r="C229" s="36"/>
      <c r="D229" s="36"/>
      <c r="E229" s="76"/>
      <c r="F229" s="76"/>
      <c r="G229" s="33"/>
      <c r="H229" s="128"/>
      <c r="I229" s="33"/>
      <c r="J229" s="33"/>
      <c r="K229" s="33"/>
    </row>
    <row r="230" spans="1:11" x14ac:dyDescent="0.2">
      <c r="A230" s="33"/>
      <c r="B230" s="33"/>
      <c r="C230" s="108"/>
      <c r="D230" s="39"/>
      <c r="E230" s="76"/>
      <c r="F230" s="76"/>
      <c r="G230" s="33"/>
      <c r="H230" s="122"/>
      <c r="I230" s="33"/>
      <c r="J230" s="33"/>
      <c r="K230" s="33"/>
    </row>
    <row r="231" spans="1:11" x14ac:dyDescent="0.2">
      <c r="A231" s="33"/>
      <c r="B231" s="33"/>
      <c r="C231" s="108"/>
      <c r="D231" s="39"/>
      <c r="E231" s="76"/>
      <c r="F231" s="76"/>
      <c r="G231" s="33"/>
      <c r="H231" s="125"/>
      <c r="I231" s="33"/>
      <c r="J231" s="33"/>
      <c r="K231" s="33"/>
    </row>
    <row r="232" spans="1:11" x14ac:dyDescent="0.2">
      <c r="A232" s="33"/>
      <c r="B232" s="33"/>
      <c r="C232" s="108"/>
      <c r="D232" s="39"/>
      <c r="E232" s="76"/>
      <c r="F232" s="76"/>
      <c r="G232" s="33"/>
      <c r="H232" s="125"/>
      <c r="I232" s="33"/>
      <c r="J232" s="33"/>
      <c r="K232" s="33"/>
    </row>
    <row r="233" spans="1:11" x14ac:dyDescent="0.2">
      <c r="A233" s="36"/>
      <c r="B233" s="33"/>
      <c r="C233" s="36"/>
      <c r="D233" s="36"/>
      <c r="E233" s="76"/>
      <c r="F233" s="76"/>
      <c r="G233" s="33"/>
      <c r="H233" s="33"/>
      <c r="I233" s="33"/>
      <c r="J233" s="33"/>
      <c r="K233" s="33"/>
    </row>
    <row r="234" spans="1:11" x14ac:dyDescent="0.2">
      <c r="A234" s="33"/>
      <c r="B234" s="33"/>
      <c r="C234" s="36"/>
      <c r="D234" s="36"/>
      <c r="E234" s="76"/>
      <c r="F234" s="76"/>
      <c r="G234" s="33"/>
      <c r="H234" s="33"/>
      <c r="I234" s="33"/>
      <c r="J234" s="33"/>
      <c r="K234" s="33"/>
    </row>
    <row r="235" spans="1:11" x14ac:dyDescent="0.2">
      <c r="A235" s="33"/>
      <c r="B235" s="33"/>
      <c r="C235" s="36"/>
      <c r="D235" s="36"/>
      <c r="E235" s="76"/>
      <c r="F235" s="76"/>
      <c r="G235" s="33"/>
      <c r="H235" s="33"/>
      <c r="I235" s="33"/>
      <c r="J235" s="33"/>
      <c r="K235" s="33"/>
    </row>
    <row r="236" spans="1:11" x14ac:dyDescent="0.2">
      <c r="A236" s="33"/>
      <c r="B236" s="33"/>
      <c r="C236" s="36"/>
      <c r="D236" s="41"/>
      <c r="E236" s="76"/>
      <c r="F236" s="76"/>
      <c r="G236" s="33"/>
      <c r="H236" s="86"/>
      <c r="I236" s="33"/>
      <c r="J236" s="33"/>
      <c r="K236" s="33"/>
    </row>
    <row r="237" spans="1:11" x14ac:dyDescent="0.2">
      <c r="A237" s="33"/>
      <c r="B237" s="33"/>
      <c r="C237" s="36"/>
      <c r="D237" s="41"/>
      <c r="E237" s="76"/>
      <c r="F237" s="76"/>
      <c r="G237" s="33"/>
      <c r="H237" s="86"/>
      <c r="I237" s="33"/>
      <c r="J237" s="33"/>
      <c r="K237" s="33"/>
    </row>
    <row r="238" spans="1:11" x14ac:dyDescent="0.2">
      <c r="A238" s="33"/>
      <c r="B238" s="33"/>
      <c r="C238" s="36"/>
      <c r="D238" s="41"/>
      <c r="E238" s="76"/>
      <c r="F238" s="76"/>
      <c r="G238" s="33"/>
      <c r="H238" s="86"/>
      <c r="I238" s="33"/>
      <c r="J238" s="33"/>
      <c r="K238" s="33"/>
    </row>
    <row r="239" spans="1:11" x14ac:dyDescent="0.2">
      <c r="A239" s="33"/>
      <c r="B239" s="33"/>
      <c r="C239" s="36"/>
      <c r="D239" s="41"/>
      <c r="E239" s="76"/>
      <c r="F239" s="76"/>
      <c r="G239" s="33"/>
      <c r="H239" s="86"/>
      <c r="I239" s="33"/>
      <c r="J239" s="33"/>
      <c r="K239" s="33"/>
    </row>
    <row r="240" spans="1:11" x14ac:dyDescent="0.2">
      <c r="A240" s="33"/>
      <c r="B240" s="33"/>
      <c r="C240" s="36"/>
      <c r="D240" s="41"/>
      <c r="E240" s="76"/>
      <c r="F240" s="76"/>
      <c r="G240" s="33"/>
      <c r="H240" s="86"/>
      <c r="I240" s="33"/>
      <c r="J240" s="33"/>
      <c r="K240" s="33"/>
    </row>
    <row r="241" spans="1:11" x14ac:dyDescent="0.2">
      <c r="A241" s="33"/>
      <c r="B241" s="33"/>
      <c r="C241" s="36"/>
      <c r="D241" s="36"/>
      <c r="E241" s="76"/>
      <c r="F241" s="76"/>
      <c r="G241" s="33"/>
      <c r="H241" s="128"/>
      <c r="I241" s="33"/>
      <c r="J241" s="33"/>
      <c r="K241" s="33"/>
    </row>
    <row r="242" spans="1:11" x14ac:dyDescent="0.2">
      <c r="A242" s="33"/>
      <c r="B242" s="33"/>
      <c r="C242" s="36"/>
      <c r="D242" s="36"/>
      <c r="E242" s="76"/>
      <c r="F242" s="76"/>
      <c r="G242" s="33"/>
      <c r="H242" s="128"/>
      <c r="I242" s="33"/>
      <c r="J242" s="33"/>
      <c r="K242" s="33"/>
    </row>
    <row r="243" spans="1:11" x14ac:dyDescent="0.2">
      <c r="A243" s="84"/>
      <c r="B243" s="84"/>
      <c r="C243" s="39"/>
      <c r="D243" s="36"/>
      <c r="E243" s="76"/>
      <c r="F243" s="76"/>
      <c r="G243" s="33"/>
      <c r="H243" s="128"/>
      <c r="I243" s="33"/>
      <c r="J243" s="33"/>
      <c r="K243" s="33"/>
    </row>
    <row r="244" spans="1:11" x14ac:dyDescent="0.2">
      <c r="A244" s="33"/>
      <c r="B244" s="33"/>
      <c r="C244" s="36"/>
      <c r="D244" s="36"/>
      <c r="E244" s="76"/>
      <c r="F244" s="76"/>
      <c r="G244" s="33"/>
      <c r="H244" s="33"/>
      <c r="I244" s="33"/>
      <c r="J244" s="33"/>
      <c r="K244" s="33"/>
    </row>
    <row r="245" spans="1:11" x14ac:dyDescent="0.2">
      <c r="A245" s="33"/>
      <c r="B245" s="33"/>
      <c r="C245" s="108"/>
      <c r="D245" s="39"/>
      <c r="E245" s="76"/>
      <c r="F245" s="48"/>
      <c r="G245" s="33"/>
      <c r="H245" s="118"/>
      <c r="I245" s="33"/>
      <c r="J245" s="33"/>
      <c r="K245" s="33"/>
    </row>
    <row r="246" spans="1:11" x14ac:dyDescent="0.2">
      <c r="A246" s="33"/>
      <c r="B246" s="33"/>
      <c r="C246" s="108"/>
      <c r="D246" s="39"/>
      <c r="E246" s="76"/>
      <c r="F246" s="76"/>
      <c r="G246" s="33"/>
      <c r="H246" s="125"/>
      <c r="I246" s="33"/>
      <c r="J246" s="33"/>
      <c r="K246" s="33"/>
    </row>
    <row r="247" spans="1:11" x14ac:dyDescent="0.2">
      <c r="A247" s="33"/>
      <c r="B247" s="33"/>
      <c r="C247" s="108"/>
      <c r="D247" s="39"/>
      <c r="E247" s="76"/>
      <c r="F247" s="48"/>
      <c r="G247" s="33"/>
      <c r="H247" s="125"/>
      <c r="I247" s="33"/>
      <c r="J247" s="33"/>
      <c r="K247" s="33"/>
    </row>
    <row r="248" spans="1:11" x14ac:dyDescent="0.2">
      <c r="A248" s="33"/>
      <c r="B248" s="33"/>
      <c r="C248" s="36"/>
      <c r="D248" s="41"/>
      <c r="E248" s="76"/>
      <c r="F248" s="76"/>
      <c r="G248" s="33"/>
      <c r="H248" s="33"/>
      <c r="I248" s="33"/>
      <c r="J248" s="33"/>
      <c r="K248" s="33"/>
    </row>
    <row r="249" spans="1:11" x14ac:dyDescent="0.2">
      <c r="A249" s="33"/>
      <c r="B249" s="33"/>
      <c r="C249" s="36"/>
      <c r="D249" s="41"/>
      <c r="E249" s="76"/>
      <c r="F249" s="76"/>
      <c r="G249" s="33"/>
      <c r="H249" s="33"/>
      <c r="I249" s="33"/>
      <c r="J249" s="33"/>
      <c r="K249" s="33"/>
    </row>
    <row r="250" spans="1:11" x14ac:dyDescent="0.2">
      <c r="A250" s="33"/>
      <c r="B250" s="33"/>
      <c r="C250" s="36"/>
      <c r="D250" s="41"/>
      <c r="E250" s="76"/>
      <c r="F250" s="76"/>
      <c r="G250" s="33"/>
      <c r="H250" s="33"/>
      <c r="I250" s="33"/>
      <c r="J250" s="33"/>
      <c r="K250" s="33"/>
    </row>
    <row r="251" spans="1:11" x14ac:dyDescent="0.2">
      <c r="A251" s="33"/>
      <c r="B251" s="33"/>
      <c r="C251" s="36"/>
      <c r="D251" s="41"/>
      <c r="E251" s="76"/>
      <c r="F251" s="76"/>
      <c r="G251" s="33"/>
      <c r="H251" s="86"/>
      <c r="I251" s="33"/>
      <c r="J251" s="33"/>
      <c r="K251" s="33"/>
    </row>
    <row r="252" spans="1:11" x14ac:dyDescent="0.2">
      <c r="A252" s="33"/>
      <c r="B252" s="33"/>
      <c r="C252" s="36"/>
      <c r="D252" s="41"/>
      <c r="E252" s="76"/>
      <c r="F252" s="76"/>
      <c r="G252" s="33"/>
      <c r="H252" s="86"/>
      <c r="I252" s="33"/>
      <c r="J252" s="33"/>
      <c r="K252" s="33"/>
    </row>
    <row r="253" spans="1:11" x14ac:dyDescent="0.2">
      <c r="A253" s="33"/>
      <c r="B253" s="33"/>
      <c r="C253" s="36"/>
      <c r="D253" s="36"/>
      <c r="E253" s="76"/>
      <c r="F253" s="76"/>
      <c r="G253" s="33"/>
      <c r="H253" s="33"/>
      <c r="I253" s="33"/>
      <c r="J253" s="33"/>
      <c r="K253" s="33"/>
    </row>
    <row r="254" spans="1:11" x14ac:dyDescent="0.2">
      <c r="A254" s="33"/>
      <c r="B254" s="33"/>
      <c r="C254" s="36"/>
      <c r="D254" s="36"/>
      <c r="E254" s="76"/>
      <c r="F254" s="76"/>
      <c r="G254" s="33"/>
      <c r="H254" s="33"/>
      <c r="I254" s="33"/>
      <c r="J254" s="33"/>
      <c r="K254" s="33"/>
    </row>
    <row r="255" spans="1:11" x14ac:dyDescent="0.2">
      <c r="A255" s="33"/>
      <c r="B255" s="33"/>
      <c r="C255" s="36"/>
      <c r="D255" s="36"/>
      <c r="E255" s="76"/>
      <c r="F255" s="76"/>
      <c r="G255" s="33"/>
      <c r="H255" s="33"/>
      <c r="I255" s="33"/>
      <c r="J255" s="33"/>
      <c r="K255" s="33"/>
    </row>
    <row r="256" spans="1:11" x14ac:dyDescent="0.2">
      <c r="A256" s="33"/>
      <c r="B256" s="33"/>
      <c r="C256" s="36"/>
      <c r="D256" s="36"/>
      <c r="E256" s="76"/>
      <c r="F256" s="76"/>
      <c r="G256" s="33"/>
      <c r="H256" s="117"/>
      <c r="I256" s="33"/>
      <c r="J256" s="33"/>
      <c r="K256" s="33"/>
    </row>
    <row r="257" spans="1:11" x14ac:dyDescent="0.2">
      <c r="A257" s="33"/>
      <c r="B257" s="33"/>
      <c r="C257" s="36"/>
      <c r="D257" s="36"/>
      <c r="E257" s="76"/>
      <c r="F257" s="76"/>
      <c r="G257" s="33"/>
      <c r="H257" s="33"/>
      <c r="I257" s="33"/>
      <c r="J257" s="33"/>
      <c r="K257" s="33"/>
    </row>
    <row r="258" spans="1:11" x14ac:dyDescent="0.2">
      <c r="A258" s="33"/>
      <c r="B258" s="33"/>
      <c r="C258" s="36"/>
      <c r="D258" s="131"/>
      <c r="E258" s="76"/>
      <c r="F258" s="76"/>
      <c r="G258" s="33"/>
      <c r="H258" s="33"/>
      <c r="I258" s="33"/>
      <c r="J258" s="33"/>
      <c r="K258" s="33"/>
    </row>
    <row r="259" spans="1:11" x14ac:dyDescent="0.2">
      <c r="A259" s="33"/>
      <c r="B259" s="33"/>
      <c r="C259" s="36"/>
      <c r="D259" s="131"/>
      <c r="E259" s="76"/>
      <c r="F259" s="76"/>
      <c r="G259" s="33"/>
      <c r="H259" s="33"/>
      <c r="I259" s="33"/>
      <c r="J259" s="33"/>
      <c r="K259" s="33"/>
    </row>
    <row r="260" spans="1:11" x14ac:dyDescent="0.2">
      <c r="A260" s="33"/>
      <c r="B260" s="33"/>
      <c r="C260" s="36"/>
      <c r="D260" s="41"/>
      <c r="E260" s="76"/>
      <c r="F260" s="80"/>
      <c r="G260" s="33"/>
      <c r="H260" s="33"/>
      <c r="I260" s="33"/>
      <c r="J260" s="33"/>
      <c r="K260" s="33"/>
    </row>
    <row r="261" spans="1:11" x14ac:dyDescent="0.2">
      <c r="A261" s="33"/>
      <c r="B261" s="33"/>
      <c r="C261" s="36"/>
      <c r="D261" s="36"/>
      <c r="E261" s="76"/>
      <c r="F261" s="48"/>
      <c r="G261" s="33"/>
      <c r="H261" s="86"/>
      <c r="I261" s="33"/>
      <c r="J261" s="33"/>
      <c r="K261" s="33"/>
    </row>
    <row r="262" spans="1:11" x14ac:dyDescent="0.2">
      <c r="A262" s="33"/>
      <c r="B262" s="33"/>
      <c r="C262" s="36"/>
      <c r="D262" s="41"/>
      <c r="E262" s="76"/>
      <c r="F262" s="80"/>
      <c r="G262" s="33"/>
      <c r="H262" s="86"/>
      <c r="I262" s="33"/>
      <c r="J262" s="33"/>
      <c r="K262" s="33"/>
    </row>
    <row r="263" spans="1:11" x14ac:dyDescent="0.2">
      <c r="A263" s="33"/>
      <c r="B263" s="33"/>
      <c r="C263" s="36"/>
      <c r="D263" s="36"/>
      <c r="E263" s="76"/>
      <c r="F263" s="76"/>
      <c r="G263" s="33"/>
      <c r="H263" s="86"/>
      <c r="I263" s="33"/>
      <c r="J263" s="33"/>
      <c r="K263" s="33"/>
    </row>
    <row r="264" spans="1:11" x14ac:dyDescent="0.2">
      <c r="A264" s="33"/>
      <c r="B264" s="33"/>
      <c r="C264" s="36"/>
      <c r="D264" s="41"/>
      <c r="E264" s="76"/>
      <c r="F264" s="76"/>
      <c r="G264" s="33"/>
      <c r="H264" s="86"/>
      <c r="I264" s="33"/>
      <c r="J264" s="33"/>
      <c r="K264" s="33"/>
    </row>
    <row r="265" spans="1:11" x14ac:dyDescent="0.2">
      <c r="A265" s="33"/>
      <c r="B265" s="33"/>
      <c r="C265" s="36"/>
      <c r="D265" s="36"/>
      <c r="E265" s="76"/>
      <c r="F265" s="48"/>
      <c r="G265" s="33"/>
      <c r="H265" s="33"/>
      <c r="I265" s="33"/>
      <c r="J265" s="33"/>
      <c r="K265" s="33"/>
    </row>
    <row r="266" spans="1:11" x14ac:dyDescent="0.2">
      <c r="A266" s="33"/>
      <c r="B266" s="33"/>
      <c r="C266" s="36"/>
      <c r="D266" s="36"/>
      <c r="E266" s="76"/>
      <c r="F266" s="76"/>
      <c r="G266" s="33"/>
      <c r="H266" s="33"/>
      <c r="I266" s="33"/>
      <c r="J266" s="33"/>
      <c r="K266" s="33"/>
    </row>
    <row r="267" spans="1:11" x14ac:dyDescent="0.2">
      <c r="A267" s="33"/>
      <c r="B267" s="33"/>
      <c r="C267" s="36"/>
      <c r="D267" s="36"/>
      <c r="E267" s="76"/>
      <c r="F267" s="76"/>
      <c r="G267" s="33"/>
      <c r="H267" s="33"/>
      <c r="I267" s="33"/>
      <c r="J267" s="33"/>
      <c r="K267" s="33"/>
    </row>
    <row r="268" spans="1:11" x14ac:dyDescent="0.2">
      <c r="A268" s="33"/>
      <c r="B268" s="33"/>
      <c r="C268" s="36"/>
      <c r="D268" s="36"/>
      <c r="E268" s="76"/>
      <c r="F268" s="80"/>
      <c r="G268" s="33"/>
      <c r="H268" s="33"/>
      <c r="I268" s="33"/>
      <c r="J268" s="33"/>
      <c r="K268" s="33"/>
    </row>
    <row r="269" spans="1:11" x14ac:dyDescent="0.2">
      <c r="A269" s="33"/>
      <c r="B269" s="33"/>
      <c r="C269" s="36"/>
      <c r="D269" s="36"/>
      <c r="E269" s="76"/>
      <c r="F269" s="76"/>
      <c r="G269" s="33"/>
      <c r="H269" s="33"/>
      <c r="I269" s="33"/>
      <c r="J269" s="33"/>
      <c r="K269" s="33"/>
    </row>
    <row r="270" spans="1:11" x14ac:dyDescent="0.2">
      <c r="A270" s="33"/>
      <c r="B270" s="33"/>
      <c r="C270" s="36"/>
      <c r="D270" s="36"/>
      <c r="E270" s="76"/>
      <c r="F270" s="76"/>
      <c r="G270" s="33"/>
      <c r="H270" s="33"/>
      <c r="I270" s="33"/>
      <c r="J270" s="33"/>
      <c r="K270" s="33"/>
    </row>
    <row r="271" spans="1:11" x14ac:dyDescent="0.2">
      <c r="A271" s="33"/>
      <c r="B271" s="33"/>
      <c r="C271" s="36"/>
      <c r="D271" s="36"/>
      <c r="E271" s="76"/>
      <c r="F271" s="76"/>
      <c r="G271" s="33"/>
      <c r="H271" s="86"/>
      <c r="I271" s="33"/>
      <c r="J271" s="33"/>
      <c r="K271" s="33"/>
    </row>
    <row r="272" spans="1:11" x14ac:dyDescent="0.2">
      <c r="A272" s="33"/>
      <c r="B272" s="33"/>
      <c r="C272" s="36"/>
      <c r="D272" s="131"/>
      <c r="E272" s="76"/>
      <c r="F272" s="76"/>
      <c r="G272" s="33"/>
      <c r="H272" s="33"/>
      <c r="I272" s="33"/>
      <c r="J272" s="33"/>
      <c r="K272" s="33"/>
    </row>
    <row r="273" spans="1:11" x14ac:dyDescent="0.2">
      <c r="A273" s="33"/>
      <c r="B273" s="33"/>
      <c r="C273" s="36"/>
      <c r="D273" s="131"/>
      <c r="E273" s="76"/>
      <c r="F273" s="80"/>
      <c r="G273" s="33"/>
      <c r="H273" s="33"/>
      <c r="I273" s="33"/>
      <c r="J273" s="33"/>
      <c r="K273" s="33"/>
    </row>
    <row r="274" spans="1:11" x14ac:dyDescent="0.2">
      <c r="A274" s="33"/>
      <c r="B274" s="33"/>
      <c r="C274" s="36"/>
      <c r="D274" s="132"/>
      <c r="E274" s="76"/>
      <c r="F274" s="76"/>
      <c r="G274" s="33"/>
      <c r="H274" s="33"/>
      <c r="I274" s="33"/>
      <c r="J274" s="33"/>
      <c r="K274" s="33"/>
    </row>
    <row r="275" spans="1:11" x14ac:dyDescent="0.2">
      <c r="A275" s="33"/>
      <c r="B275" s="33"/>
      <c r="C275" s="36"/>
      <c r="D275" s="132"/>
      <c r="E275" s="76"/>
      <c r="F275" s="76"/>
      <c r="G275" s="33"/>
      <c r="H275" s="33"/>
      <c r="I275" s="33"/>
      <c r="J275" s="33"/>
      <c r="K275" s="33"/>
    </row>
    <row r="276" spans="1:11" x14ac:dyDescent="0.2">
      <c r="A276" s="33"/>
      <c r="B276" s="33"/>
      <c r="C276" s="36"/>
      <c r="D276" s="110"/>
      <c r="E276" s="76"/>
      <c r="F276" s="76"/>
      <c r="G276" s="33"/>
      <c r="H276" s="117"/>
      <c r="I276" s="33"/>
      <c r="J276" s="33"/>
      <c r="K276" s="33"/>
    </row>
    <row r="277" spans="1:11" x14ac:dyDescent="0.2">
      <c r="A277" s="84"/>
      <c r="B277" s="84"/>
      <c r="C277" s="39"/>
      <c r="D277" s="36"/>
      <c r="E277" s="76"/>
      <c r="F277" s="76"/>
      <c r="G277" s="33"/>
      <c r="H277" s="86"/>
      <c r="I277" s="33"/>
      <c r="J277" s="33"/>
      <c r="K277" s="33"/>
    </row>
    <row r="278" spans="1:11" x14ac:dyDescent="0.2">
      <c r="A278" s="33"/>
      <c r="B278" s="33"/>
      <c r="C278" s="36"/>
      <c r="D278" s="36"/>
      <c r="E278" s="76"/>
      <c r="F278" s="76"/>
      <c r="G278" s="33"/>
      <c r="H278" s="86"/>
      <c r="I278" s="33"/>
      <c r="J278" s="33"/>
      <c r="K278" s="33"/>
    </row>
    <row r="279" spans="1:11" x14ac:dyDescent="0.2">
      <c r="A279" s="33"/>
      <c r="B279" s="33"/>
      <c r="C279" s="36"/>
      <c r="D279" s="131"/>
      <c r="E279" s="76"/>
      <c r="F279" s="76"/>
      <c r="G279" s="33"/>
      <c r="H279" s="86"/>
      <c r="I279" s="33"/>
      <c r="J279" s="33"/>
      <c r="K279" s="33"/>
    </row>
    <row r="280" spans="1:11" x14ac:dyDescent="0.2">
      <c r="A280" s="33"/>
      <c r="B280" s="33"/>
      <c r="C280" s="36"/>
      <c r="D280" s="131"/>
      <c r="E280" s="76"/>
      <c r="F280" s="76"/>
      <c r="G280" s="33"/>
      <c r="H280" s="86"/>
      <c r="I280" s="33"/>
      <c r="J280" s="33"/>
      <c r="K280" s="33"/>
    </row>
    <row r="281" spans="1:11" x14ac:dyDescent="0.2">
      <c r="A281" s="33"/>
      <c r="B281" s="33"/>
      <c r="C281" s="36"/>
      <c r="D281" s="132"/>
      <c r="E281" s="76"/>
      <c r="F281" s="76"/>
      <c r="G281" s="33"/>
      <c r="H281" s="33"/>
      <c r="I281" s="33"/>
      <c r="J281" s="33"/>
      <c r="K281" s="33"/>
    </row>
    <row r="282" spans="1:11" x14ac:dyDescent="0.2">
      <c r="A282" s="33"/>
      <c r="B282" s="33"/>
      <c r="C282" s="36"/>
      <c r="D282" s="132"/>
      <c r="E282" s="76"/>
      <c r="F282" s="76"/>
      <c r="G282" s="33"/>
      <c r="H282" s="33"/>
      <c r="I282" s="33"/>
      <c r="J282" s="33"/>
      <c r="K282" s="33"/>
    </row>
    <row r="283" spans="1:11" x14ac:dyDescent="0.2">
      <c r="A283" s="33"/>
      <c r="B283" s="33"/>
      <c r="C283" s="36"/>
      <c r="D283" s="36"/>
      <c r="E283" s="76"/>
      <c r="F283" s="76"/>
      <c r="G283" s="33"/>
      <c r="H283" s="33"/>
      <c r="I283" s="33"/>
      <c r="J283" s="33"/>
      <c r="K283" s="33"/>
    </row>
    <row r="284" spans="1:11" x14ac:dyDescent="0.2">
      <c r="A284" s="84"/>
      <c r="B284" s="84"/>
      <c r="C284" s="39"/>
      <c r="D284" s="36"/>
      <c r="E284" s="76"/>
      <c r="F284" s="76"/>
      <c r="G284" s="33"/>
      <c r="H284" s="86"/>
      <c r="I284" s="33"/>
      <c r="J284" s="33"/>
      <c r="K284" s="33"/>
    </row>
    <row r="285" spans="1:11" x14ac:dyDescent="0.2">
      <c r="A285" s="33"/>
      <c r="B285" s="33"/>
      <c r="C285" s="36"/>
      <c r="D285" s="36"/>
      <c r="E285" s="76"/>
      <c r="F285" s="76"/>
      <c r="G285" s="33"/>
      <c r="H285" s="86"/>
      <c r="I285" s="33"/>
      <c r="J285" s="33"/>
      <c r="K285" s="33"/>
    </row>
    <row r="286" spans="1:11" x14ac:dyDescent="0.2">
      <c r="A286" s="33"/>
      <c r="B286" s="33"/>
      <c r="C286" s="36"/>
      <c r="D286" s="132"/>
      <c r="E286" s="76"/>
      <c r="F286" s="76"/>
      <c r="G286" s="33"/>
      <c r="H286" s="33"/>
      <c r="I286" s="33"/>
      <c r="J286" s="33"/>
      <c r="K286" s="33"/>
    </row>
    <row r="287" spans="1:11" x14ac:dyDescent="0.2">
      <c r="A287" s="33"/>
      <c r="B287" s="33"/>
      <c r="C287" s="36"/>
      <c r="D287" s="132"/>
      <c r="E287" s="76"/>
      <c r="F287" s="76"/>
      <c r="G287" s="33"/>
      <c r="H287" s="33"/>
      <c r="I287" s="33"/>
      <c r="J287" s="33"/>
      <c r="K287" s="33"/>
    </row>
    <row r="288" spans="1:11" x14ac:dyDescent="0.2">
      <c r="A288" s="33"/>
      <c r="B288" s="33"/>
      <c r="C288" s="36"/>
      <c r="D288" s="36"/>
      <c r="E288" s="76"/>
      <c r="F288" s="119"/>
      <c r="G288" s="33"/>
      <c r="H288" s="86"/>
      <c r="I288" s="33"/>
      <c r="J288" s="33"/>
      <c r="K288" s="33"/>
    </row>
    <row r="289" spans="1:11" x14ac:dyDescent="0.2">
      <c r="A289" s="84"/>
      <c r="B289" s="84"/>
      <c r="C289" s="39"/>
      <c r="D289" s="132"/>
      <c r="E289" s="76"/>
      <c r="F289" s="76"/>
      <c r="G289" s="33"/>
      <c r="H289" s="86"/>
      <c r="I289" s="33"/>
      <c r="J289" s="33"/>
      <c r="K289" s="33"/>
    </row>
    <row r="290" spans="1:11" x14ac:dyDescent="0.2">
      <c r="A290" s="33"/>
      <c r="B290" s="33"/>
      <c r="C290" s="36"/>
      <c r="D290" s="36"/>
      <c r="E290" s="76"/>
      <c r="F290" s="76"/>
      <c r="G290" s="33"/>
      <c r="H290" s="86"/>
      <c r="I290" s="33"/>
      <c r="J290" s="33"/>
      <c r="K290" s="33"/>
    </row>
    <row r="291" spans="1:11" x14ac:dyDescent="0.2">
      <c r="A291" s="33"/>
      <c r="B291" s="33"/>
      <c r="C291" s="36"/>
      <c r="D291" s="36"/>
      <c r="E291" s="76"/>
      <c r="F291" s="48"/>
      <c r="G291" s="33"/>
      <c r="H291" s="33"/>
      <c r="I291" s="33"/>
      <c r="J291" s="33"/>
      <c r="K291" s="33"/>
    </row>
    <row r="292" spans="1:11" x14ac:dyDescent="0.2">
      <c r="A292" s="33"/>
      <c r="B292" s="33"/>
      <c r="C292" s="36"/>
      <c r="D292" s="36"/>
      <c r="E292" s="76"/>
      <c r="F292" s="48"/>
      <c r="G292" s="33"/>
      <c r="H292" s="33"/>
      <c r="I292" s="33"/>
      <c r="J292" s="33"/>
      <c r="K292" s="33"/>
    </row>
    <row r="293" spans="1:11" x14ac:dyDescent="0.2">
      <c r="A293" s="33"/>
      <c r="B293" s="33"/>
      <c r="C293" s="36"/>
      <c r="D293" s="36"/>
      <c r="E293" s="76"/>
      <c r="F293" s="76"/>
      <c r="G293" s="33"/>
      <c r="H293" s="86"/>
      <c r="I293" s="33"/>
      <c r="J293" s="33"/>
      <c r="K293" s="33"/>
    </row>
    <row r="294" spans="1:11" x14ac:dyDescent="0.2">
      <c r="A294" s="84"/>
      <c r="B294" s="84"/>
      <c r="C294" s="39"/>
      <c r="D294" s="132"/>
      <c r="E294" s="76"/>
      <c r="F294" s="76"/>
      <c r="G294" s="33"/>
      <c r="H294" s="86"/>
      <c r="I294" s="33"/>
      <c r="J294" s="33"/>
      <c r="K294" s="33"/>
    </row>
    <row r="295" spans="1:11" x14ac:dyDescent="0.2">
      <c r="A295" s="33"/>
      <c r="B295" s="33"/>
      <c r="C295" s="36"/>
      <c r="D295" s="36"/>
      <c r="E295" s="76"/>
      <c r="F295" s="76"/>
      <c r="G295" s="33"/>
      <c r="H295" s="86"/>
      <c r="I295" s="33"/>
      <c r="J295" s="33"/>
      <c r="K295" s="33"/>
    </row>
    <row r="296" spans="1:11" x14ac:dyDescent="0.2">
      <c r="A296" s="33"/>
      <c r="B296" s="33"/>
      <c r="C296" s="36"/>
      <c r="D296" s="36"/>
      <c r="E296" s="76"/>
      <c r="F296" s="76"/>
      <c r="G296" s="33"/>
      <c r="H296" s="33"/>
      <c r="I296" s="33"/>
      <c r="J296" s="33"/>
      <c r="K296" s="33"/>
    </row>
    <row r="297" spans="1:11" x14ac:dyDescent="0.2">
      <c r="A297" s="33"/>
      <c r="B297" s="33"/>
      <c r="C297" s="36"/>
      <c r="D297" s="36"/>
      <c r="E297" s="76"/>
      <c r="F297" s="48"/>
      <c r="G297" s="33"/>
      <c r="H297" s="33"/>
      <c r="I297" s="33"/>
      <c r="J297" s="33"/>
      <c r="K297" s="33"/>
    </row>
    <row r="298" spans="1:11" x14ac:dyDescent="0.2">
      <c r="A298" s="33"/>
      <c r="B298" s="33"/>
      <c r="C298" s="36"/>
      <c r="D298" s="36"/>
      <c r="E298" s="76"/>
      <c r="F298" s="76"/>
      <c r="G298" s="33"/>
      <c r="H298" s="86"/>
      <c r="I298" s="33"/>
      <c r="J298" s="33"/>
      <c r="K298" s="33"/>
    </row>
    <row r="299" spans="1:11" x14ac:dyDescent="0.2">
      <c r="A299" s="84"/>
      <c r="B299" s="84"/>
      <c r="C299" s="39"/>
      <c r="D299" s="132"/>
      <c r="E299" s="76"/>
      <c r="F299" s="76"/>
      <c r="G299" s="33"/>
      <c r="H299" s="86"/>
      <c r="I299" s="33"/>
      <c r="J299" s="33"/>
      <c r="K299" s="33"/>
    </row>
    <row r="300" spans="1:11" x14ac:dyDescent="0.2">
      <c r="A300" s="84"/>
      <c r="B300" s="84"/>
      <c r="C300" s="39"/>
      <c r="D300" s="36"/>
      <c r="E300" s="76"/>
      <c r="F300" s="48"/>
      <c r="G300" s="33"/>
      <c r="H300" s="33"/>
      <c r="I300" s="33"/>
      <c r="J300" s="33"/>
      <c r="K300" s="33"/>
    </row>
    <row r="301" spans="1:11" x14ac:dyDescent="0.2">
      <c r="A301" s="33"/>
      <c r="B301" s="33"/>
      <c r="C301" s="36"/>
      <c r="D301" s="36"/>
      <c r="E301" s="76"/>
      <c r="F301" s="48"/>
      <c r="G301" s="33"/>
      <c r="H301" s="33"/>
      <c r="I301" s="33"/>
      <c r="J301" s="33"/>
      <c r="K301" s="33"/>
    </row>
    <row r="302" spans="1:11" x14ac:dyDescent="0.2">
      <c r="A302" s="104"/>
      <c r="B302" s="84"/>
      <c r="C302" s="39"/>
      <c r="D302" s="39"/>
      <c r="E302" s="76"/>
      <c r="F302" s="105"/>
      <c r="G302" s="33"/>
      <c r="H302" s="107"/>
      <c r="I302" s="33"/>
      <c r="J302" s="33"/>
      <c r="K302" s="76"/>
    </row>
    <row r="303" spans="1:11" x14ac:dyDescent="0.2">
      <c r="A303" s="104"/>
      <c r="B303" s="84"/>
      <c r="C303" s="39"/>
      <c r="D303" s="39"/>
      <c r="E303" s="76"/>
      <c r="F303" s="105"/>
      <c r="G303" s="33"/>
      <c r="H303" s="107"/>
      <c r="I303" s="33"/>
      <c r="J303" s="33"/>
      <c r="K303" s="76"/>
    </row>
    <row r="304" spans="1:11" x14ac:dyDescent="0.2">
      <c r="A304" s="104"/>
      <c r="B304" s="84"/>
      <c r="C304" s="39"/>
      <c r="D304" s="39"/>
      <c r="E304" s="76"/>
      <c r="F304" s="105"/>
      <c r="G304" s="33"/>
      <c r="H304" s="107"/>
      <c r="I304" s="33"/>
      <c r="J304" s="33"/>
      <c r="K304" s="76"/>
    </row>
    <row r="305" spans="1:11" x14ac:dyDescent="0.2">
      <c r="A305" s="104"/>
      <c r="B305" s="84"/>
      <c r="C305" s="39"/>
      <c r="D305" s="39"/>
      <c r="E305" s="76"/>
      <c r="F305" s="105"/>
      <c r="G305" s="33"/>
      <c r="H305" s="107"/>
      <c r="I305" s="33"/>
      <c r="J305" s="33"/>
      <c r="K305" s="76"/>
    </row>
    <row r="306" spans="1:11" x14ac:dyDescent="0.2">
      <c r="A306" s="104"/>
      <c r="B306" s="84"/>
      <c r="C306" s="39"/>
      <c r="D306" s="39"/>
      <c r="E306" s="76"/>
      <c r="F306" s="105"/>
      <c r="G306" s="33"/>
      <c r="H306" s="107"/>
      <c r="I306" s="33"/>
      <c r="J306" s="33"/>
      <c r="K306" s="76"/>
    </row>
    <row r="307" spans="1:11" x14ac:dyDescent="0.2">
      <c r="A307" s="104"/>
      <c r="B307" s="84"/>
      <c r="C307" s="39"/>
      <c r="D307" s="39"/>
      <c r="E307" s="76"/>
      <c r="F307" s="105"/>
      <c r="G307" s="33"/>
      <c r="H307" s="107"/>
      <c r="I307" s="33"/>
      <c r="J307" s="33"/>
      <c r="K307" s="76"/>
    </row>
  </sheetData>
  <mergeCells count="2">
    <mergeCell ref="AP34:AR36"/>
    <mergeCell ref="AT34:AV36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36F1-18FC-C748-807B-1D8BDCEDE171}">
  <dimension ref="A1:AX326"/>
  <sheetViews>
    <sheetView zoomScale="132" zoomScaleNormal="75" workbookViewId="0">
      <selection activeCell="K1" sqref="K1"/>
    </sheetView>
  </sheetViews>
  <sheetFormatPr baseColWidth="10" defaultColWidth="11" defaultRowHeight="16" x14ac:dyDescent="0.2"/>
  <cols>
    <col min="2" max="2" width="11.5" customWidth="1"/>
    <col min="4" max="4" width="13" customWidth="1"/>
    <col min="6" max="6" width="17.83203125" customWidth="1"/>
    <col min="8" max="8" width="11.83203125" customWidth="1"/>
    <col min="9" max="9" width="15" customWidth="1"/>
    <col min="10" max="10" width="13.33203125" customWidth="1"/>
    <col min="14" max="14" width="12.1640625" customWidth="1"/>
    <col min="15" max="15" width="11" bestFit="1" customWidth="1"/>
    <col min="16" max="16" width="19.5" customWidth="1"/>
    <col min="17" max="17" width="12.1640625" bestFit="1" customWidth="1"/>
    <col min="18" max="18" width="12.1640625" customWidth="1"/>
    <col min="19" max="19" width="18.6640625" customWidth="1"/>
    <col min="20" max="20" width="18" customWidth="1"/>
    <col min="21" max="21" width="14.1640625" customWidth="1"/>
    <col min="23" max="24" width="11" bestFit="1" customWidth="1"/>
    <col min="27" max="27" width="11" bestFit="1" customWidth="1"/>
    <col min="33" max="33" width="13.83203125" customWidth="1"/>
    <col min="38" max="38" width="13" bestFit="1" customWidth="1"/>
  </cols>
  <sheetData>
    <row r="1" spans="1:50" x14ac:dyDescent="0.2">
      <c r="A1" s="29" t="s">
        <v>129</v>
      </c>
      <c r="B1" s="29" t="s">
        <v>80</v>
      </c>
      <c r="C1" s="29" t="s">
        <v>1</v>
      </c>
      <c r="D1" s="29" t="s">
        <v>2</v>
      </c>
      <c r="E1" s="29" t="s">
        <v>3</v>
      </c>
      <c r="F1" s="29" t="s">
        <v>74</v>
      </c>
      <c r="G1" s="29" t="s">
        <v>4</v>
      </c>
      <c r="H1" s="29" t="s">
        <v>124</v>
      </c>
      <c r="I1" s="29" t="s">
        <v>125</v>
      </c>
      <c r="J1" s="29" t="s">
        <v>126</v>
      </c>
      <c r="K1" s="34" t="s">
        <v>127</v>
      </c>
      <c r="L1" s="48"/>
      <c r="M1" s="91"/>
      <c r="N1" s="91"/>
      <c r="O1" s="92"/>
      <c r="P1" s="92"/>
      <c r="Q1" s="92"/>
      <c r="R1" s="92"/>
      <c r="S1" s="92"/>
      <c r="T1" s="92"/>
      <c r="U1" s="92"/>
      <c r="V1" s="91"/>
      <c r="W1" s="91"/>
      <c r="X1" s="91"/>
      <c r="Y1" s="91"/>
      <c r="Z1" s="91"/>
      <c r="AA1" s="91"/>
      <c r="AB1" s="91"/>
      <c r="AC1" s="91"/>
      <c r="AD1" s="48"/>
      <c r="AE1" s="48"/>
      <c r="AF1" s="48"/>
      <c r="AG1" s="50"/>
      <c r="AH1" s="50"/>
      <c r="AI1" s="50"/>
      <c r="AJ1" s="50"/>
      <c r="AK1" s="50"/>
      <c r="AL1" s="50"/>
      <c r="AM1" s="50"/>
      <c r="AN1" s="50"/>
      <c r="AO1" s="50"/>
      <c r="AP1" s="48"/>
      <c r="AQ1" s="48"/>
      <c r="AR1" s="48"/>
      <c r="AS1" s="48"/>
      <c r="AT1" s="48"/>
      <c r="AU1" s="48"/>
      <c r="AV1" s="48"/>
      <c r="AW1" s="48"/>
      <c r="AX1" s="48"/>
    </row>
    <row r="2" spans="1:50" x14ac:dyDescent="0.2">
      <c r="A2" s="4" t="s">
        <v>9</v>
      </c>
      <c r="B2" s="4" t="s">
        <v>10</v>
      </c>
      <c r="C2" s="2">
        <v>43164</v>
      </c>
      <c r="D2" s="2">
        <v>43230</v>
      </c>
      <c r="E2" s="3">
        <v>2.1639344262295084</v>
      </c>
      <c r="F2" s="79">
        <v>1576</v>
      </c>
      <c r="G2" s="4" t="s">
        <v>81</v>
      </c>
      <c r="H2" s="11">
        <v>1.9</v>
      </c>
      <c r="I2" s="4" t="s">
        <v>7</v>
      </c>
      <c r="J2" s="4">
        <v>2</v>
      </c>
      <c r="K2" s="33" t="s">
        <v>72</v>
      </c>
      <c r="L2" s="48"/>
      <c r="M2" s="48"/>
      <c r="N2" s="48"/>
      <c r="O2" s="91"/>
      <c r="P2" s="91"/>
      <c r="Q2" s="91"/>
      <c r="R2" s="91"/>
      <c r="S2" s="91"/>
      <c r="T2" s="93"/>
      <c r="U2" s="91"/>
      <c r="V2" s="91"/>
      <c r="W2" s="91"/>
      <c r="X2" s="91"/>
      <c r="Y2" s="91"/>
      <c r="Z2" s="91"/>
      <c r="AA2" s="91"/>
      <c r="AB2" s="91"/>
      <c r="AC2" s="91"/>
      <c r="AD2" s="48"/>
      <c r="AE2" s="48"/>
      <c r="AF2" s="48"/>
      <c r="AG2" s="90"/>
      <c r="AH2" s="52"/>
      <c r="AI2" s="53"/>
      <c r="AJ2" s="90"/>
      <c r="AK2" s="90"/>
      <c r="AL2" s="54"/>
      <c r="AM2" s="90"/>
      <c r="AN2" s="90"/>
      <c r="AO2" s="90"/>
      <c r="AP2" s="48"/>
      <c r="AQ2" s="48"/>
      <c r="AR2" s="48"/>
      <c r="AS2" s="48"/>
      <c r="AT2" s="48"/>
      <c r="AU2" s="48"/>
      <c r="AV2" s="48"/>
      <c r="AW2" s="48"/>
      <c r="AX2" s="48"/>
    </row>
    <row r="3" spans="1:50" x14ac:dyDescent="0.2">
      <c r="A3" s="7" t="s">
        <v>9</v>
      </c>
      <c r="B3" s="1" t="s">
        <v>10</v>
      </c>
      <c r="C3" s="2">
        <v>43164</v>
      </c>
      <c r="D3" s="2">
        <v>43258</v>
      </c>
      <c r="E3" s="3">
        <v>3.081967213114754</v>
      </c>
      <c r="F3" s="3">
        <v>10348</v>
      </c>
      <c r="G3" s="4" t="s">
        <v>81</v>
      </c>
      <c r="H3" s="5">
        <v>19.899999999999999</v>
      </c>
      <c r="I3" s="4" t="s">
        <v>7</v>
      </c>
      <c r="J3" s="4">
        <v>3</v>
      </c>
      <c r="K3" s="76" t="s">
        <v>76</v>
      </c>
      <c r="L3" s="48"/>
      <c r="M3" s="48"/>
      <c r="N3" s="48"/>
      <c r="O3" s="91"/>
      <c r="P3" s="91"/>
      <c r="Q3" s="91"/>
      <c r="R3" s="91"/>
      <c r="S3" s="91"/>
      <c r="T3" s="93"/>
      <c r="U3" s="91"/>
      <c r="V3" s="91"/>
      <c r="W3" s="91"/>
      <c r="X3" s="91"/>
      <c r="Y3" s="91"/>
      <c r="Z3" s="91"/>
      <c r="AA3" s="91"/>
      <c r="AB3" s="91"/>
      <c r="AC3" s="91"/>
      <c r="AD3" s="48"/>
      <c r="AE3" s="48"/>
      <c r="AF3" s="48"/>
      <c r="AG3" s="90"/>
      <c r="AH3" s="52"/>
      <c r="AI3" s="53"/>
      <c r="AJ3" s="90"/>
      <c r="AK3" s="90"/>
      <c r="AL3" s="55"/>
      <c r="AM3" s="90"/>
      <c r="AN3" s="90"/>
      <c r="AO3" s="90"/>
      <c r="AP3" s="48"/>
      <c r="AQ3" s="48"/>
      <c r="AR3" s="48"/>
      <c r="AS3" s="48"/>
      <c r="AT3" s="48"/>
      <c r="AU3" s="48"/>
      <c r="AV3" s="48"/>
      <c r="AW3" s="48"/>
      <c r="AX3" s="48"/>
    </row>
    <row r="4" spans="1:50" x14ac:dyDescent="0.2">
      <c r="A4" s="7" t="s">
        <v>9</v>
      </c>
      <c r="B4" s="1" t="s">
        <v>10</v>
      </c>
      <c r="C4" s="2">
        <v>43164</v>
      </c>
      <c r="D4" s="2">
        <v>43284</v>
      </c>
      <c r="E4" s="3">
        <v>3.9344262295081966</v>
      </c>
      <c r="F4" s="3">
        <f>AVERAGE(87011,70198)</f>
        <v>78604.5</v>
      </c>
      <c r="G4" s="4" t="s">
        <v>81</v>
      </c>
      <c r="H4" s="5">
        <v>77.05</v>
      </c>
      <c r="I4" s="4" t="s">
        <v>8</v>
      </c>
      <c r="J4" s="4">
        <v>3</v>
      </c>
      <c r="K4" s="76" t="s">
        <v>76</v>
      </c>
      <c r="L4" s="48"/>
      <c r="M4" s="48"/>
      <c r="N4" s="48"/>
      <c r="O4" s="91"/>
      <c r="P4" s="91"/>
      <c r="Q4" s="91"/>
      <c r="R4" s="91"/>
      <c r="S4" s="91"/>
      <c r="T4" s="93"/>
      <c r="U4" s="91"/>
      <c r="V4" s="91"/>
      <c r="W4" s="91"/>
      <c r="X4" s="91"/>
      <c r="Y4" s="91"/>
      <c r="Z4" s="91"/>
      <c r="AA4" s="91"/>
      <c r="AB4" s="91"/>
      <c r="AC4" s="91"/>
      <c r="AD4" s="48"/>
      <c r="AE4" s="48"/>
      <c r="AF4" s="48"/>
      <c r="AG4" s="90"/>
      <c r="AH4" s="52"/>
      <c r="AI4" s="53"/>
      <c r="AJ4" s="90"/>
      <c r="AK4" s="90"/>
      <c r="AL4" s="55"/>
      <c r="AM4" s="90"/>
      <c r="AN4" s="90"/>
      <c r="AO4" s="90"/>
      <c r="AP4" s="48"/>
      <c r="AQ4" s="48"/>
      <c r="AR4" s="48"/>
      <c r="AS4" s="48"/>
      <c r="AT4" s="48"/>
      <c r="AU4" s="48"/>
      <c r="AV4" s="48"/>
      <c r="AW4" s="48"/>
      <c r="AX4" s="48"/>
    </row>
    <row r="5" spans="1:50" x14ac:dyDescent="0.2">
      <c r="A5" s="114" t="s">
        <v>9</v>
      </c>
      <c r="B5" s="84" t="s">
        <v>10</v>
      </c>
      <c r="C5" s="39">
        <v>43164</v>
      </c>
      <c r="D5" s="39">
        <v>43311</v>
      </c>
      <c r="E5" s="76">
        <v>4.8196721311475406</v>
      </c>
      <c r="F5" s="76">
        <f>AVERAGE(137561,113381)</f>
        <v>125471</v>
      </c>
      <c r="G5" s="33" t="s">
        <v>81</v>
      </c>
      <c r="H5" s="105">
        <v>123.85</v>
      </c>
      <c r="I5" s="33" t="s">
        <v>8</v>
      </c>
      <c r="J5" s="33">
        <v>4</v>
      </c>
      <c r="K5" s="76" t="s">
        <v>76</v>
      </c>
      <c r="L5" s="48"/>
      <c r="M5" s="48"/>
      <c r="N5" s="48"/>
      <c r="O5" s="91"/>
      <c r="P5" s="91"/>
      <c r="Q5" s="91"/>
      <c r="R5" s="91"/>
      <c r="S5" s="91"/>
      <c r="T5" s="93"/>
      <c r="U5" s="91"/>
      <c r="V5" s="91"/>
      <c r="W5" s="91"/>
      <c r="X5" s="91"/>
      <c r="Y5" s="91"/>
      <c r="Z5" s="91"/>
      <c r="AA5" s="91"/>
      <c r="AB5" s="91"/>
      <c r="AC5" s="91"/>
      <c r="AD5" s="48"/>
      <c r="AE5" s="48"/>
      <c r="AF5" s="48"/>
      <c r="AG5" s="90"/>
      <c r="AH5" s="52"/>
      <c r="AI5" s="53"/>
      <c r="AJ5" s="90"/>
      <c r="AK5" s="90"/>
      <c r="AL5" s="55"/>
      <c r="AM5" s="90"/>
      <c r="AN5" s="90"/>
      <c r="AO5" s="90"/>
      <c r="AP5" s="48"/>
      <c r="AQ5" s="48"/>
      <c r="AR5" s="48"/>
      <c r="AS5" s="48"/>
      <c r="AT5" s="48"/>
      <c r="AU5" s="48"/>
      <c r="AV5" s="48"/>
      <c r="AW5" s="48"/>
      <c r="AX5" s="48"/>
    </row>
    <row r="6" spans="1:50" x14ac:dyDescent="0.2">
      <c r="A6" s="36" t="s">
        <v>15</v>
      </c>
      <c r="B6" s="33" t="s">
        <v>10</v>
      </c>
      <c r="C6" s="36">
        <v>43381</v>
      </c>
      <c r="D6" s="41">
        <v>43447</v>
      </c>
      <c r="E6" s="76">
        <v>2.1639344262295084</v>
      </c>
      <c r="F6" s="76">
        <f>AVERAGE(1607,6128)</f>
        <v>3867.5</v>
      </c>
      <c r="G6" s="33" t="s">
        <v>81</v>
      </c>
      <c r="H6" s="33">
        <v>4.8999999999999995</v>
      </c>
      <c r="I6" s="33" t="s">
        <v>8</v>
      </c>
      <c r="J6" s="33">
        <v>2</v>
      </c>
      <c r="K6" s="33" t="s">
        <v>72</v>
      </c>
      <c r="L6" s="48"/>
      <c r="M6" s="48"/>
      <c r="N6" s="48"/>
      <c r="O6" s="91"/>
      <c r="P6" s="91"/>
      <c r="Q6" s="91"/>
      <c r="R6" s="91"/>
      <c r="S6" s="91"/>
      <c r="T6" s="93"/>
      <c r="U6" s="91"/>
      <c r="V6" s="91"/>
      <c r="W6" s="91"/>
      <c r="X6" s="91"/>
      <c r="Y6" s="91"/>
      <c r="Z6" s="91"/>
      <c r="AA6" s="91"/>
      <c r="AB6" s="91"/>
      <c r="AC6" s="91"/>
      <c r="AD6" s="48"/>
      <c r="AE6" s="48"/>
      <c r="AF6" s="48"/>
      <c r="AG6" s="90"/>
      <c r="AH6" s="52"/>
      <c r="AI6" s="52"/>
      <c r="AJ6" s="90"/>
      <c r="AK6" s="90"/>
      <c r="AL6" s="90"/>
      <c r="AM6" s="90"/>
      <c r="AN6" s="90"/>
      <c r="AO6" s="90"/>
      <c r="AP6" s="48"/>
      <c r="AQ6" s="48"/>
      <c r="AR6" s="48"/>
      <c r="AS6" s="48"/>
      <c r="AT6" s="48"/>
      <c r="AU6" s="48"/>
      <c r="AV6" s="48"/>
      <c r="AW6" s="48"/>
      <c r="AX6" s="48"/>
    </row>
    <row r="7" spans="1:50" x14ac:dyDescent="0.2">
      <c r="A7" s="114" t="s">
        <v>16</v>
      </c>
      <c r="B7" s="84" t="s">
        <v>10</v>
      </c>
      <c r="C7" s="39">
        <v>43381</v>
      </c>
      <c r="D7" s="39">
        <v>43447</v>
      </c>
      <c r="E7" s="76">
        <v>2.1639344262295084</v>
      </c>
      <c r="F7" s="76">
        <f>AVERAGE(527,4649)</f>
        <v>2588</v>
      </c>
      <c r="G7" s="33" t="s">
        <v>81</v>
      </c>
      <c r="H7" s="105">
        <v>3.7</v>
      </c>
      <c r="I7" s="33" t="s">
        <v>8</v>
      </c>
      <c r="J7" s="33">
        <v>2</v>
      </c>
      <c r="K7" s="76" t="s">
        <v>72</v>
      </c>
      <c r="L7" s="48"/>
      <c r="M7" s="48"/>
      <c r="N7" s="48"/>
      <c r="O7" s="91"/>
      <c r="P7" s="91"/>
      <c r="Q7" s="91"/>
      <c r="R7" s="91"/>
      <c r="S7" s="91"/>
      <c r="T7" s="93"/>
      <c r="U7" s="91"/>
      <c r="V7" s="91"/>
      <c r="W7" s="91"/>
      <c r="X7" s="91"/>
      <c r="Y7" s="91"/>
      <c r="Z7" s="91"/>
      <c r="AA7" s="91"/>
      <c r="AB7" s="91"/>
      <c r="AC7" s="91"/>
      <c r="AD7" s="48"/>
      <c r="AE7" s="48"/>
      <c r="AF7" s="48"/>
      <c r="AG7" s="90"/>
      <c r="AH7" s="52"/>
      <c r="AI7" s="53"/>
      <c r="AJ7" s="90"/>
      <c r="AK7" s="90"/>
      <c r="AL7" s="55"/>
      <c r="AM7" s="90"/>
      <c r="AN7" s="90"/>
      <c r="AO7" s="90"/>
      <c r="AP7" s="48"/>
      <c r="AQ7" s="49"/>
      <c r="AR7" s="48"/>
      <c r="AS7" s="48"/>
      <c r="AT7" s="48"/>
      <c r="AU7" s="48"/>
      <c r="AV7" s="48"/>
      <c r="AW7" s="48"/>
      <c r="AX7" s="48"/>
    </row>
    <row r="8" spans="1:50" x14ac:dyDescent="0.2">
      <c r="A8" s="114" t="s">
        <v>9</v>
      </c>
      <c r="B8" s="84" t="s">
        <v>10</v>
      </c>
      <c r="C8" s="39">
        <v>43164</v>
      </c>
      <c r="D8" s="39" t="s">
        <v>82</v>
      </c>
      <c r="E8" s="76">
        <v>6</v>
      </c>
      <c r="F8" s="76">
        <v>150003</v>
      </c>
      <c r="G8" s="33" t="s">
        <v>81</v>
      </c>
      <c r="H8" s="105">
        <v>55.8</v>
      </c>
      <c r="I8" s="33" t="s">
        <v>7</v>
      </c>
      <c r="J8" s="33">
        <v>6</v>
      </c>
      <c r="K8" s="76" t="s">
        <v>77</v>
      </c>
      <c r="L8" s="48"/>
      <c r="M8" s="48"/>
      <c r="N8" s="48"/>
      <c r="O8" s="91"/>
      <c r="P8" s="91"/>
      <c r="Q8" s="91"/>
      <c r="R8" s="91"/>
      <c r="S8" s="91"/>
      <c r="T8" s="93"/>
      <c r="U8" s="91"/>
      <c r="V8" s="91"/>
      <c r="W8" s="91"/>
      <c r="X8" s="91"/>
      <c r="Y8" s="91"/>
      <c r="Z8" s="91"/>
      <c r="AA8" s="91"/>
      <c r="AB8" s="91"/>
      <c r="AC8" s="91"/>
      <c r="AD8" s="48"/>
      <c r="AE8" s="48"/>
      <c r="AF8" s="48"/>
      <c r="AG8" s="90"/>
      <c r="AH8" s="52"/>
      <c r="AI8" s="52"/>
      <c r="AJ8" s="90"/>
      <c r="AK8" s="90"/>
      <c r="AL8" s="90"/>
      <c r="AM8" s="90"/>
      <c r="AN8" s="90"/>
      <c r="AO8" s="90"/>
      <c r="AP8" s="48"/>
      <c r="AQ8" s="47"/>
      <c r="AR8" s="48"/>
      <c r="AS8" s="48"/>
      <c r="AT8" s="48"/>
      <c r="AU8" s="48"/>
      <c r="AV8" s="48"/>
      <c r="AW8" s="48"/>
      <c r="AX8" s="48"/>
    </row>
    <row r="9" spans="1:50" x14ac:dyDescent="0.2">
      <c r="A9" s="114" t="s">
        <v>9</v>
      </c>
      <c r="B9" s="84" t="s">
        <v>10</v>
      </c>
      <c r="C9" s="39">
        <v>43164</v>
      </c>
      <c r="D9" s="39">
        <v>43376</v>
      </c>
      <c r="E9" s="76">
        <v>6.9508196721311473</v>
      </c>
      <c r="F9" s="76">
        <v>129073</v>
      </c>
      <c r="G9" s="33" t="s">
        <v>81</v>
      </c>
      <c r="H9" s="105">
        <v>285.60000000000002</v>
      </c>
      <c r="I9" s="33" t="s">
        <v>7</v>
      </c>
      <c r="J9" s="33">
        <v>6</v>
      </c>
      <c r="K9" s="76" t="s">
        <v>77</v>
      </c>
      <c r="L9" s="48"/>
      <c r="M9" s="48"/>
      <c r="N9" s="48"/>
      <c r="O9" s="91"/>
      <c r="P9" s="91"/>
      <c r="Q9" s="91"/>
      <c r="R9" s="91"/>
      <c r="S9" s="91"/>
      <c r="T9" s="93"/>
      <c r="U9" s="91"/>
      <c r="V9" s="91"/>
      <c r="W9" s="91"/>
      <c r="X9" s="91"/>
      <c r="Y9" s="91"/>
      <c r="Z9" s="91"/>
      <c r="AA9" s="91"/>
      <c r="AB9" s="91"/>
      <c r="AC9" s="91"/>
      <c r="AD9" s="48"/>
      <c r="AE9" s="48"/>
      <c r="AF9" s="48"/>
      <c r="AG9" s="55"/>
      <c r="AH9" s="53"/>
      <c r="AI9" s="53"/>
      <c r="AJ9" s="90"/>
      <c r="AK9" s="90"/>
      <c r="AL9" s="90"/>
      <c r="AM9" s="90"/>
      <c r="AN9" s="90"/>
      <c r="AO9" s="90"/>
      <c r="AP9" s="48"/>
      <c r="AQ9" s="47"/>
      <c r="AR9" s="48"/>
      <c r="AS9" s="48"/>
      <c r="AT9" s="48"/>
      <c r="AU9" s="48"/>
      <c r="AV9" s="48"/>
      <c r="AW9" s="48"/>
      <c r="AX9" s="48"/>
    </row>
    <row r="10" spans="1:50" x14ac:dyDescent="0.2">
      <c r="A10" s="114" t="s">
        <v>9</v>
      </c>
      <c r="B10" s="84" t="s">
        <v>10</v>
      </c>
      <c r="C10" s="39">
        <v>43164</v>
      </c>
      <c r="D10" s="39">
        <v>43392</v>
      </c>
      <c r="E10" s="76">
        <v>7.4754098360655741</v>
      </c>
      <c r="F10" s="74">
        <v>179128</v>
      </c>
      <c r="G10" s="33" t="s">
        <v>81</v>
      </c>
      <c r="H10" s="105">
        <v>280.3</v>
      </c>
      <c r="I10" s="33" t="s">
        <v>7</v>
      </c>
      <c r="J10" s="33">
        <v>7</v>
      </c>
      <c r="K10" s="76" t="s">
        <v>77</v>
      </c>
      <c r="L10" s="48"/>
      <c r="M10" s="48"/>
      <c r="N10" s="48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48"/>
      <c r="AE10" s="48"/>
      <c r="AF10" s="48"/>
      <c r="AG10" s="55"/>
      <c r="AH10" s="53"/>
      <c r="AI10" s="53"/>
      <c r="AJ10" s="90"/>
      <c r="AK10" s="90"/>
      <c r="AL10" s="55"/>
      <c r="AM10" s="90"/>
      <c r="AN10" s="90"/>
      <c r="AO10" s="90"/>
      <c r="AP10" s="48"/>
      <c r="AQ10" s="47"/>
      <c r="AR10" s="48"/>
      <c r="AS10" s="48"/>
      <c r="AT10" s="48"/>
      <c r="AU10" s="48"/>
      <c r="AV10" s="48"/>
      <c r="AW10" s="48"/>
      <c r="AX10" s="48"/>
    </row>
    <row r="11" spans="1:50" x14ac:dyDescent="0.2">
      <c r="A11" s="33" t="s">
        <v>11</v>
      </c>
      <c r="B11" s="33" t="s">
        <v>10</v>
      </c>
      <c r="C11" s="36">
        <v>43367</v>
      </c>
      <c r="D11" s="39">
        <v>43411</v>
      </c>
      <c r="E11" s="76">
        <v>1.4426229508196722</v>
      </c>
      <c r="F11" s="140">
        <v>1018</v>
      </c>
      <c r="G11" s="33" t="s">
        <v>81</v>
      </c>
      <c r="H11" s="114">
        <v>0.78610038610038613</v>
      </c>
      <c r="I11" s="33" t="s">
        <v>7</v>
      </c>
      <c r="J11" s="33">
        <v>1</v>
      </c>
      <c r="K11" s="33" t="s">
        <v>72</v>
      </c>
      <c r="L11" s="48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48"/>
      <c r="AE11" s="48"/>
      <c r="AF11" s="48"/>
      <c r="AG11" s="55"/>
      <c r="AH11" s="53"/>
      <c r="AI11" s="53"/>
      <c r="AJ11" s="90"/>
      <c r="AK11" s="90"/>
      <c r="AL11" s="90"/>
      <c r="AM11" s="90"/>
      <c r="AN11" s="90"/>
      <c r="AO11" s="90"/>
      <c r="AP11" s="48"/>
      <c r="AQ11" s="47"/>
      <c r="AR11" s="48"/>
      <c r="AS11" s="48"/>
      <c r="AT11" s="48"/>
      <c r="AU11" s="48"/>
      <c r="AV11" s="48"/>
      <c r="AW11" s="48"/>
      <c r="AX11" s="48"/>
    </row>
    <row r="12" spans="1:50" x14ac:dyDescent="0.2">
      <c r="A12" s="33" t="s">
        <v>11</v>
      </c>
      <c r="B12" s="33" t="s">
        <v>10</v>
      </c>
      <c r="C12" s="39">
        <v>43367</v>
      </c>
      <c r="D12" s="39">
        <v>43447</v>
      </c>
      <c r="E12" s="76">
        <v>2.622950819672131</v>
      </c>
      <c r="F12" s="140">
        <v>2896</v>
      </c>
      <c r="G12" s="33" t="s">
        <v>81</v>
      </c>
      <c r="H12" s="109">
        <v>4.5320813771517994</v>
      </c>
      <c r="I12" s="33" t="s">
        <v>7</v>
      </c>
      <c r="J12" s="33">
        <v>2</v>
      </c>
      <c r="K12" s="33" t="s">
        <v>72</v>
      </c>
      <c r="L12" s="48"/>
      <c r="M12" s="91"/>
      <c r="N12" s="91"/>
      <c r="O12" s="94"/>
      <c r="P12" s="91"/>
      <c r="Q12" s="91"/>
      <c r="R12" s="95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48"/>
      <c r="AE12" s="48"/>
      <c r="AF12" s="48"/>
      <c r="AG12" s="55"/>
      <c r="AH12" s="53"/>
      <c r="AI12" s="53"/>
      <c r="AJ12" s="90"/>
      <c r="AK12" s="90"/>
      <c r="AL12" s="90"/>
      <c r="AM12" s="90"/>
      <c r="AN12" s="90"/>
      <c r="AO12" s="90"/>
      <c r="AP12" s="48"/>
      <c r="AQ12" s="47"/>
      <c r="AR12" s="48"/>
      <c r="AS12" s="48"/>
      <c r="AT12" s="48"/>
      <c r="AU12" s="48"/>
      <c r="AV12" s="48"/>
      <c r="AW12" s="48"/>
      <c r="AX12" s="48"/>
    </row>
    <row r="13" spans="1:50" x14ac:dyDescent="0.2">
      <c r="A13" s="114" t="s">
        <v>11</v>
      </c>
      <c r="B13" s="84" t="s">
        <v>10</v>
      </c>
      <c r="C13" s="39">
        <v>43367</v>
      </c>
      <c r="D13" s="39">
        <v>43474</v>
      </c>
      <c r="E13" s="76">
        <v>3.5081967213114753</v>
      </c>
      <c r="F13" s="76">
        <v>1061</v>
      </c>
      <c r="G13" s="33" t="s">
        <v>81</v>
      </c>
      <c r="H13" s="105">
        <v>2</v>
      </c>
      <c r="I13" s="33" t="s">
        <v>7</v>
      </c>
      <c r="J13" s="33">
        <v>3</v>
      </c>
      <c r="K13" s="76" t="s">
        <v>76</v>
      </c>
      <c r="L13" s="48"/>
      <c r="M13" s="91"/>
      <c r="N13" s="91"/>
      <c r="O13" s="91"/>
      <c r="P13" s="93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48"/>
      <c r="AE13" s="48"/>
      <c r="AF13" s="48"/>
      <c r="AG13" s="55"/>
      <c r="AH13" s="53"/>
      <c r="AI13" s="53"/>
      <c r="AJ13" s="90"/>
      <c r="AK13" s="90"/>
      <c r="AL13" s="55"/>
      <c r="AM13" s="90"/>
      <c r="AN13" s="90"/>
      <c r="AO13" s="90"/>
      <c r="AP13" s="48"/>
      <c r="AQ13" s="47"/>
      <c r="AR13" s="48"/>
      <c r="AS13" s="48"/>
      <c r="AT13" s="48"/>
      <c r="AU13" s="48"/>
      <c r="AV13" s="48"/>
      <c r="AW13" s="48"/>
      <c r="AX13" s="48"/>
    </row>
    <row r="14" spans="1:50" x14ac:dyDescent="0.2">
      <c r="A14" s="33" t="s">
        <v>30</v>
      </c>
      <c r="B14" s="33" t="s">
        <v>10</v>
      </c>
      <c r="C14" s="110">
        <v>43747</v>
      </c>
      <c r="D14" s="36">
        <v>43802</v>
      </c>
      <c r="E14" s="76">
        <v>1.8032786885245902</v>
      </c>
      <c r="F14" s="76">
        <f>AVERAGE(4021.6,1210)</f>
        <v>2615.8000000000002</v>
      </c>
      <c r="G14" s="33" t="s">
        <v>81</v>
      </c>
      <c r="H14" s="111">
        <v>2.2999999999999998</v>
      </c>
      <c r="I14" s="33" t="s">
        <v>8</v>
      </c>
      <c r="J14" s="33">
        <v>1</v>
      </c>
      <c r="K14" s="33" t="s">
        <v>72</v>
      </c>
      <c r="L14" s="48"/>
      <c r="M14" s="91"/>
      <c r="N14" s="91"/>
      <c r="O14" s="91"/>
      <c r="P14" s="93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48"/>
      <c r="AE14" s="48"/>
      <c r="AF14" s="48"/>
      <c r="AG14" s="55"/>
      <c r="AH14" s="53"/>
      <c r="AI14" s="53"/>
      <c r="AJ14" s="90"/>
      <c r="AK14" s="90"/>
      <c r="AL14" s="56"/>
      <c r="AM14" s="90"/>
      <c r="AN14" s="90"/>
      <c r="AO14" s="90"/>
      <c r="AP14" s="48"/>
      <c r="AQ14" s="47"/>
      <c r="AR14" s="48"/>
      <c r="AS14" s="48"/>
      <c r="AT14" s="48"/>
      <c r="AU14" s="48"/>
      <c r="AV14" s="48"/>
      <c r="AW14" s="48"/>
      <c r="AX14" s="48"/>
    </row>
    <row r="15" spans="1:50" x14ac:dyDescent="0.2">
      <c r="A15" s="33" t="s">
        <v>31</v>
      </c>
      <c r="B15" s="33" t="s">
        <v>10</v>
      </c>
      <c r="C15" s="110">
        <v>43748</v>
      </c>
      <c r="D15" s="36">
        <v>43795</v>
      </c>
      <c r="E15" s="76">
        <v>1.540983606557377</v>
      </c>
      <c r="F15" s="76">
        <f>AVERAGE(1984.3,1207)</f>
        <v>1595.65</v>
      </c>
      <c r="G15" s="33" t="s">
        <v>81</v>
      </c>
      <c r="H15" s="111">
        <v>1.5</v>
      </c>
      <c r="I15" s="33" t="s">
        <v>8</v>
      </c>
      <c r="J15" s="33">
        <v>1</v>
      </c>
      <c r="K15" s="33" t="s">
        <v>72</v>
      </c>
      <c r="L15" s="48"/>
      <c r="M15" s="91"/>
      <c r="N15" s="91"/>
      <c r="O15" s="91"/>
      <c r="P15" s="93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48"/>
      <c r="AE15" s="48"/>
      <c r="AF15" s="48"/>
      <c r="AG15" s="55"/>
      <c r="AH15" s="53"/>
      <c r="AI15" s="53"/>
      <c r="AJ15" s="90"/>
      <c r="AK15" s="90"/>
      <c r="AL15" s="90"/>
      <c r="AM15" s="90"/>
      <c r="AN15" s="90"/>
      <c r="AO15" s="90"/>
      <c r="AP15" s="48"/>
      <c r="AQ15" s="47"/>
      <c r="AR15" s="48"/>
      <c r="AS15" s="48"/>
      <c r="AT15" s="48"/>
      <c r="AU15" s="48"/>
      <c r="AV15" s="48"/>
      <c r="AW15" s="48"/>
      <c r="AX15" s="48"/>
    </row>
    <row r="16" spans="1:50" x14ac:dyDescent="0.2">
      <c r="A16" s="33" t="s">
        <v>32</v>
      </c>
      <c r="B16" s="33" t="s">
        <v>10</v>
      </c>
      <c r="C16" s="110">
        <v>43748</v>
      </c>
      <c r="D16" s="112">
        <v>43808</v>
      </c>
      <c r="E16" s="76">
        <v>1.9672131147540983</v>
      </c>
      <c r="F16" s="76">
        <f>AVERAGE(5344.9,2560)</f>
        <v>3952.45</v>
      </c>
      <c r="G16" s="33" t="s">
        <v>81</v>
      </c>
      <c r="H16" s="86">
        <v>3.55</v>
      </c>
      <c r="I16" s="33" t="s">
        <v>8</v>
      </c>
      <c r="J16" s="33">
        <v>1</v>
      </c>
      <c r="K16" s="33" t="s">
        <v>72</v>
      </c>
      <c r="L16" s="48"/>
      <c r="M16" s="91"/>
      <c r="N16" s="91"/>
      <c r="O16" s="91"/>
      <c r="P16" s="93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48"/>
      <c r="AE16" s="48"/>
      <c r="AF16" s="48"/>
      <c r="AG16" s="55"/>
      <c r="AH16" s="53"/>
      <c r="AI16" s="53"/>
      <c r="AJ16" s="90"/>
      <c r="AK16" s="90"/>
      <c r="AL16" s="55"/>
      <c r="AM16" s="90"/>
      <c r="AN16" s="90"/>
      <c r="AO16" s="90"/>
      <c r="AP16" s="48"/>
      <c r="AQ16" s="48"/>
      <c r="AR16" s="48"/>
      <c r="AS16" s="48"/>
      <c r="AT16" s="48"/>
      <c r="AU16" s="48"/>
      <c r="AV16" s="48"/>
      <c r="AW16" s="48"/>
      <c r="AX16" s="48"/>
    </row>
    <row r="17" spans="1:50" x14ac:dyDescent="0.2">
      <c r="A17" s="114" t="s">
        <v>11</v>
      </c>
      <c r="B17" s="84" t="s">
        <v>10</v>
      </c>
      <c r="C17" s="39">
        <v>43367</v>
      </c>
      <c r="D17" s="39">
        <v>43501</v>
      </c>
      <c r="E17" s="76">
        <v>4.3934426229508201</v>
      </c>
      <c r="F17" s="76">
        <v>4277</v>
      </c>
      <c r="G17" s="33" t="s">
        <v>81</v>
      </c>
      <c r="H17" s="105">
        <v>2.6300738007380073</v>
      </c>
      <c r="I17" s="33" t="s">
        <v>7</v>
      </c>
      <c r="J17" s="33">
        <v>4</v>
      </c>
      <c r="K17" s="76" t="s">
        <v>76</v>
      </c>
      <c r="L17" s="48"/>
      <c r="M17" s="91"/>
      <c r="N17" s="91"/>
      <c r="O17" s="91"/>
      <c r="P17" s="93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48"/>
      <c r="AE17" s="48"/>
      <c r="AF17" s="48"/>
      <c r="AG17" s="90"/>
      <c r="AH17" s="52"/>
      <c r="AI17" s="52"/>
      <c r="AJ17" s="90"/>
      <c r="AK17" s="90"/>
      <c r="AL17" s="90"/>
      <c r="AM17" s="90"/>
      <c r="AN17" s="90"/>
      <c r="AO17" s="90"/>
      <c r="AP17" s="48"/>
      <c r="AQ17" s="48"/>
      <c r="AR17" s="48"/>
      <c r="AS17" s="48"/>
      <c r="AT17" s="48"/>
      <c r="AU17" s="48"/>
      <c r="AV17" s="48"/>
      <c r="AW17" s="48"/>
      <c r="AX17" s="48"/>
    </row>
    <row r="18" spans="1:50" x14ac:dyDescent="0.2">
      <c r="A18" s="114" t="s">
        <v>11</v>
      </c>
      <c r="B18" s="84" t="s">
        <v>10</v>
      </c>
      <c r="C18" s="39">
        <v>43367</v>
      </c>
      <c r="D18" s="39">
        <v>43531</v>
      </c>
      <c r="E18" s="76">
        <v>5.3770491803278686</v>
      </c>
      <c r="F18" s="76">
        <v>207788</v>
      </c>
      <c r="G18" s="33" t="s">
        <v>81</v>
      </c>
      <c r="H18" s="105">
        <v>113.2</v>
      </c>
      <c r="I18" s="33" t="s">
        <v>7</v>
      </c>
      <c r="J18" s="33">
        <v>5</v>
      </c>
      <c r="K18" s="76" t="s">
        <v>76</v>
      </c>
      <c r="L18" s="48"/>
      <c r="M18" s="91"/>
      <c r="N18" s="91"/>
      <c r="O18" s="91"/>
      <c r="P18" s="93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48"/>
      <c r="AE18" s="48"/>
      <c r="AF18" s="48"/>
      <c r="AG18" s="55"/>
      <c r="AH18" s="53"/>
      <c r="AI18" s="53"/>
      <c r="AJ18" s="90"/>
      <c r="AK18" s="90"/>
      <c r="AL18" s="55"/>
      <c r="AM18" s="90"/>
      <c r="AN18" s="90"/>
      <c r="AO18" s="90"/>
      <c r="AP18" s="48"/>
      <c r="AQ18" s="48"/>
      <c r="AR18" s="48"/>
      <c r="AS18" s="48"/>
      <c r="AT18" s="48"/>
      <c r="AU18" s="48"/>
      <c r="AV18" s="48"/>
      <c r="AW18" s="48"/>
      <c r="AX18" s="48"/>
    </row>
    <row r="19" spans="1:50" x14ac:dyDescent="0.2">
      <c r="A19" s="114" t="s">
        <v>11</v>
      </c>
      <c r="B19" s="84" t="s">
        <v>10</v>
      </c>
      <c r="C19" s="39">
        <v>43367</v>
      </c>
      <c r="D19" s="136">
        <v>43559</v>
      </c>
      <c r="E19" s="76">
        <v>6.2950819672131146</v>
      </c>
      <c r="F19" s="76">
        <v>202771</v>
      </c>
      <c r="G19" s="33" t="s">
        <v>81</v>
      </c>
      <c r="H19" s="105">
        <v>110.5</v>
      </c>
      <c r="I19" s="33" t="s">
        <v>7</v>
      </c>
      <c r="J19" s="33">
        <v>6</v>
      </c>
      <c r="K19" s="76" t="s">
        <v>77</v>
      </c>
      <c r="L19" s="48"/>
      <c r="M19" s="91"/>
      <c r="N19" s="91"/>
      <c r="O19" s="91"/>
      <c r="P19" s="93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48"/>
      <c r="AE19" s="48"/>
      <c r="AF19" s="48"/>
      <c r="AG19" s="90"/>
      <c r="AH19" s="52"/>
      <c r="AI19" s="52"/>
      <c r="AJ19" s="90"/>
      <c r="AK19" s="90"/>
      <c r="AL19" s="57"/>
      <c r="AM19" s="90"/>
      <c r="AN19" s="90"/>
      <c r="AO19" s="90"/>
      <c r="AP19" s="48"/>
      <c r="AQ19" s="48"/>
      <c r="AR19" s="48"/>
      <c r="AS19" s="48"/>
      <c r="AT19" s="48"/>
      <c r="AU19" s="48"/>
      <c r="AV19" s="48"/>
      <c r="AW19" s="48"/>
      <c r="AX19" s="48"/>
    </row>
    <row r="20" spans="1:50" x14ac:dyDescent="0.2">
      <c r="A20" s="114" t="s">
        <v>11</v>
      </c>
      <c r="B20" s="84" t="s">
        <v>10</v>
      </c>
      <c r="C20" s="39">
        <v>43367</v>
      </c>
      <c r="D20" s="39">
        <v>43593</v>
      </c>
      <c r="E20" s="76">
        <v>7.4098360655737707</v>
      </c>
      <c r="F20" s="76">
        <v>134536</v>
      </c>
      <c r="G20" s="33" t="s">
        <v>81</v>
      </c>
      <c r="H20" s="105">
        <v>180.3</v>
      </c>
      <c r="I20" s="33" t="s">
        <v>7</v>
      </c>
      <c r="J20" s="33">
        <v>7</v>
      </c>
      <c r="K20" s="76" t="s">
        <v>77</v>
      </c>
      <c r="L20" s="48"/>
      <c r="M20" s="91"/>
      <c r="N20" s="91"/>
      <c r="O20" s="91"/>
      <c r="P20" s="93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48"/>
      <c r="AE20" s="48"/>
      <c r="AF20" s="48"/>
      <c r="AG20" s="90"/>
      <c r="AH20" s="52"/>
      <c r="AI20" s="52"/>
      <c r="AJ20" s="90"/>
      <c r="AK20" s="90"/>
      <c r="AL20" s="90"/>
      <c r="AM20" s="90"/>
      <c r="AN20" s="90"/>
      <c r="AO20" s="90"/>
      <c r="AP20" s="48"/>
      <c r="AQ20" s="48"/>
      <c r="AR20" s="48"/>
      <c r="AS20" s="48"/>
      <c r="AT20" s="48"/>
      <c r="AU20" s="48"/>
      <c r="AV20" s="48"/>
      <c r="AW20" s="48"/>
      <c r="AX20" s="48"/>
    </row>
    <row r="21" spans="1:50" x14ac:dyDescent="0.2">
      <c r="A21" s="114" t="s">
        <v>11</v>
      </c>
      <c r="B21" s="84" t="s">
        <v>10</v>
      </c>
      <c r="C21" s="39">
        <v>43367</v>
      </c>
      <c r="D21" s="39">
        <v>43621</v>
      </c>
      <c r="E21" s="76">
        <v>8.3278688524590159</v>
      </c>
      <c r="F21" s="76">
        <v>70706</v>
      </c>
      <c r="G21" s="33" t="s">
        <v>81</v>
      </c>
      <c r="H21" s="105">
        <v>94.8</v>
      </c>
      <c r="I21" s="33" t="s">
        <v>7</v>
      </c>
      <c r="J21" s="33">
        <v>8</v>
      </c>
      <c r="K21" s="76" t="s">
        <v>77</v>
      </c>
      <c r="L21" s="48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48"/>
      <c r="AE21" s="48"/>
      <c r="AF21" s="48"/>
      <c r="AG21" s="90"/>
      <c r="AH21" s="52"/>
      <c r="AI21" s="52"/>
      <c r="AJ21" s="90"/>
      <c r="AK21" s="90"/>
      <c r="AL21" s="90"/>
      <c r="AM21" s="90"/>
      <c r="AN21" s="90"/>
      <c r="AO21" s="90"/>
      <c r="AP21" s="48"/>
      <c r="AQ21" s="48"/>
      <c r="AR21" s="48"/>
      <c r="AS21" s="48"/>
      <c r="AT21" s="48"/>
      <c r="AU21" s="48"/>
      <c r="AV21" s="48"/>
      <c r="AW21" s="48"/>
      <c r="AX21" s="48"/>
    </row>
    <row r="22" spans="1:50" x14ac:dyDescent="0.2">
      <c r="A22" s="33" t="s">
        <v>12</v>
      </c>
      <c r="B22" s="33" t="s">
        <v>10</v>
      </c>
      <c r="C22" s="36">
        <v>43367</v>
      </c>
      <c r="D22" s="39">
        <v>43411</v>
      </c>
      <c r="E22" s="76">
        <v>1.4426229508196722</v>
      </c>
      <c r="F22" s="76">
        <v>1165</v>
      </c>
      <c r="G22" s="33" t="s">
        <v>81</v>
      </c>
      <c r="H22" s="114">
        <v>0.89922779922779927</v>
      </c>
      <c r="I22" s="33" t="s">
        <v>7</v>
      </c>
      <c r="J22" s="33">
        <v>1</v>
      </c>
      <c r="K22" s="33" t="s">
        <v>72</v>
      </c>
      <c r="L22" s="48"/>
      <c r="M22" s="91"/>
      <c r="N22" s="91"/>
      <c r="O22" s="99"/>
      <c r="P22" s="99"/>
      <c r="Q22" s="99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</row>
    <row r="23" spans="1:50" x14ac:dyDescent="0.2">
      <c r="A23" s="108" t="s">
        <v>12</v>
      </c>
      <c r="B23" s="84" t="s">
        <v>10</v>
      </c>
      <c r="C23" s="39">
        <v>43367</v>
      </c>
      <c r="D23" s="36">
        <v>43447</v>
      </c>
      <c r="E23" s="76">
        <v>2.622950819672131</v>
      </c>
      <c r="F23" s="76">
        <v>8275</v>
      </c>
      <c r="G23" s="33" t="s">
        <v>81</v>
      </c>
      <c r="H23" s="109">
        <v>12.949921752738653</v>
      </c>
      <c r="I23" s="33" t="s">
        <v>7</v>
      </c>
      <c r="J23" s="33">
        <v>2</v>
      </c>
      <c r="K23" s="33" t="s">
        <v>72</v>
      </c>
      <c r="L23" s="48"/>
      <c r="M23" s="91"/>
      <c r="N23" s="99"/>
      <c r="O23" s="99"/>
      <c r="P23" s="99"/>
      <c r="Q23" s="99"/>
      <c r="R23" s="99"/>
      <c r="S23" s="99"/>
      <c r="T23" s="99"/>
      <c r="U23" s="91"/>
      <c r="V23" s="91"/>
      <c r="W23" s="91"/>
      <c r="X23" s="91"/>
      <c r="Y23" s="91"/>
      <c r="Z23" s="91"/>
      <c r="AA23" s="91"/>
      <c r="AB23" s="91"/>
      <c r="AC23" s="91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</row>
    <row r="24" spans="1:50" x14ac:dyDescent="0.2">
      <c r="A24" s="114" t="s">
        <v>12</v>
      </c>
      <c r="B24" s="84" t="s">
        <v>10</v>
      </c>
      <c r="C24" s="39">
        <v>43367</v>
      </c>
      <c r="D24" s="39">
        <v>43474</v>
      </c>
      <c r="E24" s="76">
        <v>3.5081967213114753</v>
      </c>
      <c r="F24" s="76">
        <v>19322</v>
      </c>
      <c r="G24" s="33" t="s">
        <v>81</v>
      </c>
      <c r="H24" s="105">
        <v>36.299999999999997</v>
      </c>
      <c r="I24" s="33" t="s">
        <v>7</v>
      </c>
      <c r="J24" s="33">
        <v>3</v>
      </c>
      <c r="K24" s="76" t="s">
        <v>76</v>
      </c>
      <c r="L24" s="48"/>
      <c r="M24" s="94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</row>
    <row r="25" spans="1:50" x14ac:dyDescent="0.2">
      <c r="A25" s="114" t="s">
        <v>12</v>
      </c>
      <c r="B25" s="84" t="s">
        <v>10</v>
      </c>
      <c r="C25" s="39">
        <v>43367</v>
      </c>
      <c r="D25" s="39">
        <v>43501</v>
      </c>
      <c r="E25" s="76">
        <v>4.3934426229508201</v>
      </c>
      <c r="F25" s="76">
        <v>125032</v>
      </c>
      <c r="G25" s="33" t="s">
        <v>81</v>
      </c>
      <c r="H25" s="105">
        <v>76.895448954489538</v>
      </c>
      <c r="I25" s="33" t="s">
        <v>7</v>
      </c>
      <c r="J25" s="33">
        <v>4</v>
      </c>
      <c r="K25" s="76" t="s">
        <v>76</v>
      </c>
      <c r="L25" s="48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47"/>
      <c r="AE25" s="47"/>
      <c r="AF25" s="47"/>
      <c r="AG25" s="48"/>
      <c r="AH25" s="47"/>
      <c r="AI25" s="48"/>
      <c r="AJ25" s="48"/>
      <c r="AK25" s="48"/>
      <c r="AL25" s="47"/>
      <c r="AM25" s="47"/>
      <c r="AN25" s="47"/>
      <c r="AO25" s="48"/>
      <c r="AP25" s="47"/>
      <c r="AQ25" s="47"/>
      <c r="AR25" s="47"/>
      <c r="AS25" s="48"/>
      <c r="AT25" s="47"/>
      <c r="AU25" s="47"/>
      <c r="AV25" s="47"/>
      <c r="AW25" s="48"/>
      <c r="AX25" s="48"/>
    </row>
    <row r="26" spans="1:50" x14ac:dyDescent="0.2">
      <c r="A26" s="33" t="s">
        <v>14</v>
      </c>
      <c r="B26" s="33" t="s">
        <v>10</v>
      </c>
      <c r="C26" s="39">
        <v>43369</v>
      </c>
      <c r="D26" s="36">
        <v>43411</v>
      </c>
      <c r="E26" s="76">
        <v>1.3770491803278688</v>
      </c>
      <c r="F26" s="76">
        <v>960</v>
      </c>
      <c r="G26" s="33" t="s">
        <v>81</v>
      </c>
      <c r="H26" s="109">
        <v>0.74131274131274127</v>
      </c>
      <c r="I26" s="33" t="s">
        <v>7</v>
      </c>
      <c r="J26" s="33">
        <v>1</v>
      </c>
      <c r="K26" s="33" t="s">
        <v>72</v>
      </c>
      <c r="L26" s="48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</row>
    <row r="27" spans="1:50" x14ac:dyDescent="0.2">
      <c r="A27" s="108" t="s">
        <v>14</v>
      </c>
      <c r="B27" s="84" t="s">
        <v>10</v>
      </c>
      <c r="C27" s="39">
        <v>43369</v>
      </c>
      <c r="D27" s="36">
        <v>43447</v>
      </c>
      <c r="E27" s="76">
        <v>2.557377049180328</v>
      </c>
      <c r="F27" s="76">
        <v>2045</v>
      </c>
      <c r="G27" s="33" t="s">
        <v>81</v>
      </c>
      <c r="H27" s="109">
        <v>3.199530516431925</v>
      </c>
      <c r="I27" s="33" t="s">
        <v>7</v>
      </c>
      <c r="J27" s="33">
        <v>2</v>
      </c>
      <c r="K27" s="33" t="s">
        <v>72</v>
      </c>
      <c r="L27" s="48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48"/>
      <c r="AE27" s="48"/>
      <c r="AF27" s="48"/>
      <c r="AG27" s="48"/>
      <c r="AH27" s="58"/>
      <c r="AI27" s="58"/>
      <c r="AJ27" s="58"/>
      <c r="AK27" s="48"/>
      <c r="AL27" s="58"/>
      <c r="AM27" s="58"/>
      <c r="AN27" s="58"/>
      <c r="AO27" s="48"/>
      <c r="AP27" s="58"/>
      <c r="AQ27" s="58"/>
      <c r="AR27" s="58"/>
      <c r="AS27" s="48"/>
      <c r="AT27" s="58"/>
      <c r="AU27" s="58"/>
      <c r="AV27" s="58"/>
      <c r="AW27" s="48"/>
      <c r="AX27" s="48"/>
    </row>
    <row r="28" spans="1:50" x14ac:dyDescent="0.2">
      <c r="A28" s="114" t="s">
        <v>26</v>
      </c>
      <c r="B28" s="84" t="s">
        <v>10</v>
      </c>
      <c r="C28" s="39">
        <v>43165</v>
      </c>
      <c r="D28" s="39">
        <v>43230</v>
      </c>
      <c r="E28" s="76">
        <v>2.1311475409836067</v>
      </c>
      <c r="F28" s="76">
        <v>5931</v>
      </c>
      <c r="G28" s="33" t="s">
        <v>81</v>
      </c>
      <c r="H28" s="105">
        <v>7.3</v>
      </c>
      <c r="I28" s="33" t="s">
        <v>7</v>
      </c>
      <c r="J28" s="33">
        <v>2</v>
      </c>
      <c r="K28" s="76" t="s">
        <v>72</v>
      </c>
      <c r="L28" s="48"/>
      <c r="M28" s="91"/>
      <c r="N28" s="96"/>
      <c r="O28" s="96"/>
      <c r="P28" s="96"/>
      <c r="Q28" s="91"/>
      <c r="R28" s="96"/>
      <c r="S28" s="96"/>
      <c r="T28" s="96"/>
      <c r="U28" s="91"/>
      <c r="V28" s="96"/>
      <c r="W28" s="96"/>
      <c r="X28" s="96"/>
      <c r="Y28" s="91"/>
      <c r="Z28" s="96"/>
      <c r="AA28" s="96"/>
      <c r="AB28" s="96"/>
      <c r="AC28" s="91"/>
      <c r="AD28" s="48"/>
      <c r="AE28" s="48"/>
      <c r="AF28" s="48"/>
      <c r="AG28" s="48"/>
      <c r="AH28" s="46"/>
      <c r="AI28" s="46"/>
      <c r="AJ28" s="46"/>
      <c r="AK28" s="48"/>
      <c r="AL28" s="46"/>
      <c r="AM28" s="46"/>
      <c r="AN28" s="46"/>
      <c r="AO28" s="48"/>
      <c r="AP28" s="46"/>
      <c r="AQ28" s="46"/>
      <c r="AR28" s="46"/>
      <c r="AS28" s="48"/>
      <c r="AT28" s="46"/>
      <c r="AU28" s="46"/>
      <c r="AV28" s="46"/>
      <c r="AW28" s="48"/>
      <c r="AX28" s="48"/>
    </row>
    <row r="29" spans="1:50" x14ac:dyDescent="0.2">
      <c r="A29" s="114" t="s">
        <v>26</v>
      </c>
      <c r="B29" s="84" t="s">
        <v>10</v>
      </c>
      <c r="C29" s="39">
        <v>43165</v>
      </c>
      <c r="D29" s="39">
        <v>43258</v>
      </c>
      <c r="E29" s="76">
        <v>3.0491803278688523</v>
      </c>
      <c r="F29" s="76">
        <v>1219</v>
      </c>
      <c r="G29" s="33" t="s">
        <v>81</v>
      </c>
      <c r="H29" s="105">
        <v>2.2999999999999998</v>
      </c>
      <c r="I29" s="33" t="s">
        <v>7</v>
      </c>
      <c r="J29" s="33">
        <v>3</v>
      </c>
      <c r="K29" s="76" t="s">
        <v>76</v>
      </c>
      <c r="L29" s="48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48"/>
      <c r="AE29" s="48"/>
      <c r="AF29" s="48"/>
      <c r="AG29" s="48"/>
      <c r="AH29" s="46"/>
      <c r="AI29" s="46"/>
      <c r="AJ29" s="46"/>
      <c r="AK29" s="48"/>
      <c r="AL29" s="46"/>
      <c r="AM29" s="46"/>
      <c r="AN29" s="46"/>
      <c r="AO29" s="48"/>
      <c r="AP29" s="46"/>
      <c r="AQ29" s="46"/>
      <c r="AR29" s="46"/>
      <c r="AS29" s="48"/>
      <c r="AT29" s="46"/>
      <c r="AU29" s="46"/>
      <c r="AV29" s="46"/>
      <c r="AW29" s="48"/>
      <c r="AX29" s="48"/>
    </row>
    <row r="30" spans="1:50" x14ac:dyDescent="0.2">
      <c r="A30" s="33" t="s">
        <v>87</v>
      </c>
      <c r="B30" s="33" t="s">
        <v>10</v>
      </c>
      <c r="C30" s="36" t="s">
        <v>91</v>
      </c>
      <c r="D30" s="39" t="s">
        <v>91</v>
      </c>
      <c r="E30" s="76">
        <v>1</v>
      </c>
      <c r="F30" s="138">
        <v>352.5</v>
      </c>
      <c r="G30" s="33" t="s">
        <v>81</v>
      </c>
      <c r="H30" s="114">
        <v>0.8</v>
      </c>
      <c r="I30" s="33" t="s">
        <v>7</v>
      </c>
      <c r="J30" s="33">
        <v>1</v>
      </c>
      <c r="K30" s="33" t="s">
        <v>72</v>
      </c>
      <c r="L30" s="48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48"/>
      <c r="AE30" s="48"/>
      <c r="AF30" s="48"/>
      <c r="AG30" s="48"/>
      <c r="AH30" s="46"/>
      <c r="AI30" s="46"/>
      <c r="AJ30" s="46"/>
      <c r="AK30" s="48"/>
      <c r="AL30" s="46"/>
      <c r="AM30" s="46"/>
      <c r="AN30" s="46"/>
      <c r="AO30" s="48"/>
      <c r="AP30" s="46"/>
      <c r="AQ30" s="46"/>
      <c r="AR30" s="46"/>
      <c r="AS30" s="48"/>
      <c r="AT30" s="46"/>
      <c r="AU30" s="46"/>
      <c r="AV30" s="46"/>
      <c r="AW30" s="48"/>
      <c r="AX30" s="48"/>
    </row>
    <row r="31" spans="1:50" x14ac:dyDescent="0.2">
      <c r="A31" s="33" t="s">
        <v>88</v>
      </c>
      <c r="B31" s="33" t="s">
        <v>10</v>
      </c>
      <c r="C31" s="36" t="s">
        <v>91</v>
      </c>
      <c r="D31" s="39" t="s">
        <v>91</v>
      </c>
      <c r="E31" s="76">
        <v>1</v>
      </c>
      <c r="F31" s="139">
        <v>322.5</v>
      </c>
      <c r="G31" s="33" t="s">
        <v>81</v>
      </c>
      <c r="H31" s="114">
        <v>0.73721774910467097</v>
      </c>
      <c r="I31" s="33" t="s">
        <v>7</v>
      </c>
      <c r="J31" s="33">
        <v>1</v>
      </c>
      <c r="K31" s="33" t="s">
        <v>72</v>
      </c>
      <c r="L31" s="48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48"/>
      <c r="AE31" s="48"/>
      <c r="AF31" s="48"/>
      <c r="AG31" s="48"/>
      <c r="AH31" s="46"/>
      <c r="AI31" s="46"/>
      <c r="AJ31" s="46"/>
      <c r="AK31" s="48"/>
      <c r="AL31" s="46"/>
      <c r="AM31" s="46"/>
      <c r="AN31" s="46"/>
      <c r="AO31" s="48"/>
      <c r="AP31" s="46"/>
      <c r="AQ31" s="46"/>
      <c r="AR31" s="46"/>
      <c r="AS31" s="48"/>
      <c r="AT31" s="46"/>
      <c r="AU31" s="46"/>
      <c r="AV31" s="46"/>
      <c r="AW31" s="48"/>
      <c r="AX31" s="48"/>
    </row>
    <row r="32" spans="1:50" x14ac:dyDescent="0.2">
      <c r="A32" s="33" t="s">
        <v>89</v>
      </c>
      <c r="B32" s="33" t="s">
        <v>10</v>
      </c>
      <c r="C32" s="39" t="s">
        <v>91</v>
      </c>
      <c r="D32" s="39" t="s">
        <v>91</v>
      </c>
      <c r="E32" s="76">
        <v>1</v>
      </c>
      <c r="F32" s="106">
        <v>323.5</v>
      </c>
      <c r="G32" s="33" t="s">
        <v>81</v>
      </c>
      <c r="H32" s="109">
        <v>1</v>
      </c>
      <c r="I32" s="33" t="s">
        <v>7</v>
      </c>
      <c r="J32" s="33">
        <v>1</v>
      </c>
      <c r="K32" s="33" t="s">
        <v>72</v>
      </c>
      <c r="L32" s="48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48"/>
      <c r="AE32" s="48"/>
      <c r="AF32" s="48"/>
      <c r="AG32" s="48"/>
      <c r="AH32" s="46"/>
      <c r="AI32" s="46"/>
      <c r="AJ32" s="46"/>
      <c r="AK32" s="48"/>
      <c r="AL32" s="46"/>
      <c r="AM32" s="46"/>
      <c r="AN32" s="46"/>
      <c r="AO32" s="48"/>
      <c r="AP32" s="46"/>
      <c r="AQ32" s="46"/>
      <c r="AR32" s="46"/>
      <c r="AS32" s="48"/>
      <c r="AT32" s="46"/>
      <c r="AU32" s="46"/>
      <c r="AV32" s="46"/>
      <c r="AW32" s="48"/>
      <c r="AX32" s="48"/>
    </row>
    <row r="33" spans="1:50" x14ac:dyDescent="0.2">
      <c r="A33" s="33" t="s">
        <v>90</v>
      </c>
      <c r="B33" s="33" t="s">
        <v>10</v>
      </c>
      <c r="C33" s="39" t="s">
        <v>91</v>
      </c>
      <c r="D33" s="39" t="s">
        <v>91</v>
      </c>
      <c r="E33" s="76">
        <v>1</v>
      </c>
      <c r="F33" s="106">
        <v>498</v>
      </c>
      <c r="G33" s="33" t="s">
        <v>81</v>
      </c>
      <c r="H33" s="109">
        <v>1.1000000000000001</v>
      </c>
      <c r="I33" s="33" t="s">
        <v>7</v>
      </c>
      <c r="J33" s="33">
        <v>1</v>
      </c>
      <c r="K33" s="33" t="s">
        <v>72</v>
      </c>
      <c r="L33" s="48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</row>
    <row r="34" spans="1:50" ht="16" customHeight="1" x14ac:dyDescent="0.2">
      <c r="A34" s="33" t="s">
        <v>13</v>
      </c>
      <c r="B34" s="33" t="s">
        <v>10</v>
      </c>
      <c r="C34" s="39">
        <v>43369</v>
      </c>
      <c r="D34" s="36">
        <v>43411</v>
      </c>
      <c r="E34" s="76">
        <v>1.3770491803278688</v>
      </c>
      <c r="F34" s="76">
        <v>1547</v>
      </c>
      <c r="G34" s="33" t="s">
        <v>81</v>
      </c>
      <c r="H34" s="109">
        <v>1.1945945945945946</v>
      </c>
      <c r="I34" s="33" t="s">
        <v>7</v>
      </c>
      <c r="J34" s="33">
        <v>1</v>
      </c>
      <c r="K34" s="33" t="s">
        <v>72</v>
      </c>
      <c r="L34" s="48"/>
      <c r="M34" s="91"/>
      <c r="N34" s="91"/>
      <c r="O34" s="97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7"/>
      <c r="AB34" s="91"/>
      <c r="AC34" s="91"/>
      <c r="AD34" s="48"/>
      <c r="AE34" s="48"/>
      <c r="AF34" s="48"/>
      <c r="AG34" s="48"/>
      <c r="AH34" s="88"/>
      <c r="AI34" s="88"/>
      <c r="AJ34" s="88"/>
      <c r="AK34" s="48"/>
      <c r="AL34" s="88"/>
      <c r="AM34" s="88"/>
      <c r="AN34" s="88"/>
      <c r="AO34" s="48"/>
      <c r="AP34" s="143"/>
      <c r="AQ34" s="143"/>
      <c r="AR34" s="143"/>
      <c r="AS34" s="48"/>
      <c r="AT34" s="143"/>
      <c r="AU34" s="143"/>
      <c r="AV34" s="143"/>
      <c r="AW34" s="48"/>
      <c r="AX34" s="48"/>
    </row>
    <row r="35" spans="1:50" x14ac:dyDescent="0.2">
      <c r="A35" s="108" t="s">
        <v>13</v>
      </c>
      <c r="B35" s="84" t="s">
        <v>10</v>
      </c>
      <c r="C35" s="39">
        <v>43369</v>
      </c>
      <c r="D35" s="36">
        <v>43447</v>
      </c>
      <c r="E35" s="76">
        <v>2.557377049180328</v>
      </c>
      <c r="F35" s="76">
        <v>1472</v>
      </c>
      <c r="G35" s="33" t="s">
        <v>81</v>
      </c>
      <c r="H35" s="86">
        <v>2.3035993740219092</v>
      </c>
      <c r="I35" s="33" t="s">
        <v>7</v>
      </c>
      <c r="J35" s="33">
        <v>2</v>
      </c>
      <c r="K35" s="33" t="s">
        <v>72</v>
      </c>
      <c r="L35" s="48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48"/>
      <c r="AE35" s="48"/>
      <c r="AF35" s="48"/>
      <c r="AG35" s="48"/>
      <c r="AH35" s="88"/>
      <c r="AI35" s="88"/>
      <c r="AJ35" s="88"/>
      <c r="AK35" s="48"/>
      <c r="AL35" s="88"/>
      <c r="AM35" s="88"/>
      <c r="AN35" s="88"/>
      <c r="AO35" s="48"/>
      <c r="AP35" s="143"/>
      <c r="AQ35" s="143"/>
      <c r="AR35" s="143"/>
      <c r="AS35" s="48"/>
      <c r="AT35" s="143"/>
      <c r="AU35" s="143"/>
      <c r="AV35" s="143"/>
      <c r="AW35" s="48"/>
      <c r="AX35" s="48"/>
    </row>
    <row r="36" spans="1:50" x14ac:dyDescent="0.2">
      <c r="A36" s="114" t="s">
        <v>13</v>
      </c>
      <c r="B36" s="84" t="s">
        <v>10</v>
      </c>
      <c r="C36" s="39">
        <v>43369</v>
      </c>
      <c r="D36" s="39">
        <v>43474</v>
      </c>
      <c r="E36" s="76">
        <v>3.442622950819672</v>
      </c>
      <c r="F36" s="76">
        <v>5518</v>
      </c>
      <c r="G36" s="33" t="s">
        <v>81</v>
      </c>
      <c r="H36" s="105">
        <v>10.4</v>
      </c>
      <c r="I36" s="33" t="s">
        <v>7</v>
      </c>
      <c r="J36" s="33">
        <v>3</v>
      </c>
      <c r="K36" s="76" t="s">
        <v>76</v>
      </c>
      <c r="L36" s="48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48"/>
      <c r="AE36" s="48"/>
      <c r="AF36" s="48"/>
      <c r="AG36" s="48"/>
      <c r="AH36" s="88"/>
      <c r="AI36" s="88"/>
      <c r="AJ36" s="88"/>
      <c r="AK36" s="48"/>
      <c r="AL36" s="88"/>
      <c r="AM36" s="88"/>
      <c r="AN36" s="88"/>
      <c r="AO36" s="48"/>
      <c r="AP36" s="143"/>
      <c r="AQ36" s="143"/>
      <c r="AR36" s="143"/>
      <c r="AS36" s="48"/>
      <c r="AT36" s="143"/>
      <c r="AU36" s="143"/>
      <c r="AV36" s="143"/>
      <c r="AW36" s="48"/>
      <c r="AX36" s="48"/>
    </row>
    <row r="37" spans="1:50" ht="32" customHeight="1" x14ac:dyDescent="0.2">
      <c r="A37" s="114" t="s">
        <v>13</v>
      </c>
      <c r="B37" s="84" t="s">
        <v>10</v>
      </c>
      <c r="C37" s="39">
        <v>43369</v>
      </c>
      <c r="D37" s="39">
        <v>43501</v>
      </c>
      <c r="E37" s="76">
        <v>4.3278688524590168</v>
      </c>
      <c r="F37" s="76">
        <v>108594</v>
      </c>
      <c r="G37" s="33" t="s">
        <v>81</v>
      </c>
      <c r="H37" s="105">
        <v>66.785670356703562</v>
      </c>
      <c r="I37" s="33" t="s">
        <v>7</v>
      </c>
      <c r="J37" s="33">
        <v>4</v>
      </c>
      <c r="K37" s="76" t="s">
        <v>76</v>
      </c>
      <c r="L37" s="48"/>
      <c r="M37" s="91"/>
      <c r="N37" s="100"/>
      <c r="O37" s="100"/>
      <c r="P37" s="100"/>
      <c r="Q37" s="91"/>
      <c r="R37" s="100"/>
      <c r="S37" s="100"/>
      <c r="T37" s="100"/>
      <c r="U37" s="91"/>
      <c r="V37" s="100"/>
      <c r="W37" s="100"/>
      <c r="X37" s="100"/>
      <c r="Y37" s="91"/>
      <c r="Z37" s="100"/>
      <c r="AA37" s="100"/>
      <c r="AB37" s="100"/>
      <c r="AC37" s="9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</row>
    <row r="38" spans="1:50" x14ac:dyDescent="0.2">
      <c r="A38" s="114" t="s">
        <v>13</v>
      </c>
      <c r="B38" s="84" t="s">
        <v>10</v>
      </c>
      <c r="C38" s="39">
        <v>43369</v>
      </c>
      <c r="D38" s="39">
        <v>43531</v>
      </c>
      <c r="E38" s="76">
        <v>5.3114754098360653</v>
      </c>
      <c r="F38" s="76">
        <v>272775</v>
      </c>
      <c r="G38" s="33" t="s">
        <v>81</v>
      </c>
      <c r="H38" s="105">
        <v>148.69999999999999</v>
      </c>
      <c r="I38" s="33" t="s">
        <v>7</v>
      </c>
      <c r="J38" s="33">
        <v>5</v>
      </c>
      <c r="K38" s="76" t="s">
        <v>76</v>
      </c>
      <c r="L38" s="48"/>
      <c r="M38" s="91"/>
      <c r="N38" s="100"/>
      <c r="O38" s="100"/>
      <c r="P38" s="100"/>
      <c r="Q38" s="91"/>
      <c r="R38" s="100"/>
      <c r="S38" s="100"/>
      <c r="T38" s="100"/>
      <c r="U38" s="91"/>
      <c r="V38" s="100"/>
      <c r="W38" s="100"/>
      <c r="X38" s="100"/>
      <c r="Y38" s="91"/>
      <c r="Z38" s="100"/>
      <c r="AA38" s="100"/>
      <c r="AB38" s="100"/>
      <c r="AC38" s="91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</row>
    <row r="39" spans="1:50" x14ac:dyDescent="0.2">
      <c r="A39" s="114" t="s">
        <v>13</v>
      </c>
      <c r="B39" s="84" t="s">
        <v>10</v>
      </c>
      <c r="C39" s="39">
        <v>43369</v>
      </c>
      <c r="D39" s="39">
        <v>43559</v>
      </c>
      <c r="E39" s="76">
        <v>6.2295081967213113</v>
      </c>
      <c r="F39" s="85">
        <v>172300</v>
      </c>
      <c r="G39" s="33" t="s">
        <v>81</v>
      </c>
      <c r="H39" s="105">
        <v>93.9</v>
      </c>
      <c r="I39" s="33" t="s">
        <v>7</v>
      </c>
      <c r="J39" s="33">
        <v>6</v>
      </c>
      <c r="K39" s="76" t="s">
        <v>77</v>
      </c>
      <c r="L39" s="48"/>
      <c r="M39" s="91"/>
      <c r="N39" s="100"/>
      <c r="O39" s="100"/>
      <c r="P39" s="100"/>
      <c r="Q39" s="91"/>
      <c r="R39" s="100"/>
      <c r="S39" s="100"/>
      <c r="T39" s="100"/>
      <c r="U39" s="91"/>
      <c r="V39" s="100"/>
      <c r="W39" s="100"/>
      <c r="X39" s="100"/>
      <c r="Y39" s="91"/>
      <c r="Z39" s="100"/>
      <c r="AA39" s="100"/>
      <c r="AB39" s="100"/>
      <c r="AC39" s="91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</row>
    <row r="40" spans="1:50" ht="19" x14ac:dyDescent="0.25">
      <c r="A40" s="7" t="s">
        <v>13</v>
      </c>
      <c r="B40" s="1" t="s">
        <v>10</v>
      </c>
      <c r="C40" s="2">
        <v>43369</v>
      </c>
      <c r="D40" s="2">
        <v>43593</v>
      </c>
      <c r="E40" s="3">
        <v>7.3442622950819674</v>
      </c>
      <c r="F40" s="3">
        <v>196322</v>
      </c>
      <c r="G40" s="4" t="s">
        <v>81</v>
      </c>
      <c r="H40" s="5">
        <v>263.2</v>
      </c>
      <c r="I40" s="4" t="s">
        <v>7</v>
      </c>
      <c r="J40" s="4">
        <v>7</v>
      </c>
      <c r="K40" s="3" t="s">
        <v>77</v>
      </c>
      <c r="L40" s="48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48"/>
      <c r="AE40" s="48"/>
      <c r="AF40" s="48"/>
      <c r="AG40" s="48"/>
      <c r="AH40" s="89"/>
      <c r="AI40" s="89"/>
      <c r="AJ40" s="89"/>
      <c r="AK40" s="89"/>
      <c r="AL40" s="89"/>
      <c r="AM40" s="89"/>
      <c r="AN40" s="89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  <row r="41" spans="1:50" ht="19" x14ac:dyDescent="0.25">
      <c r="A41" s="114" t="s">
        <v>13</v>
      </c>
      <c r="B41" s="84" t="s">
        <v>10</v>
      </c>
      <c r="C41" s="39">
        <v>43369</v>
      </c>
      <c r="D41" s="39">
        <v>43621</v>
      </c>
      <c r="E41" s="76">
        <v>8.2622950819672134</v>
      </c>
      <c r="F41" s="76">
        <v>110720</v>
      </c>
      <c r="G41" s="33" t="s">
        <v>81</v>
      </c>
      <c r="H41" s="105">
        <v>148.4</v>
      </c>
      <c r="I41" s="33" t="s">
        <v>7</v>
      </c>
      <c r="J41" s="33">
        <v>8</v>
      </c>
      <c r="K41" s="76" t="s">
        <v>77</v>
      </c>
      <c r="L41" s="48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48"/>
      <c r="AE41" s="48"/>
      <c r="AF41" s="48"/>
      <c r="AG41" s="48"/>
      <c r="AH41" s="59"/>
      <c r="AI41" s="48"/>
      <c r="AJ41" s="48"/>
      <c r="AK41" s="49"/>
      <c r="AL41" s="49"/>
      <c r="AM41" s="87"/>
      <c r="AN41" s="87"/>
      <c r="AO41" s="48"/>
      <c r="AP41" s="48"/>
      <c r="AQ41" s="48"/>
      <c r="AR41" s="48"/>
      <c r="AS41" s="48"/>
      <c r="AT41" s="48"/>
      <c r="AU41" s="48"/>
      <c r="AV41" s="48"/>
      <c r="AW41" s="48"/>
      <c r="AX41" s="48"/>
    </row>
    <row r="42" spans="1:50" x14ac:dyDescent="0.2">
      <c r="A42" s="33" t="s">
        <v>20</v>
      </c>
      <c r="B42" s="33" t="s">
        <v>10</v>
      </c>
      <c r="C42" s="39">
        <v>43473</v>
      </c>
      <c r="D42" s="36">
        <v>43531</v>
      </c>
      <c r="E42" s="76">
        <v>1.901639344262295</v>
      </c>
      <c r="F42" s="76">
        <v>5216</v>
      </c>
      <c r="G42" s="33" t="s">
        <v>81</v>
      </c>
      <c r="H42" s="109">
        <v>2.8</v>
      </c>
      <c r="I42" s="33" t="s">
        <v>7</v>
      </c>
      <c r="J42" s="33">
        <v>1</v>
      </c>
      <c r="K42" s="33" t="s">
        <v>72</v>
      </c>
      <c r="L42" s="48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48"/>
      <c r="AE42" s="48"/>
      <c r="AF42" s="48"/>
      <c r="AG42" s="48"/>
      <c r="AH42" s="47"/>
      <c r="AI42" s="48"/>
      <c r="AJ42" s="47"/>
      <c r="AK42" s="48"/>
      <c r="AL42" s="48"/>
      <c r="AM42" s="46"/>
      <c r="AN42" s="46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1:50" x14ac:dyDescent="0.2">
      <c r="A43" s="114" t="s">
        <v>26</v>
      </c>
      <c r="B43" s="84" t="s">
        <v>10</v>
      </c>
      <c r="C43" s="39">
        <v>43165</v>
      </c>
      <c r="D43" s="136">
        <v>43284</v>
      </c>
      <c r="E43" s="76">
        <v>3.901639344262295</v>
      </c>
      <c r="F43" s="76">
        <f>AVERAGE(97739,70668)</f>
        <v>84203.5</v>
      </c>
      <c r="G43" s="33" t="s">
        <v>81</v>
      </c>
      <c r="H43" s="105">
        <v>79.45</v>
      </c>
      <c r="I43" s="33" t="s">
        <v>8</v>
      </c>
      <c r="J43" s="33">
        <v>3</v>
      </c>
      <c r="K43" s="76" t="s">
        <v>76</v>
      </c>
      <c r="L43" s="48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48"/>
      <c r="AE43" s="48"/>
      <c r="AF43" s="48"/>
      <c r="AG43" s="48"/>
      <c r="AH43" s="47"/>
      <c r="AI43" s="48"/>
      <c r="AJ43" s="47"/>
      <c r="AK43" s="48"/>
      <c r="AL43" s="48"/>
      <c r="AM43" s="46"/>
      <c r="AN43" s="46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  <row r="44" spans="1:50" x14ac:dyDescent="0.2">
      <c r="A44" s="114" t="s">
        <v>20</v>
      </c>
      <c r="B44" s="84" t="s">
        <v>10</v>
      </c>
      <c r="C44" s="39">
        <v>43473</v>
      </c>
      <c r="D44" s="39">
        <v>43559</v>
      </c>
      <c r="E44" s="76">
        <v>2.819672131147541</v>
      </c>
      <c r="F44" s="76">
        <v>64108</v>
      </c>
      <c r="G44" s="33" t="s">
        <v>81</v>
      </c>
      <c r="H44" s="105">
        <v>34.9</v>
      </c>
      <c r="I44" s="33" t="s">
        <v>7</v>
      </c>
      <c r="J44" s="33">
        <v>2</v>
      </c>
      <c r="K44" s="76" t="s">
        <v>72</v>
      </c>
      <c r="L44" s="48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48"/>
      <c r="AE44" s="48"/>
      <c r="AF44" s="48"/>
      <c r="AG44" s="48"/>
      <c r="AH44" s="47"/>
      <c r="AI44" s="48"/>
      <c r="AJ44" s="47"/>
      <c r="AK44" s="48"/>
      <c r="AL44" s="48"/>
      <c r="AM44" s="46"/>
      <c r="AN44" s="46"/>
      <c r="AO44" s="48"/>
      <c r="AP44" s="48"/>
      <c r="AQ44" s="48"/>
      <c r="AR44" s="48"/>
      <c r="AS44" s="48"/>
      <c r="AT44" s="48"/>
      <c r="AU44" s="48"/>
      <c r="AV44" s="48"/>
      <c r="AW44" s="48"/>
      <c r="AX44" s="48"/>
    </row>
    <row r="45" spans="1:50" x14ac:dyDescent="0.2">
      <c r="A45" s="114" t="s">
        <v>27</v>
      </c>
      <c r="B45" s="84" t="s">
        <v>10</v>
      </c>
      <c r="C45" s="39">
        <v>43622</v>
      </c>
      <c r="D45" s="39">
        <v>43699</v>
      </c>
      <c r="E45" s="76">
        <v>2.5245901639344264</v>
      </c>
      <c r="F45" s="76">
        <v>922</v>
      </c>
      <c r="G45" s="33" t="s">
        <v>81</v>
      </c>
      <c r="H45" s="105">
        <v>0.56379204892966361</v>
      </c>
      <c r="I45" s="33" t="s">
        <v>7</v>
      </c>
      <c r="J45" s="33">
        <v>2</v>
      </c>
      <c r="K45" s="76" t="s">
        <v>72</v>
      </c>
      <c r="L45" s="48"/>
      <c r="M45" s="91"/>
      <c r="N45" s="96"/>
      <c r="O45" s="96"/>
      <c r="P45" s="96"/>
      <c r="Q45" s="91"/>
      <c r="R45" s="96"/>
      <c r="S45" s="96"/>
      <c r="T45" s="96"/>
      <c r="U45" s="91"/>
      <c r="V45" s="96"/>
      <c r="W45" s="96"/>
      <c r="X45" s="96"/>
      <c r="Y45" s="91"/>
      <c r="Z45" s="91"/>
      <c r="AA45" s="91"/>
      <c r="AB45" s="91"/>
      <c r="AC45" s="91"/>
      <c r="AD45" s="48"/>
      <c r="AE45" s="48"/>
      <c r="AF45" s="48"/>
      <c r="AG45" s="48"/>
      <c r="AH45" s="47"/>
      <c r="AI45" s="48"/>
      <c r="AJ45" s="47"/>
      <c r="AK45" s="48"/>
      <c r="AL45" s="48"/>
      <c r="AM45" s="46"/>
      <c r="AN45" s="46"/>
      <c r="AO45" s="48"/>
      <c r="AP45" s="48"/>
      <c r="AQ45" s="48"/>
      <c r="AR45" s="48"/>
      <c r="AS45" s="48"/>
      <c r="AT45" s="48"/>
      <c r="AU45" s="48"/>
      <c r="AV45" s="48"/>
      <c r="AW45" s="48"/>
      <c r="AX45" s="48"/>
    </row>
    <row r="46" spans="1:50" x14ac:dyDescent="0.2">
      <c r="A46" s="114" t="s">
        <v>27</v>
      </c>
      <c r="B46" s="84" t="s">
        <v>10</v>
      </c>
      <c r="C46" s="39">
        <v>43622</v>
      </c>
      <c r="D46" s="39">
        <v>43760</v>
      </c>
      <c r="E46" s="76">
        <v>4.5245901639344259</v>
      </c>
      <c r="F46" s="76">
        <v>7777</v>
      </c>
      <c r="G46" s="33" t="s">
        <v>81</v>
      </c>
      <c r="H46" s="105">
        <v>1.3</v>
      </c>
      <c r="I46" s="33" t="s">
        <v>7</v>
      </c>
      <c r="J46" s="33">
        <v>4</v>
      </c>
      <c r="K46" s="76" t="s">
        <v>76</v>
      </c>
      <c r="L46" s="48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</row>
    <row r="47" spans="1:50" x14ac:dyDescent="0.2">
      <c r="A47" s="114" t="s">
        <v>28</v>
      </c>
      <c r="B47" s="84" t="s">
        <v>10</v>
      </c>
      <c r="C47" s="39">
        <v>43622</v>
      </c>
      <c r="D47" s="39">
        <v>43699</v>
      </c>
      <c r="E47" s="76">
        <v>2.5245901639344264</v>
      </c>
      <c r="F47" s="76">
        <v>2214</v>
      </c>
      <c r="G47" s="33" t="s">
        <v>81</v>
      </c>
      <c r="H47" s="105">
        <v>1.3538837920489295</v>
      </c>
      <c r="I47" s="33" t="s">
        <v>7</v>
      </c>
      <c r="J47" s="33">
        <v>2</v>
      </c>
      <c r="K47" s="76" t="s">
        <v>72</v>
      </c>
      <c r="L47" s="48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</row>
    <row r="48" spans="1:50" x14ac:dyDescent="0.2">
      <c r="A48" s="114" t="s">
        <v>28</v>
      </c>
      <c r="B48" s="84" t="s">
        <v>10</v>
      </c>
      <c r="C48" s="39">
        <v>43622</v>
      </c>
      <c r="D48" s="39">
        <v>43760</v>
      </c>
      <c r="E48" s="76">
        <v>4.5245901639344259</v>
      </c>
      <c r="F48" s="76">
        <v>352234</v>
      </c>
      <c r="G48" s="33" t="s">
        <v>81</v>
      </c>
      <c r="H48" s="105">
        <v>58.4</v>
      </c>
      <c r="I48" s="33" t="s">
        <v>7</v>
      </c>
      <c r="J48" s="33">
        <v>4</v>
      </c>
      <c r="K48" s="76" t="s">
        <v>76</v>
      </c>
      <c r="L48" s="48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</row>
    <row r="49" spans="1:50" x14ac:dyDescent="0.2">
      <c r="A49" s="114" t="s">
        <v>29</v>
      </c>
      <c r="B49" s="84" t="s">
        <v>10</v>
      </c>
      <c r="C49" s="39">
        <v>43622</v>
      </c>
      <c r="D49" s="39">
        <v>43699</v>
      </c>
      <c r="E49" s="76">
        <v>2.5245901639344264</v>
      </c>
      <c r="F49" s="76">
        <v>2098</v>
      </c>
      <c r="G49" s="33" t="s">
        <v>81</v>
      </c>
      <c r="H49" s="105">
        <v>1.2834250764525994</v>
      </c>
      <c r="I49" s="33" t="s">
        <v>7</v>
      </c>
      <c r="J49" s="33">
        <v>2</v>
      </c>
      <c r="K49" s="76" t="s">
        <v>72</v>
      </c>
      <c r="L49" s="48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</row>
    <row r="50" spans="1:50" x14ac:dyDescent="0.2">
      <c r="A50" s="114" t="s">
        <v>33</v>
      </c>
      <c r="B50" s="84" t="s">
        <v>10</v>
      </c>
      <c r="C50" s="39">
        <v>43763</v>
      </c>
      <c r="D50" s="39">
        <v>43865</v>
      </c>
      <c r="E50" s="76">
        <v>3.3442622950819674</v>
      </c>
      <c r="F50" s="76">
        <v>171998</v>
      </c>
      <c r="G50" s="33" t="s">
        <v>81</v>
      </c>
      <c r="H50" s="105">
        <v>117.2</v>
      </c>
      <c r="I50" s="33" t="s">
        <v>7</v>
      </c>
      <c r="J50" s="33">
        <v>3</v>
      </c>
      <c r="K50" s="76" t="s">
        <v>76</v>
      </c>
      <c r="L50" s="48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</row>
    <row r="51" spans="1:50" x14ac:dyDescent="0.2">
      <c r="A51" s="114" t="s">
        <v>33</v>
      </c>
      <c r="B51" s="84" t="s">
        <v>10</v>
      </c>
      <c r="C51" s="39">
        <v>43763</v>
      </c>
      <c r="D51" s="39">
        <v>43894</v>
      </c>
      <c r="E51" s="76">
        <v>4.2950819672131146</v>
      </c>
      <c r="F51" s="76">
        <v>273125</v>
      </c>
      <c r="G51" s="33" t="s">
        <v>81</v>
      </c>
      <c r="H51" s="105">
        <v>77.7</v>
      </c>
      <c r="I51" s="33" t="s">
        <v>7</v>
      </c>
      <c r="J51" s="33">
        <v>4</v>
      </c>
      <c r="K51" s="76" t="s">
        <v>76</v>
      </c>
      <c r="L51" s="48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</row>
    <row r="52" spans="1:50" ht="32" customHeight="1" x14ac:dyDescent="0.2">
      <c r="A52" s="114" t="s">
        <v>33</v>
      </c>
      <c r="B52" s="84" t="s">
        <v>10</v>
      </c>
      <c r="C52" s="39">
        <v>43763</v>
      </c>
      <c r="D52" s="39">
        <v>43929</v>
      </c>
      <c r="E52" s="76">
        <v>5.442622950819672</v>
      </c>
      <c r="F52" s="76">
        <v>194169</v>
      </c>
      <c r="G52" s="33" t="s">
        <v>81</v>
      </c>
      <c r="H52" s="105">
        <v>53.113420016047847</v>
      </c>
      <c r="I52" s="33" t="s">
        <v>7</v>
      </c>
      <c r="J52" s="33">
        <v>5</v>
      </c>
      <c r="K52" s="76" t="s">
        <v>76</v>
      </c>
      <c r="L52" s="48"/>
      <c r="M52" s="91"/>
      <c r="N52" s="100"/>
      <c r="O52" s="100"/>
      <c r="P52" s="100"/>
      <c r="Q52" s="91"/>
      <c r="R52" s="100"/>
      <c r="S52" s="100"/>
      <c r="T52" s="100"/>
      <c r="U52" s="91"/>
      <c r="V52" s="100"/>
      <c r="W52" s="100"/>
      <c r="X52" s="100"/>
      <c r="Y52" s="91"/>
      <c r="Z52" s="91"/>
      <c r="AA52" s="91"/>
      <c r="AB52" s="91"/>
      <c r="AC52" s="91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</row>
    <row r="53" spans="1:50" x14ac:dyDescent="0.2">
      <c r="A53" s="114" t="s">
        <v>33</v>
      </c>
      <c r="B53" s="84" t="s">
        <v>10</v>
      </c>
      <c r="C53" s="39">
        <v>43763</v>
      </c>
      <c r="D53" s="39">
        <v>43958</v>
      </c>
      <c r="E53" s="76">
        <v>6.3934426229508201</v>
      </c>
      <c r="F53" s="85">
        <v>132377</v>
      </c>
      <c r="G53" s="33" t="s">
        <v>81</v>
      </c>
      <c r="H53" s="105">
        <v>43.319305594188194</v>
      </c>
      <c r="I53" s="33" t="s">
        <v>7</v>
      </c>
      <c r="J53" s="33">
        <v>6</v>
      </c>
      <c r="K53" s="76" t="s">
        <v>77</v>
      </c>
      <c r="L53" s="48"/>
      <c r="M53" s="91"/>
      <c r="N53" s="100"/>
      <c r="O53" s="100"/>
      <c r="P53" s="100"/>
      <c r="Q53" s="91"/>
      <c r="R53" s="100"/>
      <c r="S53" s="100"/>
      <c r="T53" s="100"/>
      <c r="U53" s="91"/>
      <c r="V53" s="100"/>
      <c r="W53" s="100"/>
      <c r="X53" s="100"/>
      <c r="Y53" s="91"/>
      <c r="Z53" s="91"/>
      <c r="AA53" s="91"/>
      <c r="AB53" s="91"/>
      <c r="AC53" s="91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</row>
    <row r="54" spans="1:50" x14ac:dyDescent="0.2">
      <c r="A54" s="114" t="s">
        <v>33</v>
      </c>
      <c r="B54" s="84" t="s">
        <v>10</v>
      </c>
      <c r="C54" s="39">
        <v>43763</v>
      </c>
      <c r="D54" s="39">
        <v>43983</v>
      </c>
      <c r="E54" s="76">
        <v>7.2131147540983607</v>
      </c>
      <c r="F54" s="76">
        <v>144916</v>
      </c>
      <c r="G54" s="33" t="s">
        <v>81</v>
      </c>
      <c r="H54" s="105">
        <v>130.5</v>
      </c>
      <c r="I54" s="33" t="s">
        <v>7</v>
      </c>
      <c r="J54" s="33">
        <v>7</v>
      </c>
      <c r="K54" s="76" t="s">
        <v>77</v>
      </c>
      <c r="L54" s="48"/>
      <c r="M54" s="91"/>
      <c r="N54" s="100"/>
      <c r="O54" s="100"/>
      <c r="P54" s="100"/>
      <c r="Q54" s="91"/>
      <c r="R54" s="100"/>
      <c r="S54" s="100"/>
      <c r="T54" s="100"/>
      <c r="U54" s="91"/>
      <c r="V54" s="100"/>
      <c r="W54" s="100"/>
      <c r="X54" s="100"/>
      <c r="Y54" s="91"/>
      <c r="Z54" s="91"/>
      <c r="AA54" s="91"/>
      <c r="AB54" s="91"/>
      <c r="AC54" s="91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</row>
    <row r="55" spans="1:50" x14ac:dyDescent="0.2">
      <c r="A55" s="114" t="s">
        <v>33</v>
      </c>
      <c r="B55" s="84" t="s">
        <v>10</v>
      </c>
      <c r="C55" s="39">
        <v>43763</v>
      </c>
      <c r="D55" s="39">
        <v>43985</v>
      </c>
      <c r="E55" s="76">
        <v>7.278688524590164</v>
      </c>
      <c r="F55" s="76">
        <f>AVERAGE(75458.8,58913.3)</f>
        <v>67186.05</v>
      </c>
      <c r="G55" s="33" t="s">
        <v>81</v>
      </c>
      <c r="H55" s="105">
        <v>10.51</v>
      </c>
      <c r="I55" s="33" t="s">
        <v>8</v>
      </c>
      <c r="J55" s="33">
        <v>7</v>
      </c>
      <c r="K55" s="76" t="s">
        <v>77</v>
      </c>
      <c r="L55" s="48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</row>
    <row r="56" spans="1:50" x14ac:dyDescent="0.2">
      <c r="A56" s="114" t="s">
        <v>34</v>
      </c>
      <c r="B56" s="84" t="s">
        <v>10</v>
      </c>
      <c r="C56" s="39">
        <v>43794</v>
      </c>
      <c r="D56" s="39">
        <v>43865</v>
      </c>
      <c r="E56" s="76">
        <v>2.3278688524590163</v>
      </c>
      <c r="F56" s="76">
        <v>1425</v>
      </c>
      <c r="G56" s="33" t="s">
        <v>81</v>
      </c>
      <c r="H56" s="105">
        <v>1</v>
      </c>
      <c r="I56" s="33" t="s">
        <v>7</v>
      </c>
      <c r="J56" s="33">
        <v>2</v>
      </c>
      <c r="K56" s="76" t="s">
        <v>72</v>
      </c>
      <c r="L56" s="48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</row>
    <row r="57" spans="1:50" x14ac:dyDescent="0.2">
      <c r="A57" s="114" t="s">
        <v>34</v>
      </c>
      <c r="B57" s="84" t="s">
        <v>10</v>
      </c>
      <c r="C57" s="39">
        <v>43794</v>
      </c>
      <c r="D57" s="136">
        <v>43894</v>
      </c>
      <c r="E57" s="76">
        <v>3.278688524590164</v>
      </c>
      <c r="F57" s="76">
        <v>163977</v>
      </c>
      <c r="G57" s="33" t="s">
        <v>81</v>
      </c>
      <c r="H57" s="134">
        <v>46.7</v>
      </c>
      <c r="I57" s="33" t="s">
        <v>7</v>
      </c>
      <c r="J57" s="33">
        <v>3</v>
      </c>
      <c r="K57" s="76" t="s">
        <v>76</v>
      </c>
      <c r="L57" s="48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</row>
    <row r="58" spans="1:50" ht="19" x14ac:dyDescent="0.25">
      <c r="A58" s="114" t="s">
        <v>34</v>
      </c>
      <c r="B58" s="84" t="s">
        <v>10</v>
      </c>
      <c r="C58" s="39">
        <v>43794</v>
      </c>
      <c r="D58" s="39">
        <v>43929</v>
      </c>
      <c r="E58" s="76">
        <v>4.4262295081967213</v>
      </c>
      <c r="F58" s="76">
        <v>172727</v>
      </c>
      <c r="G58" s="33" t="s">
        <v>81</v>
      </c>
      <c r="H58" s="105">
        <v>47.248249325260772</v>
      </c>
      <c r="I58" s="33" t="s">
        <v>7</v>
      </c>
      <c r="J58" s="33">
        <v>4</v>
      </c>
      <c r="K58" s="76" t="s">
        <v>76</v>
      </c>
      <c r="L58" s="48"/>
      <c r="M58" s="91"/>
      <c r="N58" s="101"/>
      <c r="O58" s="101"/>
      <c r="P58" s="101"/>
      <c r="Q58" s="101"/>
      <c r="R58" s="101"/>
      <c r="S58" s="101"/>
      <c r="T58" s="101"/>
      <c r="U58" s="91"/>
      <c r="V58" s="91"/>
      <c r="W58" s="91"/>
      <c r="X58" s="91"/>
      <c r="Y58" s="91"/>
      <c r="Z58" s="91"/>
      <c r="AA58" s="91"/>
      <c r="AB58" s="91"/>
      <c r="AC58" s="91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</row>
    <row r="59" spans="1:50" ht="19" x14ac:dyDescent="0.25">
      <c r="A59" s="114" t="s">
        <v>34</v>
      </c>
      <c r="B59" s="84" t="s">
        <v>10</v>
      </c>
      <c r="C59" s="39">
        <v>43794</v>
      </c>
      <c r="D59" s="39">
        <v>43958</v>
      </c>
      <c r="E59" s="76">
        <v>5.3770491803278686</v>
      </c>
      <c r="F59" s="76">
        <v>138667</v>
      </c>
      <c r="G59" s="33" t="s">
        <v>81</v>
      </c>
      <c r="H59" s="105">
        <v>45.377619974802421</v>
      </c>
      <c r="I59" s="33" t="s">
        <v>7</v>
      </c>
      <c r="J59" s="33">
        <v>5</v>
      </c>
      <c r="K59" s="76" t="s">
        <v>76</v>
      </c>
      <c r="L59" s="48"/>
      <c r="M59" s="91"/>
      <c r="N59" s="98"/>
      <c r="O59" s="91"/>
      <c r="P59" s="91"/>
      <c r="Q59" s="94"/>
      <c r="R59" s="94"/>
      <c r="S59" s="102"/>
      <c r="T59" s="102"/>
      <c r="U59" s="91"/>
      <c r="V59" s="91"/>
      <c r="W59" s="91"/>
      <c r="X59" s="91"/>
      <c r="Y59" s="91"/>
      <c r="Z59" s="91"/>
      <c r="AA59" s="91"/>
      <c r="AB59" s="91"/>
      <c r="AC59" s="91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</row>
    <row r="60" spans="1:50" x14ac:dyDescent="0.2">
      <c r="A60" s="114" t="s">
        <v>34</v>
      </c>
      <c r="B60" s="84" t="s">
        <v>10</v>
      </c>
      <c r="C60" s="39">
        <v>43794</v>
      </c>
      <c r="D60" s="136">
        <v>43983</v>
      </c>
      <c r="E60" s="76">
        <v>6.1967213114754101</v>
      </c>
      <c r="F60" s="76">
        <v>171292</v>
      </c>
      <c r="G60" s="33" t="s">
        <v>81</v>
      </c>
      <c r="H60" s="105">
        <v>154.30000000000001</v>
      </c>
      <c r="I60" s="33" t="s">
        <v>7</v>
      </c>
      <c r="J60" s="33">
        <v>6</v>
      </c>
      <c r="K60" s="76" t="s">
        <v>77</v>
      </c>
      <c r="L60" s="48"/>
      <c r="M60" s="91"/>
      <c r="N60" s="91"/>
      <c r="O60" s="91"/>
      <c r="P60" s="91"/>
      <c r="Q60" s="91"/>
      <c r="R60" s="97"/>
      <c r="S60" s="99"/>
      <c r="T60" s="99"/>
      <c r="U60" s="91"/>
      <c r="V60" s="91"/>
      <c r="W60" s="91"/>
      <c r="X60" s="91"/>
      <c r="Y60" s="91"/>
      <c r="Z60" s="91"/>
      <c r="AA60" s="91"/>
      <c r="AB60" s="91"/>
      <c r="AC60" s="91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</row>
    <row r="61" spans="1:50" x14ac:dyDescent="0.2">
      <c r="A61" s="114" t="s">
        <v>34</v>
      </c>
      <c r="B61" s="84" t="s">
        <v>10</v>
      </c>
      <c r="C61" s="39">
        <v>43794</v>
      </c>
      <c r="D61" s="136">
        <v>43985</v>
      </c>
      <c r="E61" s="76">
        <v>6.2622950819672134</v>
      </c>
      <c r="F61" s="76">
        <f>AVERAGE(42312.1,56855)</f>
        <v>49583.55</v>
      </c>
      <c r="G61" s="33" t="s">
        <v>81</v>
      </c>
      <c r="H61" s="105">
        <v>7.4</v>
      </c>
      <c r="I61" s="33" t="s">
        <v>8</v>
      </c>
      <c r="J61" s="33">
        <v>6</v>
      </c>
      <c r="K61" s="76" t="s">
        <v>77</v>
      </c>
      <c r="L61" s="48"/>
      <c r="M61" s="91"/>
      <c r="N61" s="91"/>
      <c r="O61" s="91"/>
      <c r="P61" s="91"/>
      <c r="Q61" s="91"/>
      <c r="R61" s="91"/>
      <c r="S61" s="99"/>
      <c r="T61" s="99"/>
      <c r="U61" s="91"/>
      <c r="V61" s="91"/>
      <c r="W61" s="91"/>
      <c r="X61" s="91"/>
      <c r="Y61" s="91"/>
      <c r="Z61" s="91"/>
      <c r="AA61" s="91"/>
      <c r="AB61" s="91"/>
      <c r="AC61" s="91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</row>
    <row r="62" spans="1:50" x14ac:dyDescent="0.2">
      <c r="A62" s="114" t="s">
        <v>36</v>
      </c>
      <c r="B62" s="84" t="s">
        <v>10</v>
      </c>
      <c r="C62" s="39">
        <v>43794</v>
      </c>
      <c r="D62" s="39">
        <v>43865</v>
      </c>
      <c r="E62" s="76">
        <v>2.3278688524590163</v>
      </c>
      <c r="F62" s="76">
        <v>781</v>
      </c>
      <c r="G62" s="33" t="s">
        <v>81</v>
      </c>
      <c r="H62" s="105">
        <v>0.5</v>
      </c>
      <c r="I62" s="33" t="s">
        <v>7</v>
      </c>
      <c r="J62" s="33">
        <v>2</v>
      </c>
      <c r="K62" s="76" t="s">
        <v>72</v>
      </c>
      <c r="L62" s="48"/>
      <c r="M62" s="91"/>
      <c r="N62" s="91"/>
      <c r="O62" s="91"/>
      <c r="P62" s="91"/>
      <c r="Q62" s="91"/>
      <c r="R62" s="91"/>
      <c r="S62" s="99"/>
      <c r="T62" s="99"/>
      <c r="U62" s="91"/>
      <c r="V62" s="91"/>
      <c r="W62" s="91"/>
      <c r="X62" s="91"/>
      <c r="Y62" s="91"/>
      <c r="Z62" s="91"/>
      <c r="AA62" s="91"/>
      <c r="AB62" s="91"/>
      <c r="AC62" s="91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</row>
    <row r="63" spans="1:50" x14ac:dyDescent="0.2">
      <c r="A63" s="114" t="s">
        <v>26</v>
      </c>
      <c r="B63" s="84" t="s">
        <v>10</v>
      </c>
      <c r="C63" s="39">
        <v>43165</v>
      </c>
      <c r="D63" s="39">
        <v>43311</v>
      </c>
      <c r="E63" s="76">
        <v>4.7868852459016393</v>
      </c>
      <c r="F63" s="76">
        <f>AVERAGE(137638,143768)</f>
        <v>140703</v>
      </c>
      <c r="G63" s="33" t="s">
        <v>81</v>
      </c>
      <c r="H63" s="105">
        <v>150.19999999999999</v>
      </c>
      <c r="I63" s="33" t="s">
        <v>8</v>
      </c>
      <c r="J63" s="33">
        <v>4</v>
      </c>
      <c r="K63" s="76" t="s">
        <v>76</v>
      </c>
      <c r="L63" s="48"/>
      <c r="M63" s="91"/>
      <c r="N63" s="91"/>
      <c r="O63" s="91"/>
      <c r="P63" s="91"/>
      <c r="Q63" s="91"/>
      <c r="R63" s="91"/>
      <c r="S63" s="99"/>
      <c r="T63" s="99"/>
      <c r="U63" s="91"/>
      <c r="V63" s="91"/>
      <c r="W63" s="91"/>
      <c r="X63" s="91"/>
      <c r="Y63" s="91"/>
      <c r="Z63" s="91"/>
      <c r="AA63" s="91"/>
      <c r="AB63" s="91"/>
      <c r="AC63" s="91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</row>
    <row r="64" spans="1:50" x14ac:dyDescent="0.2">
      <c r="A64" s="114" t="s">
        <v>26</v>
      </c>
      <c r="B64" s="84" t="s">
        <v>10</v>
      </c>
      <c r="C64" s="39">
        <v>43165</v>
      </c>
      <c r="D64" s="39" t="s">
        <v>82</v>
      </c>
      <c r="E64" s="76">
        <v>5.9672131147540988</v>
      </c>
      <c r="F64" s="76">
        <v>151237</v>
      </c>
      <c r="G64" s="33" t="s">
        <v>81</v>
      </c>
      <c r="H64" s="105">
        <v>56.3</v>
      </c>
      <c r="I64" s="33" t="s">
        <v>7</v>
      </c>
      <c r="J64" s="33">
        <v>5</v>
      </c>
      <c r="K64" s="76" t="s">
        <v>76</v>
      </c>
      <c r="L64" s="48"/>
      <c r="M64" s="91"/>
      <c r="N64" s="91"/>
      <c r="O64" s="91"/>
      <c r="P64" s="91"/>
      <c r="Q64" s="91"/>
      <c r="R64" s="91"/>
      <c r="S64" s="99"/>
      <c r="T64" s="99"/>
      <c r="U64" s="91"/>
      <c r="V64" s="91"/>
      <c r="W64" s="91"/>
      <c r="X64" s="91"/>
      <c r="Y64" s="91"/>
      <c r="Z64" s="91"/>
      <c r="AA64" s="91"/>
      <c r="AB64" s="91"/>
      <c r="AC64" s="91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</row>
    <row r="65" spans="1:50" x14ac:dyDescent="0.2">
      <c r="A65" s="114" t="s">
        <v>36</v>
      </c>
      <c r="B65" s="84" t="s">
        <v>10</v>
      </c>
      <c r="C65" s="39">
        <v>43794</v>
      </c>
      <c r="D65" s="39">
        <v>43894</v>
      </c>
      <c r="E65" s="76">
        <v>3.278688524590164</v>
      </c>
      <c r="F65" s="76">
        <v>2535</v>
      </c>
      <c r="G65" s="33" t="s">
        <v>81</v>
      </c>
      <c r="H65" s="134">
        <v>0.7</v>
      </c>
      <c r="I65" s="33" t="s">
        <v>7</v>
      </c>
      <c r="J65" s="33">
        <v>3</v>
      </c>
      <c r="K65" s="76" t="s">
        <v>76</v>
      </c>
      <c r="L65" s="48"/>
      <c r="M65" s="91"/>
      <c r="N65" s="91"/>
      <c r="O65" s="91"/>
      <c r="P65" s="91"/>
      <c r="Q65" s="91"/>
      <c r="R65" s="91"/>
      <c r="S65" s="99"/>
      <c r="T65" s="99"/>
      <c r="U65" s="91"/>
      <c r="V65" s="91"/>
      <c r="W65" s="91"/>
      <c r="X65" s="91"/>
      <c r="Y65" s="91"/>
      <c r="Z65" s="91"/>
      <c r="AA65" s="91"/>
      <c r="AB65" s="91"/>
      <c r="AC65" s="91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</row>
    <row r="66" spans="1:50" x14ac:dyDescent="0.2">
      <c r="A66" s="114" t="s">
        <v>36</v>
      </c>
      <c r="B66" s="84" t="s">
        <v>10</v>
      </c>
      <c r="C66" s="39">
        <v>43794</v>
      </c>
      <c r="D66" s="39">
        <v>43929</v>
      </c>
      <c r="E66" s="76">
        <v>4.4262295081967213</v>
      </c>
      <c r="F66" s="76">
        <v>3674</v>
      </c>
      <c r="G66" s="33" t="s">
        <v>81</v>
      </c>
      <c r="H66" s="105">
        <v>1.0050514260704646</v>
      </c>
      <c r="I66" s="33" t="s">
        <v>7</v>
      </c>
      <c r="J66" s="33">
        <v>4</v>
      </c>
      <c r="K66" s="76" t="s">
        <v>76</v>
      </c>
      <c r="L66" s="48"/>
      <c r="M66" s="91"/>
      <c r="N66" s="91"/>
      <c r="O66" s="91"/>
      <c r="P66" s="91"/>
      <c r="Q66" s="91"/>
      <c r="R66" s="91"/>
      <c r="S66" s="99"/>
      <c r="T66" s="99"/>
      <c r="U66" s="91"/>
      <c r="V66" s="91"/>
      <c r="W66" s="91"/>
      <c r="X66" s="91"/>
      <c r="Y66" s="91"/>
      <c r="Z66" s="91"/>
      <c r="AA66" s="91"/>
      <c r="AB66" s="91"/>
      <c r="AC66" s="91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</row>
    <row r="67" spans="1:50" x14ac:dyDescent="0.2">
      <c r="A67" s="114" t="s">
        <v>36</v>
      </c>
      <c r="B67" s="84" t="s">
        <v>10</v>
      </c>
      <c r="C67" s="39">
        <v>43794</v>
      </c>
      <c r="D67" s="39">
        <v>43958</v>
      </c>
      <c r="E67" s="76">
        <v>5.3770491803278686</v>
      </c>
      <c r="F67" s="76">
        <v>4991</v>
      </c>
      <c r="G67" s="33" t="s">
        <v>81</v>
      </c>
      <c r="H67" s="105">
        <v>1.633195346630234</v>
      </c>
      <c r="I67" s="33" t="s">
        <v>7</v>
      </c>
      <c r="J67" s="33">
        <v>5</v>
      </c>
      <c r="K67" s="76" t="s">
        <v>76</v>
      </c>
      <c r="L67" s="48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</row>
    <row r="68" spans="1:50" x14ac:dyDescent="0.2">
      <c r="A68" s="114" t="s">
        <v>26</v>
      </c>
      <c r="B68" s="84" t="s">
        <v>10</v>
      </c>
      <c r="C68" s="39">
        <v>43165</v>
      </c>
      <c r="D68" s="136">
        <v>43376</v>
      </c>
      <c r="E68" s="76">
        <v>6.918032786885246</v>
      </c>
      <c r="F68" s="76">
        <v>180561</v>
      </c>
      <c r="G68" s="33" t="s">
        <v>81</v>
      </c>
      <c r="H68" s="105">
        <v>399.5</v>
      </c>
      <c r="I68" s="33" t="s">
        <v>7</v>
      </c>
      <c r="J68" s="33">
        <v>6</v>
      </c>
      <c r="K68" s="76" t="s">
        <v>77</v>
      </c>
      <c r="L68" s="48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</row>
    <row r="69" spans="1:50" x14ac:dyDescent="0.2">
      <c r="A69" s="114" t="s">
        <v>20</v>
      </c>
      <c r="B69" s="84" t="s">
        <v>10</v>
      </c>
      <c r="C69" s="39">
        <v>43473</v>
      </c>
      <c r="D69" s="39">
        <v>43593</v>
      </c>
      <c r="E69" s="76">
        <v>3.9344262295081966</v>
      </c>
      <c r="F69" s="76">
        <v>151338</v>
      </c>
      <c r="G69" s="33" t="s">
        <v>81</v>
      </c>
      <c r="H69" s="105">
        <v>202.9</v>
      </c>
      <c r="I69" s="33" t="s">
        <v>7</v>
      </c>
      <c r="J69" s="33">
        <v>3</v>
      </c>
      <c r="K69" s="76" t="s">
        <v>76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</row>
    <row r="70" spans="1:50" x14ac:dyDescent="0.2">
      <c r="A70" s="114" t="s">
        <v>36</v>
      </c>
      <c r="B70" s="84" t="s">
        <v>10</v>
      </c>
      <c r="C70" s="39">
        <v>43794</v>
      </c>
      <c r="D70" s="136">
        <v>43989</v>
      </c>
      <c r="E70" s="76">
        <v>6.3934426229508201</v>
      </c>
      <c r="F70" s="76">
        <v>3073</v>
      </c>
      <c r="G70" s="33" t="s">
        <v>81</v>
      </c>
      <c r="H70" s="105">
        <v>2.8</v>
      </c>
      <c r="I70" s="33" t="s">
        <v>7</v>
      </c>
      <c r="J70" s="33">
        <v>6</v>
      </c>
      <c r="K70" s="76" t="s">
        <v>77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0" x14ac:dyDescent="0.2">
      <c r="A71" s="114" t="s">
        <v>26</v>
      </c>
      <c r="B71" s="84" t="s">
        <v>10</v>
      </c>
      <c r="C71" s="39">
        <v>43165</v>
      </c>
      <c r="D71" s="39">
        <v>43392</v>
      </c>
      <c r="E71" s="76">
        <v>7.442622950819672</v>
      </c>
      <c r="F71" s="76">
        <v>157169</v>
      </c>
      <c r="G71" s="33" t="s">
        <v>81</v>
      </c>
      <c r="H71" s="105">
        <v>246</v>
      </c>
      <c r="I71" s="33" t="s">
        <v>7</v>
      </c>
      <c r="J71" s="33">
        <v>7</v>
      </c>
      <c r="K71" s="76" t="s">
        <v>77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</row>
    <row r="72" spans="1:50" x14ac:dyDescent="0.2">
      <c r="A72" s="114" t="s">
        <v>53</v>
      </c>
      <c r="B72" s="84" t="s">
        <v>10</v>
      </c>
      <c r="C72" s="39">
        <v>43233</v>
      </c>
      <c r="D72" s="39">
        <v>43347</v>
      </c>
      <c r="E72" s="76">
        <v>3.737704918032787</v>
      </c>
      <c r="F72" s="76">
        <v>231810</v>
      </c>
      <c r="G72" s="33" t="s">
        <v>81</v>
      </c>
      <c r="H72" s="105">
        <v>86.270748046148114</v>
      </c>
      <c r="I72" s="33" t="s">
        <v>7</v>
      </c>
      <c r="J72" s="33">
        <v>3</v>
      </c>
      <c r="K72" s="76" t="s">
        <v>76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</row>
    <row r="73" spans="1:50" x14ac:dyDescent="0.2">
      <c r="A73" s="114" t="s">
        <v>53</v>
      </c>
      <c r="B73" s="84" t="s">
        <v>10</v>
      </c>
      <c r="C73" s="39">
        <v>43233</v>
      </c>
      <c r="D73" s="136">
        <v>43376</v>
      </c>
      <c r="E73" s="76">
        <v>4.6885245901639347</v>
      </c>
      <c r="F73" s="76">
        <v>188226</v>
      </c>
      <c r="G73" s="33" t="s">
        <v>81</v>
      </c>
      <c r="H73" s="105">
        <v>416.4</v>
      </c>
      <c r="I73" s="33" t="s">
        <v>7</v>
      </c>
      <c r="J73" s="33">
        <v>4</v>
      </c>
      <c r="K73" s="76" t="s">
        <v>76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</row>
    <row r="74" spans="1:50" x14ac:dyDescent="0.2">
      <c r="A74" s="114" t="s">
        <v>36</v>
      </c>
      <c r="B74" s="84" t="s">
        <v>10</v>
      </c>
      <c r="C74" s="39">
        <v>43794</v>
      </c>
      <c r="D74" s="39">
        <v>44019</v>
      </c>
      <c r="E74" s="76">
        <v>7.3770491803278686</v>
      </c>
      <c r="F74" s="76">
        <v>1029</v>
      </c>
      <c r="G74" s="33" t="s">
        <v>81</v>
      </c>
      <c r="H74" s="105">
        <v>1.1857397915106835</v>
      </c>
      <c r="I74" s="33" t="s">
        <v>7</v>
      </c>
      <c r="J74" s="33">
        <v>7</v>
      </c>
      <c r="K74" s="76" t="s">
        <v>77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</row>
    <row r="75" spans="1:50" x14ac:dyDescent="0.2">
      <c r="A75" s="114" t="s">
        <v>36</v>
      </c>
      <c r="B75" s="84" t="s">
        <v>10</v>
      </c>
      <c r="C75" s="39">
        <v>43794</v>
      </c>
      <c r="D75" s="39">
        <v>44046</v>
      </c>
      <c r="E75" s="76">
        <v>8.2622950819672134</v>
      </c>
      <c r="F75" s="85">
        <v>38753</v>
      </c>
      <c r="G75" s="33" t="s">
        <v>81</v>
      </c>
      <c r="H75" s="105">
        <v>24.274993735905785</v>
      </c>
      <c r="I75" s="33" t="s">
        <v>7</v>
      </c>
      <c r="J75" s="33">
        <v>8</v>
      </c>
      <c r="K75" s="76" t="s">
        <v>77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</row>
    <row r="76" spans="1:50" x14ac:dyDescent="0.2">
      <c r="A76" s="114" t="s">
        <v>20</v>
      </c>
      <c r="B76" s="84" t="s">
        <v>10</v>
      </c>
      <c r="C76" s="39">
        <v>43473</v>
      </c>
      <c r="D76" s="39">
        <v>43621</v>
      </c>
      <c r="E76" s="76">
        <v>4.8524590163934427</v>
      </c>
      <c r="F76" s="76">
        <v>139834</v>
      </c>
      <c r="G76" s="33" t="s">
        <v>81</v>
      </c>
      <c r="H76" s="105">
        <v>187.4</v>
      </c>
      <c r="I76" s="33" t="s">
        <v>7</v>
      </c>
      <c r="J76" s="33">
        <v>4</v>
      </c>
      <c r="K76" s="76" t="s">
        <v>76</v>
      </c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</row>
    <row r="77" spans="1:50" x14ac:dyDescent="0.2">
      <c r="A77" s="33" t="s">
        <v>22</v>
      </c>
      <c r="B77" s="33" t="s">
        <v>10</v>
      </c>
      <c r="C77" s="36">
        <v>43528</v>
      </c>
      <c r="D77" s="36">
        <v>43577</v>
      </c>
      <c r="E77" s="76">
        <v>1.6065573770491803</v>
      </c>
      <c r="F77" s="80">
        <f>AVERAGE(4671,1025,2015)</f>
        <v>2570.3333333333335</v>
      </c>
      <c r="G77" s="33" t="s">
        <v>81</v>
      </c>
      <c r="H77" s="33">
        <v>1.6333333299999999</v>
      </c>
      <c r="I77" s="33" t="s">
        <v>8</v>
      </c>
      <c r="J77" s="33">
        <v>1</v>
      </c>
      <c r="K77" s="33" t="s">
        <v>72</v>
      </c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</row>
    <row r="78" spans="1:50" x14ac:dyDescent="0.2">
      <c r="A78" s="33" t="s">
        <v>17</v>
      </c>
      <c r="B78" s="33" t="s">
        <v>10</v>
      </c>
      <c r="C78" s="39">
        <v>43472</v>
      </c>
      <c r="D78" s="36">
        <v>43522</v>
      </c>
      <c r="E78" s="76">
        <v>1.639344262295082</v>
      </c>
      <c r="F78" s="76">
        <f>AVERAGE(1146.2,691,2642)</f>
        <v>1493.0666666666666</v>
      </c>
      <c r="G78" s="33" t="s">
        <v>81</v>
      </c>
      <c r="H78" s="109">
        <v>0.56666667000000004</v>
      </c>
      <c r="I78" s="33" t="s">
        <v>8</v>
      </c>
      <c r="J78" s="33">
        <v>1</v>
      </c>
      <c r="K78" s="33" t="s">
        <v>72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</row>
    <row r="79" spans="1:50" x14ac:dyDescent="0.2">
      <c r="A79" s="114" t="s">
        <v>36</v>
      </c>
      <c r="B79" s="84" t="s">
        <v>10</v>
      </c>
      <c r="C79" s="39">
        <v>43794</v>
      </c>
      <c r="D79" s="39">
        <v>44085</v>
      </c>
      <c r="E79" s="76">
        <v>9.5409836065573774</v>
      </c>
      <c r="F79" s="76">
        <v>213575</v>
      </c>
      <c r="G79" s="33" t="s">
        <v>81</v>
      </c>
      <c r="H79" s="105">
        <v>121.31737796796305</v>
      </c>
      <c r="I79" s="33" t="s">
        <v>7</v>
      </c>
      <c r="J79" s="33">
        <v>9</v>
      </c>
      <c r="K79" s="76" t="s">
        <v>78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</row>
    <row r="80" spans="1:50" x14ac:dyDescent="0.2">
      <c r="A80" s="114" t="s">
        <v>36</v>
      </c>
      <c r="B80" s="84" t="s">
        <v>10</v>
      </c>
      <c r="C80" s="39">
        <v>43794</v>
      </c>
      <c r="D80" s="39">
        <v>44105</v>
      </c>
      <c r="E80" s="76">
        <v>10.196721311475409</v>
      </c>
      <c r="F80" s="76">
        <v>194213</v>
      </c>
      <c r="G80" s="33" t="s">
        <v>81</v>
      </c>
      <c r="H80" s="105">
        <v>183.8</v>
      </c>
      <c r="I80" s="33" t="s">
        <v>7</v>
      </c>
      <c r="J80" s="33">
        <v>10</v>
      </c>
      <c r="K80" s="76" t="s">
        <v>78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</row>
    <row r="81" spans="1:40" x14ac:dyDescent="0.2">
      <c r="A81" s="114" t="s">
        <v>36</v>
      </c>
      <c r="B81" s="84" t="s">
        <v>10</v>
      </c>
      <c r="C81" s="39">
        <v>43794</v>
      </c>
      <c r="D81" s="39">
        <v>44115</v>
      </c>
      <c r="E81" s="76">
        <v>10.524590163934427</v>
      </c>
      <c r="F81" s="76">
        <v>69886</v>
      </c>
      <c r="G81" s="33" t="s">
        <v>81</v>
      </c>
      <c r="H81" s="105">
        <v>46.001908899420748</v>
      </c>
      <c r="I81" s="33" t="s">
        <v>7</v>
      </c>
      <c r="J81" s="33">
        <v>10</v>
      </c>
      <c r="K81" s="76" t="s">
        <v>78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</row>
    <row r="82" spans="1:40" x14ac:dyDescent="0.2">
      <c r="A82" s="114" t="s">
        <v>36</v>
      </c>
      <c r="B82" s="84" t="s">
        <v>10</v>
      </c>
      <c r="C82" s="39">
        <v>43794</v>
      </c>
      <c r="D82" s="53">
        <v>44160</v>
      </c>
      <c r="E82" s="76">
        <v>12</v>
      </c>
      <c r="F82" s="76">
        <v>158372</v>
      </c>
      <c r="G82" s="33" t="s">
        <v>81</v>
      </c>
      <c r="H82" s="105">
        <v>378.1</v>
      </c>
      <c r="I82" s="33" t="s">
        <v>7</v>
      </c>
      <c r="J82" s="33">
        <v>12</v>
      </c>
      <c r="K82" s="76" t="s">
        <v>78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</row>
    <row r="83" spans="1:40" x14ac:dyDescent="0.2">
      <c r="A83" s="114" t="s">
        <v>36</v>
      </c>
      <c r="B83" s="84" t="s">
        <v>10</v>
      </c>
      <c r="C83" s="39">
        <v>43794</v>
      </c>
      <c r="D83" s="39">
        <v>44207</v>
      </c>
      <c r="E83" s="76">
        <v>13.540983606557377</v>
      </c>
      <c r="F83" s="85">
        <v>139047</v>
      </c>
      <c r="G83" s="33" t="s">
        <v>81</v>
      </c>
      <c r="H83" s="105">
        <v>231.9</v>
      </c>
      <c r="I83" s="33" t="s">
        <v>7</v>
      </c>
      <c r="J83" s="33">
        <v>13</v>
      </c>
      <c r="K83" s="76" t="s">
        <v>79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</row>
    <row r="84" spans="1:40" x14ac:dyDescent="0.2">
      <c r="A84" s="114" t="s">
        <v>36</v>
      </c>
      <c r="B84" s="84" t="s">
        <v>10</v>
      </c>
      <c r="C84" s="39">
        <v>43794</v>
      </c>
      <c r="D84" s="39">
        <v>44238</v>
      </c>
      <c r="E84" s="76">
        <v>14.557377049180328</v>
      </c>
      <c r="F84" s="76">
        <v>171252</v>
      </c>
      <c r="G84" s="33" t="s">
        <v>81</v>
      </c>
      <c r="H84" s="105">
        <v>328.07</v>
      </c>
      <c r="I84" s="33" t="s">
        <v>7</v>
      </c>
      <c r="J84" s="33">
        <v>14</v>
      </c>
      <c r="K84" s="76" t="s">
        <v>79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</row>
    <row r="85" spans="1:40" x14ac:dyDescent="0.2">
      <c r="A85" s="114" t="s">
        <v>36</v>
      </c>
      <c r="B85" s="84" t="s">
        <v>10</v>
      </c>
      <c r="C85" s="39">
        <v>43794</v>
      </c>
      <c r="D85" s="39">
        <v>44266</v>
      </c>
      <c r="E85" s="76">
        <v>15.475409836065573</v>
      </c>
      <c r="F85" s="76">
        <v>166705</v>
      </c>
      <c r="G85" s="33" t="s">
        <v>81</v>
      </c>
      <c r="H85" s="105">
        <v>319.36</v>
      </c>
      <c r="I85" s="33" t="s">
        <v>7</v>
      </c>
      <c r="J85" s="33">
        <v>15</v>
      </c>
      <c r="K85" s="76" t="s">
        <v>79</v>
      </c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</row>
    <row r="86" spans="1:40" x14ac:dyDescent="0.2">
      <c r="A86" s="114" t="s">
        <v>36</v>
      </c>
      <c r="B86" s="84" t="s">
        <v>10</v>
      </c>
      <c r="C86" s="39">
        <v>43794</v>
      </c>
      <c r="D86" s="39">
        <v>44297</v>
      </c>
      <c r="E86" s="76">
        <v>16.491803278688526</v>
      </c>
      <c r="F86" s="76">
        <v>106958</v>
      </c>
      <c r="G86" s="33" t="s">
        <v>81</v>
      </c>
      <c r="H86" s="105">
        <v>170.72354349561053</v>
      </c>
      <c r="I86" s="33" t="s">
        <v>7</v>
      </c>
      <c r="J86" s="33">
        <v>16</v>
      </c>
      <c r="K86" s="76" t="s">
        <v>79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</row>
    <row r="87" spans="1:40" x14ac:dyDescent="0.2">
      <c r="A87" s="114" t="s">
        <v>37</v>
      </c>
      <c r="B87" s="84" t="s">
        <v>10</v>
      </c>
      <c r="C87" s="39">
        <v>43794</v>
      </c>
      <c r="D87" s="39">
        <v>43878</v>
      </c>
      <c r="E87" s="76">
        <v>2.7540983606557377</v>
      </c>
      <c r="F87" s="76">
        <v>651</v>
      </c>
      <c r="G87" s="33" t="s">
        <v>81</v>
      </c>
      <c r="H87" s="105">
        <v>0.7</v>
      </c>
      <c r="I87" s="33" t="s">
        <v>7</v>
      </c>
      <c r="J87" s="33">
        <v>2</v>
      </c>
      <c r="K87" s="76" t="s">
        <v>72</v>
      </c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</row>
    <row r="88" spans="1:40" x14ac:dyDescent="0.2">
      <c r="A88" s="114" t="s">
        <v>37</v>
      </c>
      <c r="B88" s="84" t="s">
        <v>10</v>
      </c>
      <c r="C88" s="39">
        <v>43794</v>
      </c>
      <c r="D88" s="136">
        <v>43910</v>
      </c>
      <c r="E88" s="76">
        <v>3.8032786885245899</v>
      </c>
      <c r="F88" s="76">
        <v>11469</v>
      </c>
      <c r="G88" s="33" t="s">
        <v>81</v>
      </c>
      <c r="H88" s="105">
        <v>3.9200724616451339</v>
      </c>
      <c r="I88" s="33" t="s">
        <v>7</v>
      </c>
      <c r="J88" s="33">
        <v>3</v>
      </c>
      <c r="K88" s="76" t="s">
        <v>76</v>
      </c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</row>
    <row r="89" spans="1:40" x14ac:dyDescent="0.2">
      <c r="A89" s="114" t="s">
        <v>37</v>
      </c>
      <c r="B89" s="84" t="s">
        <v>10</v>
      </c>
      <c r="C89" s="39">
        <v>43794</v>
      </c>
      <c r="D89" s="39">
        <v>43958</v>
      </c>
      <c r="E89" s="76">
        <v>5.3770491803278686</v>
      </c>
      <c r="F89" s="76">
        <v>25090</v>
      </c>
      <c r="G89" s="33" t="s">
        <v>81</v>
      </c>
      <c r="H89" s="105">
        <v>8.2105142595349907</v>
      </c>
      <c r="I89" s="33" t="s">
        <v>7</v>
      </c>
      <c r="J89" s="33">
        <v>5</v>
      </c>
      <c r="K89" s="76" t="s">
        <v>76</v>
      </c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</row>
    <row r="90" spans="1:40" x14ac:dyDescent="0.2">
      <c r="A90" s="114" t="s">
        <v>37</v>
      </c>
      <c r="B90" s="84" t="s">
        <v>10</v>
      </c>
      <c r="C90" s="39">
        <v>43794</v>
      </c>
      <c r="D90" s="39">
        <v>43989</v>
      </c>
      <c r="E90" s="76">
        <v>6.3934426229508201</v>
      </c>
      <c r="F90" s="85">
        <v>48805</v>
      </c>
      <c r="G90" s="33" t="s">
        <v>81</v>
      </c>
      <c r="H90" s="105">
        <v>44</v>
      </c>
      <c r="I90" s="33" t="s">
        <v>7</v>
      </c>
      <c r="J90" s="33">
        <v>6</v>
      </c>
      <c r="K90" s="76" t="s">
        <v>77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</row>
    <row r="91" spans="1:40" x14ac:dyDescent="0.2">
      <c r="A91" s="114" t="s">
        <v>37</v>
      </c>
      <c r="B91" s="84" t="s">
        <v>10</v>
      </c>
      <c r="C91" s="39">
        <v>43794</v>
      </c>
      <c r="D91" s="39">
        <v>44019</v>
      </c>
      <c r="E91" s="76">
        <v>7.3770491803278686</v>
      </c>
      <c r="F91" s="76">
        <v>136958</v>
      </c>
      <c r="G91" s="33" t="s">
        <v>81</v>
      </c>
      <c r="H91" s="105">
        <v>85.791781508393882</v>
      </c>
      <c r="I91" s="33" t="s">
        <v>7</v>
      </c>
      <c r="J91" s="33">
        <v>7</v>
      </c>
      <c r="K91" s="76" t="s">
        <v>77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</row>
    <row r="92" spans="1:40" x14ac:dyDescent="0.2">
      <c r="A92" s="114" t="s">
        <v>37</v>
      </c>
      <c r="B92" s="84" t="s">
        <v>10</v>
      </c>
      <c r="C92" s="39">
        <v>43794</v>
      </c>
      <c r="D92" s="39">
        <v>44046</v>
      </c>
      <c r="E92" s="76">
        <v>8.2622950819672134</v>
      </c>
      <c r="F92" s="76">
        <v>146165</v>
      </c>
      <c r="G92" s="33" t="s">
        <v>81</v>
      </c>
      <c r="H92" s="105">
        <v>91.559007767476814</v>
      </c>
      <c r="I92" s="33" t="s">
        <v>7</v>
      </c>
      <c r="J92" s="33">
        <v>8</v>
      </c>
      <c r="K92" s="76" t="s">
        <v>77</v>
      </c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</row>
    <row r="93" spans="1:40" x14ac:dyDescent="0.2">
      <c r="A93" s="114" t="s">
        <v>37</v>
      </c>
      <c r="B93" s="84" t="s">
        <v>10</v>
      </c>
      <c r="C93" s="39">
        <v>43794</v>
      </c>
      <c r="D93" s="39">
        <v>44085</v>
      </c>
      <c r="E93" s="76">
        <v>9.5409836065573774</v>
      </c>
      <c r="F93" s="76">
        <v>199691</v>
      </c>
      <c r="G93" s="33" t="s">
        <v>81</v>
      </c>
      <c r="H93" s="105">
        <v>113.43043511190216</v>
      </c>
      <c r="I93" s="33" t="s">
        <v>7</v>
      </c>
      <c r="J93" s="33">
        <v>9</v>
      </c>
      <c r="K93" s="76" t="s">
        <v>78</v>
      </c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</row>
    <row r="94" spans="1:40" x14ac:dyDescent="0.2">
      <c r="A94" s="114" t="s">
        <v>35</v>
      </c>
      <c r="B94" s="84" t="s">
        <v>10</v>
      </c>
      <c r="C94" s="39">
        <v>43794</v>
      </c>
      <c r="D94" s="39">
        <v>43865</v>
      </c>
      <c r="E94" s="76">
        <v>2.3278688524590163</v>
      </c>
      <c r="F94" s="76">
        <v>751</v>
      </c>
      <c r="G94" s="33" t="s">
        <v>81</v>
      </c>
      <c r="H94" s="105">
        <v>0.5</v>
      </c>
      <c r="I94" s="33" t="s">
        <v>7</v>
      </c>
      <c r="J94" s="33">
        <v>2</v>
      </c>
      <c r="K94" s="76" t="s">
        <v>72</v>
      </c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</row>
    <row r="95" spans="1:40" x14ac:dyDescent="0.2">
      <c r="A95" s="114" t="s">
        <v>35</v>
      </c>
      <c r="B95" s="84" t="s">
        <v>10</v>
      </c>
      <c r="C95" s="39">
        <v>43794</v>
      </c>
      <c r="D95" s="136">
        <v>43894</v>
      </c>
      <c r="E95" s="76">
        <v>3.278688524590164</v>
      </c>
      <c r="F95" s="76">
        <v>188083</v>
      </c>
      <c r="G95" s="33" t="s">
        <v>81</v>
      </c>
      <c r="H95" s="105">
        <v>53.5</v>
      </c>
      <c r="I95" s="33" t="s">
        <v>7</v>
      </c>
      <c r="J95" s="33">
        <v>3</v>
      </c>
      <c r="K95" s="76" t="s">
        <v>76</v>
      </c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</row>
    <row r="96" spans="1:40" x14ac:dyDescent="0.2">
      <c r="A96" s="114" t="s">
        <v>35</v>
      </c>
      <c r="B96" s="84" t="s">
        <v>10</v>
      </c>
      <c r="C96" s="39">
        <v>43794</v>
      </c>
      <c r="D96" s="39">
        <v>43929</v>
      </c>
      <c r="E96" s="76">
        <v>4.4262295081967213</v>
      </c>
      <c r="F96" s="76">
        <v>209816</v>
      </c>
      <c r="G96" s="33" t="s">
        <v>81</v>
      </c>
      <c r="H96" s="105">
        <v>57.393628273397034</v>
      </c>
      <c r="I96" s="33" t="s">
        <v>7</v>
      </c>
      <c r="J96" s="33">
        <v>4</v>
      </c>
      <c r="K96" s="76" t="s">
        <v>76</v>
      </c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</row>
    <row r="97" spans="1:40" x14ac:dyDescent="0.2">
      <c r="A97" s="114" t="s">
        <v>35</v>
      </c>
      <c r="B97" s="84" t="s">
        <v>10</v>
      </c>
      <c r="C97" s="39">
        <v>43794</v>
      </c>
      <c r="D97" s="39">
        <v>43958</v>
      </c>
      <c r="E97" s="76">
        <v>5.3770491803278686</v>
      </c>
      <c r="F97" s="76">
        <v>135008</v>
      </c>
      <c r="G97" s="33" t="s">
        <v>81</v>
      </c>
      <c r="H97" s="105">
        <v>44.180146276813325</v>
      </c>
      <c r="I97" s="33" t="s">
        <v>7</v>
      </c>
      <c r="J97" s="33">
        <v>5</v>
      </c>
      <c r="K97" s="76" t="s">
        <v>76</v>
      </c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</row>
    <row r="98" spans="1:40" x14ac:dyDescent="0.2">
      <c r="A98" s="114" t="s">
        <v>35</v>
      </c>
      <c r="B98" s="84" t="s">
        <v>10</v>
      </c>
      <c r="C98" s="39">
        <v>43794</v>
      </c>
      <c r="D98" s="39">
        <v>43983</v>
      </c>
      <c r="E98" s="76">
        <v>6.1967213114754101</v>
      </c>
      <c r="F98" s="76">
        <v>239456</v>
      </c>
      <c r="G98" s="33" t="s">
        <v>81</v>
      </c>
      <c r="H98" s="105">
        <v>215.7</v>
      </c>
      <c r="I98" s="33" t="s">
        <v>7</v>
      </c>
      <c r="J98" s="33">
        <v>6</v>
      </c>
      <c r="K98" s="76" t="s">
        <v>77</v>
      </c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</row>
    <row r="99" spans="1:40" x14ac:dyDescent="0.2">
      <c r="A99" s="114" t="s">
        <v>35</v>
      </c>
      <c r="B99" s="84" t="s">
        <v>10</v>
      </c>
      <c r="C99" s="39">
        <v>43794</v>
      </c>
      <c r="D99" s="39">
        <v>43985</v>
      </c>
      <c r="E99" s="76">
        <v>6.2622950819672134</v>
      </c>
      <c r="F99" s="76">
        <f>AVERAGE(51864.2,64740.9)</f>
        <v>58302.55</v>
      </c>
      <c r="G99" s="33" t="s">
        <v>81</v>
      </c>
      <c r="H99" s="105">
        <v>8.7750000000000004</v>
      </c>
      <c r="I99" s="33" t="s">
        <v>8</v>
      </c>
      <c r="J99" s="33">
        <v>6</v>
      </c>
      <c r="K99" s="76" t="s">
        <v>77</v>
      </c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</row>
    <row r="100" spans="1:40" x14ac:dyDescent="0.2">
      <c r="A100" s="114" t="s">
        <v>38</v>
      </c>
      <c r="B100" s="84" t="s">
        <v>10</v>
      </c>
      <c r="C100" s="39">
        <v>43794</v>
      </c>
      <c r="D100" s="39">
        <v>43865</v>
      </c>
      <c r="E100" s="76">
        <v>2.3278688524590163</v>
      </c>
      <c r="F100" s="76">
        <v>1468</v>
      </c>
      <c r="G100" s="33" t="s">
        <v>81</v>
      </c>
      <c r="H100" s="105">
        <v>1</v>
      </c>
      <c r="I100" s="33" t="s">
        <v>7</v>
      </c>
      <c r="J100" s="33">
        <v>2</v>
      </c>
      <c r="K100" s="76" t="s">
        <v>72</v>
      </c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</row>
    <row r="101" spans="1:40" x14ac:dyDescent="0.2">
      <c r="A101" s="114" t="s">
        <v>38</v>
      </c>
      <c r="B101" s="84" t="s">
        <v>10</v>
      </c>
      <c r="C101" s="39">
        <v>43794</v>
      </c>
      <c r="D101" s="136">
        <v>43894</v>
      </c>
      <c r="E101" s="76">
        <v>3.278688524590164</v>
      </c>
      <c r="F101" s="76">
        <v>62252</v>
      </c>
      <c r="G101" s="33" t="s">
        <v>81</v>
      </c>
      <c r="H101" s="105">
        <v>17.7</v>
      </c>
      <c r="I101" s="33" t="s">
        <v>7</v>
      </c>
      <c r="J101" s="33">
        <v>3</v>
      </c>
      <c r="K101" s="76" t="s">
        <v>76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</row>
    <row r="102" spans="1:40" x14ac:dyDescent="0.2">
      <c r="A102" s="114" t="s">
        <v>38</v>
      </c>
      <c r="B102" s="84" t="s">
        <v>10</v>
      </c>
      <c r="C102" s="39">
        <v>43794</v>
      </c>
      <c r="D102" s="39">
        <v>43929</v>
      </c>
      <c r="E102" s="76">
        <v>4.4262295081967213</v>
      </c>
      <c r="F102" s="76">
        <v>91392</v>
      </c>
      <c r="G102" s="33" t="s">
        <v>81</v>
      </c>
      <c r="H102" s="105">
        <v>24.99949850463199</v>
      </c>
      <c r="I102" s="33" t="s">
        <v>7</v>
      </c>
      <c r="J102" s="33">
        <v>4</v>
      </c>
      <c r="K102" s="76" t="s">
        <v>76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</row>
    <row r="103" spans="1:40" x14ac:dyDescent="0.2">
      <c r="A103" s="114" t="s">
        <v>38</v>
      </c>
      <c r="B103" s="84" t="s">
        <v>10</v>
      </c>
      <c r="C103" s="39">
        <v>43794</v>
      </c>
      <c r="D103" s="39">
        <v>43958</v>
      </c>
      <c r="E103" s="76">
        <v>5.3770491803278686</v>
      </c>
      <c r="F103" s="76">
        <v>110698</v>
      </c>
      <c r="G103" s="33" t="s">
        <v>81</v>
      </c>
      <c r="H103" s="105">
        <v>36.225011044390271</v>
      </c>
      <c r="I103" s="33" t="s">
        <v>7</v>
      </c>
      <c r="J103" s="33">
        <v>5</v>
      </c>
      <c r="K103" s="76" t="s">
        <v>76</v>
      </c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</row>
    <row r="104" spans="1:40" x14ac:dyDescent="0.2">
      <c r="A104" s="114" t="s">
        <v>38</v>
      </c>
      <c r="B104" s="84" t="s">
        <v>10</v>
      </c>
      <c r="C104" s="39">
        <v>43794</v>
      </c>
      <c r="D104" s="39">
        <v>43983</v>
      </c>
      <c r="E104" s="76">
        <v>6.1967213114754101</v>
      </c>
      <c r="F104" s="76">
        <v>193636</v>
      </c>
      <c r="G104" s="33" t="s">
        <v>81</v>
      </c>
      <c r="H104" s="105">
        <v>174.4</v>
      </c>
      <c r="I104" s="33" t="s">
        <v>7</v>
      </c>
      <c r="J104" s="33">
        <v>6</v>
      </c>
      <c r="K104" s="76" t="s">
        <v>77</v>
      </c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</row>
    <row r="105" spans="1:40" x14ac:dyDescent="0.2">
      <c r="A105" s="114" t="s">
        <v>38</v>
      </c>
      <c r="B105" s="84" t="s">
        <v>10</v>
      </c>
      <c r="C105" s="39">
        <v>43794</v>
      </c>
      <c r="D105" s="39">
        <v>43985</v>
      </c>
      <c r="E105" s="76">
        <v>6.2622950819672134</v>
      </c>
      <c r="F105" s="76">
        <f>AVERAGE(54591.1,46436)</f>
        <v>50513.55</v>
      </c>
      <c r="G105" s="33" t="s">
        <v>81</v>
      </c>
      <c r="H105" s="105">
        <v>7.9</v>
      </c>
      <c r="I105" s="33" t="s">
        <v>8</v>
      </c>
      <c r="J105" s="33">
        <v>6</v>
      </c>
      <c r="K105" s="76" t="s">
        <v>77</v>
      </c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0" x14ac:dyDescent="0.2">
      <c r="A106" s="33" t="s">
        <v>39</v>
      </c>
      <c r="B106" s="108" t="s">
        <v>10</v>
      </c>
      <c r="C106" s="36">
        <v>43808</v>
      </c>
      <c r="D106" s="36">
        <v>43862</v>
      </c>
      <c r="E106" s="76">
        <v>1.7704918032786885</v>
      </c>
      <c r="F106" s="76">
        <v>769</v>
      </c>
      <c r="G106" s="33" t="s">
        <v>81</v>
      </c>
      <c r="H106" s="33">
        <v>0.5</v>
      </c>
      <c r="I106" s="33" t="s">
        <v>7</v>
      </c>
      <c r="J106" s="33">
        <v>1</v>
      </c>
      <c r="K106" s="33" t="s">
        <v>72</v>
      </c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0" x14ac:dyDescent="0.2">
      <c r="A107" s="114" t="s">
        <v>39</v>
      </c>
      <c r="B107" s="84" t="s">
        <v>10</v>
      </c>
      <c r="C107" s="39">
        <v>43808</v>
      </c>
      <c r="D107" s="39">
        <v>43878</v>
      </c>
      <c r="E107" s="76">
        <v>2.2950819672131146</v>
      </c>
      <c r="F107" s="76">
        <v>1003</v>
      </c>
      <c r="G107" s="33" t="s">
        <v>81</v>
      </c>
      <c r="H107" s="105">
        <v>1.1000000000000001</v>
      </c>
      <c r="I107" s="33" t="s">
        <v>7</v>
      </c>
      <c r="J107" s="33">
        <v>2</v>
      </c>
      <c r="K107" s="76" t="s">
        <v>72</v>
      </c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0" x14ac:dyDescent="0.2">
      <c r="A108" s="114" t="s">
        <v>53</v>
      </c>
      <c r="B108" s="84" t="s">
        <v>10</v>
      </c>
      <c r="C108" s="39">
        <v>43233</v>
      </c>
      <c r="D108" s="39">
        <v>43410</v>
      </c>
      <c r="E108" s="76">
        <v>5.8032786885245899</v>
      </c>
      <c r="F108" s="76">
        <f>AVERAGE(131416,142307)</f>
        <v>136861.5</v>
      </c>
      <c r="G108" s="33" t="s">
        <v>81</v>
      </c>
      <c r="H108" s="105">
        <v>162.85</v>
      </c>
      <c r="I108" s="33" t="s">
        <v>8</v>
      </c>
      <c r="J108" s="33">
        <v>5</v>
      </c>
      <c r="K108" s="76" t="s">
        <v>76</v>
      </c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0" x14ac:dyDescent="0.2">
      <c r="A109" s="114" t="s">
        <v>54</v>
      </c>
      <c r="B109" s="84" t="s">
        <v>10</v>
      </c>
      <c r="C109" s="39">
        <v>43233</v>
      </c>
      <c r="D109" s="39">
        <v>43347</v>
      </c>
      <c r="E109" s="76">
        <v>3.737704918032787</v>
      </c>
      <c r="F109" s="76">
        <v>108353</v>
      </c>
      <c r="G109" s="33" t="s">
        <v>81</v>
      </c>
      <c r="H109" s="105">
        <v>40.324897655377747</v>
      </c>
      <c r="I109" s="33" t="s">
        <v>7</v>
      </c>
      <c r="J109" s="33">
        <v>3</v>
      </c>
      <c r="K109" s="76" t="s">
        <v>76</v>
      </c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0" x14ac:dyDescent="0.2">
      <c r="A110" s="114" t="s">
        <v>39</v>
      </c>
      <c r="B110" s="84" t="s">
        <v>10</v>
      </c>
      <c r="C110" s="39">
        <v>43808</v>
      </c>
      <c r="D110" s="39">
        <v>43910</v>
      </c>
      <c r="E110" s="76">
        <v>3.3442622950819674</v>
      </c>
      <c r="F110" s="76">
        <v>5123</v>
      </c>
      <c r="G110" s="33" t="s">
        <v>81</v>
      </c>
      <c r="H110" s="105">
        <v>1.7511108506919015</v>
      </c>
      <c r="I110" s="33" t="s">
        <v>7</v>
      </c>
      <c r="J110" s="33">
        <v>3</v>
      </c>
      <c r="K110" s="76" t="s">
        <v>76</v>
      </c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0" x14ac:dyDescent="0.2">
      <c r="A111" s="114" t="s">
        <v>39</v>
      </c>
      <c r="B111" s="84" t="s">
        <v>10</v>
      </c>
      <c r="C111" s="39">
        <v>43808</v>
      </c>
      <c r="D111" s="135">
        <v>43958</v>
      </c>
      <c r="E111" s="76">
        <v>4.918032786885246</v>
      </c>
      <c r="F111" s="76">
        <v>5528</v>
      </c>
      <c r="G111" s="33" t="s">
        <v>81</v>
      </c>
      <c r="H111" s="105">
        <v>1.8089565914557324</v>
      </c>
      <c r="I111" s="33" t="s">
        <v>7</v>
      </c>
      <c r="J111" s="76">
        <v>4</v>
      </c>
      <c r="K111" s="76" t="s">
        <v>76</v>
      </c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0" x14ac:dyDescent="0.2">
      <c r="A112" s="114" t="s">
        <v>39</v>
      </c>
      <c r="B112" s="84" t="s">
        <v>10</v>
      </c>
      <c r="C112" s="39">
        <v>43808</v>
      </c>
      <c r="D112" s="39">
        <v>43989</v>
      </c>
      <c r="E112" s="76">
        <v>5.9344262295081966</v>
      </c>
      <c r="F112" s="76">
        <v>2901</v>
      </c>
      <c r="G112" s="33" t="s">
        <v>81</v>
      </c>
      <c r="H112" s="105">
        <v>2.6</v>
      </c>
      <c r="I112" s="33" t="s">
        <v>7</v>
      </c>
      <c r="J112" s="33">
        <v>5</v>
      </c>
      <c r="K112" s="76" t="s">
        <v>76</v>
      </c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1:40" x14ac:dyDescent="0.2">
      <c r="A113" s="114" t="s">
        <v>54</v>
      </c>
      <c r="B113" s="84" t="s">
        <v>10</v>
      </c>
      <c r="C113" s="39">
        <v>43233</v>
      </c>
      <c r="D113" s="39">
        <v>43376</v>
      </c>
      <c r="E113" s="76">
        <v>4.6885245901639347</v>
      </c>
      <c r="F113" s="76">
        <v>139148</v>
      </c>
      <c r="G113" s="33" t="s">
        <v>81</v>
      </c>
      <c r="H113" s="105">
        <v>307.8</v>
      </c>
      <c r="I113" s="33" t="s">
        <v>7</v>
      </c>
      <c r="J113" s="33">
        <v>4</v>
      </c>
      <c r="K113" s="76" t="s">
        <v>76</v>
      </c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1:40" x14ac:dyDescent="0.2">
      <c r="A114" s="33" t="s">
        <v>18</v>
      </c>
      <c r="B114" s="33" t="s">
        <v>10</v>
      </c>
      <c r="C114" s="39">
        <v>43472</v>
      </c>
      <c r="D114" s="36">
        <v>43522</v>
      </c>
      <c r="E114" s="76">
        <v>1.639344262295082</v>
      </c>
      <c r="F114" s="76">
        <f>AVERAGE(1174.6,651,2006)</f>
        <v>1277.2</v>
      </c>
      <c r="G114" s="33" t="s">
        <v>81</v>
      </c>
      <c r="H114" s="109">
        <v>0.46666667000000001</v>
      </c>
      <c r="I114" s="33" t="s">
        <v>8</v>
      </c>
      <c r="J114" s="33">
        <v>1</v>
      </c>
      <c r="K114" s="33" t="s">
        <v>72</v>
      </c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1:40" x14ac:dyDescent="0.2">
      <c r="A115" s="114" t="s">
        <v>39</v>
      </c>
      <c r="B115" s="84" t="s">
        <v>10</v>
      </c>
      <c r="C115" s="39">
        <v>43808</v>
      </c>
      <c r="D115" s="39">
        <v>44019</v>
      </c>
      <c r="E115" s="76">
        <v>6.918032786885246</v>
      </c>
      <c r="F115" s="76">
        <v>1884</v>
      </c>
      <c r="G115" s="33" t="s">
        <v>81</v>
      </c>
      <c r="H115" s="105">
        <v>2.1699015147151988</v>
      </c>
      <c r="I115" s="33" t="s">
        <v>7</v>
      </c>
      <c r="J115" s="33">
        <v>6</v>
      </c>
      <c r="K115" s="76" t="s">
        <v>77</v>
      </c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1:40" x14ac:dyDescent="0.2">
      <c r="A116" s="114" t="s">
        <v>39</v>
      </c>
      <c r="B116" s="84" t="s">
        <v>10</v>
      </c>
      <c r="C116" s="39">
        <v>43808</v>
      </c>
      <c r="D116" s="39">
        <v>44046</v>
      </c>
      <c r="E116" s="76">
        <v>7.8032786885245899</v>
      </c>
      <c r="F116" s="76">
        <v>109066</v>
      </c>
      <c r="G116" s="33" t="s">
        <v>81</v>
      </c>
      <c r="H116" s="105">
        <v>68.319844650463537</v>
      </c>
      <c r="I116" s="33" t="s">
        <v>7</v>
      </c>
      <c r="J116" s="33">
        <v>7</v>
      </c>
      <c r="K116" s="76" t="s">
        <v>77</v>
      </c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1:40" x14ac:dyDescent="0.2">
      <c r="A117" s="114" t="s">
        <v>39</v>
      </c>
      <c r="B117" s="84" t="s">
        <v>10</v>
      </c>
      <c r="C117" s="39">
        <v>43808</v>
      </c>
      <c r="D117" s="39">
        <v>44085</v>
      </c>
      <c r="E117" s="76">
        <v>9.0819672131147549</v>
      </c>
      <c r="F117" s="76">
        <v>183685</v>
      </c>
      <c r="G117" s="33" t="s">
        <v>81</v>
      </c>
      <c r="H117" s="105">
        <v>104.33886848184193</v>
      </c>
      <c r="I117" s="33" t="s">
        <v>7</v>
      </c>
      <c r="J117" s="33">
        <v>9</v>
      </c>
      <c r="K117" s="76" t="s">
        <v>78</v>
      </c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  <row r="118" spans="1:40" x14ac:dyDescent="0.2">
      <c r="A118" s="33" t="s">
        <v>19</v>
      </c>
      <c r="B118" s="33" t="s">
        <v>10</v>
      </c>
      <c r="C118" s="39">
        <v>43472</v>
      </c>
      <c r="D118" s="36">
        <v>43529</v>
      </c>
      <c r="E118" s="76">
        <v>1.8688524590163935</v>
      </c>
      <c r="F118" s="76">
        <f>AVERAGE(2350,590,2125)</f>
        <v>1688.3333333333333</v>
      </c>
      <c r="G118" s="33" t="s">
        <v>81</v>
      </c>
      <c r="H118" s="109">
        <v>0.56666667000000004</v>
      </c>
      <c r="I118" s="33" t="s">
        <v>8</v>
      </c>
      <c r="J118" s="33">
        <v>1</v>
      </c>
      <c r="K118" s="33" t="s">
        <v>72</v>
      </c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</row>
    <row r="119" spans="1:40" x14ac:dyDescent="0.2">
      <c r="A119" s="33" t="s">
        <v>23</v>
      </c>
      <c r="B119" s="33" t="s">
        <v>10</v>
      </c>
      <c r="C119" s="36">
        <v>43528</v>
      </c>
      <c r="D119" s="36">
        <v>43577</v>
      </c>
      <c r="E119" s="76">
        <v>1.6065573770491803</v>
      </c>
      <c r="F119" s="80">
        <f>AVERAGE(7182,1766,721)</f>
        <v>3223</v>
      </c>
      <c r="G119" s="33" t="s">
        <v>81</v>
      </c>
      <c r="H119" s="33">
        <v>0.83333332999999998</v>
      </c>
      <c r="I119" s="33" t="s">
        <v>8</v>
      </c>
      <c r="J119" s="33">
        <v>1</v>
      </c>
      <c r="K119" s="33" t="s">
        <v>72</v>
      </c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</row>
    <row r="120" spans="1:40" x14ac:dyDescent="0.2">
      <c r="A120" s="33" t="s">
        <v>24</v>
      </c>
      <c r="B120" s="33" t="s">
        <v>10</v>
      </c>
      <c r="C120" s="36">
        <v>43528</v>
      </c>
      <c r="D120" s="36">
        <v>43577</v>
      </c>
      <c r="E120" s="76">
        <v>1.6065573770491803</v>
      </c>
      <c r="F120" s="76">
        <f>AVERAGE(13293.3, 3031.2,1075)</f>
        <v>5799.833333333333</v>
      </c>
      <c r="G120" s="33" t="s">
        <v>81</v>
      </c>
      <c r="H120" s="33">
        <v>1.3933333299999999</v>
      </c>
      <c r="I120" s="33" t="s">
        <v>8</v>
      </c>
      <c r="J120" s="33">
        <v>1</v>
      </c>
      <c r="K120" s="33" t="s">
        <v>72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</row>
    <row r="121" spans="1:40" x14ac:dyDescent="0.2">
      <c r="A121" s="114" t="s">
        <v>29</v>
      </c>
      <c r="B121" s="84" t="s">
        <v>10</v>
      </c>
      <c r="C121" s="39">
        <v>43622</v>
      </c>
      <c r="D121" s="39">
        <v>43760</v>
      </c>
      <c r="E121" s="76">
        <v>4.5245901639344259</v>
      </c>
      <c r="F121" s="76">
        <v>16221</v>
      </c>
      <c r="G121" s="33" t="s">
        <v>81</v>
      </c>
      <c r="H121" s="105">
        <v>2.7</v>
      </c>
      <c r="I121" s="33" t="s">
        <v>7</v>
      </c>
      <c r="J121" s="33">
        <v>4</v>
      </c>
      <c r="K121" s="76" t="s">
        <v>76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</row>
    <row r="122" spans="1:40" x14ac:dyDescent="0.2">
      <c r="A122" s="114" t="s">
        <v>39</v>
      </c>
      <c r="B122" s="84" t="s">
        <v>10</v>
      </c>
      <c r="C122" s="39">
        <v>43808</v>
      </c>
      <c r="D122" s="39">
        <v>44105</v>
      </c>
      <c r="E122" s="76">
        <v>9.7377049180327866</v>
      </c>
      <c r="F122" s="76">
        <v>205210</v>
      </c>
      <c r="G122" s="33" t="s">
        <v>81</v>
      </c>
      <c r="H122" s="105">
        <v>194.2</v>
      </c>
      <c r="I122" s="33" t="s">
        <v>7</v>
      </c>
      <c r="J122" s="33">
        <v>9</v>
      </c>
      <c r="K122" s="76" t="s">
        <v>78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</row>
    <row r="123" spans="1:40" x14ac:dyDescent="0.2">
      <c r="A123" s="114" t="s">
        <v>39</v>
      </c>
      <c r="B123" s="84" t="s">
        <v>10</v>
      </c>
      <c r="C123" s="39">
        <v>43808</v>
      </c>
      <c r="D123" s="39">
        <v>44115</v>
      </c>
      <c r="E123" s="76">
        <v>10.065573770491802</v>
      </c>
      <c r="F123" s="76">
        <v>45376</v>
      </c>
      <c r="G123" s="33" t="s">
        <v>81</v>
      </c>
      <c r="H123" s="105">
        <v>29.868417588204316</v>
      </c>
      <c r="I123" s="33" t="s">
        <v>7</v>
      </c>
      <c r="J123" s="33">
        <v>10</v>
      </c>
      <c r="K123" s="76" t="s">
        <v>78</v>
      </c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</row>
    <row r="124" spans="1:40" x14ac:dyDescent="0.2">
      <c r="A124" s="114" t="s">
        <v>39</v>
      </c>
      <c r="B124" s="84" t="s">
        <v>10</v>
      </c>
      <c r="C124" s="39">
        <v>43808</v>
      </c>
      <c r="D124" s="39">
        <v>44186</v>
      </c>
      <c r="E124" s="76">
        <v>12.39344262295082</v>
      </c>
      <c r="F124" s="76">
        <v>209443</v>
      </c>
      <c r="G124" s="33" t="s">
        <v>81</v>
      </c>
      <c r="H124" s="105">
        <v>492.69</v>
      </c>
      <c r="I124" s="33" t="s">
        <v>7</v>
      </c>
      <c r="J124" s="33">
        <v>12</v>
      </c>
      <c r="K124" s="76" t="s">
        <v>78</v>
      </c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</row>
    <row r="125" spans="1:40" x14ac:dyDescent="0.2">
      <c r="A125" s="104" t="s">
        <v>39</v>
      </c>
      <c r="B125" s="84" t="s">
        <v>10</v>
      </c>
      <c r="C125" s="39">
        <v>43808</v>
      </c>
      <c r="D125" s="39">
        <v>44217</v>
      </c>
      <c r="E125" s="76">
        <v>13.409836065573771</v>
      </c>
      <c r="F125" s="133">
        <v>97115</v>
      </c>
      <c r="G125" s="33" t="s">
        <v>81</v>
      </c>
      <c r="H125" s="105">
        <v>161.97</v>
      </c>
      <c r="I125" s="33" t="s">
        <v>7</v>
      </c>
      <c r="J125" s="33">
        <v>13</v>
      </c>
      <c r="K125" s="76" t="s">
        <v>79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</row>
    <row r="126" spans="1:40" x14ac:dyDescent="0.2">
      <c r="A126" s="114" t="s">
        <v>39</v>
      </c>
      <c r="B126" s="84" t="s">
        <v>10</v>
      </c>
      <c r="C126" s="39">
        <v>43808</v>
      </c>
      <c r="D126" s="39">
        <v>44248</v>
      </c>
      <c r="E126" s="76">
        <v>14.426229508196721</v>
      </c>
      <c r="F126" s="76">
        <v>130456</v>
      </c>
      <c r="G126" s="33" t="s">
        <v>81</v>
      </c>
      <c r="H126" s="105">
        <v>249.92</v>
      </c>
      <c r="I126" s="33" t="s">
        <v>7</v>
      </c>
      <c r="J126" s="33">
        <v>14</v>
      </c>
      <c r="K126" s="76" t="s">
        <v>79</v>
      </c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</row>
    <row r="127" spans="1:40" x14ac:dyDescent="0.2">
      <c r="A127" s="114" t="s">
        <v>39</v>
      </c>
      <c r="B127" s="84" t="s">
        <v>10</v>
      </c>
      <c r="C127" s="39">
        <v>43808</v>
      </c>
      <c r="D127" s="39">
        <v>44276</v>
      </c>
      <c r="E127" s="76">
        <v>15.344262295081966</v>
      </c>
      <c r="F127" s="76">
        <v>147482</v>
      </c>
      <c r="G127" s="33" t="s">
        <v>81</v>
      </c>
      <c r="H127" s="105">
        <v>313.06</v>
      </c>
      <c r="I127" s="33" t="s">
        <v>7</v>
      </c>
      <c r="J127" s="33">
        <v>15</v>
      </c>
      <c r="K127" s="76" t="s">
        <v>79</v>
      </c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</row>
    <row r="128" spans="1:40" x14ac:dyDescent="0.2">
      <c r="A128" s="114" t="s">
        <v>39</v>
      </c>
      <c r="B128" s="84" t="s">
        <v>10</v>
      </c>
      <c r="C128" s="39">
        <v>43808</v>
      </c>
      <c r="D128" s="39">
        <v>44307</v>
      </c>
      <c r="E128" s="76">
        <v>16.360655737704917</v>
      </c>
      <c r="F128" s="76">
        <v>104805</v>
      </c>
      <c r="G128" s="33" t="s">
        <v>81</v>
      </c>
      <c r="H128" s="105">
        <v>167.28699122106943</v>
      </c>
      <c r="I128" s="33" t="s">
        <v>7</v>
      </c>
      <c r="J128" s="33">
        <v>16</v>
      </c>
      <c r="K128" s="76" t="s">
        <v>79</v>
      </c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</row>
    <row r="129" spans="1:40" x14ac:dyDescent="0.2">
      <c r="A129" s="114" t="s">
        <v>39</v>
      </c>
      <c r="B129" s="84" t="s">
        <v>10</v>
      </c>
      <c r="C129" s="39">
        <v>43808</v>
      </c>
      <c r="D129" s="39">
        <v>44337</v>
      </c>
      <c r="E129" s="76">
        <v>17.344262295081968</v>
      </c>
      <c r="F129" s="76">
        <v>119246</v>
      </c>
      <c r="G129" s="33" t="s">
        <v>81</v>
      </c>
      <c r="H129" s="105">
        <v>284.7</v>
      </c>
      <c r="I129" s="33" t="s">
        <v>7</v>
      </c>
      <c r="J129" s="33">
        <v>17</v>
      </c>
      <c r="K129" s="76" t="s">
        <v>79</v>
      </c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</row>
    <row r="130" spans="1:40" x14ac:dyDescent="0.2">
      <c r="A130" s="114" t="s">
        <v>39</v>
      </c>
      <c r="B130" s="84" t="s">
        <v>10</v>
      </c>
      <c r="C130" s="39">
        <v>43808</v>
      </c>
      <c r="D130" s="39">
        <v>44391</v>
      </c>
      <c r="E130" s="76">
        <v>19.114754098360656</v>
      </c>
      <c r="F130" s="85">
        <f>AVERAGE(49418,95536)</f>
        <v>72477</v>
      </c>
      <c r="G130" s="33" t="s">
        <v>81</v>
      </c>
      <c r="H130" s="105">
        <v>91.49</v>
      </c>
      <c r="I130" s="33" t="s">
        <v>8</v>
      </c>
      <c r="J130" s="33">
        <v>19</v>
      </c>
      <c r="K130" s="76" t="s">
        <v>79</v>
      </c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</row>
    <row r="131" spans="1:40" x14ac:dyDescent="0.2">
      <c r="A131" s="33" t="s">
        <v>40</v>
      </c>
      <c r="B131" s="108" t="s">
        <v>10</v>
      </c>
      <c r="C131" s="36">
        <v>43808</v>
      </c>
      <c r="D131" s="36">
        <v>43862</v>
      </c>
      <c r="E131" s="76">
        <v>1.7704918032786885</v>
      </c>
      <c r="F131" s="76">
        <v>702</v>
      </c>
      <c r="G131" s="33" t="s">
        <v>81</v>
      </c>
      <c r="H131" s="33">
        <v>0.5</v>
      </c>
      <c r="I131" s="33" t="s">
        <v>7</v>
      </c>
      <c r="J131" s="33">
        <v>1</v>
      </c>
      <c r="K131" s="33" t="s">
        <v>72</v>
      </c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</row>
    <row r="132" spans="1:40" x14ac:dyDescent="0.2">
      <c r="A132" s="114" t="s">
        <v>40</v>
      </c>
      <c r="B132" s="84" t="s">
        <v>10</v>
      </c>
      <c r="C132" s="39">
        <v>43808</v>
      </c>
      <c r="D132" s="135">
        <v>43878</v>
      </c>
      <c r="E132" s="76">
        <v>2.2950819672131146</v>
      </c>
      <c r="F132" s="76">
        <v>1655</v>
      </c>
      <c r="G132" s="33" t="s">
        <v>81</v>
      </c>
      <c r="H132" s="105">
        <v>1.8</v>
      </c>
      <c r="I132" s="33" t="s">
        <v>7</v>
      </c>
      <c r="J132" s="76">
        <v>2</v>
      </c>
      <c r="K132" s="76" t="s">
        <v>72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</row>
    <row r="133" spans="1:40" x14ac:dyDescent="0.2">
      <c r="A133" s="114" t="s">
        <v>40</v>
      </c>
      <c r="B133" s="84" t="s">
        <v>10</v>
      </c>
      <c r="C133" s="39">
        <v>43808</v>
      </c>
      <c r="D133" s="39">
        <v>43910</v>
      </c>
      <c r="E133" s="76">
        <v>3.3442622950819674</v>
      </c>
      <c r="F133" s="76">
        <v>79101</v>
      </c>
      <c r="G133" s="33" t="s">
        <v>81</v>
      </c>
      <c r="H133" s="105">
        <v>27.036567739919338</v>
      </c>
      <c r="I133" s="33" t="s">
        <v>7</v>
      </c>
      <c r="J133" s="33">
        <v>3</v>
      </c>
      <c r="K133" s="76" t="s">
        <v>76</v>
      </c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</row>
    <row r="134" spans="1:40" x14ac:dyDescent="0.2">
      <c r="A134" s="114" t="s">
        <v>40</v>
      </c>
      <c r="B134" s="84" t="s">
        <v>10</v>
      </c>
      <c r="C134" s="39">
        <v>43808</v>
      </c>
      <c r="D134" s="39">
        <v>43958</v>
      </c>
      <c r="E134" s="76">
        <v>4.918032786885246</v>
      </c>
      <c r="F134" s="76">
        <v>144721</v>
      </c>
      <c r="G134" s="33" t="s">
        <v>81</v>
      </c>
      <c r="H134" s="105">
        <v>47.35873815795933</v>
      </c>
      <c r="I134" s="33" t="s">
        <v>7</v>
      </c>
      <c r="J134" s="33">
        <v>4</v>
      </c>
      <c r="K134" s="76" t="s">
        <v>76</v>
      </c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</row>
    <row r="135" spans="1:40" x14ac:dyDescent="0.2">
      <c r="A135" s="114" t="s">
        <v>40</v>
      </c>
      <c r="B135" s="84" t="s">
        <v>10</v>
      </c>
      <c r="C135" s="39">
        <v>43808</v>
      </c>
      <c r="D135" s="136">
        <v>43989</v>
      </c>
      <c r="E135" s="76">
        <v>5.9344262295081966</v>
      </c>
      <c r="F135" s="76">
        <v>150270</v>
      </c>
      <c r="G135" s="33" t="s">
        <v>81</v>
      </c>
      <c r="H135" s="105">
        <v>135.4</v>
      </c>
      <c r="I135" s="33" t="s">
        <v>7</v>
      </c>
      <c r="J135" s="33">
        <v>5</v>
      </c>
      <c r="K135" s="76" t="s">
        <v>76</v>
      </c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</row>
    <row r="136" spans="1:40" x14ac:dyDescent="0.2">
      <c r="A136" s="114" t="s">
        <v>40</v>
      </c>
      <c r="B136" s="84" t="s">
        <v>10</v>
      </c>
      <c r="C136" s="39">
        <v>43808</v>
      </c>
      <c r="D136" s="39">
        <v>44019</v>
      </c>
      <c r="E136" s="76">
        <v>6.918032786885246</v>
      </c>
      <c r="F136" s="76">
        <v>151758</v>
      </c>
      <c r="G136" s="33" t="s">
        <v>81</v>
      </c>
      <c r="H136" s="105">
        <v>95.062703583061889</v>
      </c>
      <c r="I136" s="33" t="s">
        <v>7</v>
      </c>
      <c r="J136" s="33">
        <v>6</v>
      </c>
      <c r="K136" s="76" t="s">
        <v>77</v>
      </c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</row>
    <row r="137" spans="1:40" x14ac:dyDescent="0.2">
      <c r="A137" s="114" t="s">
        <v>40</v>
      </c>
      <c r="B137" s="84" t="s">
        <v>10</v>
      </c>
      <c r="C137" s="39">
        <v>43808</v>
      </c>
      <c r="D137" s="39">
        <v>44046</v>
      </c>
      <c r="E137" s="76">
        <v>7.8032786885245899</v>
      </c>
      <c r="F137" s="76">
        <v>142908</v>
      </c>
      <c r="G137" s="33" t="s">
        <v>81</v>
      </c>
      <c r="H137" s="105">
        <v>89.519168128288641</v>
      </c>
      <c r="I137" s="33" t="s">
        <v>7</v>
      </c>
      <c r="J137" s="33">
        <v>7</v>
      </c>
      <c r="K137" s="76" t="s">
        <v>77</v>
      </c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</row>
    <row r="138" spans="1:40" x14ac:dyDescent="0.2">
      <c r="A138" s="114" t="s">
        <v>40</v>
      </c>
      <c r="B138" s="84" t="s">
        <v>10</v>
      </c>
      <c r="C138" s="39">
        <v>43808</v>
      </c>
      <c r="D138" s="39">
        <v>44085</v>
      </c>
      <c r="E138" s="76">
        <v>9.0819672131147549</v>
      </c>
      <c r="F138" s="76">
        <v>165498</v>
      </c>
      <c r="G138" s="33" t="s">
        <v>81</v>
      </c>
      <c r="H138" s="105">
        <v>94.007800961866181</v>
      </c>
      <c r="I138" s="33" t="s">
        <v>7</v>
      </c>
      <c r="J138" s="33">
        <v>9</v>
      </c>
      <c r="K138" s="76" t="s">
        <v>78</v>
      </c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</row>
    <row r="139" spans="1:40" x14ac:dyDescent="0.2">
      <c r="A139" s="114" t="s">
        <v>40</v>
      </c>
      <c r="B139" s="84" t="s">
        <v>10</v>
      </c>
      <c r="C139" s="39">
        <v>43808</v>
      </c>
      <c r="D139" s="39">
        <v>44105</v>
      </c>
      <c r="E139" s="76">
        <v>9.7377049180327866</v>
      </c>
      <c r="F139" s="76">
        <v>152036</v>
      </c>
      <c r="G139" s="33" t="s">
        <v>81</v>
      </c>
      <c r="H139" s="105">
        <v>143.9</v>
      </c>
      <c r="I139" s="33" t="s">
        <v>7</v>
      </c>
      <c r="J139" s="33">
        <v>9</v>
      </c>
      <c r="K139" s="76" t="s">
        <v>78</v>
      </c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</row>
    <row r="140" spans="1:40" x14ac:dyDescent="0.2">
      <c r="A140" s="114" t="s">
        <v>40</v>
      </c>
      <c r="B140" s="84" t="s">
        <v>10</v>
      </c>
      <c r="C140" s="39">
        <v>43808</v>
      </c>
      <c r="D140" s="39">
        <v>44186</v>
      </c>
      <c r="E140" s="76">
        <v>12.39344262295082</v>
      </c>
      <c r="F140" s="76">
        <v>210421</v>
      </c>
      <c r="G140" s="33" t="s">
        <v>81</v>
      </c>
      <c r="H140" s="105">
        <v>494.99</v>
      </c>
      <c r="I140" s="33" t="s">
        <v>7</v>
      </c>
      <c r="J140" s="33">
        <v>12</v>
      </c>
      <c r="K140" s="76" t="s">
        <v>78</v>
      </c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</row>
    <row r="141" spans="1:40" x14ac:dyDescent="0.2">
      <c r="A141" s="104" t="s">
        <v>40</v>
      </c>
      <c r="B141" s="84" t="s">
        <v>10</v>
      </c>
      <c r="C141" s="39">
        <v>43808</v>
      </c>
      <c r="D141" s="39">
        <v>44217</v>
      </c>
      <c r="E141" s="76">
        <v>13.409836065573771</v>
      </c>
      <c r="F141" s="133">
        <v>72840</v>
      </c>
      <c r="G141" s="33" t="s">
        <v>81</v>
      </c>
      <c r="H141" s="105">
        <v>121.48</v>
      </c>
      <c r="I141" s="33" t="s">
        <v>7</v>
      </c>
      <c r="J141" s="33">
        <v>13</v>
      </c>
      <c r="K141" s="76" t="s">
        <v>79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</row>
    <row r="142" spans="1:40" x14ac:dyDescent="0.2">
      <c r="A142" s="114" t="s">
        <v>40</v>
      </c>
      <c r="B142" s="84" t="s">
        <v>10</v>
      </c>
      <c r="C142" s="39">
        <v>43808</v>
      </c>
      <c r="D142" s="39">
        <v>44248</v>
      </c>
      <c r="E142" s="76">
        <v>14.426229508196721</v>
      </c>
      <c r="F142" s="76">
        <v>140815</v>
      </c>
      <c r="G142" s="33" t="s">
        <v>81</v>
      </c>
      <c r="H142" s="105">
        <v>269.76</v>
      </c>
      <c r="I142" s="33" t="s">
        <v>7</v>
      </c>
      <c r="J142" s="33">
        <v>14</v>
      </c>
      <c r="K142" s="76" t="s">
        <v>79</v>
      </c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</row>
    <row r="143" spans="1:40" x14ac:dyDescent="0.2">
      <c r="A143" s="114" t="s">
        <v>40</v>
      </c>
      <c r="B143" s="84" t="s">
        <v>10</v>
      </c>
      <c r="C143" s="39">
        <v>43808</v>
      </c>
      <c r="D143" s="39">
        <v>44276</v>
      </c>
      <c r="E143" s="76">
        <v>15.344262295081966</v>
      </c>
      <c r="F143" s="76">
        <v>126012</v>
      </c>
      <c r="G143" s="33" t="s">
        <v>81</v>
      </c>
      <c r="H143" s="105">
        <v>267.48</v>
      </c>
      <c r="I143" s="33" t="s">
        <v>7</v>
      </c>
      <c r="J143" s="33">
        <v>15</v>
      </c>
      <c r="K143" s="76" t="s">
        <v>79</v>
      </c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</row>
    <row r="144" spans="1:40" x14ac:dyDescent="0.2">
      <c r="A144" s="114" t="s">
        <v>40</v>
      </c>
      <c r="B144" s="84" t="s">
        <v>10</v>
      </c>
      <c r="C144" s="39">
        <v>43808</v>
      </c>
      <c r="D144" s="39">
        <v>44307</v>
      </c>
      <c r="E144" s="76">
        <v>16.360655737704917</v>
      </c>
      <c r="F144" s="76">
        <v>83201</v>
      </c>
      <c r="G144" s="33" t="s">
        <v>81</v>
      </c>
      <c r="H144" s="105">
        <v>132.80207501995213</v>
      </c>
      <c r="I144" s="33" t="s">
        <v>7</v>
      </c>
      <c r="J144" s="33">
        <v>16</v>
      </c>
      <c r="K144" s="76" t="s">
        <v>79</v>
      </c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</row>
    <row r="145" spans="1:40" x14ac:dyDescent="0.2">
      <c r="A145" s="114" t="s">
        <v>40</v>
      </c>
      <c r="B145" s="84" t="s">
        <v>10</v>
      </c>
      <c r="C145" s="39">
        <v>43808</v>
      </c>
      <c r="D145" s="39">
        <v>44337</v>
      </c>
      <c r="E145" s="76">
        <v>17.344262295081968</v>
      </c>
      <c r="F145" s="76">
        <v>87177</v>
      </c>
      <c r="G145" s="33" t="s">
        <v>81</v>
      </c>
      <c r="H145" s="105">
        <v>208.1</v>
      </c>
      <c r="I145" s="33" t="s">
        <v>7</v>
      </c>
      <c r="J145" s="33">
        <v>17</v>
      </c>
      <c r="K145" s="76" t="s">
        <v>79</v>
      </c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</row>
    <row r="146" spans="1:40" x14ac:dyDescent="0.2">
      <c r="A146" s="114" t="s">
        <v>54</v>
      </c>
      <c r="B146" s="84" t="s">
        <v>10</v>
      </c>
      <c r="C146" s="39">
        <v>43233</v>
      </c>
      <c r="D146" s="39">
        <v>43410</v>
      </c>
      <c r="E146" s="76">
        <v>5.8032786885245899</v>
      </c>
      <c r="F146" s="76">
        <f>AVERAGE(131470,203181)</f>
        <v>167325.5</v>
      </c>
      <c r="G146" s="33" t="s">
        <v>81</v>
      </c>
      <c r="H146" s="105">
        <v>210.55</v>
      </c>
      <c r="I146" s="33" t="s">
        <v>8</v>
      </c>
      <c r="J146" s="33">
        <v>5</v>
      </c>
      <c r="K146" s="76" t="s">
        <v>76</v>
      </c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</row>
    <row r="147" spans="1:40" x14ac:dyDescent="0.2">
      <c r="A147" s="114" t="s">
        <v>55</v>
      </c>
      <c r="B147" s="84" t="s">
        <v>10</v>
      </c>
      <c r="C147" s="39">
        <v>43271</v>
      </c>
      <c r="D147" s="39" t="s">
        <v>82</v>
      </c>
      <c r="E147" s="76">
        <v>2.4918032786885247</v>
      </c>
      <c r="F147" s="76">
        <v>3227</v>
      </c>
      <c r="G147" s="33" t="s">
        <v>81</v>
      </c>
      <c r="H147" s="105">
        <v>1.2009676218831411</v>
      </c>
      <c r="I147" s="33" t="s">
        <v>7</v>
      </c>
      <c r="J147" s="33">
        <v>2</v>
      </c>
      <c r="K147" s="76" t="s">
        <v>72</v>
      </c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</row>
    <row r="148" spans="1:40" x14ac:dyDescent="0.2">
      <c r="A148" s="114" t="s">
        <v>40</v>
      </c>
      <c r="B148" s="84" t="s">
        <v>10</v>
      </c>
      <c r="C148" s="39">
        <v>43808</v>
      </c>
      <c r="D148" s="39">
        <v>44369</v>
      </c>
      <c r="E148" s="76">
        <v>18.393442622950818</v>
      </c>
      <c r="F148" s="85">
        <f>AVERAGE(40221,81079)</f>
        <v>60650</v>
      </c>
      <c r="G148" s="33" t="s">
        <v>81</v>
      </c>
      <c r="H148" s="105">
        <v>75.784999999999997</v>
      </c>
      <c r="I148" s="33" t="s">
        <v>8</v>
      </c>
      <c r="J148" s="33">
        <v>18</v>
      </c>
      <c r="K148" s="76" t="s">
        <v>79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</row>
    <row r="149" spans="1:40" x14ac:dyDescent="0.2">
      <c r="A149" s="114" t="s">
        <v>55</v>
      </c>
      <c r="B149" s="84" t="s">
        <v>10</v>
      </c>
      <c r="C149" s="39">
        <v>43271</v>
      </c>
      <c r="D149" s="39">
        <v>43376</v>
      </c>
      <c r="E149" s="76">
        <v>3.442622950819672</v>
      </c>
      <c r="F149" s="76">
        <v>678</v>
      </c>
      <c r="G149" s="33" t="s">
        <v>81</v>
      </c>
      <c r="H149" s="105">
        <v>1.5</v>
      </c>
      <c r="I149" s="33" t="s">
        <v>7</v>
      </c>
      <c r="J149" s="33">
        <v>3</v>
      </c>
      <c r="K149" s="76" t="s">
        <v>76</v>
      </c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</row>
    <row r="150" spans="1:40" x14ac:dyDescent="0.2">
      <c r="A150" s="114" t="s">
        <v>55</v>
      </c>
      <c r="B150" s="84" t="s">
        <v>10</v>
      </c>
      <c r="C150" s="39">
        <v>43271</v>
      </c>
      <c r="D150" s="39">
        <v>43413</v>
      </c>
      <c r="E150" s="76">
        <v>4.6557377049180326</v>
      </c>
      <c r="F150" s="76">
        <v>79800</v>
      </c>
      <c r="G150" s="33" t="s">
        <v>81</v>
      </c>
      <c r="H150" s="105">
        <v>124.9</v>
      </c>
      <c r="I150" s="33" t="s">
        <v>7</v>
      </c>
      <c r="J150" s="33">
        <v>4</v>
      </c>
      <c r="K150" s="76" t="s">
        <v>76</v>
      </c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</row>
    <row r="151" spans="1:40" x14ac:dyDescent="0.2">
      <c r="A151" s="114" t="s">
        <v>56</v>
      </c>
      <c r="B151" s="84" t="s">
        <v>10</v>
      </c>
      <c r="C151" s="39">
        <v>43271</v>
      </c>
      <c r="D151" s="39" t="s">
        <v>82</v>
      </c>
      <c r="E151" s="76">
        <v>2.4918032786885247</v>
      </c>
      <c r="F151" s="76">
        <v>739</v>
      </c>
      <c r="G151" s="33" t="s">
        <v>81</v>
      </c>
      <c r="H151" s="105">
        <v>0.27484183103833271</v>
      </c>
      <c r="I151" s="33" t="s">
        <v>7</v>
      </c>
      <c r="J151" s="33">
        <v>2</v>
      </c>
      <c r="K151" s="76" t="s">
        <v>72</v>
      </c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</row>
    <row r="152" spans="1:40" x14ac:dyDescent="0.2">
      <c r="A152" s="114" t="s">
        <v>25</v>
      </c>
      <c r="B152" s="84" t="s">
        <v>10</v>
      </c>
      <c r="C152" s="39">
        <v>43528</v>
      </c>
      <c r="D152" s="39">
        <v>43593</v>
      </c>
      <c r="E152" s="76">
        <v>2.1311475409836067</v>
      </c>
      <c r="F152" s="76">
        <v>3820</v>
      </c>
      <c r="G152" s="33" t="s">
        <v>81</v>
      </c>
      <c r="H152" s="105">
        <v>5.0999999999999996</v>
      </c>
      <c r="I152" s="33" t="s">
        <v>7</v>
      </c>
      <c r="J152" s="33">
        <v>2</v>
      </c>
      <c r="K152" s="76" t="s">
        <v>72</v>
      </c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</row>
    <row r="153" spans="1:40" x14ac:dyDescent="0.2">
      <c r="A153" s="114" t="s">
        <v>56</v>
      </c>
      <c r="B153" s="84" t="s">
        <v>10</v>
      </c>
      <c r="C153" s="39">
        <v>43271</v>
      </c>
      <c r="D153" s="39">
        <v>43376</v>
      </c>
      <c r="E153" s="76">
        <v>3.442622950819672</v>
      </c>
      <c r="F153" s="76">
        <v>2017</v>
      </c>
      <c r="G153" s="33" t="s">
        <v>81</v>
      </c>
      <c r="H153" s="105">
        <v>4.5</v>
      </c>
      <c r="I153" s="33" t="s">
        <v>7</v>
      </c>
      <c r="J153" s="33">
        <v>3</v>
      </c>
      <c r="K153" s="76" t="s">
        <v>76</v>
      </c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</row>
    <row r="154" spans="1:40" x14ac:dyDescent="0.2">
      <c r="A154" s="114" t="s">
        <v>56</v>
      </c>
      <c r="B154" s="84" t="s">
        <v>10</v>
      </c>
      <c r="C154" s="39">
        <v>43271</v>
      </c>
      <c r="D154" s="39">
        <v>43413</v>
      </c>
      <c r="E154" s="76">
        <v>4.6557377049180326</v>
      </c>
      <c r="F154" s="76">
        <v>134723</v>
      </c>
      <c r="G154" s="33" t="s">
        <v>81</v>
      </c>
      <c r="H154" s="105">
        <v>210.8</v>
      </c>
      <c r="I154" s="33" t="s">
        <v>7</v>
      </c>
      <c r="J154" s="33">
        <v>4</v>
      </c>
      <c r="K154" s="76" t="s">
        <v>76</v>
      </c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</row>
    <row r="155" spans="1:40" x14ac:dyDescent="0.2">
      <c r="A155" s="114" t="s">
        <v>85</v>
      </c>
      <c r="B155" s="84" t="s">
        <v>10</v>
      </c>
      <c r="C155" s="39" t="s">
        <v>91</v>
      </c>
      <c r="D155" s="39" t="s">
        <v>91</v>
      </c>
      <c r="E155" s="76">
        <v>4.8</v>
      </c>
      <c r="F155" s="76">
        <v>2112.6</v>
      </c>
      <c r="G155" s="33" t="s">
        <v>81</v>
      </c>
      <c r="H155" s="105">
        <v>4.8</v>
      </c>
      <c r="I155" s="33" t="s">
        <v>7</v>
      </c>
      <c r="J155" s="33">
        <v>4</v>
      </c>
      <c r="K155" s="76" t="s">
        <v>76</v>
      </c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</row>
    <row r="156" spans="1:40" x14ac:dyDescent="0.2">
      <c r="A156" s="114" t="s">
        <v>86</v>
      </c>
      <c r="B156" s="84" t="s">
        <v>10</v>
      </c>
      <c r="C156" s="39" t="s">
        <v>91</v>
      </c>
      <c r="D156" s="39" t="s">
        <v>91</v>
      </c>
      <c r="E156" s="76">
        <v>4.8</v>
      </c>
      <c r="F156" s="76">
        <v>36827</v>
      </c>
      <c r="G156" s="33" t="s">
        <v>81</v>
      </c>
      <c r="H156" s="105">
        <v>84.2</v>
      </c>
      <c r="I156" s="33" t="s">
        <v>7</v>
      </c>
      <c r="J156" s="33">
        <v>4</v>
      </c>
      <c r="K156" s="76" t="s">
        <v>76</v>
      </c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</row>
    <row r="157" spans="1:40" x14ac:dyDescent="0.2">
      <c r="A157" s="114" t="s">
        <v>25</v>
      </c>
      <c r="B157" s="84" t="s">
        <v>10</v>
      </c>
      <c r="C157" s="39">
        <v>43528</v>
      </c>
      <c r="D157" s="39">
        <v>43621</v>
      </c>
      <c r="E157" s="76">
        <v>3.0491803278688523</v>
      </c>
      <c r="F157" s="76">
        <f>AVERAGE(3228.7,2974.8,780)</f>
        <v>2327.8333333333335</v>
      </c>
      <c r="G157" s="33" t="s">
        <v>81</v>
      </c>
      <c r="H157" s="105">
        <v>0.65666670000000005</v>
      </c>
      <c r="I157" s="33" t="s">
        <v>8</v>
      </c>
      <c r="J157" s="33">
        <v>3</v>
      </c>
      <c r="K157" s="76" t="s">
        <v>76</v>
      </c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</row>
    <row r="158" spans="1:40" x14ac:dyDescent="0.2">
      <c r="A158" s="33" t="s">
        <v>21</v>
      </c>
      <c r="B158" s="33" t="s">
        <v>10</v>
      </c>
      <c r="C158" s="36">
        <v>43473</v>
      </c>
      <c r="D158" s="36">
        <v>43529</v>
      </c>
      <c r="E158" s="76">
        <v>1.8360655737704918</v>
      </c>
      <c r="F158" s="80">
        <f>AVERAGE(46643,1148,3290)</f>
        <v>17027</v>
      </c>
      <c r="G158" s="33" t="s">
        <v>81</v>
      </c>
      <c r="H158" s="33">
        <v>3.43333333</v>
      </c>
      <c r="I158" s="33" t="s">
        <v>8</v>
      </c>
      <c r="J158" s="33">
        <v>1</v>
      </c>
      <c r="K158" s="33" t="s">
        <v>72</v>
      </c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</row>
    <row r="159" spans="1:40" x14ac:dyDescent="0.2">
      <c r="A159" s="114" t="s">
        <v>57</v>
      </c>
      <c r="B159" s="84" t="s">
        <v>10</v>
      </c>
      <c r="C159" s="39">
        <v>43271</v>
      </c>
      <c r="D159" s="39" t="s">
        <v>82</v>
      </c>
      <c r="E159" s="76">
        <v>2.4918032786885247</v>
      </c>
      <c r="F159" s="76">
        <v>658</v>
      </c>
      <c r="G159" s="33" t="s">
        <v>81</v>
      </c>
      <c r="H159" s="105">
        <v>0.24469668775586156</v>
      </c>
      <c r="I159" s="33" t="s">
        <v>7</v>
      </c>
      <c r="J159" s="33">
        <v>2</v>
      </c>
      <c r="K159" s="76" t="s">
        <v>72</v>
      </c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</row>
    <row r="160" spans="1:40" x14ac:dyDescent="0.2">
      <c r="A160" s="114" t="s">
        <v>57</v>
      </c>
      <c r="B160" s="84" t="s">
        <v>10</v>
      </c>
      <c r="C160" s="39">
        <v>43271</v>
      </c>
      <c r="D160" s="39">
        <v>43376</v>
      </c>
      <c r="E160" s="76">
        <v>3.442622950819672</v>
      </c>
      <c r="F160" s="76">
        <v>410</v>
      </c>
      <c r="G160" s="33" t="s">
        <v>81</v>
      </c>
      <c r="H160" s="105">
        <v>0.9</v>
      </c>
      <c r="I160" s="33" t="s">
        <v>7</v>
      </c>
      <c r="J160" s="33">
        <v>3</v>
      </c>
      <c r="K160" s="76" t="s">
        <v>76</v>
      </c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</row>
    <row r="161" spans="1:40" x14ac:dyDescent="0.2">
      <c r="A161" s="33" t="s">
        <v>41</v>
      </c>
      <c r="B161" s="108" t="s">
        <v>10</v>
      </c>
      <c r="C161" s="36">
        <v>43878</v>
      </c>
      <c r="D161" s="36">
        <v>43929</v>
      </c>
      <c r="E161" s="76">
        <v>1.6721311475409837</v>
      </c>
      <c r="F161" s="80">
        <v>2430</v>
      </c>
      <c r="G161" s="33" t="s">
        <v>81</v>
      </c>
      <c r="H161" s="113">
        <v>0.66465460646290764</v>
      </c>
      <c r="I161" s="33" t="s">
        <v>7</v>
      </c>
      <c r="J161" s="33">
        <v>1</v>
      </c>
      <c r="K161" s="33" t="s">
        <v>72</v>
      </c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</row>
    <row r="162" spans="1:40" x14ac:dyDescent="0.2">
      <c r="A162" s="114" t="s">
        <v>41</v>
      </c>
      <c r="B162" s="84" t="s">
        <v>10</v>
      </c>
      <c r="C162" s="39">
        <v>43878</v>
      </c>
      <c r="D162" s="39">
        <v>43958</v>
      </c>
      <c r="E162" s="76">
        <v>2.622950819672131</v>
      </c>
      <c r="F162" s="76">
        <v>113034</v>
      </c>
      <c r="G162" s="33" t="s">
        <v>81</v>
      </c>
      <c r="H162" s="105">
        <v>36.989479195641145</v>
      </c>
      <c r="I162" s="33" t="s">
        <v>7</v>
      </c>
      <c r="J162" s="33">
        <v>2</v>
      </c>
      <c r="K162" s="76" t="s">
        <v>72</v>
      </c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</row>
    <row r="163" spans="1:40" x14ac:dyDescent="0.2">
      <c r="A163" s="114" t="s">
        <v>41</v>
      </c>
      <c r="B163" s="84" t="s">
        <v>10</v>
      </c>
      <c r="C163" s="39">
        <v>43878</v>
      </c>
      <c r="D163" s="39">
        <v>43989</v>
      </c>
      <c r="E163" s="76">
        <v>3.639344262295082</v>
      </c>
      <c r="F163" s="76">
        <v>198488</v>
      </c>
      <c r="G163" s="33" t="s">
        <v>81</v>
      </c>
      <c r="H163" s="105">
        <v>178.8</v>
      </c>
      <c r="I163" s="33" t="s">
        <v>7</v>
      </c>
      <c r="J163" s="33">
        <v>3</v>
      </c>
      <c r="K163" s="76" t="s">
        <v>76</v>
      </c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</row>
    <row r="164" spans="1:40" x14ac:dyDescent="0.2">
      <c r="A164" s="114" t="s">
        <v>41</v>
      </c>
      <c r="B164" s="84" t="s">
        <v>10</v>
      </c>
      <c r="C164" s="39">
        <v>43878</v>
      </c>
      <c r="D164" s="39">
        <v>44019</v>
      </c>
      <c r="E164" s="76">
        <v>4.6229508196721314</v>
      </c>
      <c r="F164" s="76">
        <v>175969</v>
      </c>
      <c r="G164" s="33" t="s">
        <v>81</v>
      </c>
      <c r="H164" s="105">
        <v>110.22851415685291</v>
      </c>
      <c r="I164" s="33" t="s">
        <v>7</v>
      </c>
      <c r="J164" s="33">
        <v>4</v>
      </c>
      <c r="K164" s="76" t="s">
        <v>76</v>
      </c>
    </row>
    <row r="165" spans="1:40" x14ac:dyDescent="0.2">
      <c r="A165" s="114" t="s">
        <v>41</v>
      </c>
      <c r="B165" s="84" t="s">
        <v>10</v>
      </c>
      <c r="C165" s="39">
        <v>43878</v>
      </c>
      <c r="D165" s="39">
        <v>44046</v>
      </c>
      <c r="E165" s="76">
        <v>5.5081967213114753</v>
      </c>
      <c r="F165" s="76">
        <v>167813</v>
      </c>
      <c r="G165" s="33" t="s">
        <v>81</v>
      </c>
      <c r="H165" s="105">
        <v>105.1194562766224</v>
      </c>
      <c r="I165" s="33" t="s">
        <v>7</v>
      </c>
      <c r="J165" s="33">
        <v>5</v>
      </c>
      <c r="K165" s="76" t="s">
        <v>76</v>
      </c>
    </row>
    <row r="166" spans="1:40" x14ac:dyDescent="0.2">
      <c r="A166" s="114" t="s">
        <v>41</v>
      </c>
      <c r="B166" s="84" t="s">
        <v>10</v>
      </c>
      <c r="C166" s="39">
        <v>43878</v>
      </c>
      <c r="D166" s="39">
        <v>44085</v>
      </c>
      <c r="E166" s="76">
        <v>6.7868852459016393</v>
      </c>
      <c r="F166" s="76">
        <v>212215</v>
      </c>
      <c r="G166" s="33" t="s">
        <v>81</v>
      </c>
      <c r="H166" s="105">
        <v>120.54474192448973</v>
      </c>
      <c r="I166" s="33" t="s">
        <v>7</v>
      </c>
      <c r="J166" s="33">
        <v>6</v>
      </c>
      <c r="K166" s="76" t="s">
        <v>77</v>
      </c>
    </row>
    <row r="167" spans="1:40" x14ac:dyDescent="0.2">
      <c r="A167" s="114" t="s">
        <v>41</v>
      </c>
      <c r="B167" s="84" t="s">
        <v>10</v>
      </c>
      <c r="C167" s="39">
        <v>43878</v>
      </c>
      <c r="D167" s="39">
        <v>44105</v>
      </c>
      <c r="E167" s="76">
        <v>7.442622950819672</v>
      </c>
      <c r="F167" s="76">
        <v>106622</v>
      </c>
      <c r="G167" s="33" t="s">
        <v>81</v>
      </c>
      <c r="H167" s="105">
        <v>70.245008195199134</v>
      </c>
      <c r="I167" s="33" t="s">
        <v>7</v>
      </c>
      <c r="J167" s="33">
        <v>7</v>
      </c>
      <c r="K167" s="76" t="s">
        <v>77</v>
      </c>
    </row>
    <row r="168" spans="1:40" x14ac:dyDescent="0.2">
      <c r="A168" s="114" t="s">
        <v>41</v>
      </c>
      <c r="B168" s="84" t="s">
        <v>10</v>
      </c>
      <c r="C168" s="39">
        <v>43878</v>
      </c>
      <c r="D168" s="39">
        <v>44115</v>
      </c>
      <c r="E168" s="76">
        <v>7.7704918032786887</v>
      </c>
      <c r="F168" s="76">
        <v>106622</v>
      </c>
      <c r="G168" s="33" t="s">
        <v>81</v>
      </c>
      <c r="H168" s="105">
        <v>70.2</v>
      </c>
      <c r="I168" s="33" t="s">
        <v>7</v>
      </c>
      <c r="J168" s="33">
        <v>7</v>
      </c>
      <c r="K168" s="76" t="s">
        <v>77</v>
      </c>
    </row>
    <row r="169" spans="1:40" x14ac:dyDescent="0.2">
      <c r="A169" s="114" t="s">
        <v>41</v>
      </c>
      <c r="B169" s="84" t="s">
        <v>10</v>
      </c>
      <c r="C169" s="39">
        <v>43878</v>
      </c>
      <c r="D169" s="39">
        <v>44186</v>
      </c>
      <c r="E169" s="76">
        <v>10.098360655737705</v>
      </c>
      <c r="F169" s="76">
        <v>252506</v>
      </c>
      <c r="G169" s="33" t="s">
        <v>81</v>
      </c>
      <c r="H169" s="105">
        <v>593.99</v>
      </c>
      <c r="I169" s="33" t="s">
        <v>7</v>
      </c>
      <c r="J169" s="33">
        <v>10</v>
      </c>
      <c r="K169" s="76" t="s">
        <v>78</v>
      </c>
    </row>
    <row r="170" spans="1:40" x14ac:dyDescent="0.2">
      <c r="A170" s="114" t="s">
        <v>41</v>
      </c>
      <c r="B170" s="84" t="s">
        <v>10</v>
      </c>
      <c r="C170" s="39">
        <v>43878</v>
      </c>
      <c r="D170" s="53">
        <v>44217</v>
      </c>
      <c r="E170" s="76">
        <v>11.114754098360656</v>
      </c>
      <c r="F170" s="76">
        <v>252506</v>
      </c>
      <c r="G170" s="33" t="s">
        <v>81</v>
      </c>
      <c r="H170" s="105">
        <v>421.12</v>
      </c>
      <c r="I170" s="33" t="s">
        <v>7</v>
      </c>
      <c r="J170" s="33">
        <v>11</v>
      </c>
      <c r="K170" s="76" t="s">
        <v>78</v>
      </c>
    </row>
    <row r="171" spans="1:40" x14ac:dyDescent="0.2">
      <c r="A171" s="114" t="s">
        <v>41</v>
      </c>
      <c r="B171" s="84" t="s">
        <v>10</v>
      </c>
      <c r="C171" s="39">
        <v>43878</v>
      </c>
      <c r="D171" s="39">
        <v>44248</v>
      </c>
      <c r="E171" s="76">
        <v>12.131147540983607</v>
      </c>
      <c r="F171" s="85">
        <v>123686</v>
      </c>
      <c r="G171" s="33" t="s">
        <v>81</v>
      </c>
      <c r="H171" s="105">
        <v>236.95</v>
      </c>
      <c r="I171" s="33" t="s">
        <v>7</v>
      </c>
      <c r="J171" s="33">
        <v>12</v>
      </c>
      <c r="K171" s="76" t="s">
        <v>78</v>
      </c>
    </row>
    <row r="172" spans="1:40" x14ac:dyDescent="0.2">
      <c r="A172" s="104" t="s">
        <v>41</v>
      </c>
      <c r="B172" s="84" t="s">
        <v>10</v>
      </c>
      <c r="C172" s="39">
        <v>43878</v>
      </c>
      <c r="D172" s="39">
        <v>44276</v>
      </c>
      <c r="E172" s="76">
        <v>13.049180327868852</v>
      </c>
      <c r="F172" s="133">
        <v>148002</v>
      </c>
      <c r="G172" s="33" t="s">
        <v>81</v>
      </c>
      <c r="H172" s="105">
        <v>283.52999999999997</v>
      </c>
      <c r="I172" s="33" t="s">
        <v>7</v>
      </c>
      <c r="J172" s="33">
        <v>13</v>
      </c>
      <c r="K172" s="76" t="s">
        <v>79</v>
      </c>
    </row>
    <row r="173" spans="1:40" x14ac:dyDescent="0.2">
      <c r="A173" s="114" t="s">
        <v>41</v>
      </c>
      <c r="B173" s="84" t="s">
        <v>10</v>
      </c>
      <c r="C173" s="39">
        <v>43878</v>
      </c>
      <c r="D173" s="39">
        <v>44307</v>
      </c>
      <c r="E173" s="76">
        <v>14.065573770491802</v>
      </c>
      <c r="F173" s="76">
        <v>90535</v>
      </c>
      <c r="G173" s="33" t="s">
        <v>81</v>
      </c>
      <c r="H173" s="105">
        <v>144.50949720670391</v>
      </c>
      <c r="I173" s="33" t="s">
        <v>7</v>
      </c>
      <c r="J173" s="33">
        <v>14</v>
      </c>
      <c r="K173" s="76" t="s">
        <v>79</v>
      </c>
    </row>
    <row r="174" spans="1:40" x14ac:dyDescent="0.2">
      <c r="A174" s="114" t="s">
        <v>41</v>
      </c>
      <c r="B174" s="84" t="s">
        <v>10</v>
      </c>
      <c r="C174" s="39">
        <v>43878</v>
      </c>
      <c r="D174" s="39">
        <v>44337</v>
      </c>
      <c r="E174" s="76">
        <v>15.049180327868852</v>
      </c>
      <c r="F174" s="76">
        <v>131534</v>
      </c>
      <c r="G174" s="33" t="s">
        <v>81</v>
      </c>
      <c r="H174" s="105">
        <v>314</v>
      </c>
      <c r="I174" s="33" t="s">
        <v>7</v>
      </c>
      <c r="J174" s="33">
        <v>15</v>
      </c>
      <c r="K174" s="76" t="s">
        <v>79</v>
      </c>
    </row>
    <row r="175" spans="1:40" x14ac:dyDescent="0.2">
      <c r="A175" s="114" t="s">
        <v>41</v>
      </c>
      <c r="B175" s="84" t="s">
        <v>10</v>
      </c>
      <c r="C175" s="39">
        <v>43878</v>
      </c>
      <c r="D175" s="39">
        <v>44387</v>
      </c>
      <c r="E175" s="76">
        <v>16.688524590163933</v>
      </c>
      <c r="F175" s="76">
        <f>AVERAGE(40459.9,77144)</f>
        <v>58801.95</v>
      </c>
      <c r="G175" s="33" t="s">
        <v>81</v>
      </c>
      <c r="H175" s="105">
        <v>8.4994999999999994</v>
      </c>
      <c r="I175" s="33" t="s">
        <v>8</v>
      </c>
      <c r="J175" s="33">
        <v>16</v>
      </c>
      <c r="K175" s="76" t="s">
        <v>79</v>
      </c>
    </row>
    <row r="176" spans="1:40" x14ac:dyDescent="0.2">
      <c r="A176" s="33" t="s">
        <v>42</v>
      </c>
      <c r="B176" s="33" t="s">
        <v>10</v>
      </c>
      <c r="C176" s="36">
        <v>43878</v>
      </c>
      <c r="D176" s="39">
        <v>43929</v>
      </c>
      <c r="E176" s="76">
        <v>1.6721311475409837</v>
      </c>
      <c r="F176" s="76">
        <v>1716</v>
      </c>
      <c r="G176" s="33" t="s">
        <v>81</v>
      </c>
      <c r="H176" s="84">
        <v>0.46939966445400827</v>
      </c>
      <c r="I176" s="33" t="s">
        <v>7</v>
      </c>
      <c r="J176" s="33">
        <v>1</v>
      </c>
      <c r="K176" s="33" t="s">
        <v>72</v>
      </c>
    </row>
    <row r="177" spans="1:11" x14ac:dyDescent="0.2">
      <c r="A177" s="114" t="s">
        <v>42</v>
      </c>
      <c r="B177" s="84" t="s">
        <v>10</v>
      </c>
      <c r="C177" s="39">
        <v>43878</v>
      </c>
      <c r="D177" s="39">
        <v>43958</v>
      </c>
      <c r="E177" s="76">
        <v>2.622950819672131</v>
      </c>
      <c r="F177" s="76">
        <v>2714</v>
      </c>
      <c r="G177" s="33" t="s">
        <v>81</v>
      </c>
      <c r="H177" s="105">
        <v>0.88800170165420422</v>
      </c>
      <c r="I177" s="33" t="s">
        <v>7</v>
      </c>
      <c r="J177" s="33">
        <v>2</v>
      </c>
      <c r="K177" s="76" t="s">
        <v>72</v>
      </c>
    </row>
    <row r="178" spans="1:11" x14ac:dyDescent="0.2">
      <c r="A178" s="114" t="s">
        <v>42</v>
      </c>
      <c r="B178" s="84" t="s">
        <v>10</v>
      </c>
      <c r="C178" s="39">
        <v>43878</v>
      </c>
      <c r="D178" s="135">
        <v>43989</v>
      </c>
      <c r="E178" s="76">
        <v>3.639344262295082</v>
      </c>
      <c r="F178" s="76">
        <v>10551</v>
      </c>
      <c r="G178" s="33" t="s">
        <v>81</v>
      </c>
      <c r="H178" s="105">
        <v>9.5</v>
      </c>
      <c r="I178" s="33" t="s">
        <v>7</v>
      </c>
      <c r="J178" s="76">
        <v>3</v>
      </c>
      <c r="K178" s="76" t="s">
        <v>76</v>
      </c>
    </row>
    <row r="179" spans="1:11" x14ac:dyDescent="0.2">
      <c r="A179" s="114" t="s">
        <v>57</v>
      </c>
      <c r="B179" s="84" t="s">
        <v>10</v>
      </c>
      <c r="C179" s="39">
        <v>43271</v>
      </c>
      <c r="D179" s="39">
        <v>43413</v>
      </c>
      <c r="E179" s="76">
        <v>4.6557377049180326</v>
      </c>
      <c r="F179" s="85">
        <v>4454</v>
      </c>
      <c r="G179" s="33" t="s">
        <v>81</v>
      </c>
      <c r="H179" s="105">
        <v>7</v>
      </c>
      <c r="I179" s="33" t="s">
        <v>7</v>
      </c>
      <c r="J179" s="33">
        <v>4</v>
      </c>
      <c r="K179" s="76" t="s">
        <v>76</v>
      </c>
    </row>
    <row r="180" spans="1:11" x14ac:dyDescent="0.2">
      <c r="A180" s="114" t="s">
        <v>42</v>
      </c>
      <c r="B180" s="84" t="s">
        <v>10</v>
      </c>
      <c r="C180" s="39">
        <v>43878</v>
      </c>
      <c r="D180" s="39">
        <v>44019</v>
      </c>
      <c r="E180" s="76">
        <v>4.6229508196721314</v>
      </c>
      <c r="F180" s="76">
        <v>19775</v>
      </c>
      <c r="G180" s="33" t="s">
        <v>81</v>
      </c>
      <c r="H180" s="105">
        <v>22.778321718597013</v>
      </c>
      <c r="I180" s="33" t="s">
        <v>7</v>
      </c>
      <c r="J180" s="33">
        <v>4</v>
      </c>
      <c r="K180" s="76" t="s">
        <v>76</v>
      </c>
    </row>
    <row r="181" spans="1:11" x14ac:dyDescent="0.2">
      <c r="A181" s="114" t="s">
        <v>42</v>
      </c>
      <c r="B181" s="84" t="s">
        <v>10</v>
      </c>
      <c r="C181" s="39">
        <v>43878</v>
      </c>
      <c r="D181" s="39">
        <v>44046</v>
      </c>
      <c r="E181" s="76">
        <v>5.5081967213114753</v>
      </c>
      <c r="F181" s="76">
        <v>69618</v>
      </c>
      <c r="G181" s="33" t="s">
        <v>81</v>
      </c>
      <c r="H181" s="105">
        <v>43.609183162114753</v>
      </c>
      <c r="I181" s="33" t="s">
        <v>7</v>
      </c>
      <c r="J181" s="33">
        <v>5</v>
      </c>
      <c r="K181" s="76" t="s">
        <v>76</v>
      </c>
    </row>
    <row r="182" spans="1:11" x14ac:dyDescent="0.2">
      <c r="A182" s="114" t="s">
        <v>42</v>
      </c>
      <c r="B182" s="84" t="s">
        <v>10</v>
      </c>
      <c r="C182" s="39">
        <v>43878</v>
      </c>
      <c r="D182" s="39">
        <v>44085</v>
      </c>
      <c r="E182" s="76">
        <v>6.7868852459016393</v>
      </c>
      <c r="F182" s="76">
        <v>167089</v>
      </c>
      <c r="G182" s="33" t="s">
        <v>81</v>
      </c>
      <c r="H182" s="105">
        <v>94.911538607187481</v>
      </c>
      <c r="I182" s="33" t="s">
        <v>7</v>
      </c>
      <c r="J182" s="33">
        <v>6</v>
      </c>
      <c r="K182" s="76" t="s">
        <v>77</v>
      </c>
    </row>
    <row r="183" spans="1:11" x14ac:dyDescent="0.2">
      <c r="A183" s="33" t="s">
        <v>58</v>
      </c>
      <c r="B183" s="33" t="s">
        <v>10</v>
      </c>
      <c r="C183" s="36">
        <v>43298</v>
      </c>
      <c r="D183" s="39" t="s">
        <v>82</v>
      </c>
      <c r="E183" s="76">
        <v>1.6065573770491803</v>
      </c>
      <c r="F183" s="48">
        <v>860</v>
      </c>
      <c r="G183" s="33" t="s">
        <v>81</v>
      </c>
      <c r="H183" s="84">
        <v>0.31987346483066614</v>
      </c>
      <c r="I183" s="33" t="s">
        <v>7</v>
      </c>
      <c r="J183" s="33">
        <v>1</v>
      </c>
      <c r="K183" s="33" t="s">
        <v>72</v>
      </c>
    </row>
    <row r="184" spans="1:11" x14ac:dyDescent="0.2">
      <c r="A184" s="114" t="s">
        <v>58</v>
      </c>
      <c r="B184" s="84" t="s">
        <v>10</v>
      </c>
      <c r="C184" s="39">
        <v>43298</v>
      </c>
      <c r="D184" s="39">
        <v>43376</v>
      </c>
      <c r="E184" s="76">
        <v>2.557377049180328</v>
      </c>
      <c r="F184" s="76">
        <v>335</v>
      </c>
      <c r="G184" s="33" t="s">
        <v>81</v>
      </c>
      <c r="H184" s="105">
        <v>0.7</v>
      </c>
      <c r="I184" s="33" t="s">
        <v>7</v>
      </c>
      <c r="J184" s="33">
        <v>2</v>
      </c>
      <c r="K184" s="76" t="s">
        <v>72</v>
      </c>
    </row>
    <row r="185" spans="1:11" x14ac:dyDescent="0.2">
      <c r="A185" s="114" t="s">
        <v>58</v>
      </c>
      <c r="B185" s="84" t="s">
        <v>10</v>
      </c>
      <c r="C185" s="39">
        <v>43298</v>
      </c>
      <c r="D185" s="39">
        <v>43411</v>
      </c>
      <c r="E185" s="76">
        <v>3.7049180327868854</v>
      </c>
      <c r="F185" s="76">
        <v>656</v>
      </c>
      <c r="G185" s="33" t="s">
        <v>81</v>
      </c>
      <c r="H185" s="105">
        <v>0.50617760617760621</v>
      </c>
      <c r="I185" s="33" t="s">
        <v>7</v>
      </c>
      <c r="J185" s="33">
        <v>3</v>
      </c>
      <c r="K185" s="76" t="s">
        <v>76</v>
      </c>
    </row>
    <row r="186" spans="1:11" x14ac:dyDescent="0.2">
      <c r="A186" s="114" t="s">
        <v>42</v>
      </c>
      <c r="B186" s="84" t="s">
        <v>10</v>
      </c>
      <c r="C186" s="39">
        <v>43878</v>
      </c>
      <c r="D186" s="39">
        <v>44115</v>
      </c>
      <c r="E186" s="76">
        <v>7.7704918032786887</v>
      </c>
      <c r="F186" s="76">
        <v>78601</v>
      </c>
      <c r="G186" s="33" t="s">
        <v>81</v>
      </c>
      <c r="H186" s="105">
        <v>51.684533525866399</v>
      </c>
      <c r="I186" s="33" t="s">
        <v>7</v>
      </c>
      <c r="J186" s="33">
        <v>7</v>
      </c>
      <c r="K186" s="76" t="s">
        <v>77</v>
      </c>
    </row>
    <row r="187" spans="1:11" x14ac:dyDescent="0.2">
      <c r="A187" s="114" t="s">
        <v>42</v>
      </c>
      <c r="B187" s="84" t="s">
        <v>10</v>
      </c>
      <c r="C187" s="39">
        <v>43878</v>
      </c>
      <c r="D187" s="39">
        <v>44186</v>
      </c>
      <c r="E187" s="76">
        <v>10.098360655737705</v>
      </c>
      <c r="F187" s="76">
        <v>223013</v>
      </c>
      <c r="G187" s="33" t="s">
        <v>81</v>
      </c>
      <c r="H187" s="105">
        <v>524.61</v>
      </c>
      <c r="I187" s="33" t="s">
        <v>7</v>
      </c>
      <c r="J187" s="33">
        <v>10</v>
      </c>
      <c r="K187" s="76" t="s">
        <v>78</v>
      </c>
    </row>
    <row r="188" spans="1:11" x14ac:dyDescent="0.2">
      <c r="A188" s="114" t="s">
        <v>42</v>
      </c>
      <c r="B188" s="84" t="s">
        <v>10</v>
      </c>
      <c r="C188" s="39">
        <v>43878</v>
      </c>
      <c r="D188" s="53">
        <v>44217</v>
      </c>
      <c r="E188" s="85">
        <v>11.114754098360656</v>
      </c>
      <c r="F188" s="85">
        <v>223013</v>
      </c>
      <c r="G188" s="141" t="s">
        <v>81</v>
      </c>
      <c r="H188" s="105">
        <v>371.94</v>
      </c>
      <c r="I188" s="141" t="s">
        <v>7</v>
      </c>
      <c r="J188" s="33">
        <v>11</v>
      </c>
      <c r="K188" s="76" t="s">
        <v>78</v>
      </c>
    </row>
    <row r="189" spans="1:11" x14ac:dyDescent="0.2">
      <c r="A189" s="114" t="s">
        <v>42</v>
      </c>
      <c r="B189" s="84" t="s">
        <v>10</v>
      </c>
      <c r="C189" s="39">
        <v>43878</v>
      </c>
      <c r="D189" s="39">
        <v>44228</v>
      </c>
      <c r="E189" s="76">
        <v>11.475409836065573</v>
      </c>
      <c r="F189" s="76">
        <v>156124</v>
      </c>
      <c r="G189" s="33" t="s">
        <v>81</v>
      </c>
      <c r="H189" s="105">
        <v>299.08999999999997</v>
      </c>
      <c r="I189" s="33" t="s">
        <v>7</v>
      </c>
      <c r="J189" s="33">
        <v>11</v>
      </c>
      <c r="K189" s="76" t="s">
        <v>78</v>
      </c>
    </row>
    <row r="190" spans="1:11" x14ac:dyDescent="0.2">
      <c r="A190" s="114" t="s">
        <v>42</v>
      </c>
      <c r="B190" s="84" t="s">
        <v>10</v>
      </c>
      <c r="C190" s="39">
        <v>43878</v>
      </c>
      <c r="D190" s="39">
        <v>44238</v>
      </c>
      <c r="E190" s="76">
        <v>11.803278688524591</v>
      </c>
      <c r="F190" s="76">
        <v>111397.7</v>
      </c>
      <c r="G190" s="33" t="s">
        <v>81</v>
      </c>
      <c r="H190" s="105">
        <v>87.3</v>
      </c>
      <c r="I190" s="33" t="s">
        <v>7</v>
      </c>
      <c r="J190" s="33">
        <v>11</v>
      </c>
      <c r="K190" s="76" t="s">
        <v>78</v>
      </c>
    </row>
    <row r="191" spans="1:11" x14ac:dyDescent="0.2">
      <c r="A191" s="33" t="s">
        <v>43</v>
      </c>
      <c r="B191" s="33" t="s">
        <v>10</v>
      </c>
      <c r="C191" s="36">
        <v>43878</v>
      </c>
      <c r="D191" s="39">
        <v>43929</v>
      </c>
      <c r="E191" s="76">
        <v>1.6721311475409837</v>
      </c>
      <c r="F191" s="76">
        <v>4403</v>
      </c>
      <c r="G191" s="33" t="s">
        <v>81</v>
      </c>
      <c r="H191" s="109">
        <v>1.2044642205850173</v>
      </c>
      <c r="I191" s="33" t="s">
        <v>7</v>
      </c>
      <c r="J191" s="33">
        <v>1</v>
      </c>
      <c r="K191" s="33" t="s">
        <v>72</v>
      </c>
    </row>
    <row r="192" spans="1:11" x14ac:dyDescent="0.2">
      <c r="A192" s="114" t="s">
        <v>43</v>
      </c>
      <c r="B192" s="84" t="s">
        <v>10</v>
      </c>
      <c r="C192" s="39">
        <v>43878</v>
      </c>
      <c r="D192" s="39">
        <v>43958</v>
      </c>
      <c r="E192" s="76">
        <v>2.622950819672131</v>
      </c>
      <c r="F192" s="76">
        <v>5032</v>
      </c>
      <c r="G192" s="33" t="s">
        <v>81</v>
      </c>
      <c r="H192" s="105">
        <v>1.6465467873095867</v>
      </c>
      <c r="I192" s="33" t="s">
        <v>7</v>
      </c>
      <c r="J192" s="33">
        <v>2</v>
      </c>
      <c r="K192" s="76" t="s">
        <v>72</v>
      </c>
    </row>
    <row r="193" spans="1:13" x14ac:dyDescent="0.2">
      <c r="A193" s="114" t="s">
        <v>43</v>
      </c>
      <c r="B193" s="84" t="s">
        <v>10</v>
      </c>
      <c r="C193" s="39">
        <v>43878</v>
      </c>
      <c r="D193" s="39">
        <v>43989</v>
      </c>
      <c r="E193" s="76">
        <v>3.639344262295082</v>
      </c>
      <c r="F193" s="76">
        <v>152725</v>
      </c>
      <c r="G193" s="33" t="s">
        <v>81</v>
      </c>
      <c r="H193" s="105">
        <v>137.6</v>
      </c>
      <c r="I193" s="33" t="s">
        <v>7</v>
      </c>
      <c r="J193" s="33">
        <v>3</v>
      </c>
      <c r="K193" s="76" t="s">
        <v>76</v>
      </c>
    </row>
    <row r="194" spans="1:13" x14ac:dyDescent="0.2">
      <c r="A194" s="114" t="s">
        <v>43</v>
      </c>
      <c r="B194" s="84" t="s">
        <v>10</v>
      </c>
      <c r="C194" s="39">
        <v>43878</v>
      </c>
      <c r="D194" s="39">
        <v>44019</v>
      </c>
      <c r="E194" s="76">
        <v>4.6229508196721314</v>
      </c>
      <c r="F194" s="76">
        <v>194558</v>
      </c>
      <c r="G194" s="33" t="s">
        <v>81</v>
      </c>
      <c r="H194" s="105">
        <v>121.87308945126534</v>
      </c>
      <c r="I194" s="33" t="s">
        <v>7</v>
      </c>
      <c r="J194" s="33">
        <v>4</v>
      </c>
      <c r="K194" s="76" t="s">
        <v>76</v>
      </c>
    </row>
    <row r="195" spans="1:13" x14ac:dyDescent="0.2">
      <c r="A195" s="114" t="s">
        <v>43</v>
      </c>
      <c r="B195" s="84" t="s">
        <v>10</v>
      </c>
      <c r="C195" s="39">
        <v>43878</v>
      </c>
      <c r="D195" s="39">
        <v>44046</v>
      </c>
      <c r="E195" s="76">
        <v>5.5081967213114753</v>
      </c>
      <c r="F195" s="76">
        <v>174579</v>
      </c>
      <c r="G195" s="33" t="s">
        <v>81</v>
      </c>
      <c r="H195" s="105">
        <v>109.35818090704085</v>
      </c>
      <c r="I195" s="33" t="s">
        <v>7</v>
      </c>
      <c r="J195" s="33">
        <v>5</v>
      </c>
      <c r="K195" s="76" t="s">
        <v>76</v>
      </c>
    </row>
    <row r="196" spans="1:13" x14ac:dyDescent="0.2">
      <c r="A196" s="114" t="s">
        <v>43</v>
      </c>
      <c r="B196" s="84" t="s">
        <v>10</v>
      </c>
      <c r="C196" s="39">
        <v>43878</v>
      </c>
      <c r="D196" s="39">
        <v>44085</v>
      </c>
      <c r="E196" s="76">
        <v>6.7868852459016393</v>
      </c>
      <c r="F196" s="76">
        <v>228819</v>
      </c>
      <c r="G196" s="33" t="s">
        <v>81</v>
      </c>
      <c r="H196" s="105">
        <v>129.97621842693226</v>
      </c>
      <c r="I196" s="33" t="s">
        <v>7</v>
      </c>
      <c r="J196" s="33">
        <v>6</v>
      </c>
      <c r="K196" s="76" t="s">
        <v>77</v>
      </c>
    </row>
    <row r="197" spans="1:13" x14ac:dyDescent="0.2">
      <c r="A197" s="114" t="s">
        <v>43</v>
      </c>
      <c r="B197" s="84" t="s">
        <v>10</v>
      </c>
      <c r="C197" s="39">
        <v>43878</v>
      </c>
      <c r="D197" s="39">
        <v>44105</v>
      </c>
      <c r="E197" s="76">
        <v>7.442622950819672</v>
      </c>
      <c r="F197" s="76">
        <v>161850</v>
      </c>
      <c r="G197" s="33" t="s">
        <v>81</v>
      </c>
      <c r="H197" s="105">
        <v>153.19999999999999</v>
      </c>
      <c r="I197" s="33" t="s">
        <v>7</v>
      </c>
      <c r="J197" s="33">
        <v>7</v>
      </c>
      <c r="K197" s="76" t="s">
        <v>77</v>
      </c>
    </row>
    <row r="198" spans="1:13" x14ac:dyDescent="0.2">
      <c r="A198" s="114" t="s">
        <v>43</v>
      </c>
      <c r="B198" s="84" t="s">
        <v>10</v>
      </c>
      <c r="C198" s="39">
        <v>43878</v>
      </c>
      <c r="D198" s="39">
        <v>44115</v>
      </c>
      <c r="E198" s="76">
        <v>7.7704918032786887</v>
      </c>
      <c r="F198" s="76">
        <v>76831</v>
      </c>
      <c r="G198" s="33" t="s">
        <v>81</v>
      </c>
      <c r="H198" s="105">
        <v>50.573591363875721</v>
      </c>
      <c r="I198" s="33" t="s">
        <v>7</v>
      </c>
      <c r="J198" s="33">
        <v>7</v>
      </c>
      <c r="K198" s="76" t="s">
        <v>77</v>
      </c>
    </row>
    <row r="199" spans="1:13" x14ac:dyDescent="0.2">
      <c r="A199" s="114" t="s">
        <v>43</v>
      </c>
      <c r="B199" s="84" t="s">
        <v>10</v>
      </c>
      <c r="C199" s="39">
        <v>43878</v>
      </c>
      <c r="D199" s="53">
        <v>44186</v>
      </c>
      <c r="E199" s="76">
        <v>10.098360655737705</v>
      </c>
      <c r="F199" s="76">
        <v>228658</v>
      </c>
      <c r="G199" s="33" t="s">
        <v>81</v>
      </c>
      <c r="H199" s="105">
        <v>537.89</v>
      </c>
      <c r="I199" s="33" t="s">
        <v>7</v>
      </c>
      <c r="J199" s="33">
        <v>10</v>
      </c>
      <c r="K199" s="76" t="s">
        <v>78</v>
      </c>
    </row>
    <row r="200" spans="1:13" x14ac:dyDescent="0.2">
      <c r="A200" s="114" t="s">
        <v>43</v>
      </c>
      <c r="B200" s="84" t="s">
        <v>10</v>
      </c>
      <c r="C200" s="39">
        <v>43878</v>
      </c>
      <c r="D200" s="39">
        <v>44217</v>
      </c>
      <c r="E200" s="76">
        <v>11.114754098360656</v>
      </c>
      <c r="F200" s="76">
        <v>139131</v>
      </c>
      <c r="G200" s="33" t="s">
        <v>81</v>
      </c>
      <c r="H200" s="105">
        <v>232.04</v>
      </c>
      <c r="I200" s="33" t="s">
        <v>7</v>
      </c>
      <c r="J200" s="33">
        <v>11</v>
      </c>
      <c r="K200" s="76" t="s">
        <v>78</v>
      </c>
    </row>
    <row r="201" spans="1:13" x14ac:dyDescent="0.2">
      <c r="A201" s="114" t="s">
        <v>43</v>
      </c>
      <c r="B201" s="84" t="s">
        <v>10</v>
      </c>
      <c r="C201" s="39">
        <v>43878</v>
      </c>
      <c r="D201" s="39">
        <v>44248</v>
      </c>
      <c r="E201" s="76">
        <v>12.131147540983607</v>
      </c>
      <c r="F201" s="76">
        <v>155193</v>
      </c>
      <c r="G201" s="33" t="s">
        <v>81</v>
      </c>
      <c r="H201" s="105">
        <v>297.31</v>
      </c>
      <c r="I201" s="33" t="s">
        <v>7</v>
      </c>
      <c r="J201" s="33">
        <v>12</v>
      </c>
      <c r="K201" s="76" t="s">
        <v>78</v>
      </c>
    </row>
    <row r="202" spans="1:13" x14ac:dyDescent="0.2">
      <c r="A202" s="104" t="s">
        <v>43</v>
      </c>
      <c r="B202" s="84" t="s">
        <v>10</v>
      </c>
      <c r="C202" s="39">
        <v>43878</v>
      </c>
      <c r="D202" s="39">
        <v>44276</v>
      </c>
      <c r="E202" s="76">
        <v>13.049180327868852</v>
      </c>
      <c r="F202" s="133">
        <v>163981</v>
      </c>
      <c r="G202" s="33" t="s">
        <v>81</v>
      </c>
      <c r="H202" s="105">
        <v>314.14</v>
      </c>
      <c r="I202" s="33" t="s">
        <v>7</v>
      </c>
      <c r="J202" s="33">
        <v>13</v>
      </c>
      <c r="K202" s="76" t="s">
        <v>79</v>
      </c>
    </row>
    <row r="203" spans="1:13" x14ac:dyDescent="0.2">
      <c r="A203" s="114" t="s">
        <v>43</v>
      </c>
      <c r="B203" s="84" t="s">
        <v>10</v>
      </c>
      <c r="C203" s="39">
        <v>43878</v>
      </c>
      <c r="D203" s="39">
        <v>44307</v>
      </c>
      <c r="E203" s="76">
        <v>14.065573770491802</v>
      </c>
      <c r="F203" s="76">
        <v>98467</v>
      </c>
      <c r="G203" s="33" t="s">
        <v>81</v>
      </c>
      <c r="H203" s="105">
        <v>157.16919393455706</v>
      </c>
      <c r="I203" s="33" t="s">
        <v>7</v>
      </c>
      <c r="J203" s="33">
        <v>14</v>
      </c>
      <c r="K203" s="76" t="s">
        <v>79</v>
      </c>
    </row>
    <row r="204" spans="1:13" x14ac:dyDescent="0.2">
      <c r="A204" s="114" t="s">
        <v>43</v>
      </c>
      <c r="B204" s="84" t="s">
        <v>10</v>
      </c>
      <c r="C204" s="39">
        <v>43878</v>
      </c>
      <c r="D204" s="39">
        <v>44337</v>
      </c>
      <c r="E204" s="76">
        <v>15.049180327868852</v>
      </c>
      <c r="F204" s="76">
        <v>132490</v>
      </c>
      <c r="G204" s="33" t="s">
        <v>81</v>
      </c>
      <c r="H204" s="105">
        <v>316.3</v>
      </c>
      <c r="I204" s="33" t="s">
        <v>7</v>
      </c>
      <c r="J204" s="33">
        <v>15</v>
      </c>
      <c r="K204" s="76" t="s">
        <v>79</v>
      </c>
      <c r="M204">
        <f>AVERAGE(F203,23291)</f>
        <v>60879</v>
      </c>
    </row>
    <row r="205" spans="1:13" x14ac:dyDescent="0.2">
      <c r="A205" s="114" t="s">
        <v>43</v>
      </c>
      <c r="B205" s="84" t="s">
        <v>10</v>
      </c>
      <c r="C205" s="39">
        <v>43878</v>
      </c>
      <c r="D205" s="39">
        <v>44376</v>
      </c>
      <c r="E205" s="76">
        <v>16.327868852459016</v>
      </c>
      <c r="F205" s="76">
        <v>109733.1</v>
      </c>
      <c r="G205" s="33" t="s">
        <v>81</v>
      </c>
      <c r="H205" s="105">
        <v>86</v>
      </c>
      <c r="I205" s="33" t="s">
        <v>7</v>
      </c>
      <c r="J205" s="33">
        <v>16</v>
      </c>
      <c r="K205" s="76" t="s">
        <v>79</v>
      </c>
    </row>
    <row r="206" spans="1:13" x14ac:dyDescent="0.2">
      <c r="A206" s="114" t="s">
        <v>44</v>
      </c>
      <c r="B206" s="84" t="s">
        <v>10</v>
      </c>
      <c r="C206" s="39">
        <v>43892</v>
      </c>
      <c r="D206" s="39">
        <v>43984</v>
      </c>
      <c r="E206" s="76">
        <v>3.0163934426229506</v>
      </c>
      <c r="F206" s="76">
        <v>175230</v>
      </c>
      <c r="G206" s="33" t="s">
        <v>81</v>
      </c>
      <c r="H206" s="105">
        <v>157.9</v>
      </c>
      <c r="I206" s="33" t="s">
        <v>7</v>
      </c>
      <c r="J206" s="33">
        <v>3</v>
      </c>
      <c r="K206" s="76" t="s">
        <v>76</v>
      </c>
    </row>
    <row r="207" spans="1:13" x14ac:dyDescent="0.2">
      <c r="A207" s="114" t="s">
        <v>44</v>
      </c>
      <c r="B207" s="84" t="s">
        <v>10</v>
      </c>
      <c r="C207" s="39">
        <v>43892</v>
      </c>
      <c r="D207" s="39">
        <v>44008</v>
      </c>
      <c r="E207" s="76">
        <v>3.8032786885245899</v>
      </c>
      <c r="F207" s="85">
        <v>40928.5</v>
      </c>
      <c r="G207" s="33" t="s">
        <v>81</v>
      </c>
      <c r="H207" s="105">
        <v>89.5</v>
      </c>
      <c r="I207" s="33" t="s">
        <v>7</v>
      </c>
      <c r="J207" s="33">
        <v>3</v>
      </c>
      <c r="K207" s="76" t="s">
        <v>76</v>
      </c>
    </row>
    <row r="208" spans="1:13" x14ac:dyDescent="0.2">
      <c r="A208" s="114" t="s">
        <v>44</v>
      </c>
      <c r="B208" s="84" t="s">
        <v>10</v>
      </c>
      <c r="C208" s="39">
        <v>43892</v>
      </c>
      <c r="D208" s="39">
        <v>44105</v>
      </c>
      <c r="E208" s="76">
        <v>6.9836065573770494</v>
      </c>
      <c r="F208" s="76">
        <v>132950</v>
      </c>
      <c r="G208" s="33" t="s">
        <v>81</v>
      </c>
      <c r="H208" s="105">
        <v>125.8</v>
      </c>
      <c r="I208" s="33" t="s">
        <v>7</v>
      </c>
      <c r="J208" s="33">
        <v>6</v>
      </c>
      <c r="K208" s="76" t="s">
        <v>77</v>
      </c>
    </row>
    <row r="209" spans="1:11" x14ac:dyDescent="0.2">
      <c r="A209" s="114" t="s">
        <v>44</v>
      </c>
      <c r="B209" s="84" t="s">
        <v>10</v>
      </c>
      <c r="C209" s="39">
        <v>43892</v>
      </c>
      <c r="D209" s="53">
        <v>44253</v>
      </c>
      <c r="E209" s="76">
        <v>11.836065573770492</v>
      </c>
      <c r="F209" s="85">
        <v>30798.5</v>
      </c>
      <c r="G209" s="33" t="s">
        <v>81</v>
      </c>
      <c r="H209" s="105">
        <v>51.05</v>
      </c>
      <c r="I209" s="33" t="s">
        <v>8</v>
      </c>
      <c r="J209" s="33">
        <v>11</v>
      </c>
      <c r="K209" s="76" t="s">
        <v>78</v>
      </c>
    </row>
    <row r="210" spans="1:11" x14ac:dyDescent="0.2">
      <c r="A210" s="114" t="s">
        <v>45</v>
      </c>
      <c r="B210" s="84" t="s">
        <v>10</v>
      </c>
      <c r="C210" s="39">
        <v>43892</v>
      </c>
      <c r="D210" s="39">
        <v>43958</v>
      </c>
      <c r="E210" s="76">
        <v>2.1639344262295084</v>
      </c>
      <c r="F210" s="76">
        <v>86921</v>
      </c>
      <c r="G210" s="33" t="s">
        <v>81</v>
      </c>
      <c r="H210" s="105">
        <v>28.444000850827106</v>
      </c>
      <c r="I210" s="33" t="s">
        <v>7</v>
      </c>
      <c r="J210" s="33">
        <v>2</v>
      </c>
      <c r="K210" s="76" t="s">
        <v>72</v>
      </c>
    </row>
    <row r="211" spans="1:11" x14ac:dyDescent="0.2">
      <c r="A211" s="114" t="s">
        <v>45</v>
      </c>
      <c r="B211" s="84" t="s">
        <v>10</v>
      </c>
      <c r="C211" s="39">
        <v>43892</v>
      </c>
      <c r="D211" s="39">
        <v>43989</v>
      </c>
      <c r="E211" s="76">
        <v>3.180327868852459</v>
      </c>
      <c r="F211" s="76">
        <v>39346</v>
      </c>
      <c r="G211" s="33" t="s">
        <v>81</v>
      </c>
      <c r="H211" s="105">
        <v>86.1</v>
      </c>
      <c r="I211" s="33" t="s">
        <v>7</v>
      </c>
      <c r="J211" s="33">
        <v>3</v>
      </c>
      <c r="K211" s="76" t="s">
        <v>76</v>
      </c>
    </row>
    <row r="212" spans="1:11" x14ac:dyDescent="0.2">
      <c r="A212" s="114" t="s">
        <v>45</v>
      </c>
      <c r="B212" s="84" t="s">
        <v>10</v>
      </c>
      <c r="C212" s="39">
        <v>43892</v>
      </c>
      <c r="D212" s="39">
        <v>44019</v>
      </c>
      <c r="E212" s="76">
        <v>4.1639344262295079</v>
      </c>
      <c r="F212" s="76">
        <v>166147</v>
      </c>
      <c r="G212" s="33" t="s">
        <v>81</v>
      </c>
      <c r="H212" s="105">
        <v>104.1</v>
      </c>
      <c r="I212" s="33" t="s">
        <v>7</v>
      </c>
      <c r="J212" s="33">
        <v>4</v>
      </c>
      <c r="K212" s="76" t="s">
        <v>76</v>
      </c>
    </row>
    <row r="213" spans="1:11" x14ac:dyDescent="0.2">
      <c r="A213" s="114" t="s">
        <v>45</v>
      </c>
      <c r="B213" s="84" t="s">
        <v>10</v>
      </c>
      <c r="C213" s="39">
        <v>43892</v>
      </c>
      <c r="D213" s="39">
        <v>44046</v>
      </c>
      <c r="E213" s="76">
        <v>5.0491803278688527</v>
      </c>
      <c r="F213" s="76">
        <v>135441</v>
      </c>
      <c r="G213" s="33" t="s">
        <v>81</v>
      </c>
      <c r="H213" s="105">
        <v>84.8</v>
      </c>
      <c r="I213" s="33" t="s">
        <v>7</v>
      </c>
      <c r="J213" s="33">
        <v>5</v>
      </c>
      <c r="K213" s="76" t="s">
        <v>76</v>
      </c>
    </row>
    <row r="214" spans="1:11" x14ac:dyDescent="0.2">
      <c r="A214" s="114" t="s">
        <v>45</v>
      </c>
      <c r="B214" s="84" t="s">
        <v>10</v>
      </c>
      <c r="C214" s="39">
        <v>43892</v>
      </c>
      <c r="D214" s="39">
        <v>44085</v>
      </c>
      <c r="E214" s="76">
        <v>6.3278688524590168</v>
      </c>
      <c r="F214" s="76">
        <v>182837</v>
      </c>
      <c r="G214" s="33" t="s">
        <v>81</v>
      </c>
      <c r="H214" s="105">
        <v>103.85729162722006</v>
      </c>
      <c r="I214" s="33" t="s">
        <v>7</v>
      </c>
      <c r="J214" s="33">
        <v>6</v>
      </c>
      <c r="K214" s="76" t="s">
        <v>77</v>
      </c>
    </row>
    <row r="215" spans="1:11" x14ac:dyDescent="0.2">
      <c r="A215" s="114" t="s">
        <v>58</v>
      </c>
      <c r="B215" s="84" t="s">
        <v>10</v>
      </c>
      <c r="C215" s="39">
        <v>43298</v>
      </c>
      <c r="D215" s="39">
        <v>43447</v>
      </c>
      <c r="E215" s="76">
        <v>4.8852459016393439</v>
      </c>
      <c r="F215" s="85">
        <v>3989</v>
      </c>
      <c r="G215" s="33" t="s">
        <v>81</v>
      </c>
      <c r="H215" s="105">
        <v>6.241784037558685</v>
      </c>
      <c r="I215" s="33" t="s">
        <v>7</v>
      </c>
      <c r="J215" s="33">
        <v>4</v>
      </c>
      <c r="K215" s="76" t="s">
        <v>76</v>
      </c>
    </row>
    <row r="216" spans="1:11" x14ac:dyDescent="0.2">
      <c r="A216" s="114" t="s">
        <v>45</v>
      </c>
      <c r="B216" s="84" t="s">
        <v>10</v>
      </c>
      <c r="C216" s="39">
        <v>43892</v>
      </c>
      <c r="D216" s="39">
        <v>44115</v>
      </c>
      <c r="E216" s="76">
        <v>7.3114754098360653</v>
      </c>
      <c r="F216" s="76">
        <v>68326</v>
      </c>
      <c r="G216" s="33" t="s">
        <v>81</v>
      </c>
      <c r="H216" s="105">
        <v>45</v>
      </c>
      <c r="I216" s="33" t="s">
        <v>7</v>
      </c>
      <c r="J216" s="33">
        <v>7</v>
      </c>
      <c r="K216" s="76" t="s">
        <v>77</v>
      </c>
    </row>
    <row r="217" spans="1:11" x14ac:dyDescent="0.2">
      <c r="A217" s="114" t="s">
        <v>58</v>
      </c>
      <c r="B217" s="84" t="s">
        <v>10</v>
      </c>
      <c r="C217" s="39">
        <v>43298</v>
      </c>
      <c r="D217" s="39">
        <v>43474</v>
      </c>
      <c r="E217" s="76">
        <v>5.7704918032786887</v>
      </c>
      <c r="F217" s="76">
        <v>4002</v>
      </c>
      <c r="G217" s="33" t="s">
        <v>81</v>
      </c>
      <c r="H217" s="105">
        <v>7.5</v>
      </c>
      <c r="I217" s="33" t="s">
        <v>7</v>
      </c>
      <c r="J217" s="33">
        <v>5</v>
      </c>
      <c r="K217" s="76" t="s">
        <v>76</v>
      </c>
    </row>
    <row r="218" spans="1:11" x14ac:dyDescent="0.2">
      <c r="A218" s="114" t="s">
        <v>58</v>
      </c>
      <c r="B218" s="84" t="s">
        <v>10</v>
      </c>
      <c r="C218" s="39">
        <v>43298</v>
      </c>
      <c r="D218" s="39">
        <v>43501</v>
      </c>
      <c r="E218" s="76">
        <v>6.6557377049180326</v>
      </c>
      <c r="F218" s="76">
        <v>4273</v>
      </c>
      <c r="G218" s="33" t="s">
        <v>81</v>
      </c>
      <c r="H218" s="105">
        <v>2.6276137761377614</v>
      </c>
      <c r="I218" s="33" t="s">
        <v>7</v>
      </c>
      <c r="J218" s="33">
        <v>6</v>
      </c>
      <c r="K218" s="76" t="s">
        <v>77</v>
      </c>
    </row>
    <row r="219" spans="1:11" x14ac:dyDescent="0.2">
      <c r="A219" s="114" t="s">
        <v>58</v>
      </c>
      <c r="B219" s="84" t="s">
        <v>10</v>
      </c>
      <c r="C219" s="39">
        <v>43298</v>
      </c>
      <c r="D219" s="39">
        <v>43531</v>
      </c>
      <c r="E219" s="76">
        <v>7.639344262295082</v>
      </c>
      <c r="F219" s="76">
        <v>5569</v>
      </c>
      <c r="G219" s="33" t="s">
        <v>81</v>
      </c>
      <c r="H219" s="105">
        <v>3</v>
      </c>
      <c r="I219" s="33" t="s">
        <v>7</v>
      </c>
      <c r="J219" s="33">
        <v>7</v>
      </c>
      <c r="K219" s="76" t="s">
        <v>77</v>
      </c>
    </row>
    <row r="220" spans="1:11" x14ac:dyDescent="0.2">
      <c r="A220" s="114" t="s">
        <v>45</v>
      </c>
      <c r="B220" s="84" t="s">
        <v>10</v>
      </c>
      <c r="C220" s="39">
        <v>43892</v>
      </c>
      <c r="D220" s="39">
        <v>44186</v>
      </c>
      <c r="E220" s="76">
        <v>9.6393442622950811</v>
      </c>
      <c r="F220" s="76">
        <v>232614</v>
      </c>
      <c r="G220" s="33" t="s">
        <v>81</v>
      </c>
      <c r="H220" s="105">
        <v>547.20000000000005</v>
      </c>
      <c r="I220" s="33" t="s">
        <v>7</v>
      </c>
      <c r="J220" s="33">
        <v>9</v>
      </c>
      <c r="K220" s="76" t="s">
        <v>78</v>
      </c>
    </row>
    <row r="221" spans="1:11" x14ac:dyDescent="0.2">
      <c r="A221" s="114" t="s">
        <v>45</v>
      </c>
      <c r="B221" s="84" t="s">
        <v>10</v>
      </c>
      <c r="C221" s="39">
        <v>43892</v>
      </c>
      <c r="D221" s="53">
        <v>44217</v>
      </c>
      <c r="E221" s="76">
        <v>10.655737704918034</v>
      </c>
      <c r="F221" s="76">
        <v>107288</v>
      </c>
      <c r="G221" s="33" t="s">
        <v>81</v>
      </c>
      <c r="H221" s="105">
        <v>178.93</v>
      </c>
      <c r="I221" s="33" t="s">
        <v>7</v>
      </c>
      <c r="J221" s="33">
        <v>10</v>
      </c>
      <c r="K221" s="76" t="s">
        <v>78</v>
      </c>
    </row>
    <row r="222" spans="1:11" x14ac:dyDescent="0.2">
      <c r="A222" s="114" t="s">
        <v>45</v>
      </c>
      <c r="B222" s="84" t="s">
        <v>10</v>
      </c>
      <c r="C222" s="39">
        <v>43892</v>
      </c>
      <c r="D222" s="53">
        <v>44248</v>
      </c>
      <c r="E222" s="76">
        <v>11.672131147540984</v>
      </c>
      <c r="F222" s="76">
        <v>137670</v>
      </c>
      <c r="G222" s="33" t="s">
        <v>81</v>
      </c>
      <c r="H222" s="105">
        <v>263.74</v>
      </c>
      <c r="I222" s="33" t="s">
        <v>7</v>
      </c>
      <c r="J222" s="33">
        <v>11</v>
      </c>
      <c r="K222" s="76" t="s">
        <v>78</v>
      </c>
    </row>
    <row r="223" spans="1:11" x14ac:dyDescent="0.2">
      <c r="A223" s="114" t="s">
        <v>46</v>
      </c>
      <c r="B223" s="84" t="s">
        <v>10</v>
      </c>
      <c r="C223" s="39">
        <v>43892</v>
      </c>
      <c r="D223" s="39">
        <v>43958</v>
      </c>
      <c r="E223" s="76">
        <v>2.1639344262295084</v>
      </c>
      <c r="F223" s="76">
        <v>4255</v>
      </c>
      <c r="G223" s="33" t="s">
        <v>81</v>
      </c>
      <c r="H223" s="105">
        <v>1.3923458284928905</v>
      </c>
      <c r="I223" s="33" t="s">
        <v>7</v>
      </c>
      <c r="J223" s="33">
        <v>2</v>
      </c>
      <c r="K223" s="76" t="s">
        <v>72</v>
      </c>
    </row>
    <row r="224" spans="1:11" x14ac:dyDescent="0.2">
      <c r="A224" s="114" t="s">
        <v>46</v>
      </c>
      <c r="B224" s="108" t="s">
        <v>10</v>
      </c>
      <c r="C224" s="39">
        <v>43892</v>
      </c>
      <c r="D224" s="39">
        <v>43989</v>
      </c>
      <c r="E224" s="76">
        <v>3.180327868852459</v>
      </c>
      <c r="F224" s="85">
        <v>6124</v>
      </c>
      <c r="G224" s="33" t="s">
        <v>81</v>
      </c>
      <c r="H224" s="105">
        <v>5.5</v>
      </c>
      <c r="I224" s="33" t="s">
        <v>7</v>
      </c>
      <c r="J224" s="33">
        <v>3</v>
      </c>
      <c r="K224" s="76" t="s">
        <v>76</v>
      </c>
    </row>
    <row r="225" spans="1:11" x14ac:dyDescent="0.2">
      <c r="A225" s="114" t="s">
        <v>46</v>
      </c>
      <c r="B225" s="84" t="s">
        <v>10</v>
      </c>
      <c r="C225" s="39">
        <v>43892</v>
      </c>
      <c r="D225" s="39">
        <v>44019</v>
      </c>
      <c r="E225" s="76">
        <v>4.1639344262295079</v>
      </c>
      <c r="F225" s="85">
        <v>25729</v>
      </c>
      <c r="G225" s="33" t="s">
        <v>81</v>
      </c>
      <c r="H225" s="105">
        <v>16.117013279879728</v>
      </c>
      <c r="I225" s="33" t="s">
        <v>7</v>
      </c>
      <c r="J225" s="33">
        <v>4</v>
      </c>
      <c r="K225" s="76" t="s">
        <v>76</v>
      </c>
    </row>
    <row r="226" spans="1:11" x14ac:dyDescent="0.2">
      <c r="A226" s="114" t="s">
        <v>46</v>
      </c>
      <c r="B226" s="84" t="s">
        <v>10</v>
      </c>
      <c r="C226" s="39">
        <v>43892</v>
      </c>
      <c r="D226" s="39">
        <v>44046</v>
      </c>
      <c r="E226" s="76">
        <v>5.0491803278688527</v>
      </c>
      <c r="F226" s="76">
        <v>67394</v>
      </c>
      <c r="G226" s="33" t="s">
        <v>81</v>
      </c>
      <c r="H226" s="105">
        <v>42.2</v>
      </c>
      <c r="I226" s="33" t="s">
        <v>7</v>
      </c>
      <c r="J226" s="33">
        <v>5</v>
      </c>
      <c r="K226" s="76" t="s">
        <v>76</v>
      </c>
    </row>
    <row r="227" spans="1:11" x14ac:dyDescent="0.2">
      <c r="A227" s="114" t="s">
        <v>46</v>
      </c>
      <c r="B227" s="84" t="s">
        <v>10</v>
      </c>
      <c r="C227" s="39">
        <v>43892</v>
      </c>
      <c r="D227" s="39">
        <v>44085</v>
      </c>
      <c r="E227" s="76">
        <v>6.3278688524590168</v>
      </c>
      <c r="F227" s="76">
        <v>191418</v>
      </c>
      <c r="G227" s="33" t="s">
        <v>81</v>
      </c>
      <c r="H227" s="105">
        <v>108.73162419055555</v>
      </c>
      <c r="I227" s="33" t="s">
        <v>7</v>
      </c>
      <c r="J227" s="33">
        <v>6</v>
      </c>
      <c r="K227" s="76" t="s">
        <v>77</v>
      </c>
    </row>
    <row r="228" spans="1:11" x14ac:dyDescent="0.2">
      <c r="A228" s="114" t="s">
        <v>46</v>
      </c>
      <c r="B228" s="84" t="s">
        <v>10</v>
      </c>
      <c r="C228" s="39">
        <v>43892</v>
      </c>
      <c r="D228" s="39">
        <v>44105</v>
      </c>
      <c r="E228" s="76">
        <v>6.9836065573770494</v>
      </c>
      <c r="F228" s="76">
        <v>106714</v>
      </c>
      <c r="G228" s="33" t="s">
        <v>81</v>
      </c>
      <c r="H228" s="105">
        <v>100.98358173645612</v>
      </c>
      <c r="I228" s="33" t="s">
        <v>7</v>
      </c>
      <c r="J228" s="33">
        <v>6</v>
      </c>
      <c r="K228" s="76" t="s">
        <v>77</v>
      </c>
    </row>
    <row r="229" spans="1:11" x14ac:dyDescent="0.2">
      <c r="A229" s="114" t="s">
        <v>46</v>
      </c>
      <c r="B229" s="84" t="s">
        <v>10</v>
      </c>
      <c r="C229" s="39">
        <v>43892</v>
      </c>
      <c r="D229" s="39">
        <v>44115</v>
      </c>
      <c r="E229" s="76">
        <v>7.3114754098360653</v>
      </c>
      <c r="F229" s="76">
        <v>23575</v>
      </c>
      <c r="G229" s="33" t="s">
        <v>81</v>
      </c>
      <c r="H229" s="105">
        <v>15.517969984202212</v>
      </c>
      <c r="I229" s="33" t="s">
        <v>7</v>
      </c>
      <c r="J229" s="33">
        <v>7</v>
      </c>
      <c r="K229" s="76" t="s">
        <v>77</v>
      </c>
    </row>
    <row r="230" spans="1:11" x14ac:dyDescent="0.2">
      <c r="A230" s="114" t="s">
        <v>46</v>
      </c>
      <c r="B230" s="84" t="s">
        <v>10</v>
      </c>
      <c r="C230" s="39">
        <v>43892</v>
      </c>
      <c r="D230" s="39">
        <v>44186</v>
      </c>
      <c r="E230" s="76">
        <v>9.6393442622950811</v>
      </c>
      <c r="F230" s="76">
        <v>215596</v>
      </c>
      <c r="G230" s="33" t="s">
        <v>81</v>
      </c>
      <c r="H230" s="105">
        <v>507.16</v>
      </c>
      <c r="I230" s="33" t="s">
        <v>7</v>
      </c>
      <c r="J230" s="33">
        <v>9</v>
      </c>
      <c r="K230" s="76" t="s">
        <v>78</v>
      </c>
    </row>
    <row r="231" spans="1:11" x14ac:dyDescent="0.2">
      <c r="A231" s="114" t="s">
        <v>46</v>
      </c>
      <c r="B231" s="84" t="s">
        <v>10</v>
      </c>
      <c r="C231" s="39">
        <v>43892</v>
      </c>
      <c r="D231" s="53">
        <v>44217</v>
      </c>
      <c r="E231" s="76">
        <v>10.655737704918034</v>
      </c>
      <c r="F231" s="76">
        <v>116354</v>
      </c>
      <c r="G231" s="33" t="s">
        <v>81</v>
      </c>
      <c r="H231" s="105">
        <v>194.05</v>
      </c>
      <c r="I231" s="33" t="s">
        <v>7</v>
      </c>
      <c r="J231" s="33">
        <v>10</v>
      </c>
      <c r="K231" s="76" t="s">
        <v>78</v>
      </c>
    </row>
    <row r="232" spans="1:11" x14ac:dyDescent="0.2">
      <c r="A232" s="114" t="s">
        <v>46</v>
      </c>
      <c r="B232" s="84" t="s">
        <v>10</v>
      </c>
      <c r="C232" s="39">
        <v>43892</v>
      </c>
      <c r="D232" s="39">
        <v>44228</v>
      </c>
      <c r="E232" s="76">
        <v>11.016393442622951</v>
      </c>
      <c r="F232" s="76">
        <v>148349</v>
      </c>
      <c r="G232" s="33" t="s">
        <v>81</v>
      </c>
      <c r="H232" s="105">
        <v>284.19</v>
      </c>
      <c r="I232" s="33" t="s">
        <v>7</v>
      </c>
      <c r="J232" s="33">
        <v>11</v>
      </c>
      <c r="K232" s="76" t="s">
        <v>78</v>
      </c>
    </row>
    <row r="233" spans="1:11" x14ac:dyDescent="0.2">
      <c r="A233" s="114" t="s">
        <v>46</v>
      </c>
      <c r="B233" s="84" t="s">
        <v>10</v>
      </c>
      <c r="C233" s="39">
        <v>43892</v>
      </c>
      <c r="D233" s="53">
        <v>44245</v>
      </c>
      <c r="E233" s="76">
        <v>11.573770491803279</v>
      </c>
      <c r="F233" s="76">
        <v>17704.5</v>
      </c>
      <c r="G233" s="33" t="s">
        <v>81</v>
      </c>
      <c r="H233" s="105">
        <v>13.9</v>
      </c>
      <c r="I233" s="33" t="s">
        <v>7</v>
      </c>
      <c r="J233" s="33">
        <v>11</v>
      </c>
      <c r="K233" s="76" t="s">
        <v>78</v>
      </c>
    </row>
    <row r="234" spans="1:11" x14ac:dyDescent="0.2">
      <c r="A234" s="114" t="s">
        <v>47</v>
      </c>
      <c r="B234" s="108" t="s">
        <v>10</v>
      </c>
      <c r="C234" s="39">
        <v>43892</v>
      </c>
      <c r="D234" s="39">
        <v>43958</v>
      </c>
      <c r="E234" s="76">
        <v>2.1639344262295084</v>
      </c>
      <c r="F234" s="76">
        <v>2358</v>
      </c>
      <c r="G234" s="33" t="s">
        <v>81</v>
      </c>
      <c r="H234" s="105">
        <v>0.77156928514161371</v>
      </c>
      <c r="I234" s="33" t="s">
        <v>7</v>
      </c>
      <c r="J234" s="33">
        <v>2</v>
      </c>
      <c r="K234" s="76" t="s">
        <v>72</v>
      </c>
    </row>
    <row r="235" spans="1:11" x14ac:dyDescent="0.2">
      <c r="A235" s="114" t="s">
        <v>47</v>
      </c>
      <c r="B235" s="84" t="s">
        <v>10</v>
      </c>
      <c r="C235" s="39">
        <v>43892</v>
      </c>
      <c r="D235" s="39">
        <v>43989</v>
      </c>
      <c r="E235" s="76">
        <v>3.180327868852459</v>
      </c>
      <c r="F235" s="76">
        <v>32213</v>
      </c>
      <c r="G235" s="33" t="s">
        <v>81</v>
      </c>
      <c r="H235" s="105">
        <v>29</v>
      </c>
      <c r="I235" s="33" t="s">
        <v>7</v>
      </c>
      <c r="J235" s="33">
        <v>3</v>
      </c>
      <c r="K235" s="76" t="s">
        <v>76</v>
      </c>
    </row>
    <row r="236" spans="1:11" x14ac:dyDescent="0.2">
      <c r="A236" s="114" t="s">
        <v>47</v>
      </c>
      <c r="B236" s="84" t="s">
        <v>10</v>
      </c>
      <c r="C236" s="39">
        <v>43892</v>
      </c>
      <c r="D236" s="39">
        <v>44019</v>
      </c>
      <c r="E236" s="76">
        <v>4.1639344262295079</v>
      </c>
      <c r="F236" s="76">
        <v>179104</v>
      </c>
      <c r="G236" s="33" t="s">
        <v>81</v>
      </c>
      <c r="H236" s="105">
        <v>112.19243297419193</v>
      </c>
      <c r="I236" s="33" t="s">
        <v>7</v>
      </c>
      <c r="J236" s="33">
        <v>4</v>
      </c>
      <c r="K236" s="76" t="s">
        <v>76</v>
      </c>
    </row>
    <row r="237" spans="1:11" x14ac:dyDescent="0.2">
      <c r="A237" s="114" t="s">
        <v>58</v>
      </c>
      <c r="B237" s="84" t="s">
        <v>10</v>
      </c>
      <c r="C237" s="39">
        <v>43298</v>
      </c>
      <c r="D237" s="39">
        <v>43559</v>
      </c>
      <c r="E237" s="76">
        <v>8.557377049180328</v>
      </c>
      <c r="F237" s="85">
        <v>5742</v>
      </c>
      <c r="G237" s="33" t="s">
        <v>81</v>
      </c>
      <c r="H237" s="105">
        <v>3.1</v>
      </c>
      <c r="I237" s="33" t="s">
        <v>7</v>
      </c>
      <c r="J237" s="33">
        <v>8</v>
      </c>
      <c r="K237" s="76" t="s">
        <v>77</v>
      </c>
    </row>
    <row r="238" spans="1:11" x14ac:dyDescent="0.2">
      <c r="A238" s="114" t="s">
        <v>47</v>
      </c>
      <c r="B238" s="84" t="s">
        <v>10</v>
      </c>
      <c r="C238" s="39">
        <v>43892</v>
      </c>
      <c r="D238" s="39">
        <v>44046</v>
      </c>
      <c r="E238" s="76">
        <v>5.0491803278688527</v>
      </c>
      <c r="F238" s="76">
        <v>178124</v>
      </c>
      <c r="G238" s="33" t="s">
        <v>81</v>
      </c>
      <c r="H238" s="105">
        <v>111.6</v>
      </c>
      <c r="I238" s="33" t="s">
        <v>7</v>
      </c>
      <c r="J238" s="33">
        <v>5</v>
      </c>
      <c r="K238" s="76" t="s">
        <v>76</v>
      </c>
    </row>
    <row r="239" spans="1:11" x14ac:dyDescent="0.2">
      <c r="A239" s="114" t="s">
        <v>58</v>
      </c>
      <c r="B239" s="84" t="s">
        <v>10</v>
      </c>
      <c r="C239" s="39">
        <v>43298</v>
      </c>
      <c r="D239" s="39">
        <v>43593</v>
      </c>
      <c r="E239" s="76">
        <v>9.6721311475409841</v>
      </c>
      <c r="F239" s="76">
        <v>3889</v>
      </c>
      <c r="G239" s="33" t="s">
        <v>81</v>
      </c>
      <c r="H239" s="105">
        <v>5.2</v>
      </c>
      <c r="I239" s="33" t="s">
        <v>7</v>
      </c>
      <c r="J239" s="33">
        <v>9</v>
      </c>
      <c r="K239" s="76" t="s">
        <v>78</v>
      </c>
    </row>
    <row r="240" spans="1:11" x14ac:dyDescent="0.2">
      <c r="A240" s="114" t="s">
        <v>58</v>
      </c>
      <c r="B240" s="84" t="s">
        <v>10</v>
      </c>
      <c r="C240" s="39">
        <v>43298</v>
      </c>
      <c r="D240" s="39">
        <v>43620</v>
      </c>
      <c r="E240" s="76">
        <v>10.557377049180328</v>
      </c>
      <c r="F240" s="76">
        <f>AVERAGE(6858,4049)</f>
        <v>5453.5</v>
      </c>
      <c r="G240" s="33" t="s">
        <v>81</v>
      </c>
      <c r="H240" s="105">
        <v>5.39</v>
      </c>
      <c r="I240" s="33" t="s">
        <v>8</v>
      </c>
      <c r="J240" s="33">
        <v>10</v>
      </c>
      <c r="K240" s="76" t="s">
        <v>78</v>
      </c>
    </row>
    <row r="241" spans="1:11" x14ac:dyDescent="0.2">
      <c r="A241" s="114" t="s">
        <v>47</v>
      </c>
      <c r="B241" s="84" t="s">
        <v>10</v>
      </c>
      <c r="C241" s="39">
        <v>43892</v>
      </c>
      <c r="D241" s="39">
        <v>44085</v>
      </c>
      <c r="E241" s="76">
        <v>6.3278688524590168</v>
      </c>
      <c r="F241" s="76">
        <v>201468</v>
      </c>
      <c r="G241" s="33" t="s">
        <v>81</v>
      </c>
      <c r="H241" s="105">
        <v>114.44011057674103</v>
      </c>
      <c r="I241" s="33" t="s">
        <v>7</v>
      </c>
      <c r="J241" s="33">
        <v>6</v>
      </c>
      <c r="K241" s="76" t="s">
        <v>77</v>
      </c>
    </row>
    <row r="242" spans="1:11" x14ac:dyDescent="0.2">
      <c r="A242" s="114" t="s">
        <v>47</v>
      </c>
      <c r="B242" s="84" t="s">
        <v>10</v>
      </c>
      <c r="C242" s="39">
        <v>43892</v>
      </c>
      <c r="D242" s="39">
        <v>44105</v>
      </c>
      <c r="E242" s="76">
        <v>6.9836065573770494</v>
      </c>
      <c r="F242" s="76">
        <v>188816</v>
      </c>
      <c r="G242" s="33" t="s">
        <v>81</v>
      </c>
      <c r="H242" s="105">
        <v>178.67622427253372</v>
      </c>
      <c r="I242" s="33" t="s">
        <v>7</v>
      </c>
      <c r="J242" s="33">
        <v>6</v>
      </c>
      <c r="K242" s="76" t="s">
        <v>77</v>
      </c>
    </row>
    <row r="243" spans="1:11" x14ac:dyDescent="0.2">
      <c r="A243" s="114" t="s">
        <v>47</v>
      </c>
      <c r="B243" s="84" t="s">
        <v>10</v>
      </c>
      <c r="C243" s="39">
        <v>43892</v>
      </c>
      <c r="D243" s="39">
        <v>44115</v>
      </c>
      <c r="E243" s="76">
        <v>7.3114754098360653</v>
      </c>
      <c r="F243" s="76">
        <v>78916</v>
      </c>
      <c r="G243" s="33" t="s">
        <v>81</v>
      </c>
      <c r="H243" s="105">
        <v>51.931739703666501</v>
      </c>
      <c r="I243" s="33" t="s">
        <v>7</v>
      </c>
      <c r="J243" s="33">
        <v>7</v>
      </c>
      <c r="K243" s="76" t="s">
        <v>77</v>
      </c>
    </row>
    <row r="244" spans="1:11" x14ac:dyDescent="0.2">
      <c r="A244" s="33" t="s">
        <v>59</v>
      </c>
      <c r="B244" s="33" t="s">
        <v>10</v>
      </c>
      <c r="C244" s="36">
        <v>43298</v>
      </c>
      <c r="D244" s="39" t="s">
        <v>82</v>
      </c>
      <c r="E244" s="76">
        <v>1.6065573770491803</v>
      </c>
      <c r="F244" s="48">
        <v>550</v>
      </c>
      <c r="G244" s="33" t="s">
        <v>81</v>
      </c>
      <c r="H244" s="84">
        <v>0.20468924451060663</v>
      </c>
      <c r="I244" s="33" t="s">
        <v>7</v>
      </c>
      <c r="J244" s="33">
        <v>1</v>
      </c>
      <c r="K244" s="33" t="s">
        <v>72</v>
      </c>
    </row>
    <row r="245" spans="1:11" x14ac:dyDescent="0.2">
      <c r="A245" s="114" t="s">
        <v>47</v>
      </c>
      <c r="B245" s="84" t="s">
        <v>10</v>
      </c>
      <c r="C245" s="39">
        <v>43892</v>
      </c>
      <c r="D245" s="53">
        <v>44186</v>
      </c>
      <c r="E245" s="76">
        <v>9.6393442622950811</v>
      </c>
      <c r="F245" s="76">
        <v>265597</v>
      </c>
      <c r="G245" s="33" t="s">
        <v>81</v>
      </c>
      <c r="H245" s="105">
        <v>624.79</v>
      </c>
      <c r="I245" s="33" t="s">
        <v>7</v>
      </c>
      <c r="J245" s="33">
        <v>9</v>
      </c>
      <c r="K245" s="76" t="s">
        <v>78</v>
      </c>
    </row>
    <row r="246" spans="1:11" x14ac:dyDescent="0.2">
      <c r="A246" s="114" t="s">
        <v>47</v>
      </c>
      <c r="B246" s="84" t="s">
        <v>10</v>
      </c>
      <c r="C246" s="39">
        <v>43892</v>
      </c>
      <c r="D246" s="53">
        <v>44217</v>
      </c>
      <c r="E246" s="76">
        <v>10.655737704918034</v>
      </c>
      <c r="F246" s="76">
        <v>106328</v>
      </c>
      <c r="G246" s="33" t="s">
        <v>81</v>
      </c>
      <c r="H246" s="105">
        <v>177.33</v>
      </c>
      <c r="I246" s="33" t="s">
        <v>7</v>
      </c>
      <c r="J246" s="33">
        <v>10</v>
      </c>
      <c r="K246" s="76" t="s">
        <v>78</v>
      </c>
    </row>
    <row r="247" spans="1:11" x14ac:dyDescent="0.2">
      <c r="A247" s="114" t="s">
        <v>47</v>
      </c>
      <c r="B247" s="84" t="s">
        <v>10</v>
      </c>
      <c r="C247" s="39">
        <v>43892</v>
      </c>
      <c r="D247" s="39">
        <v>44228</v>
      </c>
      <c r="E247" s="76">
        <v>11.016393442622951</v>
      </c>
      <c r="F247" s="76">
        <v>141270</v>
      </c>
      <c r="G247" s="33" t="s">
        <v>81</v>
      </c>
      <c r="H247" s="105">
        <v>270.63</v>
      </c>
      <c r="I247" s="33" t="s">
        <v>7</v>
      </c>
      <c r="J247" s="33">
        <v>11</v>
      </c>
      <c r="K247" s="76" t="s">
        <v>78</v>
      </c>
    </row>
    <row r="248" spans="1:11" x14ac:dyDescent="0.2">
      <c r="A248" s="114" t="s">
        <v>47</v>
      </c>
      <c r="B248" s="84" t="s">
        <v>10</v>
      </c>
      <c r="C248" s="39">
        <v>43892</v>
      </c>
      <c r="D248" s="39">
        <v>44246</v>
      </c>
      <c r="E248" s="76">
        <v>11.60655737704918</v>
      </c>
      <c r="F248" s="85">
        <v>19177.7</v>
      </c>
      <c r="G248" s="33" t="s">
        <v>81</v>
      </c>
      <c r="H248" s="105">
        <v>50.55</v>
      </c>
      <c r="I248" s="33" t="s">
        <v>8</v>
      </c>
      <c r="J248" s="33">
        <v>11</v>
      </c>
      <c r="K248" s="76" t="s">
        <v>78</v>
      </c>
    </row>
    <row r="249" spans="1:11" x14ac:dyDescent="0.2">
      <c r="A249" s="114" t="s">
        <v>48</v>
      </c>
      <c r="B249" s="84" t="s">
        <v>10</v>
      </c>
      <c r="C249" s="39">
        <v>43892</v>
      </c>
      <c r="D249" s="39">
        <v>43958</v>
      </c>
      <c r="E249" s="76">
        <v>2.1639344262295084</v>
      </c>
      <c r="F249" s="76">
        <v>2423</v>
      </c>
      <c r="G249" s="33" t="s">
        <v>81</v>
      </c>
      <c r="H249" s="105">
        <v>0.79290541093312827</v>
      </c>
      <c r="I249" s="33" t="s">
        <v>7</v>
      </c>
      <c r="J249" s="33">
        <v>2</v>
      </c>
      <c r="K249" s="76" t="s">
        <v>72</v>
      </c>
    </row>
    <row r="250" spans="1:11" x14ac:dyDescent="0.2">
      <c r="A250" s="114" t="s">
        <v>48</v>
      </c>
      <c r="B250" s="84" t="s">
        <v>10</v>
      </c>
      <c r="C250" s="39">
        <v>43892</v>
      </c>
      <c r="D250" s="39">
        <v>43989</v>
      </c>
      <c r="E250" s="76">
        <v>3.180327868852459</v>
      </c>
      <c r="F250" s="76">
        <v>3586</v>
      </c>
      <c r="G250" s="33" t="s">
        <v>81</v>
      </c>
      <c r="H250" s="105">
        <v>3.2</v>
      </c>
      <c r="I250" s="33" t="s">
        <v>7</v>
      </c>
      <c r="J250" s="33">
        <v>3</v>
      </c>
      <c r="K250" s="76" t="s">
        <v>76</v>
      </c>
    </row>
    <row r="251" spans="1:11" x14ac:dyDescent="0.2">
      <c r="A251" s="114" t="s">
        <v>48</v>
      </c>
      <c r="B251" s="84" t="s">
        <v>10</v>
      </c>
      <c r="C251" s="39">
        <v>43892</v>
      </c>
      <c r="D251" s="39">
        <v>44019</v>
      </c>
      <c r="E251" s="76">
        <v>4.1639344262295079</v>
      </c>
      <c r="F251" s="76">
        <v>4623</v>
      </c>
      <c r="G251" s="33" t="s">
        <v>81</v>
      </c>
      <c r="H251" s="105">
        <v>5.3248862523757401</v>
      </c>
      <c r="I251" s="33" t="s">
        <v>7</v>
      </c>
      <c r="J251" s="33">
        <v>4</v>
      </c>
      <c r="K251" s="76" t="s">
        <v>76</v>
      </c>
    </row>
    <row r="252" spans="1:11" x14ac:dyDescent="0.2">
      <c r="A252" s="114" t="s">
        <v>48</v>
      </c>
      <c r="B252" s="84" t="s">
        <v>10</v>
      </c>
      <c r="C252" s="39">
        <v>43892</v>
      </c>
      <c r="D252" s="39">
        <v>44046</v>
      </c>
      <c r="E252" s="76">
        <v>5.0491803278688527</v>
      </c>
      <c r="F252" s="76">
        <v>36930</v>
      </c>
      <c r="G252" s="33" t="s">
        <v>81</v>
      </c>
      <c r="H252" s="105">
        <v>23.1</v>
      </c>
      <c r="I252" s="33" t="s">
        <v>7</v>
      </c>
      <c r="J252" s="33">
        <v>5</v>
      </c>
      <c r="K252" s="76" t="s">
        <v>76</v>
      </c>
    </row>
    <row r="253" spans="1:11" x14ac:dyDescent="0.2">
      <c r="A253" s="114" t="s">
        <v>48</v>
      </c>
      <c r="B253" s="84" t="s">
        <v>10</v>
      </c>
      <c r="C253" s="39">
        <v>43892</v>
      </c>
      <c r="D253" s="39">
        <v>44085</v>
      </c>
      <c r="E253" s="76">
        <v>6.3278688524590168</v>
      </c>
      <c r="F253" s="76">
        <v>170969</v>
      </c>
      <c r="G253" s="33" t="s">
        <v>81</v>
      </c>
      <c r="H253" s="105">
        <v>97.115726890597202</v>
      </c>
      <c r="I253" s="33" t="s">
        <v>7</v>
      </c>
      <c r="J253" s="33">
        <v>6</v>
      </c>
      <c r="K253" s="76" t="s">
        <v>77</v>
      </c>
    </row>
    <row r="254" spans="1:11" x14ac:dyDescent="0.2">
      <c r="A254" s="114" t="s">
        <v>48</v>
      </c>
      <c r="B254" s="84" t="s">
        <v>10</v>
      </c>
      <c r="C254" s="39">
        <v>43892</v>
      </c>
      <c r="D254" s="39">
        <v>44105</v>
      </c>
      <c r="E254" s="76">
        <v>6.9836065573770494</v>
      </c>
      <c r="F254" s="76">
        <v>134821</v>
      </c>
      <c r="G254" s="33" t="s">
        <v>81</v>
      </c>
      <c r="H254" s="105">
        <v>127.58060089898272</v>
      </c>
      <c r="I254" s="33" t="s">
        <v>7</v>
      </c>
      <c r="J254" s="33">
        <v>6</v>
      </c>
      <c r="K254" s="76" t="s">
        <v>77</v>
      </c>
    </row>
    <row r="255" spans="1:11" x14ac:dyDescent="0.2">
      <c r="A255" s="114" t="s">
        <v>48</v>
      </c>
      <c r="B255" s="84" t="s">
        <v>10</v>
      </c>
      <c r="C255" s="39">
        <v>43892</v>
      </c>
      <c r="D255" s="39">
        <v>44115</v>
      </c>
      <c r="E255" s="76">
        <v>7.3114754098360653</v>
      </c>
      <c r="F255" s="76">
        <v>45941</v>
      </c>
      <c r="G255" s="33" t="s">
        <v>81</v>
      </c>
      <c r="H255" s="105">
        <v>30.2</v>
      </c>
      <c r="I255" s="33" t="s">
        <v>7</v>
      </c>
      <c r="J255" s="33">
        <v>7</v>
      </c>
      <c r="K255" s="76" t="s">
        <v>77</v>
      </c>
    </row>
    <row r="256" spans="1:11" x14ac:dyDescent="0.2">
      <c r="A256" s="114" t="s">
        <v>48</v>
      </c>
      <c r="B256" s="84" t="s">
        <v>10</v>
      </c>
      <c r="C256" s="39">
        <v>43892</v>
      </c>
      <c r="D256" s="53">
        <v>44186</v>
      </c>
      <c r="E256" s="76">
        <v>9.6393442622950811</v>
      </c>
      <c r="F256" s="76">
        <v>244499</v>
      </c>
      <c r="G256" s="33" t="s">
        <v>81</v>
      </c>
      <c r="H256" s="105">
        <v>575.16</v>
      </c>
      <c r="I256" s="33" t="s">
        <v>7</v>
      </c>
      <c r="J256" s="33">
        <v>9</v>
      </c>
      <c r="K256" s="76" t="s">
        <v>78</v>
      </c>
    </row>
    <row r="257" spans="1:11" x14ac:dyDescent="0.2">
      <c r="A257" s="114" t="s">
        <v>48</v>
      </c>
      <c r="B257" s="84" t="s">
        <v>10</v>
      </c>
      <c r="C257" s="39">
        <v>43892</v>
      </c>
      <c r="D257" s="39">
        <v>44217</v>
      </c>
      <c r="E257" s="76">
        <v>10.655737704918034</v>
      </c>
      <c r="F257" s="76">
        <v>122013</v>
      </c>
      <c r="G257" s="33" t="s">
        <v>81</v>
      </c>
      <c r="H257" s="105">
        <v>203.49</v>
      </c>
      <c r="I257" s="33" t="s">
        <v>7</v>
      </c>
      <c r="J257" s="33">
        <v>10</v>
      </c>
      <c r="K257" s="76" t="s">
        <v>78</v>
      </c>
    </row>
    <row r="258" spans="1:11" x14ac:dyDescent="0.2">
      <c r="A258" s="114" t="s">
        <v>48</v>
      </c>
      <c r="B258" s="84" t="s">
        <v>10</v>
      </c>
      <c r="C258" s="39">
        <v>43892</v>
      </c>
      <c r="D258" s="39">
        <v>44248</v>
      </c>
      <c r="E258" s="76">
        <v>11.672131147540984</v>
      </c>
      <c r="F258" s="85">
        <v>147150</v>
      </c>
      <c r="G258" s="33" t="s">
        <v>81</v>
      </c>
      <c r="H258" s="105">
        <v>281.98</v>
      </c>
      <c r="I258" s="33" t="s">
        <v>7</v>
      </c>
      <c r="J258" s="33">
        <v>11</v>
      </c>
      <c r="K258" s="76" t="s">
        <v>78</v>
      </c>
    </row>
    <row r="259" spans="1:11" x14ac:dyDescent="0.2">
      <c r="A259" s="114" t="s">
        <v>48</v>
      </c>
      <c r="B259" s="84" t="s">
        <v>10</v>
      </c>
      <c r="C259" s="39">
        <v>43892</v>
      </c>
      <c r="D259" s="53">
        <v>44276</v>
      </c>
      <c r="E259" s="76">
        <v>12.590163934426229</v>
      </c>
      <c r="F259" s="76">
        <v>132722</v>
      </c>
      <c r="G259" s="33" t="s">
        <v>81</v>
      </c>
      <c r="H259" s="105">
        <v>254.26</v>
      </c>
      <c r="I259" s="33" t="s">
        <v>7</v>
      </c>
      <c r="J259" s="33">
        <v>12</v>
      </c>
      <c r="K259" s="76" t="s">
        <v>78</v>
      </c>
    </row>
    <row r="260" spans="1:11" x14ac:dyDescent="0.2">
      <c r="A260" s="104" t="s">
        <v>48</v>
      </c>
      <c r="B260" s="84" t="s">
        <v>10</v>
      </c>
      <c r="C260" s="39">
        <v>43892</v>
      </c>
      <c r="D260" s="39">
        <v>44307</v>
      </c>
      <c r="E260" s="76">
        <v>13.60655737704918</v>
      </c>
      <c r="F260" s="133">
        <v>99772</v>
      </c>
      <c r="G260" s="33" t="s">
        <v>81</v>
      </c>
      <c r="H260" s="105">
        <v>159.25251396648045</v>
      </c>
      <c r="I260" s="33" t="s">
        <v>7</v>
      </c>
      <c r="J260" s="33">
        <v>13</v>
      </c>
      <c r="K260" s="76" t="s">
        <v>79</v>
      </c>
    </row>
    <row r="261" spans="1:11" x14ac:dyDescent="0.2">
      <c r="A261" s="114" t="s">
        <v>59</v>
      </c>
      <c r="B261" s="84" t="s">
        <v>10</v>
      </c>
      <c r="C261" s="39">
        <v>43298</v>
      </c>
      <c r="D261" s="39">
        <v>43376</v>
      </c>
      <c r="E261" s="76">
        <v>2.557377049180328</v>
      </c>
      <c r="F261" s="76">
        <v>2231</v>
      </c>
      <c r="G261" s="33" t="s">
        <v>81</v>
      </c>
      <c r="H261" s="105">
        <v>4.9000000000000004</v>
      </c>
      <c r="I261" s="33" t="s">
        <v>7</v>
      </c>
      <c r="J261" s="33">
        <v>2</v>
      </c>
      <c r="K261" s="76" t="s">
        <v>72</v>
      </c>
    </row>
    <row r="262" spans="1:11" x14ac:dyDescent="0.2">
      <c r="A262" s="114" t="s">
        <v>48</v>
      </c>
      <c r="B262" s="84" t="s">
        <v>10</v>
      </c>
      <c r="C262" s="39">
        <v>43892</v>
      </c>
      <c r="D262" s="39">
        <v>44337</v>
      </c>
      <c r="E262" s="76">
        <v>14.590163934426229</v>
      </c>
      <c r="F262" s="76">
        <v>120798</v>
      </c>
      <c r="G262" s="33" t="s">
        <v>81</v>
      </c>
      <c r="H262" s="105">
        <v>288.39999999999998</v>
      </c>
      <c r="I262" s="33" t="s">
        <v>7</v>
      </c>
      <c r="J262" s="33">
        <v>14</v>
      </c>
      <c r="K262" s="76" t="s">
        <v>79</v>
      </c>
    </row>
    <row r="263" spans="1:11" x14ac:dyDescent="0.2">
      <c r="A263" s="114" t="s">
        <v>48</v>
      </c>
      <c r="B263" s="84" t="s">
        <v>10</v>
      </c>
      <c r="C263" s="39">
        <v>43892</v>
      </c>
      <c r="D263" s="39">
        <v>44375</v>
      </c>
      <c r="E263" s="76">
        <v>15.836065573770492</v>
      </c>
      <c r="F263" s="76">
        <f>AVERAGE(52943.7, 77572)</f>
        <v>65257.85</v>
      </c>
      <c r="G263" s="33" t="s">
        <v>81</v>
      </c>
      <c r="H263" s="105">
        <v>9.6750000000000007</v>
      </c>
      <c r="I263" s="33" t="s">
        <v>8</v>
      </c>
      <c r="J263" s="33">
        <v>15</v>
      </c>
      <c r="K263" s="76" t="s">
        <v>79</v>
      </c>
    </row>
    <row r="264" spans="1:11" x14ac:dyDescent="0.2">
      <c r="A264" s="114" t="s">
        <v>49</v>
      </c>
      <c r="B264" s="108" t="s">
        <v>10</v>
      </c>
      <c r="C264" s="39">
        <v>43892</v>
      </c>
      <c r="D264" s="39">
        <v>43958</v>
      </c>
      <c r="E264" s="76">
        <v>2.1639344262295084</v>
      </c>
      <c r="F264" s="76">
        <v>3469</v>
      </c>
      <c r="G264" s="33" t="s">
        <v>81</v>
      </c>
      <c r="H264" s="105">
        <v>1.1351996989381024</v>
      </c>
      <c r="I264" s="33" t="s">
        <v>7</v>
      </c>
      <c r="J264" s="33">
        <v>2</v>
      </c>
      <c r="K264" s="76" t="s">
        <v>72</v>
      </c>
    </row>
    <row r="265" spans="1:11" x14ac:dyDescent="0.2">
      <c r="A265" s="114" t="s">
        <v>49</v>
      </c>
      <c r="B265" s="84" t="s">
        <v>10</v>
      </c>
      <c r="C265" s="39">
        <v>43892</v>
      </c>
      <c r="D265" s="39">
        <v>43989</v>
      </c>
      <c r="E265" s="76">
        <v>3.180327868852459</v>
      </c>
      <c r="F265" s="76">
        <v>147536</v>
      </c>
      <c r="G265" s="33" t="s">
        <v>81</v>
      </c>
      <c r="H265" s="105">
        <v>132.9</v>
      </c>
      <c r="I265" s="33" t="s">
        <v>7</v>
      </c>
      <c r="J265" s="33">
        <v>3</v>
      </c>
      <c r="K265" s="76" t="s">
        <v>76</v>
      </c>
    </row>
    <row r="266" spans="1:11" x14ac:dyDescent="0.2">
      <c r="A266" s="114" t="s">
        <v>49</v>
      </c>
      <c r="B266" s="84" t="s">
        <v>10</v>
      </c>
      <c r="C266" s="39">
        <v>43892</v>
      </c>
      <c r="D266" s="39">
        <v>44019</v>
      </c>
      <c r="E266" s="76">
        <v>4.1639344262295079</v>
      </c>
      <c r="F266" s="76">
        <v>196797</v>
      </c>
      <c r="G266" s="33" t="s">
        <v>81</v>
      </c>
      <c r="H266" s="105">
        <v>123.27568278626909</v>
      </c>
      <c r="I266" s="33" t="s">
        <v>7</v>
      </c>
      <c r="J266" s="33">
        <v>4</v>
      </c>
      <c r="K266" s="76" t="s">
        <v>76</v>
      </c>
    </row>
    <row r="267" spans="1:11" x14ac:dyDescent="0.2">
      <c r="A267" s="114" t="s">
        <v>49</v>
      </c>
      <c r="B267" s="84" t="s">
        <v>10</v>
      </c>
      <c r="C267" s="39">
        <v>43892</v>
      </c>
      <c r="D267" s="39">
        <v>44046</v>
      </c>
      <c r="E267" s="76">
        <v>5.0491803278688527</v>
      </c>
      <c r="F267" s="76">
        <v>195807</v>
      </c>
      <c r="G267" s="33" t="s">
        <v>81</v>
      </c>
      <c r="H267" s="105">
        <v>122.7</v>
      </c>
      <c r="I267" s="33" t="s">
        <v>7</v>
      </c>
      <c r="J267" s="33">
        <v>5</v>
      </c>
      <c r="K267" s="76" t="s">
        <v>76</v>
      </c>
    </row>
    <row r="268" spans="1:11" x14ac:dyDescent="0.2">
      <c r="A268" s="114" t="s">
        <v>59</v>
      </c>
      <c r="B268" s="84" t="s">
        <v>10</v>
      </c>
      <c r="C268" s="39">
        <v>43298</v>
      </c>
      <c r="D268" s="39">
        <v>43411</v>
      </c>
      <c r="E268" s="76">
        <v>3.7049180327868854</v>
      </c>
      <c r="F268" s="76">
        <v>889</v>
      </c>
      <c r="G268" s="33" t="s">
        <v>81</v>
      </c>
      <c r="H268" s="105">
        <v>0.68648648648648647</v>
      </c>
      <c r="I268" s="33" t="s">
        <v>7</v>
      </c>
      <c r="J268" s="33">
        <v>3</v>
      </c>
      <c r="K268" s="76" t="s">
        <v>76</v>
      </c>
    </row>
    <row r="269" spans="1:11" x14ac:dyDescent="0.2">
      <c r="A269" s="114" t="s">
        <v>59</v>
      </c>
      <c r="B269" s="84" t="s">
        <v>10</v>
      </c>
      <c r="C269" s="39">
        <v>43298</v>
      </c>
      <c r="D269" s="39">
        <v>43433</v>
      </c>
      <c r="E269" s="76">
        <v>4.4262295081967213</v>
      </c>
      <c r="F269" s="76">
        <f>AVERAGE(5839,1889)</f>
        <v>3864</v>
      </c>
      <c r="G269" s="33" t="s">
        <v>81</v>
      </c>
      <c r="H269" s="105">
        <v>3.79</v>
      </c>
      <c r="I269" s="33" t="s">
        <v>8</v>
      </c>
      <c r="J269" s="33">
        <v>4</v>
      </c>
      <c r="K269" s="76" t="s">
        <v>76</v>
      </c>
    </row>
    <row r="270" spans="1:11" x14ac:dyDescent="0.2">
      <c r="A270" s="33" t="s">
        <v>60</v>
      </c>
      <c r="B270" s="33" t="s">
        <v>10</v>
      </c>
      <c r="C270" s="36">
        <v>43298</v>
      </c>
      <c r="D270" s="39" t="s">
        <v>82</v>
      </c>
      <c r="E270" s="76">
        <v>1.6065573770491803</v>
      </c>
      <c r="F270" s="48">
        <v>1489</v>
      </c>
      <c r="G270" s="33" t="s">
        <v>81</v>
      </c>
      <c r="H270" s="84">
        <v>0.55396352809825089</v>
      </c>
      <c r="I270" s="33" t="s">
        <v>7</v>
      </c>
      <c r="J270" s="33">
        <v>1</v>
      </c>
      <c r="K270" s="33" t="s">
        <v>72</v>
      </c>
    </row>
    <row r="271" spans="1:11" x14ac:dyDescent="0.2">
      <c r="A271" s="114" t="s">
        <v>49</v>
      </c>
      <c r="B271" s="84" t="s">
        <v>10</v>
      </c>
      <c r="C271" s="39">
        <v>43892</v>
      </c>
      <c r="D271" s="39">
        <v>44085</v>
      </c>
      <c r="E271" s="76">
        <v>6.3278688524590168</v>
      </c>
      <c r="F271" s="76">
        <v>193545</v>
      </c>
      <c r="G271" s="33" t="s">
        <v>81</v>
      </c>
      <c r="H271" s="105">
        <v>109.93937213617603</v>
      </c>
      <c r="I271" s="33" t="s">
        <v>7</v>
      </c>
      <c r="J271" s="33">
        <v>6</v>
      </c>
      <c r="K271" s="76" t="s">
        <v>77</v>
      </c>
    </row>
    <row r="272" spans="1:11" x14ac:dyDescent="0.2">
      <c r="A272" s="114" t="s">
        <v>49</v>
      </c>
      <c r="B272" s="84" t="s">
        <v>10</v>
      </c>
      <c r="C272" s="39">
        <v>43892</v>
      </c>
      <c r="D272" s="39">
        <v>44105</v>
      </c>
      <c r="E272" s="76">
        <v>6.9836065573770494</v>
      </c>
      <c r="F272" s="76">
        <v>171333</v>
      </c>
      <c r="G272" s="33" t="s">
        <v>81</v>
      </c>
      <c r="H272" s="105">
        <v>162.1</v>
      </c>
      <c r="I272" s="33" t="s">
        <v>7</v>
      </c>
      <c r="J272" s="33">
        <v>6</v>
      </c>
      <c r="K272" s="76" t="s">
        <v>77</v>
      </c>
    </row>
    <row r="273" spans="1:11" x14ac:dyDescent="0.2">
      <c r="A273" s="114" t="s">
        <v>49</v>
      </c>
      <c r="B273" s="84" t="s">
        <v>10</v>
      </c>
      <c r="C273" s="39">
        <v>43892</v>
      </c>
      <c r="D273" s="39">
        <v>44115</v>
      </c>
      <c r="E273" s="76">
        <v>7.3114754098360653</v>
      </c>
      <c r="F273" s="76">
        <v>69871</v>
      </c>
      <c r="G273" s="33" t="s">
        <v>81</v>
      </c>
      <c r="H273" s="105">
        <v>46</v>
      </c>
      <c r="I273" s="33" t="s">
        <v>7</v>
      </c>
      <c r="J273" s="33">
        <v>7</v>
      </c>
      <c r="K273" s="76" t="s">
        <v>77</v>
      </c>
    </row>
    <row r="274" spans="1:11" x14ac:dyDescent="0.2">
      <c r="A274" s="114" t="s">
        <v>49</v>
      </c>
      <c r="B274" s="84" t="s">
        <v>10</v>
      </c>
      <c r="C274" s="39">
        <v>43892</v>
      </c>
      <c r="D274" s="39">
        <v>44186</v>
      </c>
      <c r="E274" s="76">
        <v>9.6393442622950811</v>
      </c>
      <c r="F274" s="76">
        <v>288052</v>
      </c>
      <c r="G274" s="33" t="s">
        <v>81</v>
      </c>
      <c r="H274" s="105">
        <v>677.61</v>
      </c>
      <c r="I274" s="33" t="s">
        <v>7</v>
      </c>
      <c r="J274" s="33">
        <v>9</v>
      </c>
      <c r="K274" s="76" t="s">
        <v>78</v>
      </c>
    </row>
    <row r="275" spans="1:11" x14ac:dyDescent="0.2">
      <c r="A275" s="114" t="s">
        <v>60</v>
      </c>
      <c r="B275" s="84" t="s">
        <v>10</v>
      </c>
      <c r="C275" s="39">
        <v>43298</v>
      </c>
      <c r="D275" s="39">
        <v>43376</v>
      </c>
      <c r="E275" s="76">
        <v>2.557377049180328</v>
      </c>
      <c r="F275" s="76">
        <v>577</v>
      </c>
      <c r="G275" s="33" t="s">
        <v>81</v>
      </c>
      <c r="H275" s="105">
        <v>1.3</v>
      </c>
      <c r="I275" s="33" t="s">
        <v>7</v>
      </c>
      <c r="J275" s="33">
        <v>2</v>
      </c>
      <c r="K275" s="76" t="s">
        <v>72</v>
      </c>
    </row>
    <row r="276" spans="1:11" x14ac:dyDescent="0.2">
      <c r="A276" s="114" t="s">
        <v>49</v>
      </c>
      <c r="B276" s="84" t="s">
        <v>10</v>
      </c>
      <c r="C276" s="39">
        <v>43892</v>
      </c>
      <c r="D276" s="39">
        <v>44217</v>
      </c>
      <c r="E276" s="76">
        <v>10.655737704918034</v>
      </c>
      <c r="F276" s="76">
        <v>133258</v>
      </c>
      <c r="G276" s="33" t="s">
        <v>81</v>
      </c>
      <c r="H276" s="105">
        <v>222.25</v>
      </c>
      <c r="I276" s="33" t="s">
        <v>7</v>
      </c>
      <c r="J276" s="33">
        <v>10</v>
      </c>
      <c r="K276" s="76" t="s">
        <v>78</v>
      </c>
    </row>
    <row r="277" spans="1:11" x14ac:dyDescent="0.2">
      <c r="A277" s="114" t="s">
        <v>49</v>
      </c>
      <c r="B277" s="84" t="s">
        <v>10</v>
      </c>
      <c r="C277" s="39">
        <v>43892</v>
      </c>
      <c r="D277" s="39">
        <v>44248</v>
      </c>
      <c r="E277" s="76">
        <v>11.672131147540984</v>
      </c>
      <c r="F277" s="76">
        <v>174084</v>
      </c>
      <c r="G277" s="33" t="s">
        <v>81</v>
      </c>
      <c r="H277" s="105">
        <v>333.49</v>
      </c>
      <c r="I277" s="33" t="s">
        <v>7</v>
      </c>
      <c r="J277" s="33">
        <v>11</v>
      </c>
      <c r="K277" s="76" t="s">
        <v>78</v>
      </c>
    </row>
    <row r="278" spans="1:11" x14ac:dyDescent="0.2">
      <c r="A278" s="114" t="s">
        <v>60</v>
      </c>
      <c r="B278" s="84" t="s">
        <v>10</v>
      </c>
      <c r="C278" s="39">
        <v>43298</v>
      </c>
      <c r="D278" s="39">
        <v>43411</v>
      </c>
      <c r="E278" s="76">
        <v>3.7049180327868854</v>
      </c>
      <c r="F278" s="76">
        <v>4004</v>
      </c>
      <c r="G278" s="33" t="s">
        <v>81</v>
      </c>
      <c r="H278" s="105">
        <v>3.0918918918918918</v>
      </c>
      <c r="I278" s="33" t="s">
        <v>7</v>
      </c>
      <c r="J278" s="33">
        <v>3</v>
      </c>
      <c r="K278" s="76" t="s">
        <v>76</v>
      </c>
    </row>
    <row r="279" spans="1:11" x14ac:dyDescent="0.2">
      <c r="A279" s="114" t="s">
        <v>60</v>
      </c>
      <c r="B279" s="84" t="s">
        <v>10</v>
      </c>
      <c r="C279" s="39">
        <v>43298</v>
      </c>
      <c r="D279" s="39">
        <v>43433</v>
      </c>
      <c r="E279" s="76">
        <v>4.4262295081967213</v>
      </c>
      <c r="F279" s="76">
        <v>24482</v>
      </c>
      <c r="G279" s="33" t="s">
        <v>81</v>
      </c>
      <c r="H279" s="105">
        <v>38.299999999999997</v>
      </c>
      <c r="I279" s="33" t="s">
        <v>7</v>
      </c>
      <c r="J279" s="33">
        <v>4</v>
      </c>
      <c r="K279" s="76" t="s">
        <v>76</v>
      </c>
    </row>
    <row r="280" spans="1:11" x14ac:dyDescent="0.2">
      <c r="A280" s="33" t="s">
        <v>61</v>
      </c>
      <c r="B280" s="33" t="s">
        <v>10</v>
      </c>
      <c r="C280" s="36">
        <v>43298</v>
      </c>
      <c r="D280" s="39" t="s">
        <v>82</v>
      </c>
      <c r="E280" s="76">
        <v>1.6065573770491803</v>
      </c>
      <c r="F280" s="76">
        <v>2982</v>
      </c>
      <c r="G280" s="33" t="s">
        <v>81</v>
      </c>
      <c r="H280" s="114">
        <v>1.1097878675102344</v>
      </c>
      <c r="I280" s="33" t="s">
        <v>7</v>
      </c>
      <c r="J280" s="33">
        <v>1</v>
      </c>
      <c r="K280" s="33" t="s">
        <v>72</v>
      </c>
    </row>
    <row r="281" spans="1:11" x14ac:dyDescent="0.2">
      <c r="A281" s="114" t="s">
        <v>61</v>
      </c>
      <c r="B281" s="84" t="s">
        <v>10</v>
      </c>
      <c r="C281" s="39">
        <v>43298</v>
      </c>
      <c r="D281" s="39">
        <v>43376</v>
      </c>
      <c r="E281" s="76">
        <v>2.557377049180328</v>
      </c>
      <c r="F281" s="76">
        <v>61128</v>
      </c>
      <c r="G281" s="33" t="s">
        <v>81</v>
      </c>
      <c r="H281" s="105">
        <v>135.19999999999999</v>
      </c>
      <c r="I281" s="33" t="s">
        <v>7</v>
      </c>
      <c r="J281" s="33">
        <v>2</v>
      </c>
      <c r="K281" s="76" t="s">
        <v>72</v>
      </c>
    </row>
    <row r="282" spans="1:11" x14ac:dyDescent="0.2">
      <c r="A282" s="114" t="s">
        <v>61</v>
      </c>
      <c r="B282" s="84" t="s">
        <v>10</v>
      </c>
      <c r="C282" s="39">
        <v>43298</v>
      </c>
      <c r="D282" s="39">
        <v>43411</v>
      </c>
      <c r="E282" s="76">
        <v>3.7049180327868854</v>
      </c>
      <c r="F282" s="76">
        <v>147615</v>
      </c>
      <c r="G282" s="33" t="s">
        <v>81</v>
      </c>
      <c r="H282" s="105">
        <v>113.98803088803089</v>
      </c>
      <c r="I282" s="33" t="s">
        <v>7</v>
      </c>
      <c r="J282" s="33">
        <v>3</v>
      </c>
      <c r="K282" s="76" t="s">
        <v>76</v>
      </c>
    </row>
    <row r="283" spans="1:11" x14ac:dyDescent="0.2">
      <c r="A283" s="114" t="s">
        <v>61</v>
      </c>
      <c r="B283" s="84" t="s">
        <v>10</v>
      </c>
      <c r="C283" s="39">
        <v>43298</v>
      </c>
      <c r="D283" s="39">
        <v>43447</v>
      </c>
      <c r="E283" s="76">
        <v>4.8852459016393439</v>
      </c>
      <c r="F283" s="76">
        <v>132602</v>
      </c>
      <c r="G283" s="33" t="s">
        <v>81</v>
      </c>
      <c r="H283" s="105">
        <v>207.51486697965572</v>
      </c>
      <c r="I283" s="33" t="s">
        <v>7</v>
      </c>
      <c r="J283" s="33">
        <v>4</v>
      </c>
      <c r="K283" s="76" t="s">
        <v>76</v>
      </c>
    </row>
    <row r="284" spans="1:11" x14ac:dyDescent="0.2">
      <c r="A284" s="114" t="s">
        <v>61</v>
      </c>
      <c r="B284" s="84" t="s">
        <v>10</v>
      </c>
      <c r="C284" s="39">
        <v>43298</v>
      </c>
      <c r="D284" s="39">
        <v>43474</v>
      </c>
      <c r="E284" s="76">
        <v>5.7704918032786887</v>
      </c>
      <c r="F284" s="76">
        <v>185259</v>
      </c>
      <c r="G284" s="33" t="s">
        <v>81</v>
      </c>
      <c r="H284" s="105">
        <v>348.2</v>
      </c>
      <c r="I284" s="33" t="s">
        <v>7</v>
      </c>
      <c r="J284" s="33">
        <v>5</v>
      </c>
      <c r="K284" s="76" t="s">
        <v>76</v>
      </c>
    </row>
    <row r="285" spans="1:11" x14ac:dyDescent="0.2">
      <c r="A285" s="114" t="s">
        <v>61</v>
      </c>
      <c r="B285" s="84" t="s">
        <v>10</v>
      </c>
      <c r="C285" s="39">
        <v>43298</v>
      </c>
      <c r="D285" s="39">
        <v>43501</v>
      </c>
      <c r="E285" s="76">
        <v>6.6557377049180326</v>
      </c>
      <c r="F285" s="76">
        <v>190371</v>
      </c>
      <c r="G285" s="33" t="s">
        <v>81</v>
      </c>
      <c r="H285" s="105">
        <v>117.07933579335793</v>
      </c>
      <c r="I285" s="33" t="s">
        <v>7</v>
      </c>
      <c r="J285" s="33">
        <v>6</v>
      </c>
      <c r="K285" s="76" t="s">
        <v>77</v>
      </c>
    </row>
    <row r="286" spans="1:11" x14ac:dyDescent="0.2">
      <c r="A286" s="114" t="s">
        <v>61</v>
      </c>
      <c r="B286" s="84" t="s">
        <v>10</v>
      </c>
      <c r="C286" s="39">
        <v>43298</v>
      </c>
      <c r="D286" s="39">
        <v>43531</v>
      </c>
      <c r="E286" s="76">
        <v>7.639344262295082</v>
      </c>
      <c r="F286" s="76">
        <v>174341</v>
      </c>
      <c r="G286" s="33" t="s">
        <v>81</v>
      </c>
      <c r="H286" s="105">
        <v>95</v>
      </c>
      <c r="I286" s="33" t="s">
        <v>7</v>
      </c>
      <c r="J286" s="33">
        <v>7</v>
      </c>
      <c r="K286" s="76" t="s">
        <v>77</v>
      </c>
    </row>
    <row r="287" spans="1:11" x14ac:dyDescent="0.2">
      <c r="A287" s="114" t="s">
        <v>61</v>
      </c>
      <c r="B287" s="84" t="s">
        <v>10</v>
      </c>
      <c r="C287" s="39">
        <v>43298</v>
      </c>
      <c r="D287" s="39">
        <v>43559</v>
      </c>
      <c r="E287" s="76">
        <v>8.557377049180328</v>
      </c>
      <c r="F287" s="76">
        <v>257311</v>
      </c>
      <c r="G287" s="33" t="s">
        <v>81</v>
      </c>
      <c r="H287" s="105">
        <v>140.19999999999999</v>
      </c>
      <c r="I287" s="33" t="s">
        <v>7</v>
      </c>
      <c r="J287" s="33">
        <v>8</v>
      </c>
      <c r="K287" s="76" t="s">
        <v>77</v>
      </c>
    </row>
    <row r="288" spans="1:11" x14ac:dyDescent="0.2">
      <c r="A288" s="114" t="s">
        <v>50</v>
      </c>
      <c r="B288" s="108" t="s">
        <v>10</v>
      </c>
      <c r="C288" s="39">
        <v>44179</v>
      </c>
      <c r="D288" s="39">
        <v>44269</v>
      </c>
      <c r="E288" s="76">
        <v>2.9508196721311477</v>
      </c>
      <c r="F288" s="76">
        <v>119249</v>
      </c>
      <c r="G288" s="33" t="s">
        <v>81</v>
      </c>
      <c r="H288" s="105">
        <v>228.45</v>
      </c>
      <c r="I288" s="33" t="s">
        <v>7</v>
      </c>
      <c r="J288" s="33">
        <v>2</v>
      </c>
      <c r="K288" s="76" t="s">
        <v>72</v>
      </c>
    </row>
    <row r="289" spans="1:11" x14ac:dyDescent="0.2">
      <c r="A289" s="114" t="s">
        <v>50</v>
      </c>
      <c r="B289" s="84" t="s">
        <v>10</v>
      </c>
      <c r="C289" s="39">
        <v>44179</v>
      </c>
      <c r="D289" s="39">
        <v>44300</v>
      </c>
      <c r="E289" s="76">
        <v>3.9672131147540983</v>
      </c>
      <c r="F289" s="76">
        <v>130632</v>
      </c>
      <c r="G289" s="33" t="s">
        <v>81</v>
      </c>
      <c r="H289" s="105">
        <v>208.51013567438147</v>
      </c>
      <c r="I289" s="33" t="s">
        <v>7</v>
      </c>
      <c r="J289" s="33">
        <v>3</v>
      </c>
      <c r="K289" s="76" t="s">
        <v>76</v>
      </c>
    </row>
    <row r="290" spans="1:11" x14ac:dyDescent="0.2">
      <c r="A290" s="114" t="s">
        <v>61</v>
      </c>
      <c r="B290" s="84" t="s">
        <v>10</v>
      </c>
      <c r="C290" s="39">
        <v>43298</v>
      </c>
      <c r="D290" s="39">
        <v>43593</v>
      </c>
      <c r="E290" s="76">
        <v>9.6721311475409841</v>
      </c>
      <c r="F290" s="85">
        <v>173811</v>
      </c>
      <c r="G290" s="33" t="s">
        <v>81</v>
      </c>
      <c r="H290" s="105">
        <v>233</v>
      </c>
      <c r="I290" s="33" t="s">
        <v>7</v>
      </c>
      <c r="J290" s="33">
        <v>9</v>
      </c>
      <c r="K290" s="76" t="s">
        <v>78</v>
      </c>
    </row>
    <row r="291" spans="1:11" x14ac:dyDescent="0.2">
      <c r="A291" s="114" t="s">
        <v>61</v>
      </c>
      <c r="B291" s="84" t="s">
        <v>10</v>
      </c>
      <c r="C291" s="39">
        <v>43298</v>
      </c>
      <c r="D291" s="53">
        <v>43620</v>
      </c>
      <c r="E291" s="76">
        <v>10.557377049180328</v>
      </c>
      <c r="F291" s="76">
        <v>134429</v>
      </c>
      <c r="G291" s="33" t="s">
        <v>81</v>
      </c>
      <c r="H291" s="105">
        <v>180.2</v>
      </c>
      <c r="I291" s="33" t="s">
        <v>7</v>
      </c>
      <c r="J291" s="33">
        <v>10</v>
      </c>
      <c r="K291" s="76" t="s">
        <v>78</v>
      </c>
    </row>
    <row r="292" spans="1:11" x14ac:dyDescent="0.2">
      <c r="A292" s="33" t="s">
        <v>62</v>
      </c>
      <c r="B292" s="33" t="s">
        <v>10</v>
      </c>
      <c r="C292" s="36">
        <v>43298</v>
      </c>
      <c r="D292" s="39" t="s">
        <v>83</v>
      </c>
      <c r="E292" s="76">
        <v>1.6065573770491803</v>
      </c>
      <c r="F292" s="76">
        <v>2036</v>
      </c>
      <c r="G292" s="33" t="s">
        <v>81</v>
      </c>
      <c r="H292" s="114">
        <v>0.75753628582061783</v>
      </c>
      <c r="I292" s="33" t="s">
        <v>7</v>
      </c>
      <c r="J292" s="33">
        <v>1</v>
      </c>
      <c r="K292" s="33" t="s">
        <v>72</v>
      </c>
    </row>
    <row r="293" spans="1:11" x14ac:dyDescent="0.2">
      <c r="A293" s="114" t="s">
        <v>50</v>
      </c>
      <c r="B293" s="84" t="s">
        <v>10</v>
      </c>
      <c r="C293" s="39">
        <v>44179</v>
      </c>
      <c r="D293" s="39">
        <v>44330</v>
      </c>
      <c r="E293" s="76">
        <v>4.9508196721311473</v>
      </c>
      <c r="F293" s="76">
        <v>157626</v>
      </c>
      <c r="G293" s="33" t="s">
        <v>81</v>
      </c>
      <c r="H293" s="105">
        <v>376.3</v>
      </c>
      <c r="I293" s="33" t="s">
        <v>7</v>
      </c>
      <c r="J293" s="33">
        <v>4</v>
      </c>
      <c r="K293" s="76" t="s">
        <v>76</v>
      </c>
    </row>
    <row r="294" spans="1:11" x14ac:dyDescent="0.2">
      <c r="A294" s="114" t="s">
        <v>62</v>
      </c>
      <c r="B294" s="84" t="s">
        <v>10</v>
      </c>
      <c r="C294" s="39">
        <v>43298</v>
      </c>
      <c r="D294" s="39">
        <v>43376</v>
      </c>
      <c r="E294" s="76">
        <v>2.557377049180328</v>
      </c>
      <c r="F294" s="76">
        <v>3105</v>
      </c>
      <c r="G294" s="33" t="s">
        <v>81</v>
      </c>
      <c r="H294" s="105">
        <v>6.9</v>
      </c>
      <c r="I294" s="33" t="s">
        <v>7</v>
      </c>
      <c r="J294" s="33">
        <v>2</v>
      </c>
      <c r="K294" s="76" t="s">
        <v>72</v>
      </c>
    </row>
    <row r="295" spans="1:11" x14ac:dyDescent="0.2">
      <c r="A295" s="114" t="s">
        <v>50</v>
      </c>
      <c r="B295" s="84" t="s">
        <v>10</v>
      </c>
      <c r="C295" s="39">
        <v>44179</v>
      </c>
      <c r="D295" s="39">
        <v>44378</v>
      </c>
      <c r="E295" s="76">
        <v>6.5245901639344259</v>
      </c>
      <c r="F295" s="76">
        <v>61883</v>
      </c>
      <c r="G295" s="33" t="s">
        <v>81</v>
      </c>
      <c r="H295" s="105">
        <v>114.6830985915493</v>
      </c>
      <c r="I295" s="33" t="s">
        <v>7</v>
      </c>
      <c r="J295" s="33">
        <v>6</v>
      </c>
      <c r="K295" s="76" t="s">
        <v>77</v>
      </c>
    </row>
    <row r="296" spans="1:11" x14ac:dyDescent="0.2">
      <c r="A296" s="114" t="s">
        <v>50</v>
      </c>
      <c r="B296" s="84" t="s">
        <v>10</v>
      </c>
      <c r="C296" s="39">
        <v>44179</v>
      </c>
      <c r="D296" s="39">
        <v>44483</v>
      </c>
      <c r="E296" s="76">
        <v>9.9672131147540988</v>
      </c>
      <c r="F296" s="85">
        <v>126430.50000000001</v>
      </c>
      <c r="G296" s="33" t="s">
        <v>81</v>
      </c>
      <c r="H296" s="105">
        <v>99.1</v>
      </c>
      <c r="I296" s="33" t="s">
        <v>7</v>
      </c>
      <c r="J296" s="33">
        <v>9</v>
      </c>
      <c r="K296" s="76" t="s">
        <v>78</v>
      </c>
    </row>
    <row r="297" spans="1:11" x14ac:dyDescent="0.2">
      <c r="A297" s="114" t="s">
        <v>62</v>
      </c>
      <c r="B297" s="84" t="s">
        <v>10</v>
      </c>
      <c r="C297" s="39">
        <v>43298</v>
      </c>
      <c r="D297" s="39">
        <v>43411</v>
      </c>
      <c r="E297" s="76">
        <v>3.7049180327868854</v>
      </c>
      <c r="F297" s="76">
        <v>3517</v>
      </c>
      <c r="G297" s="33" t="s">
        <v>81</v>
      </c>
      <c r="H297" s="105">
        <v>2.7154440154440156</v>
      </c>
      <c r="I297" s="33" t="s">
        <v>7</v>
      </c>
      <c r="J297" s="33">
        <v>3</v>
      </c>
      <c r="K297" s="76" t="s">
        <v>76</v>
      </c>
    </row>
    <row r="298" spans="1:11" x14ac:dyDescent="0.2">
      <c r="A298" s="114" t="s">
        <v>62</v>
      </c>
      <c r="B298" s="84" t="s">
        <v>10</v>
      </c>
      <c r="C298" s="39">
        <v>43298</v>
      </c>
      <c r="D298" s="39">
        <v>43447</v>
      </c>
      <c r="E298" s="76">
        <v>4.8852459016393439</v>
      </c>
      <c r="F298" s="76">
        <v>5314</v>
      </c>
      <c r="G298" s="33" t="s">
        <v>81</v>
      </c>
      <c r="H298" s="105">
        <v>8.3161189358372454</v>
      </c>
      <c r="I298" s="33" t="s">
        <v>7</v>
      </c>
      <c r="J298" s="33">
        <v>4</v>
      </c>
      <c r="K298" s="76" t="s">
        <v>76</v>
      </c>
    </row>
    <row r="299" spans="1:11" x14ac:dyDescent="0.2">
      <c r="A299" s="114" t="s">
        <v>62</v>
      </c>
      <c r="B299" s="84" t="s">
        <v>10</v>
      </c>
      <c r="C299" s="39">
        <v>43298</v>
      </c>
      <c r="D299" s="39">
        <v>43474</v>
      </c>
      <c r="E299" s="76">
        <v>5.7704918032786887</v>
      </c>
      <c r="F299" s="76">
        <v>3737</v>
      </c>
      <c r="G299" s="33" t="s">
        <v>81</v>
      </c>
      <c r="H299" s="105">
        <v>7</v>
      </c>
      <c r="I299" s="33" t="s">
        <v>7</v>
      </c>
      <c r="J299" s="33">
        <v>5</v>
      </c>
      <c r="K299" s="76" t="s">
        <v>76</v>
      </c>
    </row>
    <row r="300" spans="1:11" x14ac:dyDescent="0.2">
      <c r="A300" s="114" t="s">
        <v>52</v>
      </c>
      <c r="B300" s="84" t="s">
        <v>10</v>
      </c>
      <c r="C300" s="39">
        <v>44179</v>
      </c>
      <c r="D300" s="39">
        <v>44269</v>
      </c>
      <c r="E300" s="76">
        <v>2.9508196721311477</v>
      </c>
      <c r="F300" s="76">
        <v>8552</v>
      </c>
      <c r="G300" s="33" t="s">
        <v>81</v>
      </c>
      <c r="H300" s="105">
        <v>18.149999999999999</v>
      </c>
      <c r="I300" s="33" t="s">
        <v>7</v>
      </c>
      <c r="J300" s="33">
        <v>2</v>
      </c>
      <c r="K300" s="76" t="s">
        <v>72</v>
      </c>
    </row>
    <row r="301" spans="1:11" x14ac:dyDescent="0.2">
      <c r="A301" s="114" t="s">
        <v>62</v>
      </c>
      <c r="B301" s="84" t="s">
        <v>10</v>
      </c>
      <c r="C301" s="39">
        <v>43298</v>
      </c>
      <c r="D301" s="39">
        <v>43501</v>
      </c>
      <c r="E301" s="76">
        <v>6.6557377049180326</v>
      </c>
      <c r="F301" s="76">
        <v>4195</v>
      </c>
      <c r="G301" s="33" t="s">
        <v>81</v>
      </c>
      <c r="H301" s="105">
        <v>2.5796432964329643</v>
      </c>
      <c r="I301" s="33" t="s">
        <v>7</v>
      </c>
      <c r="J301" s="33">
        <v>6</v>
      </c>
      <c r="K301" s="76" t="s">
        <v>77</v>
      </c>
    </row>
    <row r="302" spans="1:11" x14ac:dyDescent="0.2">
      <c r="A302" s="114" t="s">
        <v>52</v>
      </c>
      <c r="B302" s="84" t="s">
        <v>10</v>
      </c>
      <c r="C302" s="39">
        <v>44179</v>
      </c>
      <c r="D302" s="39">
        <v>44300</v>
      </c>
      <c r="E302" s="76">
        <v>3.9672131147540983</v>
      </c>
      <c r="F302" s="76">
        <v>88030</v>
      </c>
      <c r="G302" s="33" t="s">
        <v>81</v>
      </c>
      <c r="H302" s="105">
        <v>140.51093375897847</v>
      </c>
      <c r="I302" s="33" t="s">
        <v>7</v>
      </c>
      <c r="J302" s="33">
        <v>3</v>
      </c>
      <c r="K302" s="76" t="s">
        <v>76</v>
      </c>
    </row>
    <row r="303" spans="1:11" x14ac:dyDescent="0.2">
      <c r="A303" s="114" t="s">
        <v>52</v>
      </c>
      <c r="B303" s="84" t="s">
        <v>10</v>
      </c>
      <c r="C303" s="39">
        <v>44179</v>
      </c>
      <c r="D303" s="39">
        <v>44330</v>
      </c>
      <c r="E303" s="76">
        <v>4.9508196721311473</v>
      </c>
      <c r="F303" s="85">
        <v>142483</v>
      </c>
      <c r="G303" s="33" t="s">
        <v>81</v>
      </c>
      <c r="H303" s="105">
        <v>340.2</v>
      </c>
      <c r="I303" s="33" t="s">
        <v>7</v>
      </c>
      <c r="J303" s="33">
        <v>4</v>
      </c>
      <c r="K303" s="76" t="s">
        <v>76</v>
      </c>
    </row>
    <row r="304" spans="1:11" x14ac:dyDescent="0.2">
      <c r="A304" s="114" t="s">
        <v>62</v>
      </c>
      <c r="B304" s="84" t="s">
        <v>10</v>
      </c>
      <c r="C304" s="39">
        <v>43298</v>
      </c>
      <c r="D304" s="39">
        <v>43531</v>
      </c>
      <c r="E304" s="76">
        <v>7.639344262295082</v>
      </c>
      <c r="F304" s="76">
        <v>9903</v>
      </c>
      <c r="G304" s="33" t="s">
        <v>81</v>
      </c>
      <c r="H304" s="105">
        <v>5.4</v>
      </c>
      <c r="I304" s="33" t="s">
        <v>7</v>
      </c>
      <c r="J304" s="33">
        <v>7</v>
      </c>
      <c r="K304" s="76" t="s">
        <v>77</v>
      </c>
    </row>
    <row r="305" spans="1:11" x14ac:dyDescent="0.2">
      <c r="A305" s="114" t="s">
        <v>62</v>
      </c>
      <c r="B305" s="84" t="s">
        <v>10</v>
      </c>
      <c r="C305" s="39">
        <v>43298</v>
      </c>
      <c r="D305" s="39">
        <v>43559</v>
      </c>
      <c r="E305" s="76">
        <v>8.557377049180328</v>
      </c>
      <c r="F305" s="76">
        <v>11258</v>
      </c>
      <c r="G305" s="33" t="s">
        <v>81</v>
      </c>
      <c r="H305" s="105">
        <v>6.1</v>
      </c>
      <c r="I305" s="33" t="s">
        <v>7</v>
      </c>
      <c r="J305" s="33">
        <v>8</v>
      </c>
      <c r="K305" s="76" t="s">
        <v>77</v>
      </c>
    </row>
    <row r="306" spans="1:11" x14ac:dyDescent="0.2">
      <c r="A306" s="114" t="s">
        <v>62</v>
      </c>
      <c r="B306" s="84" t="s">
        <v>10</v>
      </c>
      <c r="C306" s="39">
        <v>43298</v>
      </c>
      <c r="D306" s="39">
        <v>43593</v>
      </c>
      <c r="E306" s="76">
        <v>9.6721311475409841</v>
      </c>
      <c r="F306" s="76">
        <v>5905</v>
      </c>
      <c r="G306" s="33" t="s">
        <v>81</v>
      </c>
      <c r="H306" s="105">
        <v>7.9</v>
      </c>
      <c r="I306" s="33" t="s">
        <v>7</v>
      </c>
      <c r="J306" s="33">
        <v>9</v>
      </c>
      <c r="K306" s="76" t="s">
        <v>78</v>
      </c>
    </row>
    <row r="307" spans="1:11" x14ac:dyDescent="0.2">
      <c r="A307" s="114" t="s">
        <v>52</v>
      </c>
      <c r="B307" s="84" t="s">
        <v>10</v>
      </c>
      <c r="C307" s="39">
        <v>44179</v>
      </c>
      <c r="D307" s="136">
        <v>44378</v>
      </c>
      <c r="E307" s="76">
        <v>6.5245901639344259</v>
      </c>
      <c r="F307" s="76">
        <v>48900</v>
      </c>
      <c r="G307" s="33" t="s">
        <v>81</v>
      </c>
      <c r="H307" s="105">
        <v>90.622683469236463</v>
      </c>
      <c r="I307" s="33" t="s">
        <v>7</v>
      </c>
      <c r="J307" s="33">
        <v>6</v>
      </c>
      <c r="K307" s="76" t="s">
        <v>77</v>
      </c>
    </row>
    <row r="308" spans="1:11" x14ac:dyDescent="0.2">
      <c r="A308" s="114" t="s">
        <v>62</v>
      </c>
      <c r="B308" s="84" t="s">
        <v>10</v>
      </c>
      <c r="C308" s="39">
        <v>43298</v>
      </c>
      <c r="D308" s="53">
        <v>43620</v>
      </c>
      <c r="E308" s="76">
        <v>10.557377049180328</v>
      </c>
      <c r="F308" s="76">
        <f>AVERAGE(6738.9,4170)</f>
        <v>5454.45</v>
      </c>
      <c r="G308" s="33" t="s">
        <v>81</v>
      </c>
      <c r="H308" s="105">
        <v>18.649999999999999</v>
      </c>
      <c r="I308" s="33" t="s">
        <v>8</v>
      </c>
      <c r="J308" s="33">
        <v>10</v>
      </c>
      <c r="K308" s="76" t="s">
        <v>78</v>
      </c>
    </row>
    <row r="309" spans="1:11" x14ac:dyDescent="0.2">
      <c r="A309" s="114" t="s">
        <v>52</v>
      </c>
      <c r="B309" s="84" t="s">
        <v>10</v>
      </c>
      <c r="C309" s="39">
        <v>44179</v>
      </c>
      <c r="D309" s="39">
        <v>44483</v>
      </c>
      <c r="E309" s="76">
        <v>9.9672131147540988</v>
      </c>
      <c r="F309" s="76">
        <v>133947</v>
      </c>
      <c r="G309" s="33" t="s">
        <v>81</v>
      </c>
      <c r="H309" s="105">
        <v>105</v>
      </c>
      <c r="I309" s="33" t="s">
        <v>7</v>
      </c>
      <c r="J309" s="33">
        <v>9</v>
      </c>
      <c r="K309" s="76" t="s">
        <v>78</v>
      </c>
    </row>
    <row r="310" spans="1:11" x14ac:dyDescent="0.2">
      <c r="A310" s="114" t="s">
        <v>51</v>
      </c>
      <c r="B310" s="84" t="s">
        <v>10</v>
      </c>
      <c r="C310" s="39">
        <v>44179</v>
      </c>
      <c r="D310" s="39">
        <v>44269</v>
      </c>
      <c r="E310" s="76">
        <v>2.9508196721311477</v>
      </c>
      <c r="F310" s="76">
        <v>11009</v>
      </c>
      <c r="G310" s="33" t="s">
        <v>81</v>
      </c>
      <c r="H310" s="105">
        <v>23.37</v>
      </c>
      <c r="I310" s="33" t="s">
        <v>7</v>
      </c>
      <c r="J310" s="33">
        <v>2</v>
      </c>
      <c r="K310" s="76" t="s">
        <v>72</v>
      </c>
    </row>
    <row r="311" spans="1:11" x14ac:dyDescent="0.2">
      <c r="A311" s="114" t="s">
        <v>49</v>
      </c>
      <c r="B311" s="84" t="s">
        <v>10</v>
      </c>
      <c r="C311" s="39">
        <v>43892</v>
      </c>
      <c r="D311" s="39">
        <v>44276</v>
      </c>
      <c r="E311" s="76">
        <v>12.590163934426229</v>
      </c>
      <c r="F311" s="85">
        <v>183635</v>
      </c>
      <c r="G311" s="33" t="s">
        <v>81</v>
      </c>
      <c r="H311" s="105">
        <v>351.79</v>
      </c>
      <c r="I311" s="33" t="s">
        <v>7</v>
      </c>
      <c r="J311" s="33">
        <v>12</v>
      </c>
      <c r="K311" s="76" t="s">
        <v>78</v>
      </c>
    </row>
    <row r="312" spans="1:11" x14ac:dyDescent="0.2">
      <c r="A312" s="104" t="s">
        <v>49</v>
      </c>
      <c r="B312" s="84" t="s">
        <v>10</v>
      </c>
      <c r="C312" s="39">
        <v>43892</v>
      </c>
      <c r="D312" s="39">
        <v>44307</v>
      </c>
      <c r="E312" s="76">
        <v>13.60655737704918</v>
      </c>
      <c r="F312" s="133">
        <v>136674</v>
      </c>
      <c r="G312" s="33" t="s">
        <v>81</v>
      </c>
      <c r="H312" s="105">
        <v>218.15418994413409</v>
      </c>
      <c r="I312" s="33" t="s">
        <v>7</v>
      </c>
      <c r="J312" s="33">
        <v>13</v>
      </c>
      <c r="K312" s="76" t="s">
        <v>79</v>
      </c>
    </row>
    <row r="313" spans="1:11" x14ac:dyDescent="0.2">
      <c r="A313" s="114" t="s">
        <v>49</v>
      </c>
      <c r="B313" s="84" t="s">
        <v>10</v>
      </c>
      <c r="C313" s="39">
        <v>43892</v>
      </c>
      <c r="D313" s="39">
        <v>44337</v>
      </c>
      <c r="E313" s="76">
        <v>14.590163934426229</v>
      </c>
      <c r="F313" s="76">
        <v>147000</v>
      </c>
      <c r="G313" s="33" t="s">
        <v>81</v>
      </c>
      <c r="H313" s="105">
        <v>350.9</v>
      </c>
      <c r="I313" s="33" t="s">
        <v>7</v>
      </c>
      <c r="J313" s="33">
        <v>14</v>
      </c>
      <c r="K313" s="76" t="s">
        <v>79</v>
      </c>
    </row>
    <row r="314" spans="1:11" x14ac:dyDescent="0.2">
      <c r="A314" s="114" t="s">
        <v>51</v>
      </c>
      <c r="B314" s="84" t="s">
        <v>10</v>
      </c>
      <c r="C314" s="39">
        <v>44179</v>
      </c>
      <c r="D314" s="39">
        <v>44300</v>
      </c>
      <c r="E314" s="76">
        <v>3.9672131147540983</v>
      </c>
      <c r="F314" s="85">
        <v>97878</v>
      </c>
      <c r="G314" s="33" t="s">
        <v>81</v>
      </c>
      <c r="H314" s="105">
        <v>156.2295291300878</v>
      </c>
      <c r="I314" s="33" t="s">
        <v>7</v>
      </c>
      <c r="J314" s="33">
        <v>3</v>
      </c>
      <c r="K314" s="76" t="s">
        <v>76</v>
      </c>
    </row>
    <row r="315" spans="1:11" x14ac:dyDescent="0.2">
      <c r="A315" s="33" t="s">
        <v>63</v>
      </c>
      <c r="B315" s="33" t="s">
        <v>10</v>
      </c>
      <c r="C315" s="36">
        <v>43298</v>
      </c>
      <c r="D315" s="39" t="s">
        <v>82</v>
      </c>
      <c r="E315" s="76">
        <v>1.6065573770491803</v>
      </c>
      <c r="F315" s="76">
        <v>910</v>
      </c>
      <c r="G315" s="33" t="s">
        <v>81</v>
      </c>
      <c r="H315" s="114">
        <v>0.33848157796799405</v>
      </c>
      <c r="I315" s="33" t="s">
        <v>7</v>
      </c>
      <c r="J315" s="33">
        <v>1</v>
      </c>
      <c r="K315" s="33" t="s">
        <v>72</v>
      </c>
    </row>
    <row r="316" spans="1:11" x14ac:dyDescent="0.2">
      <c r="A316" s="114" t="s">
        <v>51</v>
      </c>
      <c r="B316" s="84" t="s">
        <v>10</v>
      </c>
      <c r="C316" s="39">
        <v>44179</v>
      </c>
      <c r="D316" s="39">
        <v>44330</v>
      </c>
      <c r="E316" s="76">
        <v>4.9508196721311473</v>
      </c>
      <c r="F316" s="76">
        <v>114575</v>
      </c>
      <c r="G316" s="33" t="s">
        <v>81</v>
      </c>
      <c r="H316" s="105">
        <v>273.5</v>
      </c>
      <c r="I316" s="33" t="s">
        <v>7</v>
      </c>
      <c r="J316" s="33">
        <v>4</v>
      </c>
      <c r="K316" s="76" t="s">
        <v>76</v>
      </c>
    </row>
    <row r="317" spans="1:11" x14ac:dyDescent="0.2">
      <c r="A317" s="114" t="s">
        <v>51</v>
      </c>
      <c r="B317" s="84" t="s">
        <v>10</v>
      </c>
      <c r="C317" s="39">
        <v>44179</v>
      </c>
      <c r="D317" s="39">
        <v>44378</v>
      </c>
      <c r="E317" s="76">
        <v>6.5245901639344259</v>
      </c>
      <c r="F317" s="85">
        <v>52288</v>
      </c>
      <c r="G317" s="33" t="s">
        <v>81</v>
      </c>
      <c r="H317" s="105">
        <v>96.900481838398804</v>
      </c>
      <c r="I317" s="33" t="s">
        <v>7</v>
      </c>
      <c r="J317" s="33">
        <v>6</v>
      </c>
      <c r="K317" s="76" t="s">
        <v>77</v>
      </c>
    </row>
    <row r="318" spans="1:11" x14ac:dyDescent="0.2">
      <c r="A318" s="114" t="s">
        <v>49</v>
      </c>
      <c r="B318" s="84" t="s">
        <v>10</v>
      </c>
      <c r="C318" s="39">
        <v>43892</v>
      </c>
      <c r="D318" s="39">
        <v>44375</v>
      </c>
      <c r="E318" s="76">
        <v>15.836065573770492</v>
      </c>
      <c r="F318" s="76">
        <f>AVERAGE(50901.6,98771)</f>
        <v>74836.3</v>
      </c>
      <c r="G318" s="33" t="s">
        <v>81</v>
      </c>
      <c r="H318" s="105">
        <v>10.79</v>
      </c>
      <c r="I318" s="33" t="s">
        <v>8</v>
      </c>
      <c r="J318" s="33">
        <v>15</v>
      </c>
      <c r="K318" s="76" t="s">
        <v>79</v>
      </c>
    </row>
    <row r="319" spans="1:11" x14ac:dyDescent="0.2">
      <c r="A319" s="114" t="s">
        <v>63</v>
      </c>
      <c r="B319" s="84" t="s">
        <v>10</v>
      </c>
      <c r="C319" s="39">
        <v>43298</v>
      </c>
      <c r="D319" s="39">
        <v>43376</v>
      </c>
      <c r="E319" s="76">
        <v>2.557377049180328</v>
      </c>
      <c r="F319" s="76">
        <v>417</v>
      </c>
      <c r="G319" s="33" t="s">
        <v>81</v>
      </c>
      <c r="H319" s="105">
        <v>0.9</v>
      </c>
      <c r="I319" s="33" t="s">
        <v>7</v>
      </c>
      <c r="J319" s="33">
        <v>2</v>
      </c>
      <c r="K319" s="76" t="s">
        <v>72</v>
      </c>
    </row>
    <row r="320" spans="1:11" x14ac:dyDescent="0.2">
      <c r="A320" s="114" t="s">
        <v>63</v>
      </c>
      <c r="B320" s="84" t="s">
        <v>10</v>
      </c>
      <c r="C320" s="39">
        <v>43298</v>
      </c>
      <c r="D320" s="39">
        <v>43411</v>
      </c>
      <c r="E320" s="76">
        <v>3.7049180327868854</v>
      </c>
      <c r="F320" s="76">
        <v>2713</v>
      </c>
      <c r="G320" s="33" t="s">
        <v>81</v>
      </c>
      <c r="H320" s="105">
        <v>2.0949806949806948</v>
      </c>
      <c r="I320" s="33" t="s">
        <v>7</v>
      </c>
      <c r="J320" s="33">
        <v>3</v>
      </c>
      <c r="K320" s="76" t="s">
        <v>76</v>
      </c>
    </row>
    <row r="321" spans="1:11" x14ac:dyDescent="0.2">
      <c r="A321" s="114" t="s">
        <v>51</v>
      </c>
      <c r="B321" s="84" t="s">
        <v>10</v>
      </c>
      <c r="C321" s="39">
        <v>44179</v>
      </c>
      <c r="D321" s="39">
        <v>44483</v>
      </c>
      <c r="E321" s="76">
        <v>9.9672131147540988</v>
      </c>
      <c r="F321" s="76">
        <v>117383.7</v>
      </c>
      <c r="G321" s="33" t="s">
        <v>81</v>
      </c>
      <c r="H321" s="105">
        <v>92.04</v>
      </c>
      <c r="I321" s="33" t="s">
        <v>7</v>
      </c>
      <c r="J321" s="33">
        <v>9</v>
      </c>
      <c r="K321" s="76" t="s">
        <v>78</v>
      </c>
    </row>
    <row r="322" spans="1:11" x14ac:dyDescent="0.2">
      <c r="A322" s="114" t="s">
        <v>63</v>
      </c>
      <c r="B322" s="84" t="s">
        <v>10</v>
      </c>
      <c r="C322" s="39">
        <v>43298</v>
      </c>
      <c r="D322" s="39">
        <v>43433</v>
      </c>
      <c r="E322" s="76">
        <v>4.4262295081967213</v>
      </c>
      <c r="F322" s="76">
        <v>8139</v>
      </c>
      <c r="G322" s="33" t="s">
        <v>81</v>
      </c>
      <c r="H322" s="105">
        <v>12.7</v>
      </c>
      <c r="I322" s="33" t="s">
        <v>7</v>
      </c>
      <c r="J322" s="33">
        <v>4</v>
      </c>
      <c r="K322" s="76" t="s">
        <v>76</v>
      </c>
    </row>
    <row r="323" spans="1:11" x14ac:dyDescent="0.2">
      <c r="A323" s="84" t="s">
        <v>64</v>
      </c>
      <c r="B323" s="84" t="s">
        <v>10</v>
      </c>
      <c r="C323" s="39">
        <v>43367</v>
      </c>
      <c r="D323" s="36">
        <v>43411</v>
      </c>
      <c r="E323" s="76">
        <v>1.4426229508196722</v>
      </c>
      <c r="F323" s="76">
        <v>70440</v>
      </c>
      <c r="G323" s="33" t="s">
        <v>81</v>
      </c>
      <c r="H323" s="33">
        <v>54.393436293436295</v>
      </c>
      <c r="I323" s="33" t="s">
        <v>7</v>
      </c>
      <c r="J323" s="33">
        <v>1</v>
      </c>
      <c r="K323" s="33" t="s">
        <v>72</v>
      </c>
    </row>
    <row r="324" spans="1:11" x14ac:dyDescent="0.2">
      <c r="A324" s="114" t="s">
        <v>64</v>
      </c>
      <c r="B324" s="84" t="s">
        <v>10</v>
      </c>
      <c r="C324" s="39">
        <v>43367</v>
      </c>
      <c r="D324" s="39">
        <v>43440</v>
      </c>
      <c r="E324" s="76">
        <v>2.3934426229508197</v>
      </c>
      <c r="F324" s="76">
        <v>169460</v>
      </c>
      <c r="G324" s="33" t="s">
        <v>81</v>
      </c>
      <c r="H324" s="105">
        <v>265.2</v>
      </c>
      <c r="I324" s="33" t="s">
        <v>7</v>
      </c>
      <c r="J324" s="33">
        <v>2</v>
      </c>
      <c r="K324" s="76" t="s">
        <v>72</v>
      </c>
    </row>
    <row r="325" spans="1:11" x14ac:dyDescent="0.2">
      <c r="A325" s="33" t="s">
        <v>65</v>
      </c>
      <c r="B325" s="33" t="s">
        <v>10</v>
      </c>
      <c r="C325" s="36">
        <v>43367</v>
      </c>
      <c r="D325" s="36">
        <v>43411</v>
      </c>
      <c r="E325" s="76">
        <v>1.4426229508196722</v>
      </c>
      <c r="F325" s="76">
        <v>14305</v>
      </c>
      <c r="G325" s="33" t="s">
        <v>81</v>
      </c>
      <c r="H325" s="33">
        <v>11.045945945945945</v>
      </c>
      <c r="I325" s="33" t="s">
        <v>7</v>
      </c>
      <c r="J325" s="33">
        <v>1</v>
      </c>
      <c r="K325" s="33" t="s">
        <v>72</v>
      </c>
    </row>
    <row r="326" spans="1:11" x14ac:dyDescent="0.2">
      <c r="A326" s="114" t="s">
        <v>65</v>
      </c>
      <c r="B326" s="84" t="s">
        <v>10</v>
      </c>
      <c r="C326" s="39">
        <v>43367</v>
      </c>
      <c r="D326" s="39">
        <v>43440</v>
      </c>
      <c r="E326" s="76">
        <v>2.3934426229508197</v>
      </c>
      <c r="F326" s="76">
        <v>140732</v>
      </c>
      <c r="G326" s="33" t="s">
        <v>81</v>
      </c>
      <c r="H326" s="105">
        <v>220.2</v>
      </c>
      <c r="I326" s="33" t="s">
        <v>7</v>
      </c>
      <c r="J326" s="33">
        <v>2</v>
      </c>
      <c r="K326" s="76" t="s">
        <v>72</v>
      </c>
    </row>
  </sheetData>
  <mergeCells count="2">
    <mergeCell ref="AP34:AR36"/>
    <mergeCell ref="AT34:AV36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0613-5500-B346-836C-F856F3E57057}">
  <dimension ref="A1:AX307"/>
  <sheetViews>
    <sheetView tabSelected="1" zoomScale="142" zoomScaleNormal="75" workbookViewId="0">
      <selection activeCell="I7" sqref="I7"/>
    </sheetView>
  </sheetViews>
  <sheetFormatPr baseColWidth="10" defaultColWidth="11" defaultRowHeight="16" x14ac:dyDescent="0.2"/>
  <cols>
    <col min="2" max="2" width="11.5" customWidth="1"/>
    <col min="4" max="4" width="13" customWidth="1"/>
    <col min="6" max="6" width="17.83203125" customWidth="1"/>
    <col min="8" max="8" width="11.83203125" customWidth="1"/>
    <col min="9" max="9" width="15" customWidth="1"/>
    <col min="10" max="10" width="13.33203125" customWidth="1"/>
    <col min="14" max="14" width="12.1640625" customWidth="1"/>
    <col min="15" max="15" width="11" bestFit="1" customWidth="1"/>
    <col min="16" max="16" width="19.5" customWidth="1"/>
    <col min="17" max="17" width="12.1640625" bestFit="1" customWidth="1"/>
    <col min="18" max="18" width="12.1640625" customWidth="1"/>
    <col min="19" max="19" width="18.6640625" customWidth="1"/>
    <col min="20" max="20" width="18" customWidth="1"/>
    <col min="21" max="21" width="14.1640625" customWidth="1"/>
    <col min="23" max="24" width="11" bestFit="1" customWidth="1"/>
    <col min="27" max="27" width="11" bestFit="1" customWidth="1"/>
    <col min="33" max="33" width="13.83203125" customWidth="1"/>
    <col min="38" max="38" width="13" bestFit="1" customWidth="1"/>
  </cols>
  <sheetData>
    <row r="1" spans="1:50" x14ac:dyDescent="0.2">
      <c r="A1" s="29" t="s">
        <v>129</v>
      </c>
      <c r="B1" s="29" t="s">
        <v>80</v>
      </c>
      <c r="C1" s="29" t="s">
        <v>1</v>
      </c>
      <c r="D1" s="29" t="s">
        <v>2</v>
      </c>
      <c r="E1" s="29" t="s">
        <v>3</v>
      </c>
      <c r="F1" s="29" t="s">
        <v>74</v>
      </c>
      <c r="G1" s="29" t="s">
        <v>4</v>
      </c>
      <c r="H1" s="29" t="s">
        <v>69</v>
      </c>
      <c r="I1" s="29" t="s">
        <v>6</v>
      </c>
      <c r="J1" s="29" t="s">
        <v>126</v>
      </c>
      <c r="K1" s="34" t="s">
        <v>127</v>
      </c>
      <c r="L1" s="48"/>
      <c r="M1" s="91"/>
      <c r="N1" s="91"/>
      <c r="O1" s="92"/>
      <c r="P1" s="92"/>
      <c r="Q1" s="92"/>
      <c r="R1" s="92"/>
      <c r="S1" s="92"/>
      <c r="T1" s="92"/>
      <c r="U1" s="92"/>
      <c r="V1" s="91"/>
      <c r="W1" s="91"/>
      <c r="X1" s="91"/>
      <c r="Y1" s="91"/>
      <c r="Z1" s="91"/>
      <c r="AA1" s="91"/>
      <c r="AB1" s="91"/>
      <c r="AC1" s="91"/>
      <c r="AD1" s="48"/>
      <c r="AE1" s="48"/>
      <c r="AF1" s="48"/>
      <c r="AG1" s="50"/>
      <c r="AH1" s="50"/>
      <c r="AI1" s="50"/>
      <c r="AJ1" s="50"/>
      <c r="AK1" s="50"/>
      <c r="AL1" s="50"/>
      <c r="AM1" s="50"/>
      <c r="AN1" s="50"/>
      <c r="AO1" s="50"/>
      <c r="AP1" s="48"/>
      <c r="AQ1" s="48"/>
      <c r="AR1" s="48"/>
      <c r="AS1" s="48"/>
      <c r="AT1" s="48"/>
      <c r="AU1" s="48"/>
      <c r="AV1" s="48"/>
      <c r="AW1" s="48"/>
      <c r="AX1" s="48"/>
    </row>
    <row r="2" spans="1:50" x14ac:dyDescent="0.2">
      <c r="A2" s="4" t="s">
        <v>102</v>
      </c>
      <c r="B2" s="4" t="s">
        <v>73</v>
      </c>
      <c r="C2" s="6">
        <v>43164</v>
      </c>
      <c r="D2" s="6">
        <v>43230</v>
      </c>
      <c r="E2" s="3">
        <v>2.1639344262295084</v>
      </c>
      <c r="F2" s="3">
        <v>1047</v>
      </c>
      <c r="G2" s="4" t="s">
        <v>81</v>
      </c>
      <c r="H2" s="4">
        <v>1.3</v>
      </c>
      <c r="I2" s="4" t="s">
        <v>7</v>
      </c>
      <c r="J2" s="4">
        <v>2</v>
      </c>
      <c r="K2" s="33" t="s">
        <v>72</v>
      </c>
      <c r="L2" s="48"/>
      <c r="M2" s="48"/>
      <c r="N2" s="48"/>
      <c r="O2" s="91"/>
      <c r="P2" s="91"/>
      <c r="Q2" s="91"/>
      <c r="R2" s="91"/>
      <c r="S2" s="91"/>
      <c r="T2" s="93"/>
      <c r="U2" s="91"/>
      <c r="V2" s="91"/>
      <c r="W2" s="91"/>
      <c r="X2" s="91"/>
      <c r="Y2" s="91"/>
      <c r="Z2" s="91"/>
      <c r="AA2" s="91"/>
      <c r="AB2" s="91"/>
      <c r="AC2" s="91"/>
      <c r="AD2" s="48"/>
      <c r="AE2" s="48"/>
      <c r="AF2" s="48"/>
      <c r="AG2" s="90"/>
      <c r="AH2" s="52"/>
      <c r="AI2" s="53"/>
      <c r="AJ2" s="90"/>
      <c r="AK2" s="90"/>
      <c r="AL2" s="54"/>
      <c r="AM2" s="90"/>
      <c r="AN2" s="90"/>
      <c r="AO2" s="90"/>
      <c r="AP2" s="48"/>
      <c r="AQ2" s="48"/>
      <c r="AR2" s="48"/>
      <c r="AS2" s="48"/>
      <c r="AT2" s="48"/>
      <c r="AU2" s="48"/>
      <c r="AV2" s="48"/>
      <c r="AW2" s="48"/>
      <c r="AX2" s="48"/>
    </row>
    <row r="3" spans="1:50" x14ac:dyDescent="0.2">
      <c r="A3" s="4" t="s">
        <v>102</v>
      </c>
      <c r="B3" s="4" t="s">
        <v>73</v>
      </c>
      <c r="C3" s="6">
        <v>43164</v>
      </c>
      <c r="D3" s="6">
        <v>43258</v>
      </c>
      <c r="E3" s="3">
        <v>3.081967213114754</v>
      </c>
      <c r="F3" s="3">
        <v>584</v>
      </c>
      <c r="G3" s="4" t="s">
        <v>81</v>
      </c>
      <c r="H3" s="4">
        <v>1.1000000000000001</v>
      </c>
      <c r="I3" s="4" t="s">
        <v>7</v>
      </c>
      <c r="J3" s="4">
        <v>3</v>
      </c>
      <c r="K3" s="33" t="s">
        <v>76</v>
      </c>
      <c r="L3" s="48"/>
      <c r="M3" s="48"/>
      <c r="N3" s="48"/>
      <c r="O3" s="91"/>
      <c r="P3" s="91"/>
      <c r="Q3" s="91"/>
      <c r="R3" s="91"/>
      <c r="S3" s="91"/>
      <c r="T3" s="93"/>
      <c r="U3" s="91"/>
      <c r="V3" s="91"/>
      <c r="W3" s="91"/>
      <c r="X3" s="91"/>
      <c r="Y3" s="91"/>
      <c r="Z3" s="91"/>
      <c r="AA3" s="91"/>
      <c r="AB3" s="91"/>
      <c r="AC3" s="91"/>
      <c r="AD3" s="48"/>
      <c r="AE3" s="48"/>
      <c r="AF3" s="48"/>
      <c r="AG3" s="90"/>
      <c r="AH3" s="52"/>
      <c r="AI3" s="53"/>
      <c r="AJ3" s="90"/>
      <c r="AK3" s="90"/>
      <c r="AL3" s="55"/>
      <c r="AM3" s="90"/>
      <c r="AN3" s="90"/>
      <c r="AO3" s="90"/>
      <c r="AP3" s="48"/>
      <c r="AQ3" s="48"/>
      <c r="AR3" s="48"/>
      <c r="AS3" s="48"/>
      <c r="AT3" s="48"/>
      <c r="AU3" s="48"/>
      <c r="AV3" s="48"/>
      <c r="AW3" s="48"/>
      <c r="AX3" s="48"/>
    </row>
    <row r="4" spans="1:50" x14ac:dyDescent="0.2">
      <c r="A4" s="4" t="s">
        <v>102</v>
      </c>
      <c r="B4" s="4" t="s">
        <v>73</v>
      </c>
      <c r="C4" s="15">
        <v>43164</v>
      </c>
      <c r="D4" s="6">
        <v>43284</v>
      </c>
      <c r="E4" s="3">
        <v>3.9344262295081966</v>
      </c>
      <c r="F4" s="3">
        <f>AVERAGE(533,378)</f>
        <v>455.5</v>
      </c>
      <c r="G4" s="4" t="s">
        <v>81</v>
      </c>
      <c r="H4" s="61">
        <v>0.45</v>
      </c>
      <c r="I4" s="4" t="s">
        <v>8</v>
      </c>
      <c r="J4" s="4">
        <v>3</v>
      </c>
      <c r="K4" s="33" t="s">
        <v>76</v>
      </c>
      <c r="L4" s="48"/>
      <c r="M4" s="48"/>
      <c r="N4" s="48"/>
      <c r="O4" s="91"/>
      <c r="P4" s="91"/>
      <c r="Q4" s="91"/>
      <c r="R4" s="91"/>
      <c r="S4" s="91"/>
      <c r="T4" s="93"/>
      <c r="U4" s="91"/>
      <c r="V4" s="91"/>
      <c r="W4" s="91"/>
      <c r="X4" s="91"/>
      <c r="Y4" s="91"/>
      <c r="Z4" s="91"/>
      <c r="AA4" s="91"/>
      <c r="AB4" s="91"/>
      <c r="AC4" s="91"/>
      <c r="AD4" s="48"/>
      <c r="AE4" s="48"/>
      <c r="AF4" s="48"/>
      <c r="AG4" s="90"/>
      <c r="AH4" s="52"/>
      <c r="AI4" s="53"/>
      <c r="AJ4" s="90"/>
      <c r="AK4" s="90"/>
      <c r="AL4" s="55"/>
      <c r="AM4" s="90"/>
      <c r="AN4" s="90"/>
      <c r="AO4" s="90"/>
      <c r="AP4" s="48"/>
      <c r="AQ4" s="48"/>
      <c r="AR4" s="48"/>
      <c r="AS4" s="48"/>
      <c r="AT4" s="48"/>
      <c r="AU4" s="48"/>
      <c r="AV4" s="48"/>
      <c r="AW4" s="48"/>
      <c r="AX4" s="48"/>
    </row>
    <row r="5" spans="1:50" x14ac:dyDescent="0.2">
      <c r="A5" s="33" t="s">
        <v>102</v>
      </c>
      <c r="B5" s="108" t="s">
        <v>73</v>
      </c>
      <c r="C5" s="36">
        <v>43164</v>
      </c>
      <c r="D5" s="36">
        <v>43311</v>
      </c>
      <c r="E5" s="76">
        <v>4.8196721311475406</v>
      </c>
      <c r="F5" s="80">
        <f>AVERAGE(296,3785)</f>
        <v>2040.5</v>
      </c>
      <c r="G5" s="4" t="s">
        <v>81</v>
      </c>
      <c r="H5" s="113">
        <v>3.35</v>
      </c>
      <c r="I5" s="33" t="s">
        <v>8</v>
      </c>
      <c r="J5" s="33">
        <v>4</v>
      </c>
      <c r="K5" s="33" t="s">
        <v>76</v>
      </c>
      <c r="L5" s="48"/>
      <c r="M5" s="48"/>
      <c r="N5" s="48"/>
      <c r="O5" s="91"/>
      <c r="P5" s="91"/>
      <c r="Q5" s="91"/>
      <c r="R5" s="91"/>
      <c r="S5" s="91"/>
      <c r="T5" s="93"/>
      <c r="U5" s="91"/>
      <c r="V5" s="91"/>
      <c r="W5" s="91"/>
      <c r="X5" s="91"/>
      <c r="Y5" s="91"/>
      <c r="Z5" s="91"/>
      <c r="AA5" s="91"/>
      <c r="AB5" s="91"/>
      <c r="AC5" s="91"/>
      <c r="AD5" s="48"/>
      <c r="AE5" s="48"/>
      <c r="AF5" s="48"/>
      <c r="AG5" s="90"/>
      <c r="AH5" s="52"/>
      <c r="AI5" s="53"/>
      <c r="AJ5" s="90"/>
      <c r="AK5" s="90"/>
      <c r="AL5" s="55"/>
      <c r="AM5" s="90"/>
      <c r="AN5" s="90"/>
      <c r="AO5" s="90"/>
      <c r="AP5" s="48"/>
      <c r="AQ5" s="48"/>
      <c r="AR5" s="48"/>
      <c r="AS5" s="48"/>
      <c r="AT5" s="48"/>
      <c r="AU5" s="48"/>
      <c r="AV5" s="48"/>
      <c r="AW5" s="48"/>
      <c r="AX5" s="48"/>
    </row>
    <row r="6" spans="1:50" x14ac:dyDescent="0.2">
      <c r="A6" s="33" t="s">
        <v>93</v>
      </c>
      <c r="B6" s="33" t="s">
        <v>73</v>
      </c>
      <c r="C6" s="36">
        <v>43367</v>
      </c>
      <c r="D6" s="39">
        <v>43411</v>
      </c>
      <c r="E6" s="76">
        <f>(Table9325[[#This Row],[Serum date]]-Table9325[[#This Row],[DOB]])/30.5</f>
        <v>1.4426229508196722</v>
      </c>
      <c r="F6" s="76">
        <v>629</v>
      </c>
      <c r="G6" s="4" t="s">
        <v>81</v>
      </c>
      <c r="H6" s="114">
        <v>0.49</v>
      </c>
      <c r="I6" s="33" t="s">
        <v>7</v>
      </c>
      <c r="J6" s="33">
        <v>1</v>
      </c>
      <c r="K6" s="33" t="s">
        <v>72</v>
      </c>
      <c r="L6" s="48"/>
      <c r="M6" s="48"/>
      <c r="N6" s="48"/>
      <c r="O6" s="91"/>
      <c r="P6" s="91"/>
      <c r="Q6" s="91"/>
      <c r="R6" s="91"/>
      <c r="S6" s="91"/>
      <c r="T6" s="93"/>
      <c r="U6" s="91"/>
      <c r="V6" s="91"/>
      <c r="W6" s="91"/>
      <c r="X6" s="91"/>
      <c r="Y6" s="91"/>
      <c r="Z6" s="91"/>
      <c r="AA6" s="91"/>
      <c r="AB6" s="91"/>
      <c r="AC6" s="91"/>
      <c r="AD6" s="48"/>
      <c r="AE6" s="48"/>
      <c r="AF6" s="48"/>
      <c r="AG6" s="90"/>
      <c r="AH6" s="52"/>
      <c r="AI6" s="52"/>
      <c r="AJ6" s="90"/>
      <c r="AK6" s="90"/>
      <c r="AL6" s="90"/>
      <c r="AM6" s="90"/>
      <c r="AN6" s="90"/>
      <c r="AO6" s="90"/>
      <c r="AP6" s="48"/>
      <c r="AQ6" s="48"/>
      <c r="AR6" s="48"/>
      <c r="AS6" s="48"/>
      <c r="AT6" s="48"/>
      <c r="AU6" s="48"/>
      <c r="AV6" s="48"/>
      <c r="AW6" s="48"/>
      <c r="AX6" s="48"/>
    </row>
    <row r="7" spans="1:50" x14ac:dyDescent="0.2">
      <c r="A7" s="33" t="s">
        <v>110</v>
      </c>
      <c r="B7" s="33" t="s">
        <v>73</v>
      </c>
      <c r="C7" s="36" t="s">
        <v>91</v>
      </c>
      <c r="D7" s="39" t="s">
        <v>91</v>
      </c>
      <c r="E7" s="76">
        <v>8</v>
      </c>
      <c r="F7" s="76">
        <v>577.59999999999991</v>
      </c>
      <c r="G7" s="4" t="s">
        <v>81</v>
      </c>
      <c r="H7" s="114">
        <v>1.3</v>
      </c>
      <c r="I7" s="33" t="s">
        <v>7</v>
      </c>
      <c r="J7" s="33">
        <v>8</v>
      </c>
      <c r="K7" s="33" t="s">
        <v>77</v>
      </c>
      <c r="L7" s="48"/>
      <c r="M7" s="48"/>
      <c r="N7" s="48"/>
      <c r="O7" s="91"/>
      <c r="P7" s="91"/>
      <c r="Q7" s="91"/>
      <c r="R7" s="91"/>
      <c r="S7" s="91"/>
      <c r="T7" s="93"/>
      <c r="U7" s="91"/>
      <c r="V7" s="91"/>
      <c r="W7" s="91"/>
      <c r="X7" s="91"/>
      <c r="Y7" s="91"/>
      <c r="Z7" s="91"/>
      <c r="AA7" s="91"/>
      <c r="AB7" s="91"/>
      <c r="AC7" s="91"/>
      <c r="AD7" s="48"/>
      <c r="AE7" s="48"/>
      <c r="AF7" s="48"/>
      <c r="AG7" s="90"/>
      <c r="AH7" s="52"/>
      <c r="AI7" s="53"/>
      <c r="AJ7" s="90"/>
      <c r="AK7" s="90"/>
      <c r="AL7" s="55"/>
      <c r="AM7" s="90"/>
      <c r="AN7" s="90"/>
      <c r="AO7" s="90"/>
      <c r="AP7" s="48"/>
      <c r="AQ7" s="49"/>
      <c r="AR7" s="48"/>
      <c r="AS7" s="48"/>
      <c r="AT7" s="48"/>
      <c r="AU7" s="48"/>
      <c r="AV7" s="48"/>
      <c r="AW7" s="48"/>
      <c r="AX7" s="48"/>
    </row>
    <row r="8" spans="1:50" x14ac:dyDescent="0.2">
      <c r="A8" s="84" t="s">
        <v>111</v>
      </c>
      <c r="B8" s="84" t="s">
        <v>73</v>
      </c>
      <c r="C8" s="39" t="s">
        <v>91</v>
      </c>
      <c r="D8" s="36" t="s">
        <v>91</v>
      </c>
      <c r="E8" s="76">
        <v>8</v>
      </c>
      <c r="F8" s="76">
        <v>733.19999999999993</v>
      </c>
      <c r="G8" s="4" t="s">
        <v>81</v>
      </c>
      <c r="H8" s="33">
        <v>1.7</v>
      </c>
      <c r="I8" s="33" t="s">
        <v>7</v>
      </c>
      <c r="J8" s="33">
        <v>8</v>
      </c>
      <c r="K8" s="33" t="s">
        <v>77</v>
      </c>
      <c r="L8" s="48"/>
      <c r="M8" s="48"/>
      <c r="N8" s="48"/>
      <c r="O8" s="91"/>
      <c r="P8" s="91"/>
      <c r="Q8" s="91"/>
      <c r="R8" s="91"/>
      <c r="S8" s="91"/>
      <c r="T8" s="93"/>
      <c r="U8" s="91"/>
      <c r="V8" s="91"/>
      <c r="W8" s="91"/>
      <c r="X8" s="91"/>
      <c r="Y8" s="91"/>
      <c r="Z8" s="91"/>
      <c r="AA8" s="91"/>
      <c r="AB8" s="91"/>
      <c r="AC8" s="91"/>
      <c r="AD8" s="48"/>
      <c r="AE8" s="48"/>
      <c r="AF8" s="48"/>
      <c r="AG8" s="90"/>
      <c r="AH8" s="52"/>
      <c r="AI8" s="52"/>
      <c r="AJ8" s="90"/>
      <c r="AK8" s="90"/>
      <c r="AL8" s="90"/>
      <c r="AM8" s="90"/>
      <c r="AN8" s="90"/>
      <c r="AO8" s="90"/>
      <c r="AP8" s="48"/>
      <c r="AQ8" s="47"/>
      <c r="AR8" s="48"/>
      <c r="AS8" s="48"/>
      <c r="AT8" s="48"/>
      <c r="AU8" s="48"/>
      <c r="AV8" s="48"/>
      <c r="AW8" s="48"/>
      <c r="AX8" s="48"/>
    </row>
    <row r="9" spans="1:50" x14ac:dyDescent="0.2">
      <c r="A9" s="33" t="s">
        <v>94</v>
      </c>
      <c r="B9" s="33" t="s">
        <v>73</v>
      </c>
      <c r="C9" s="36">
        <v>43472</v>
      </c>
      <c r="D9" s="39">
        <v>43522</v>
      </c>
      <c r="E9" s="76">
        <v>1.639344262295082</v>
      </c>
      <c r="F9" s="76">
        <f>AVERAGE(638.4,1333)</f>
        <v>985.7</v>
      </c>
      <c r="G9" s="4" t="s">
        <v>81</v>
      </c>
      <c r="H9" s="114">
        <v>0.39999999999999997</v>
      </c>
      <c r="I9" s="33" t="s">
        <v>8</v>
      </c>
      <c r="J9" s="33">
        <v>1</v>
      </c>
      <c r="K9" s="33" t="s">
        <v>72</v>
      </c>
      <c r="L9" s="48"/>
      <c r="M9" s="48"/>
      <c r="N9" s="48"/>
      <c r="O9" s="91"/>
      <c r="P9" s="91"/>
      <c r="Q9" s="91"/>
      <c r="R9" s="91"/>
      <c r="S9" s="91"/>
      <c r="T9" s="93"/>
      <c r="U9" s="91"/>
      <c r="V9" s="91"/>
      <c r="W9" s="91"/>
      <c r="X9" s="91"/>
      <c r="Y9" s="91"/>
      <c r="Z9" s="91"/>
      <c r="AA9" s="91"/>
      <c r="AB9" s="91"/>
      <c r="AC9" s="91"/>
      <c r="AD9" s="48"/>
      <c r="AE9" s="48"/>
      <c r="AF9" s="48"/>
      <c r="AG9" s="55"/>
      <c r="AH9" s="53"/>
      <c r="AI9" s="53"/>
      <c r="AJ9" s="90"/>
      <c r="AK9" s="90"/>
      <c r="AL9" s="90"/>
      <c r="AM9" s="90"/>
      <c r="AN9" s="90"/>
      <c r="AO9" s="90"/>
      <c r="AP9" s="48"/>
      <c r="AQ9" s="47"/>
      <c r="AR9" s="48"/>
      <c r="AS9" s="48"/>
      <c r="AT9" s="48"/>
      <c r="AU9" s="48"/>
      <c r="AV9" s="48"/>
      <c r="AW9" s="48"/>
      <c r="AX9" s="48"/>
    </row>
    <row r="10" spans="1:50" x14ac:dyDescent="0.2">
      <c r="A10" s="33" t="s">
        <v>95</v>
      </c>
      <c r="B10" s="33" t="s">
        <v>73</v>
      </c>
      <c r="C10" s="39">
        <v>43472</v>
      </c>
      <c r="D10" s="36">
        <v>43529</v>
      </c>
      <c r="E10" s="76">
        <v>1.8688524590163935</v>
      </c>
      <c r="F10" s="76">
        <f>AVERAGE(1493.6,2914)</f>
        <v>2203.8000000000002</v>
      </c>
      <c r="G10" s="4" t="s">
        <v>81</v>
      </c>
      <c r="H10" s="109">
        <v>0.9</v>
      </c>
      <c r="I10" s="33" t="s">
        <v>8</v>
      </c>
      <c r="J10" s="33">
        <v>1</v>
      </c>
      <c r="K10" s="33" t="s">
        <v>72</v>
      </c>
      <c r="L10" s="48"/>
      <c r="M10" s="48"/>
      <c r="N10" s="48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48"/>
      <c r="AE10" s="48"/>
      <c r="AF10" s="48"/>
      <c r="AG10" s="55"/>
      <c r="AH10" s="53"/>
      <c r="AI10" s="53"/>
      <c r="AJ10" s="90"/>
      <c r="AK10" s="90"/>
      <c r="AL10" s="55"/>
      <c r="AM10" s="90"/>
      <c r="AN10" s="90"/>
      <c r="AO10" s="90"/>
      <c r="AP10" s="48"/>
      <c r="AQ10" s="47"/>
      <c r="AR10" s="48"/>
      <c r="AS10" s="48"/>
      <c r="AT10" s="48"/>
      <c r="AU10" s="48"/>
      <c r="AV10" s="48"/>
      <c r="AW10" s="48"/>
      <c r="AX10" s="48"/>
    </row>
    <row r="11" spans="1:50" x14ac:dyDescent="0.2">
      <c r="A11" s="33" t="s">
        <v>96</v>
      </c>
      <c r="B11" s="33" t="s">
        <v>73</v>
      </c>
      <c r="C11" s="39">
        <v>43472</v>
      </c>
      <c r="D11" s="36">
        <v>43522</v>
      </c>
      <c r="E11" s="76">
        <v>1.639344262295082</v>
      </c>
      <c r="F11" s="76">
        <f>AVERAGE(569.4,2743)</f>
        <v>1656.2</v>
      </c>
      <c r="G11" s="4" t="s">
        <v>81</v>
      </c>
      <c r="H11" s="109">
        <v>0.8</v>
      </c>
      <c r="I11" s="33" t="s">
        <v>8</v>
      </c>
      <c r="J11" s="33">
        <v>1</v>
      </c>
      <c r="K11" s="33" t="s">
        <v>72</v>
      </c>
      <c r="L11" s="48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48"/>
      <c r="AE11" s="48"/>
      <c r="AF11" s="48"/>
      <c r="AG11" s="55"/>
      <c r="AH11" s="53"/>
      <c r="AI11" s="53"/>
      <c r="AJ11" s="90"/>
      <c r="AK11" s="90"/>
      <c r="AL11" s="90"/>
      <c r="AM11" s="90"/>
      <c r="AN11" s="90"/>
      <c r="AO11" s="90"/>
      <c r="AP11" s="48"/>
      <c r="AQ11" s="47"/>
      <c r="AR11" s="48"/>
      <c r="AS11" s="48"/>
      <c r="AT11" s="48"/>
      <c r="AU11" s="48"/>
      <c r="AV11" s="48"/>
      <c r="AW11" s="48"/>
      <c r="AX11" s="48"/>
    </row>
    <row r="12" spans="1:50" x14ac:dyDescent="0.2">
      <c r="A12" s="33" t="s">
        <v>109</v>
      </c>
      <c r="B12" s="33" t="s">
        <v>73</v>
      </c>
      <c r="C12" s="36">
        <v>43472</v>
      </c>
      <c r="D12" s="39">
        <v>43713</v>
      </c>
      <c r="E12" s="76">
        <v>7.9016393442622954</v>
      </c>
      <c r="F12" s="76">
        <v>50768.799999999996</v>
      </c>
      <c r="G12" s="4" t="s">
        <v>81</v>
      </c>
      <c r="H12" s="114">
        <v>6.4</v>
      </c>
      <c r="I12" s="33" t="s">
        <v>7</v>
      </c>
      <c r="J12" s="33">
        <v>7</v>
      </c>
      <c r="K12" s="33" t="s">
        <v>77</v>
      </c>
      <c r="L12" s="48"/>
      <c r="M12" s="91"/>
      <c r="N12" s="91"/>
      <c r="O12" s="94"/>
      <c r="P12" s="91"/>
      <c r="Q12" s="91"/>
      <c r="R12" s="95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48"/>
      <c r="AE12" s="48"/>
      <c r="AF12" s="48"/>
      <c r="AG12" s="55"/>
      <c r="AH12" s="53"/>
      <c r="AI12" s="53"/>
      <c r="AJ12" s="90"/>
      <c r="AK12" s="90"/>
      <c r="AL12" s="90"/>
      <c r="AM12" s="90"/>
      <c r="AN12" s="90"/>
      <c r="AO12" s="90"/>
      <c r="AP12" s="48"/>
      <c r="AQ12" s="47"/>
      <c r="AR12" s="48"/>
      <c r="AS12" s="48"/>
      <c r="AT12" s="48"/>
      <c r="AU12" s="48"/>
      <c r="AV12" s="48"/>
      <c r="AW12" s="48"/>
      <c r="AX12" s="48"/>
    </row>
    <row r="13" spans="1:50" x14ac:dyDescent="0.2">
      <c r="A13" s="33" t="s">
        <v>97</v>
      </c>
      <c r="B13" s="33" t="s">
        <v>73</v>
      </c>
      <c r="C13" s="39">
        <v>43473</v>
      </c>
      <c r="D13" s="36">
        <v>43529</v>
      </c>
      <c r="E13" s="76">
        <v>1.8360655737704918</v>
      </c>
      <c r="F13" s="76">
        <v>676</v>
      </c>
      <c r="G13" s="4" t="s">
        <v>81</v>
      </c>
      <c r="H13" s="109">
        <v>0.1</v>
      </c>
      <c r="I13" s="33" t="s">
        <v>7</v>
      </c>
      <c r="J13" s="33">
        <v>1</v>
      </c>
      <c r="K13" s="33" t="s">
        <v>72</v>
      </c>
      <c r="L13" s="48"/>
      <c r="M13" s="91"/>
      <c r="N13" s="91"/>
      <c r="O13" s="91"/>
      <c r="P13" s="93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48"/>
      <c r="AE13" s="48"/>
      <c r="AF13" s="48"/>
      <c r="AG13" s="55"/>
      <c r="AH13" s="53"/>
      <c r="AI13" s="53"/>
      <c r="AJ13" s="90"/>
      <c r="AK13" s="90"/>
      <c r="AL13" s="55"/>
      <c r="AM13" s="90"/>
      <c r="AN13" s="90"/>
      <c r="AO13" s="90"/>
      <c r="AP13" s="48"/>
      <c r="AQ13" s="47"/>
      <c r="AR13" s="48"/>
      <c r="AS13" s="48"/>
      <c r="AT13" s="48"/>
      <c r="AU13" s="48"/>
      <c r="AV13" s="48"/>
      <c r="AW13" s="48"/>
      <c r="AX13" s="48"/>
    </row>
    <row r="14" spans="1:50" x14ac:dyDescent="0.2">
      <c r="A14" s="33" t="s">
        <v>97</v>
      </c>
      <c r="B14" s="33" t="s">
        <v>73</v>
      </c>
      <c r="C14" s="36" t="s">
        <v>91</v>
      </c>
      <c r="D14" s="39" t="s">
        <v>91</v>
      </c>
      <c r="E14" s="76">
        <v>5</v>
      </c>
      <c r="F14" s="48">
        <v>198</v>
      </c>
      <c r="G14" s="4" t="s">
        <v>81</v>
      </c>
      <c r="H14" s="84">
        <v>0.5</v>
      </c>
      <c r="I14" s="33" t="s">
        <v>7</v>
      </c>
      <c r="J14" s="33">
        <v>5</v>
      </c>
      <c r="K14" s="33" t="s">
        <v>76</v>
      </c>
      <c r="L14" s="48"/>
      <c r="M14" s="91"/>
      <c r="N14" s="91"/>
      <c r="O14" s="91"/>
      <c r="P14" s="93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48"/>
      <c r="AE14" s="48"/>
      <c r="AF14" s="48"/>
      <c r="AG14" s="55"/>
      <c r="AH14" s="53"/>
      <c r="AI14" s="53"/>
      <c r="AJ14" s="90"/>
      <c r="AK14" s="90"/>
      <c r="AL14" s="56"/>
      <c r="AM14" s="90"/>
      <c r="AN14" s="90"/>
      <c r="AO14" s="90"/>
      <c r="AP14" s="48"/>
      <c r="AQ14" s="47"/>
      <c r="AR14" s="48"/>
      <c r="AS14" s="48"/>
      <c r="AT14" s="48"/>
      <c r="AU14" s="48"/>
      <c r="AV14" s="48"/>
      <c r="AW14" s="48"/>
      <c r="AX14" s="48"/>
    </row>
    <row r="15" spans="1:50" x14ac:dyDescent="0.2">
      <c r="A15" s="33" t="s">
        <v>98</v>
      </c>
      <c r="B15" s="33" t="s">
        <v>73</v>
      </c>
      <c r="C15" s="39">
        <v>43473</v>
      </c>
      <c r="D15" s="36">
        <v>43529</v>
      </c>
      <c r="E15" s="76">
        <v>1.8360655737704918</v>
      </c>
      <c r="F15" s="76">
        <f>AVERAGE(881.4,1328)</f>
        <v>1104.7</v>
      </c>
      <c r="G15" s="4" t="s">
        <v>81</v>
      </c>
      <c r="H15" s="109">
        <v>0.4</v>
      </c>
      <c r="I15" s="33" t="s">
        <v>8</v>
      </c>
      <c r="J15" s="33">
        <v>1</v>
      </c>
      <c r="K15" s="33" t="s">
        <v>72</v>
      </c>
      <c r="L15" s="48"/>
      <c r="M15" s="91"/>
      <c r="N15" s="91"/>
      <c r="O15" s="91"/>
      <c r="P15" s="93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48"/>
      <c r="AE15" s="48"/>
      <c r="AF15" s="48"/>
      <c r="AG15" s="55"/>
      <c r="AH15" s="53"/>
      <c r="AI15" s="53"/>
      <c r="AJ15" s="90"/>
      <c r="AK15" s="90"/>
      <c r="AL15" s="90"/>
      <c r="AM15" s="90"/>
      <c r="AN15" s="90"/>
      <c r="AO15" s="90"/>
      <c r="AP15" s="48"/>
      <c r="AQ15" s="47"/>
      <c r="AR15" s="48"/>
      <c r="AS15" s="48"/>
      <c r="AT15" s="48"/>
      <c r="AU15" s="48"/>
      <c r="AV15" s="48"/>
      <c r="AW15" s="48"/>
      <c r="AX15" s="48"/>
    </row>
    <row r="16" spans="1:50" x14ac:dyDescent="0.2">
      <c r="A16" s="33" t="s">
        <v>99</v>
      </c>
      <c r="B16" s="33" t="s">
        <v>73</v>
      </c>
      <c r="C16" s="39">
        <v>43528</v>
      </c>
      <c r="D16" s="36">
        <v>43577</v>
      </c>
      <c r="E16" s="76">
        <v>1.6065573770491803</v>
      </c>
      <c r="F16" s="76">
        <v>580.79999999999995</v>
      </c>
      <c r="G16" s="4" t="s">
        <v>81</v>
      </c>
      <c r="H16" s="109">
        <v>0.1</v>
      </c>
      <c r="I16" s="33" t="s">
        <v>7</v>
      </c>
      <c r="J16" s="33">
        <v>1</v>
      </c>
      <c r="K16" s="33" t="s">
        <v>72</v>
      </c>
      <c r="L16" s="48"/>
      <c r="M16" s="91"/>
      <c r="N16" s="91"/>
      <c r="O16" s="91"/>
      <c r="P16" s="93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48"/>
      <c r="AE16" s="48"/>
      <c r="AF16" s="48"/>
      <c r="AG16" s="55"/>
      <c r="AH16" s="53"/>
      <c r="AI16" s="53"/>
      <c r="AJ16" s="90"/>
      <c r="AK16" s="90"/>
      <c r="AL16" s="55"/>
      <c r="AM16" s="90"/>
      <c r="AN16" s="90"/>
      <c r="AO16" s="90"/>
      <c r="AP16" s="48"/>
      <c r="AQ16" s="48"/>
      <c r="AR16" s="48"/>
      <c r="AS16" s="48"/>
      <c r="AT16" s="48"/>
      <c r="AU16" s="48"/>
      <c r="AV16" s="48"/>
      <c r="AW16" s="48"/>
      <c r="AX16" s="48"/>
    </row>
    <row r="17" spans="1:50" x14ac:dyDescent="0.2">
      <c r="A17" s="33" t="s">
        <v>103</v>
      </c>
      <c r="B17" s="33" t="s">
        <v>73</v>
      </c>
      <c r="C17" s="36">
        <v>43165</v>
      </c>
      <c r="D17" s="36">
        <v>43230</v>
      </c>
      <c r="E17" s="76">
        <v>2.1311475409836067</v>
      </c>
      <c r="F17" s="76">
        <v>2046</v>
      </c>
      <c r="G17" s="4" t="s">
        <v>81</v>
      </c>
      <c r="H17" s="33">
        <v>2.5</v>
      </c>
      <c r="I17" s="33" t="s">
        <v>7</v>
      </c>
      <c r="J17" s="33">
        <v>2</v>
      </c>
      <c r="K17" s="33" t="s">
        <v>72</v>
      </c>
      <c r="L17" s="48"/>
      <c r="M17" s="91"/>
      <c r="N17" s="91"/>
      <c r="O17" s="91"/>
      <c r="P17" s="93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48"/>
      <c r="AE17" s="48"/>
      <c r="AF17" s="48"/>
      <c r="AG17" s="90"/>
      <c r="AH17" s="52"/>
      <c r="AI17" s="52"/>
      <c r="AJ17" s="90"/>
      <c r="AK17" s="90"/>
      <c r="AL17" s="90"/>
      <c r="AM17" s="90"/>
      <c r="AN17" s="90"/>
      <c r="AO17" s="90"/>
      <c r="AP17" s="48"/>
      <c r="AQ17" s="48"/>
      <c r="AR17" s="48"/>
      <c r="AS17" s="48"/>
      <c r="AT17" s="48"/>
      <c r="AU17" s="48"/>
      <c r="AV17" s="48"/>
      <c r="AW17" s="48"/>
      <c r="AX17" s="48"/>
    </row>
    <row r="18" spans="1:50" x14ac:dyDescent="0.2">
      <c r="A18" s="33" t="s">
        <v>103</v>
      </c>
      <c r="B18" s="33" t="s">
        <v>73</v>
      </c>
      <c r="C18" s="110">
        <v>43165</v>
      </c>
      <c r="D18" s="36">
        <v>43258</v>
      </c>
      <c r="E18" s="76">
        <v>3.0491803278688523</v>
      </c>
      <c r="F18" s="76">
        <v>575</v>
      </c>
      <c r="G18" s="4" t="s">
        <v>81</v>
      </c>
      <c r="H18" s="111">
        <v>1.1000000000000001</v>
      </c>
      <c r="I18" s="33" t="s">
        <v>7</v>
      </c>
      <c r="J18" s="33">
        <v>3</v>
      </c>
      <c r="K18" s="33" t="s">
        <v>76</v>
      </c>
      <c r="L18" s="48"/>
      <c r="M18" s="91"/>
      <c r="N18" s="91"/>
      <c r="O18" s="91"/>
      <c r="P18" s="93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48"/>
      <c r="AE18" s="48"/>
      <c r="AF18" s="48"/>
      <c r="AG18" s="55"/>
      <c r="AH18" s="53"/>
      <c r="AI18" s="53"/>
      <c r="AJ18" s="90"/>
      <c r="AK18" s="90"/>
      <c r="AL18" s="55"/>
      <c r="AM18" s="90"/>
      <c r="AN18" s="90"/>
      <c r="AO18" s="90"/>
      <c r="AP18" s="48"/>
      <c r="AQ18" s="48"/>
      <c r="AR18" s="48"/>
      <c r="AS18" s="48"/>
      <c r="AT18" s="48"/>
      <c r="AU18" s="48"/>
      <c r="AV18" s="48"/>
      <c r="AW18" s="48"/>
      <c r="AX18" s="48"/>
    </row>
    <row r="19" spans="1:50" x14ac:dyDescent="0.2">
      <c r="A19" s="33" t="s">
        <v>103</v>
      </c>
      <c r="B19" s="33" t="s">
        <v>73</v>
      </c>
      <c r="C19" s="110">
        <v>43165</v>
      </c>
      <c r="D19" s="112">
        <v>43284</v>
      </c>
      <c r="E19" s="76">
        <v>3.901639344262295</v>
      </c>
      <c r="F19" s="76">
        <f>AVERAGE(523,1647)</f>
        <v>1085</v>
      </c>
      <c r="G19" s="4" t="s">
        <v>81</v>
      </c>
      <c r="H19" s="86">
        <v>1.55</v>
      </c>
      <c r="I19" s="33" t="s">
        <v>8</v>
      </c>
      <c r="J19" s="33">
        <v>3</v>
      </c>
      <c r="K19" s="33" t="s">
        <v>76</v>
      </c>
      <c r="L19" s="48"/>
      <c r="M19" s="91"/>
      <c r="N19" s="91"/>
      <c r="O19" s="91"/>
      <c r="P19" s="93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48"/>
      <c r="AE19" s="48"/>
      <c r="AF19" s="48"/>
      <c r="AG19" s="90"/>
      <c r="AH19" s="52"/>
      <c r="AI19" s="52"/>
      <c r="AJ19" s="90"/>
      <c r="AK19" s="90"/>
      <c r="AL19" s="57"/>
      <c r="AM19" s="90"/>
      <c r="AN19" s="90"/>
      <c r="AO19" s="90"/>
      <c r="AP19" s="48"/>
      <c r="AQ19" s="48"/>
      <c r="AR19" s="48"/>
      <c r="AS19" s="48"/>
      <c r="AT19" s="48"/>
      <c r="AU19" s="48"/>
      <c r="AV19" s="48"/>
      <c r="AW19" s="48"/>
      <c r="AX19" s="48"/>
    </row>
    <row r="20" spans="1:50" x14ac:dyDescent="0.2">
      <c r="A20" s="33" t="s">
        <v>103</v>
      </c>
      <c r="B20" s="33" t="s">
        <v>73</v>
      </c>
      <c r="C20" s="36">
        <v>43165</v>
      </c>
      <c r="D20" s="39">
        <v>43311</v>
      </c>
      <c r="E20" s="76">
        <v>4.7868852459016393</v>
      </c>
      <c r="F20" s="76">
        <f>AVERAGE(431,839)</f>
        <v>635</v>
      </c>
      <c r="G20" s="4" t="s">
        <v>81</v>
      </c>
      <c r="H20" s="84">
        <v>0.85</v>
      </c>
      <c r="I20" s="33" t="s">
        <v>8</v>
      </c>
      <c r="J20" s="33">
        <v>4</v>
      </c>
      <c r="K20" s="33" t="s">
        <v>76</v>
      </c>
      <c r="L20" s="48"/>
      <c r="M20" s="91"/>
      <c r="N20" s="91"/>
      <c r="O20" s="91"/>
      <c r="P20" s="93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48"/>
      <c r="AE20" s="48"/>
      <c r="AF20" s="48"/>
      <c r="AG20" s="90"/>
      <c r="AH20" s="52"/>
      <c r="AI20" s="52"/>
      <c r="AJ20" s="90"/>
      <c r="AK20" s="90"/>
      <c r="AL20" s="90"/>
      <c r="AM20" s="90"/>
      <c r="AN20" s="90"/>
      <c r="AO20" s="90"/>
      <c r="AP20" s="48"/>
      <c r="AQ20" s="48"/>
      <c r="AR20" s="48"/>
      <c r="AS20" s="48"/>
      <c r="AT20" s="48"/>
      <c r="AU20" s="48"/>
      <c r="AV20" s="48"/>
      <c r="AW20" s="48"/>
      <c r="AX20" s="48"/>
    </row>
    <row r="21" spans="1:50" x14ac:dyDescent="0.2">
      <c r="A21" s="33" t="s">
        <v>103</v>
      </c>
      <c r="B21" s="33" t="s">
        <v>73</v>
      </c>
      <c r="C21" s="36">
        <v>43165</v>
      </c>
      <c r="D21" s="39">
        <v>43392</v>
      </c>
      <c r="E21" s="76">
        <v>7.442622950819672</v>
      </c>
      <c r="F21" s="76">
        <v>464</v>
      </c>
      <c r="G21" s="4" t="s">
        <v>81</v>
      </c>
      <c r="H21" s="114">
        <v>0.7</v>
      </c>
      <c r="I21" s="33" t="s">
        <v>7</v>
      </c>
      <c r="J21" s="33">
        <v>7</v>
      </c>
      <c r="K21" s="33" t="s">
        <v>77</v>
      </c>
      <c r="L21" s="48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48"/>
      <c r="AE21" s="48"/>
      <c r="AF21" s="48"/>
      <c r="AG21" s="90"/>
      <c r="AH21" s="52"/>
      <c r="AI21" s="52"/>
      <c r="AJ21" s="90"/>
      <c r="AK21" s="90"/>
      <c r="AL21" s="90"/>
      <c r="AM21" s="90"/>
      <c r="AN21" s="90"/>
      <c r="AO21" s="90"/>
      <c r="AP21" s="48"/>
      <c r="AQ21" s="48"/>
      <c r="AR21" s="48"/>
      <c r="AS21" s="48"/>
      <c r="AT21" s="48"/>
      <c r="AU21" s="48"/>
      <c r="AV21" s="48"/>
      <c r="AW21" s="48"/>
      <c r="AX21" s="48"/>
    </row>
    <row r="22" spans="1:50" x14ac:dyDescent="0.2">
      <c r="A22" s="33" t="s">
        <v>104</v>
      </c>
      <c r="B22" s="108" t="s">
        <v>73</v>
      </c>
      <c r="C22" s="36" t="s">
        <v>91</v>
      </c>
      <c r="D22" s="36" t="s">
        <v>91</v>
      </c>
      <c r="E22" s="76">
        <v>3.5</v>
      </c>
      <c r="F22" s="76">
        <v>372.5</v>
      </c>
      <c r="G22" s="4" t="s">
        <v>81</v>
      </c>
      <c r="H22" s="33">
        <v>0.85151507454725561</v>
      </c>
      <c r="I22" s="33" t="s">
        <v>7</v>
      </c>
      <c r="J22" s="33">
        <v>3</v>
      </c>
      <c r="K22" s="33" t="s">
        <v>76</v>
      </c>
      <c r="L22" s="48"/>
      <c r="M22" s="91"/>
      <c r="N22" s="91"/>
      <c r="O22" s="99"/>
      <c r="P22" s="99"/>
      <c r="Q22" s="99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</row>
    <row r="23" spans="1:50" x14ac:dyDescent="0.2">
      <c r="A23" s="33" t="s">
        <v>106</v>
      </c>
      <c r="B23" s="33" t="s">
        <v>73</v>
      </c>
      <c r="C23" s="36" t="s">
        <v>91</v>
      </c>
      <c r="D23" s="39" t="s">
        <v>91</v>
      </c>
      <c r="E23" s="76">
        <v>4.5</v>
      </c>
      <c r="F23" s="76">
        <v>209</v>
      </c>
      <c r="G23" s="4" t="s">
        <v>81</v>
      </c>
      <c r="H23" s="109">
        <v>0.5</v>
      </c>
      <c r="I23" s="33" t="s">
        <v>7</v>
      </c>
      <c r="J23" s="33">
        <v>4</v>
      </c>
      <c r="K23" s="33" t="s">
        <v>76</v>
      </c>
      <c r="L23" s="48"/>
      <c r="M23" s="91"/>
      <c r="N23" s="99"/>
      <c r="O23" s="99"/>
      <c r="P23" s="99"/>
      <c r="Q23" s="99"/>
      <c r="R23" s="99"/>
      <c r="S23" s="99"/>
      <c r="T23" s="99"/>
      <c r="U23" s="91"/>
      <c r="V23" s="91"/>
      <c r="W23" s="91"/>
      <c r="X23" s="91"/>
      <c r="Y23" s="91"/>
      <c r="Z23" s="91"/>
      <c r="AA23" s="91"/>
      <c r="AB23" s="91"/>
      <c r="AC23" s="91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</row>
    <row r="24" spans="1:50" x14ac:dyDescent="0.2">
      <c r="A24" s="108" t="s">
        <v>121</v>
      </c>
      <c r="B24" s="84" t="s">
        <v>73</v>
      </c>
      <c r="C24" s="39" t="s">
        <v>91</v>
      </c>
      <c r="D24" s="36" t="s">
        <v>91</v>
      </c>
      <c r="E24" s="76">
        <v>16.600000000000001</v>
      </c>
      <c r="F24" s="76">
        <v>439</v>
      </c>
      <c r="G24" s="4" t="s">
        <v>81</v>
      </c>
      <c r="H24" s="109">
        <v>1</v>
      </c>
      <c r="I24" s="33" t="s">
        <v>7</v>
      </c>
      <c r="J24" s="33">
        <v>16</v>
      </c>
      <c r="K24" s="33" t="s">
        <v>79</v>
      </c>
      <c r="L24" s="48"/>
      <c r="M24" s="94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</row>
    <row r="25" spans="1:50" x14ac:dyDescent="0.2">
      <c r="A25" s="36" t="s">
        <v>122</v>
      </c>
      <c r="B25" s="33" t="s">
        <v>73</v>
      </c>
      <c r="C25" s="36" t="s">
        <v>91</v>
      </c>
      <c r="D25" s="41" t="s">
        <v>91</v>
      </c>
      <c r="E25" s="76">
        <v>18.399999999999999</v>
      </c>
      <c r="F25" s="76">
        <v>272</v>
      </c>
      <c r="G25" s="4" t="s">
        <v>81</v>
      </c>
      <c r="H25" s="33">
        <v>0.6</v>
      </c>
      <c r="I25" s="33" t="s">
        <v>7</v>
      </c>
      <c r="J25" s="33">
        <v>18</v>
      </c>
      <c r="K25" s="33" t="s">
        <v>79</v>
      </c>
      <c r="L25" s="48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47"/>
      <c r="AE25" s="47"/>
      <c r="AF25" s="47"/>
      <c r="AG25" s="48"/>
      <c r="AH25" s="47"/>
      <c r="AI25" s="48"/>
      <c r="AJ25" s="48"/>
      <c r="AK25" s="48"/>
      <c r="AL25" s="47"/>
      <c r="AM25" s="47"/>
      <c r="AN25" s="47"/>
      <c r="AO25" s="48"/>
      <c r="AP25" s="47"/>
      <c r="AQ25" s="47"/>
      <c r="AR25" s="47"/>
      <c r="AS25" s="48"/>
      <c r="AT25" s="47"/>
      <c r="AU25" s="47"/>
      <c r="AV25" s="47"/>
      <c r="AW25" s="48"/>
      <c r="AX25" s="48"/>
    </row>
    <row r="26" spans="1:50" x14ac:dyDescent="0.2">
      <c r="A26" s="33" t="s">
        <v>118</v>
      </c>
      <c r="B26" s="33" t="s">
        <v>73</v>
      </c>
      <c r="C26" s="39" t="s">
        <v>91</v>
      </c>
      <c r="D26" s="39" t="s">
        <v>91</v>
      </c>
      <c r="E26" s="76">
        <v>11.8</v>
      </c>
      <c r="F26" s="76">
        <v>868</v>
      </c>
      <c r="G26" s="4" t="s">
        <v>81</v>
      </c>
      <c r="H26" s="109">
        <v>2</v>
      </c>
      <c r="I26" s="33" t="s">
        <v>7</v>
      </c>
      <c r="J26" s="33">
        <v>11</v>
      </c>
      <c r="K26" s="33" t="s">
        <v>78</v>
      </c>
      <c r="L26" s="48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</row>
    <row r="27" spans="1:50" x14ac:dyDescent="0.2">
      <c r="A27" s="33" t="s">
        <v>112</v>
      </c>
      <c r="B27" s="33" t="s">
        <v>73</v>
      </c>
      <c r="C27" s="36" t="s">
        <v>91</v>
      </c>
      <c r="D27" s="36" t="s">
        <v>91</v>
      </c>
      <c r="E27" s="76">
        <v>9.9700000000000006</v>
      </c>
      <c r="F27" s="76">
        <v>411</v>
      </c>
      <c r="G27" s="4" t="s">
        <v>81</v>
      </c>
      <c r="H27" s="33">
        <v>0.9</v>
      </c>
      <c r="I27" s="33" t="s">
        <v>7</v>
      </c>
      <c r="J27" s="33">
        <v>9</v>
      </c>
      <c r="K27" s="33" t="s">
        <v>78</v>
      </c>
      <c r="L27" s="48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48"/>
      <c r="AE27" s="48"/>
      <c r="AF27" s="48"/>
      <c r="AG27" s="48"/>
      <c r="AH27" s="58"/>
      <c r="AI27" s="58"/>
      <c r="AJ27" s="58"/>
      <c r="AK27" s="48"/>
      <c r="AL27" s="58"/>
      <c r="AM27" s="58"/>
      <c r="AN27" s="58"/>
      <c r="AO27" s="48"/>
      <c r="AP27" s="58"/>
      <c r="AQ27" s="58"/>
      <c r="AR27" s="58"/>
      <c r="AS27" s="48"/>
      <c r="AT27" s="58"/>
      <c r="AU27" s="58"/>
      <c r="AV27" s="58"/>
      <c r="AW27" s="48"/>
      <c r="AX27" s="48"/>
    </row>
    <row r="28" spans="1:50" x14ac:dyDescent="0.2">
      <c r="A28" s="33" t="s">
        <v>115</v>
      </c>
      <c r="B28" s="33" t="s">
        <v>73</v>
      </c>
      <c r="C28" s="39">
        <v>43892</v>
      </c>
      <c r="D28" s="39">
        <v>44245</v>
      </c>
      <c r="E28" s="76">
        <v>11.573770491803279</v>
      </c>
      <c r="F28" s="76">
        <v>1622</v>
      </c>
      <c r="G28" s="4" t="s">
        <v>81</v>
      </c>
      <c r="H28" s="109">
        <v>1.3</v>
      </c>
      <c r="I28" s="33" t="s">
        <v>7</v>
      </c>
      <c r="J28" s="33">
        <v>11</v>
      </c>
      <c r="K28" s="33" t="s">
        <v>78</v>
      </c>
      <c r="L28" s="48"/>
      <c r="M28" s="91"/>
      <c r="N28" s="96"/>
      <c r="O28" s="96"/>
      <c r="P28" s="96"/>
      <c r="Q28" s="91"/>
      <c r="R28" s="96"/>
      <c r="S28" s="96"/>
      <c r="T28" s="96"/>
      <c r="U28" s="91"/>
      <c r="V28" s="96"/>
      <c r="W28" s="96"/>
      <c r="X28" s="96"/>
      <c r="Y28" s="91"/>
      <c r="Z28" s="96"/>
      <c r="AA28" s="96"/>
      <c r="AB28" s="96"/>
      <c r="AC28" s="91"/>
      <c r="AD28" s="48"/>
      <c r="AE28" s="48"/>
      <c r="AF28" s="48"/>
      <c r="AG28" s="48"/>
      <c r="AH28" s="46"/>
      <c r="AI28" s="46"/>
      <c r="AJ28" s="46"/>
      <c r="AK28" s="48"/>
      <c r="AL28" s="46"/>
      <c r="AM28" s="46"/>
      <c r="AN28" s="46"/>
      <c r="AO28" s="48"/>
      <c r="AP28" s="46"/>
      <c r="AQ28" s="46"/>
      <c r="AR28" s="46"/>
      <c r="AS28" s="48"/>
      <c r="AT28" s="46"/>
      <c r="AU28" s="46"/>
      <c r="AV28" s="46"/>
      <c r="AW28" s="48"/>
      <c r="AX28" s="48"/>
    </row>
    <row r="29" spans="1:50" x14ac:dyDescent="0.2">
      <c r="A29" s="33" t="s">
        <v>116</v>
      </c>
      <c r="B29" s="33" t="s">
        <v>73</v>
      </c>
      <c r="C29" s="39">
        <v>43892</v>
      </c>
      <c r="D29" s="39">
        <v>44253</v>
      </c>
      <c r="E29" s="76">
        <v>11.836065573770492</v>
      </c>
      <c r="F29" s="76">
        <v>1269</v>
      </c>
      <c r="G29" s="4" t="s">
        <v>81</v>
      </c>
      <c r="H29" s="109">
        <v>1</v>
      </c>
      <c r="I29" s="33" t="s">
        <v>7</v>
      </c>
      <c r="J29" s="33">
        <v>11</v>
      </c>
      <c r="K29" s="33" t="s">
        <v>78</v>
      </c>
      <c r="L29" s="48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48"/>
      <c r="AE29" s="48"/>
      <c r="AF29" s="48"/>
      <c r="AG29" s="48"/>
      <c r="AH29" s="46"/>
      <c r="AI29" s="46"/>
      <c r="AJ29" s="46"/>
      <c r="AK29" s="48"/>
      <c r="AL29" s="46"/>
      <c r="AM29" s="46"/>
      <c r="AN29" s="46"/>
      <c r="AO29" s="48"/>
      <c r="AP29" s="46"/>
      <c r="AQ29" s="46"/>
      <c r="AR29" s="46"/>
      <c r="AS29" s="48"/>
      <c r="AT29" s="46"/>
      <c r="AU29" s="46"/>
      <c r="AV29" s="46"/>
      <c r="AW29" s="48"/>
      <c r="AX29" s="48"/>
    </row>
    <row r="30" spans="1:50" x14ac:dyDescent="0.2">
      <c r="A30" s="108" t="s">
        <v>120</v>
      </c>
      <c r="B30" s="84" t="s">
        <v>73</v>
      </c>
      <c r="C30" s="39" t="s">
        <v>91</v>
      </c>
      <c r="D30" s="36" t="s">
        <v>91</v>
      </c>
      <c r="E30" s="76">
        <v>15.6</v>
      </c>
      <c r="F30" s="76">
        <v>582</v>
      </c>
      <c r="G30" s="4" t="s">
        <v>81</v>
      </c>
      <c r="H30" s="86">
        <v>1.3</v>
      </c>
      <c r="I30" s="33" t="s">
        <v>7</v>
      </c>
      <c r="J30" s="33">
        <v>15</v>
      </c>
      <c r="K30" s="33" t="s">
        <v>79</v>
      </c>
      <c r="L30" s="48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48"/>
      <c r="AE30" s="48"/>
      <c r="AF30" s="48"/>
      <c r="AG30" s="48"/>
      <c r="AH30" s="46"/>
      <c r="AI30" s="46"/>
      <c r="AJ30" s="46"/>
      <c r="AK30" s="48"/>
      <c r="AL30" s="46"/>
      <c r="AM30" s="46"/>
      <c r="AN30" s="46"/>
      <c r="AO30" s="48"/>
      <c r="AP30" s="46"/>
      <c r="AQ30" s="46"/>
      <c r="AR30" s="46"/>
      <c r="AS30" s="48"/>
      <c r="AT30" s="46"/>
      <c r="AU30" s="46"/>
      <c r="AV30" s="46"/>
      <c r="AW30" s="48"/>
      <c r="AX30" s="48"/>
    </row>
    <row r="31" spans="1:50" x14ac:dyDescent="0.2">
      <c r="A31" s="33" t="s">
        <v>117</v>
      </c>
      <c r="B31" s="33" t="s">
        <v>73</v>
      </c>
      <c r="C31" s="39">
        <v>43892</v>
      </c>
      <c r="D31" s="39">
        <v>44246</v>
      </c>
      <c r="E31" s="76">
        <v>11.60655737704918</v>
      </c>
      <c r="F31" s="115">
        <v>935</v>
      </c>
      <c r="G31" s="4" t="s">
        <v>81</v>
      </c>
      <c r="H31" s="109">
        <v>0.7</v>
      </c>
      <c r="I31" s="33" t="s">
        <v>7</v>
      </c>
      <c r="J31" s="33">
        <v>11</v>
      </c>
      <c r="K31" s="33" t="s">
        <v>78</v>
      </c>
      <c r="L31" s="48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48"/>
      <c r="AE31" s="48"/>
      <c r="AF31" s="48"/>
      <c r="AG31" s="48"/>
      <c r="AH31" s="46"/>
      <c r="AI31" s="46"/>
      <c r="AJ31" s="46"/>
      <c r="AK31" s="48"/>
      <c r="AL31" s="46"/>
      <c r="AM31" s="46"/>
      <c r="AN31" s="46"/>
      <c r="AO31" s="48"/>
      <c r="AP31" s="46"/>
      <c r="AQ31" s="46"/>
      <c r="AR31" s="46"/>
      <c r="AS31" s="48"/>
      <c r="AT31" s="46"/>
      <c r="AU31" s="46"/>
      <c r="AV31" s="46"/>
      <c r="AW31" s="48"/>
      <c r="AX31" s="48"/>
    </row>
    <row r="32" spans="1:50" x14ac:dyDescent="0.2">
      <c r="A32" s="33" t="s">
        <v>105</v>
      </c>
      <c r="B32" s="108" t="s">
        <v>73</v>
      </c>
      <c r="C32" s="36" t="s">
        <v>91</v>
      </c>
      <c r="D32" s="36" t="s">
        <v>91</v>
      </c>
      <c r="E32" s="76">
        <v>3.5</v>
      </c>
      <c r="F32" s="76">
        <v>467</v>
      </c>
      <c r="G32" s="4" t="s">
        <v>81</v>
      </c>
      <c r="H32" s="33">
        <v>1.1000000000000001</v>
      </c>
      <c r="I32" s="33" t="s">
        <v>7</v>
      </c>
      <c r="J32" s="33">
        <v>3</v>
      </c>
      <c r="K32" s="33" t="s">
        <v>76</v>
      </c>
      <c r="L32" s="48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48"/>
      <c r="AE32" s="48"/>
      <c r="AF32" s="48"/>
      <c r="AG32" s="48"/>
      <c r="AH32" s="46"/>
      <c r="AI32" s="46"/>
      <c r="AJ32" s="46"/>
      <c r="AK32" s="48"/>
      <c r="AL32" s="46"/>
      <c r="AM32" s="46"/>
      <c r="AN32" s="46"/>
      <c r="AO32" s="48"/>
      <c r="AP32" s="46"/>
      <c r="AQ32" s="46"/>
      <c r="AR32" s="46"/>
      <c r="AS32" s="48"/>
      <c r="AT32" s="46"/>
      <c r="AU32" s="46"/>
      <c r="AV32" s="46"/>
      <c r="AW32" s="48"/>
      <c r="AX32" s="48"/>
    </row>
    <row r="33" spans="1:50" x14ac:dyDescent="0.2">
      <c r="A33" s="33" t="s">
        <v>107</v>
      </c>
      <c r="B33" s="33" t="s">
        <v>73</v>
      </c>
      <c r="C33" s="36" t="s">
        <v>91</v>
      </c>
      <c r="D33" s="39" t="s">
        <v>91</v>
      </c>
      <c r="E33" s="76">
        <v>4.8</v>
      </c>
      <c r="F33" s="48">
        <v>224</v>
      </c>
      <c r="G33" s="4" t="s">
        <v>81</v>
      </c>
      <c r="H33" s="84">
        <v>0.51205201798277922</v>
      </c>
      <c r="I33" s="33" t="s">
        <v>7</v>
      </c>
      <c r="J33" s="33">
        <v>4</v>
      </c>
      <c r="K33" s="33" t="s">
        <v>76</v>
      </c>
      <c r="L33" s="48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</row>
    <row r="34" spans="1:50" ht="16" customHeight="1" x14ac:dyDescent="0.2">
      <c r="A34" s="33" t="s">
        <v>108</v>
      </c>
      <c r="B34" s="33" t="s">
        <v>73</v>
      </c>
      <c r="C34" s="36" t="s">
        <v>91</v>
      </c>
      <c r="D34" s="39" t="s">
        <v>91</v>
      </c>
      <c r="E34" s="76">
        <v>4.8</v>
      </c>
      <c r="F34" s="48">
        <v>298</v>
      </c>
      <c r="G34" s="4" t="s">
        <v>81</v>
      </c>
      <c r="H34" s="84">
        <v>0.68121205963780451</v>
      </c>
      <c r="I34" s="33" t="s">
        <v>7</v>
      </c>
      <c r="J34" s="33">
        <v>4</v>
      </c>
      <c r="K34" s="33" t="s">
        <v>76</v>
      </c>
      <c r="L34" s="48"/>
      <c r="M34" s="91"/>
      <c r="N34" s="91"/>
      <c r="O34" s="97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7"/>
      <c r="AB34" s="91"/>
      <c r="AC34" s="91"/>
      <c r="AD34" s="48"/>
      <c r="AE34" s="48"/>
      <c r="AF34" s="48"/>
      <c r="AG34" s="48"/>
      <c r="AH34" s="88"/>
      <c r="AI34" s="88"/>
      <c r="AJ34" s="88"/>
      <c r="AK34" s="48"/>
      <c r="AL34" s="88"/>
      <c r="AM34" s="88"/>
      <c r="AN34" s="88"/>
      <c r="AO34" s="48"/>
      <c r="AP34" s="143"/>
      <c r="AQ34" s="143"/>
      <c r="AR34" s="143"/>
      <c r="AS34" s="48"/>
      <c r="AT34" s="143"/>
      <c r="AU34" s="143"/>
      <c r="AV34" s="143"/>
      <c r="AW34" s="48"/>
      <c r="AX34" s="48"/>
    </row>
    <row r="35" spans="1:50" x14ac:dyDescent="0.2">
      <c r="A35" s="108" t="s">
        <v>119</v>
      </c>
      <c r="B35" s="84" t="s">
        <v>73</v>
      </c>
      <c r="C35" s="39" t="s">
        <v>91</v>
      </c>
      <c r="D35" s="36" t="s">
        <v>91</v>
      </c>
      <c r="E35" s="76">
        <v>11</v>
      </c>
      <c r="F35" s="137">
        <v>580</v>
      </c>
      <c r="G35" s="4" t="s">
        <v>81</v>
      </c>
      <c r="H35" s="109">
        <v>1.3</v>
      </c>
      <c r="I35" s="33" t="s">
        <v>7</v>
      </c>
      <c r="J35" s="33">
        <v>11</v>
      </c>
      <c r="K35" s="33" t="s">
        <v>78</v>
      </c>
      <c r="L35" s="48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48"/>
      <c r="AE35" s="48"/>
      <c r="AF35" s="48"/>
      <c r="AG35" s="48"/>
      <c r="AH35" s="88"/>
      <c r="AI35" s="88"/>
      <c r="AJ35" s="88"/>
      <c r="AK35" s="48"/>
      <c r="AL35" s="88"/>
      <c r="AM35" s="88"/>
      <c r="AN35" s="88"/>
      <c r="AO35" s="48"/>
      <c r="AP35" s="143"/>
      <c r="AQ35" s="143"/>
      <c r="AR35" s="143"/>
      <c r="AS35" s="48"/>
      <c r="AT35" s="143"/>
      <c r="AU35" s="143"/>
      <c r="AV35" s="143"/>
      <c r="AW35" s="48"/>
      <c r="AX35" s="48"/>
    </row>
    <row r="36" spans="1:50" x14ac:dyDescent="0.2">
      <c r="A36" s="33" t="s">
        <v>113</v>
      </c>
      <c r="B36" s="33" t="s">
        <v>73</v>
      </c>
      <c r="C36" s="36" t="s">
        <v>91</v>
      </c>
      <c r="D36" s="39" t="s">
        <v>91</v>
      </c>
      <c r="E36" s="76">
        <v>10</v>
      </c>
      <c r="F36" s="137">
        <v>689</v>
      </c>
      <c r="G36" s="4" t="s">
        <v>81</v>
      </c>
      <c r="H36" s="114">
        <v>1.6</v>
      </c>
      <c r="I36" s="33" t="s">
        <v>7</v>
      </c>
      <c r="J36" s="33">
        <v>10</v>
      </c>
      <c r="K36" s="33" t="s">
        <v>78</v>
      </c>
      <c r="L36" s="48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48"/>
      <c r="AE36" s="48"/>
      <c r="AF36" s="48"/>
      <c r="AG36" s="48"/>
      <c r="AH36" s="88"/>
      <c r="AI36" s="88"/>
      <c r="AJ36" s="88"/>
      <c r="AK36" s="48"/>
      <c r="AL36" s="88"/>
      <c r="AM36" s="88"/>
      <c r="AN36" s="88"/>
      <c r="AO36" s="48"/>
      <c r="AP36" s="143"/>
      <c r="AQ36" s="143"/>
      <c r="AR36" s="143"/>
      <c r="AS36" s="48"/>
      <c r="AT36" s="143"/>
      <c r="AU36" s="143"/>
      <c r="AV36" s="143"/>
      <c r="AW36" s="48"/>
      <c r="AX36" s="48"/>
    </row>
    <row r="37" spans="1:50" ht="32" customHeight="1" x14ac:dyDescent="0.2">
      <c r="A37" s="33" t="s">
        <v>114</v>
      </c>
      <c r="B37" s="33" t="s">
        <v>73</v>
      </c>
      <c r="C37" s="36" t="s">
        <v>91</v>
      </c>
      <c r="D37" s="39" t="s">
        <v>91</v>
      </c>
      <c r="E37" s="76">
        <v>10</v>
      </c>
      <c r="F37" s="137">
        <v>211.8</v>
      </c>
      <c r="G37" s="4" t="s">
        <v>81</v>
      </c>
      <c r="H37" s="114">
        <v>0.5</v>
      </c>
      <c r="I37" s="33" t="s">
        <v>7</v>
      </c>
      <c r="J37" s="33">
        <v>10</v>
      </c>
      <c r="K37" s="33" t="s">
        <v>78</v>
      </c>
      <c r="L37" s="48"/>
      <c r="M37" s="91"/>
      <c r="N37" s="100"/>
      <c r="O37" s="100"/>
      <c r="P37" s="100"/>
      <c r="Q37" s="91"/>
      <c r="R37" s="100"/>
      <c r="S37" s="100"/>
      <c r="T37" s="100"/>
      <c r="U37" s="91"/>
      <c r="V37" s="100"/>
      <c r="W37" s="100"/>
      <c r="X37" s="100"/>
      <c r="Y37" s="91"/>
      <c r="Z37" s="100"/>
      <c r="AA37" s="100"/>
      <c r="AB37" s="100"/>
      <c r="AC37" s="9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</row>
    <row r="38" spans="1:50" x14ac:dyDescent="0.2">
      <c r="A38" s="33" t="s">
        <v>100</v>
      </c>
      <c r="B38" s="33" t="s">
        <v>73</v>
      </c>
      <c r="C38" s="39" t="s">
        <v>91</v>
      </c>
      <c r="D38" s="36" t="s">
        <v>91</v>
      </c>
      <c r="E38" s="76">
        <v>1</v>
      </c>
      <c r="F38" s="76">
        <v>433</v>
      </c>
      <c r="G38" s="4" t="s">
        <v>81</v>
      </c>
      <c r="H38" s="109">
        <v>1</v>
      </c>
      <c r="I38" s="33" t="s">
        <v>7</v>
      </c>
      <c r="J38" s="33">
        <v>1</v>
      </c>
      <c r="K38" s="33" t="s">
        <v>72</v>
      </c>
      <c r="L38" s="48"/>
      <c r="M38" s="91"/>
      <c r="N38" s="100"/>
      <c r="O38" s="100"/>
      <c r="P38" s="100"/>
      <c r="Q38" s="91"/>
      <c r="R38" s="100"/>
      <c r="S38" s="100"/>
      <c r="T38" s="100"/>
      <c r="U38" s="91"/>
      <c r="V38" s="100"/>
      <c r="W38" s="100"/>
      <c r="X38" s="100"/>
      <c r="Y38" s="91"/>
      <c r="Z38" s="100"/>
      <c r="AA38" s="100"/>
      <c r="AB38" s="100"/>
      <c r="AC38" s="91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</row>
    <row r="39" spans="1:50" x14ac:dyDescent="0.2">
      <c r="A39" s="33" t="s">
        <v>101</v>
      </c>
      <c r="B39" s="33" t="s">
        <v>73</v>
      </c>
      <c r="C39" s="36" t="s">
        <v>91</v>
      </c>
      <c r="D39" s="36" t="s">
        <v>91</v>
      </c>
      <c r="E39" s="76">
        <v>1</v>
      </c>
      <c r="F39" s="76">
        <v>310.5</v>
      </c>
      <c r="G39" s="4" t="s">
        <v>81</v>
      </c>
      <c r="H39" s="33">
        <v>0.7</v>
      </c>
      <c r="I39" s="33" t="s">
        <v>7</v>
      </c>
      <c r="J39" s="33">
        <v>1</v>
      </c>
      <c r="K39" s="33" t="s">
        <v>72</v>
      </c>
      <c r="L39" s="48"/>
      <c r="M39" s="91"/>
      <c r="N39" s="100"/>
      <c r="O39" s="100"/>
      <c r="P39" s="100"/>
      <c r="Q39" s="91"/>
      <c r="R39" s="100"/>
      <c r="S39" s="100"/>
      <c r="T39" s="100"/>
      <c r="U39" s="91"/>
      <c r="V39" s="100"/>
      <c r="W39" s="100"/>
      <c r="X39" s="100"/>
      <c r="Y39" s="91"/>
      <c r="Z39" s="100"/>
      <c r="AA39" s="100"/>
      <c r="AB39" s="100"/>
      <c r="AC39" s="91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</row>
    <row r="40" spans="1:50" ht="19" x14ac:dyDescent="0.25">
      <c r="A40" s="33"/>
      <c r="B40" s="33"/>
      <c r="C40" s="36"/>
      <c r="D40" s="41"/>
      <c r="E40" s="76"/>
      <c r="F40" s="76"/>
      <c r="G40" s="33"/>
      <c r="H40" s="33"/>
      <c r="I40" s="33"/>
      <c r="J40" s="33"/>
      <c r="K40" s="33"/>
      <c r="L40" s="48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48"/>
      <c r="AE40" s="48"/>
      <c r="AF40" s="48"/>
      <c r="AG40" s="48"/>
      <c r="AH40" s="89"/>
      <c r="AI40" s="89"/>
      <c r="AJ40" s="89"/>
      <c r="AK40" s="89"/>
      <c r="AL40" s="89"/>
      <c r="AM40" s="89"/>
      <c r="AN40" s="89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  <row r="41" spans="1:50" ht="19" x14ac:dyDescent="0.25">
      <c r="A41" s="33"/>
      <c r="B41" s="33"/>
      <c r="C41" s="36"/>
      <c r="D41" s="41"/>
      <c r="E41" s="76"/>
      <c r="F41" s="76"/>
      <c r="G41" s="33"/>
      <c r="H41" s="33"/>
      <c r="I41" s="33"/>
      <c r="J41" s="33"/>
      <c r="K41" s="33"/>
      <c r="L41" s="48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48"/>
      <c r="AE41" s="48"/>
      <c r="AF41" s="48"/>
      <c r="AG41" s="48"/>
      <c r="AH41" s="59"/>
      <c r="AI41" s="48"/>
      <c r="AJ41" s="48"/>
      <c r="AK41" s="49"/>
      <c r="AL41" s="49"/>
      <c r="AM41" s="87"/>
      <c r="AN41" s="87"/>
      <c r="AO41" s="48"/>
      <c r="AP41" s="48"/>
      <c r="AQ41" s="48"/>
      <c r="AR41" s="48"/>
      <c r="AS41" s="48"/>
      <c r="AT41" s="48"/>
      <c r="AU41" s="48"/>
      <c r="AV41" s="48"/>
      <c r="AW41" s="48"/>
      <c r="AX41" s="48"/>
    </row>
    <row r="42" spans="1:50" x14ac:dyDescent="0.2">
      <c r="A42" s="33"/>
      <c r="B42" s="33"/>
      <c r="C42" s="36"/>
      <c r="D42" s="42"/>
      <c r="E42" s="76"/>
      <c r="F42" s="76"/>
      <c r="G42" s="33"/>
      <c r="H42" s="86"/>
      <c r="I42" s="33"/>
      <c r="J42" s="33"/>
      <c r="K42" s="33"/>
      <c r="L42" s="48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48"/>
      <c r="AE42" s="48"/>
      <c r="AF42" s="48"/>
      <c r="AG42" s="48"/>
      <c r="AH42" s="47"/>
      <c r="AI42" s="48"/>
      <c r="AJ42" s="47"/>
      <c r="AK42" s="48"/>
      <c r="AL42" s="48"/>
      <c r="AM42" s="46"/>
      <c r="AN42" s="46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1:50" x14ac:dyDescent="0.2">
      <c r="A43" s="33"/>
      <c r="B43" s="33"/>
      <c r="C43" s="36"/>
      <c r="D43" s="42"/>
      <c r="E43" s="76"/>
      <c r="F43" s="76"/>
      <c r="G43" s="33"/>
      <c r="H43" s="86"/>
      <c r="I43" s="33"/>
      <c r="J43" s="33"/>
      <c r="K43" s="33"/>
      <c r="L43" s="48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48"/>
      <c r="AE43" s="48"/>
      <c r="AF43" s="48"/>
      <c r="AG43" s="48"/>
      <c r="AH43" s="47"/>
      <c r="AI43" s="48"/>
      <c r="AJ43" s="47"/>
      <c r="AK43" s="48"/>
      <c r="AL43" s="48"/>
      <c r="AM43" s="46"/>
      <c r="AN43" s="46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  <row r="44" spans="1:50" x14ac:dyDescent="0.2">
      <c r="A44" s="33"/>
      <c r="B44" s="33"/>
      <c r="C44" s="36"/>
      <c r="D44" s="42"/>
      <c r="E44" s="76"/>
      <c r="F44" s="76"/>
      <c r="G44" s="33"/>
      <c r="H44" s="86"/>
      <c r="I44" s="33"/>
      <c r="J44" s="33"/>
      <c r="K44" s="33"/>
      <c r="L44" s="48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48"/>
      <c r="AE44" s="48"/>
      <c r="AF44" s="48"/>
      <c r="AG44" s="48"/>
      <c r="AH44" s="47"/>
      <c r="AI44" s="48"/>
      <c r="AJ44" s="47"/>
      <c r="AK44" s="48"/>
      <c r="AL44" s="48"/>
      <c r="AM44" s="46"/>
      <c r="AN44" s="46"/>
      <c r="AO44" s="48"/>
      <c r="AP44" s="48"/>
      <c r="AQ44" s="48"/>
      <c r="AR44" s="48"/>
      <c r="AS44" s="48"/>
      <c r="AT44" s="48"/>
      <c r="AU44" s="48"/>
      <c r="AV44" s="48"/>
      <c r="AW44" s="48"/>
      <c r="AX44" s="48"/>
    </row>
    <row r="45" spans="1:50" x14ac:dyDescent="0.2">
      <c r="A45" s="33"/>
      <c r="B45" s="33"/>
      <c r="C45" s="36"/>
      <c r="D45" s="42"/>
      <c r="E45" s="76"/>
      <c r="F45" s="76"/>
      <c r="G45" s="33"/>
      <c r="H45" s="86"/>
      <c r="I45" s="33"/>
      <c r="J45" s="33"/>
      <c r="K45" s="33"/>
      <c r="L45" s="48"/>
      <c r="M45" s="91"/>
      <c r="N45" s="96"/>
      <c r="O45" s="96"/>
      <c r="P45" s="96"/>
      <c r="Q45" s="91"/>
      <c r="R45" s="96"/>
      <c r="S45" s="96"/>
      <c r="T45" s="96"/>
      <c r="U45" s="91"/>
      <c r="V45" s="96"/>
      <c r="W45" s="96"/>
      <c r="X45" s="96"/>
      <c r="Y45" s="91"/>
      <c r="Z45" s="91"/>
      <c r="AA45" s="91"/>
      <c r="AB45" s="91"/>
      <c r="AC45" s="91"/>
      <c r="AD45" s="48"/>
      <c r="AE45" s="48"/>
      <c r="AF45" s="48"/>
      <c r="AG45" s="48"/>
      <c r="AH45" s="47"/>
      <c r="AI45" s="48"/>
      <c r="AJ45" s="47"/>
      <c r="AK45" s="48"/>
      <c r="AL45" s="48"/>
      <c r="AM45" s="46"/>
      <c r="AN45" s="46"/>
      <c r="AO45" s="48"/>
      <c r="AP45" s="48"/>
      <c r="AQ45" s="48"/>
      <c r="AR45" s="48"/>
      <c r="AS45" s="48"/>
      <c r="AT45" s="48"/>
      <c r="AU45" s="48"/>
      <c r="AV45" s="48"/>
      <c r="AW45" s="48"/>
      <c r="AX45" s="48"/>
    </row>
    <row r="46" spans="1:50" x14ac:dyDescent="0.2">
      <c r="A46" s="33"/>
      <c r="B46" s="33"/>
      <c r="C46" s="36"/>
      <c r="D46" s="42"/>
      <c r="E46" s="76"/>
      <c r="F46" s="76"/>
      <c r="G46" s="33"/>
      <c r="H46" s="86"/>
      <c r="I46" s="33"/>
      <c r="J46" s="33"/>
      <c r="K46" s="33"/>
      <c r="L46" s="48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</row>
    <row r="47" spans="1:50" x14ac:dyDescent="0.2">
      <c r="A47" s="33"/>
      <c r="B47" s="33"/>
      <c r="C47" s="36"/>
      <c r="D47" s="42"/>
      <c r="E47" s="76"/>
      <c r="F47" s="76"/>
      <c r="G47" s="33"/>
      <c r="H47" s="33"/>
      <c r="I47" s="33"/>
      <c r="J47" s="33"/>
      <c r="K47" s="33"/>
      <c r="L47" s="48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</row>
    <row r="48" spans="1:50" x14ac:dyDescent="0.2">
      <c r="A48" s="33"/>
      <c r="B48" s="33"/>
      <c r="C48" s="36"/>
      <c r="D48" s="42"/>
      <c r="E48" s="76"/>
      <c r="F48" s="76"/>
      <c r="G48" s="33"/>
      <c r="H48" s="33"/>
      <c r="I48" s="33"/>
      <c r="J48" s="33"/>
      <c r="K48" s="33"/>
      <c r="L48" s="48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</row>
    <row r="49" spans="1:50" x14ac:dyDescent="0.2">
      <c r="A49" s="33"/>
      <c r="B49" s="33"/>
      <c r="C49" s="36"/>
      <c r="D49" s="42"/>
      <c r="E49" s="76"/>
      <c r="F49" s="76"/>
      <c r="G49" s="33"/>
      <c r="H49" s="33"/>
      <c r="I49" s="33"/>
      <c r="J49" s="33"/>
      <c r="K49" s="33"/>
      <c r="L49" s="48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</row>
    <row r="50" spans="1:50" x14ac:dyDescent="0.2">
      <c r="A50" s="33"/>
      <c r="B50" s="33"/>
      <c r="C50" s="36"/>
      <c r="D50" s="36"/>
      <c r="E50" s="76"/>
      <c r="F50" s="76"/>
      <c r="G50" s="33"/>
      <c r="H50" s="33"/>
      <c r="I50" s="33"/>
      <c r="J50" s="33"/>
      <c r="K50" s="33"/>
      <c r="L50" s="48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</row>
    <row r="51" spans="1:50" x14ac:dyDescent="0.2">
      <c r="A51" s="33"/>
      <c r="B51" s="33"/>
      <c r="C51" s="36"/>
      <c r="D51" s="36"/>
      <c r="E51" s="76"/>
      <c r="F51" s="76"/>
      <c r="G51" s="33"/>
      <c r="H51" s="33"/>
      <c r="I51" s="33"/>
      <c r="J51" s="33"/>
      <c r="K51" s="33"/>
      <c r="L51" s="48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</row>
    <row r="52" spans="1:50" x14ac:dyDescent="0.2">
      <c r="A52" s="33"/>
      <c r="B52" s="33"/>
      <c r="C52" s="36"/>
      <c r="D52" s="36"/>
      <c r="E52" s="76"/>
      <c r="F52" s="76"/>
      <c r="G52" s="33"/>
      <c r="H52" s="33"/>
      <c r="I52" s="33"/>
      <c r="J52" s="33"/>
      <c r="K52" s="33"/>
      <c r="L52" s="48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</row>
    <row r="53" spans="1:50" x14ac:dyDescent="0.2">
      <c r="A53" s="33"/>
      <c r="B53" s="33"/>
      <c r="C53" s="36"/>
      <c r="D53" s="37"/>
      <c r="E53" s="76"/>
      <c r="F53" s="76"/>
      <c r="G53" s="33"/>
      <c r="H53" s="116"/>
      <c r="I53" s="33"/>
      <c r="J53" s="76"/>
      <c r="K53" s="33"/>
      <c r="L53" s="48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</row>
    <row r="54" spans="1:50" ht="32" customHeight="1" x14ac:dyDescent="0.2">
      <c r="A54" s="33"/>
      <c r="B54" s="33"/>
      <c r="C54" s="36"/>
      <c r="D54" s="36"/>
      <c r="E54" s="76"/>
      <c r="F54" s="76"/>
      <c r="G54" s="33"/>
      <c r="H54" s="33"/>
      <c r="I54" s="33"/>
      <c r="J54" s="33"/>
      <c r="K54" s="33"/>
      <c r="L54" s="48"/>
      <c r="M54" s="91"/>
      <c r="N54" s="100"/>
      <c r="O54" s="100"/>
      <c r="P54" s="100"/>
      <c r="Q54" s="91"/>
      <c r="R54" s="100"/>
      <c r="S54" s="100"/>
      <c r="T54" s="100"/>
      <c r="U54" s="91"/>
      <c r="V54" s="100"/>
      <c r="W54" s="100"/>
      <c r="X54" s="100"/>
      <c r="Y54" s="91"/>
      <c r="Z54" s="91"/>
      <c r="AA54" s="91"/>
      <c r="AB54" s="91"/>
      <c r="AC54" s="91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</row>
    <row r="55" spans="1:50" x14ac:dyDescent="0.2">
      <c r="A55" s="33"/>
      <c r="B55" s="33"/>
      <c r="C55" s="36"/>
      <c r="D55" s="36"/>
      <c r="E55" s="76"/>
      <c r="F55" s="76"/>
      <c r="G55" s="33"/>
      <c r="H55" s="86"/>
      <c r="I55" s="33"/>
      <c r="J55" s="33"/>
      <c r="K55" s="33"/>
      <c r="L55" s="48"/>
      <c r="M55" s="91"/>
      <c r="N55" s="100"/>
      <c r="O55" s="100"/>
      <c r="P55" s="100"/>
      <c r="Q55" s="91"/>
      <c r="R55" s="100"/>
      <c r="S55" s="100"/>
      <c r="T55" s="100"/>
      <c r="U55" s="91"/>
      <c r="V55" s="100"/>
      <c r="W55" s="100"/>
      <c r="X55" s="100"/>
      <c r="Y55" s="91"/>
      <c r="Z55" s="91"/>
      <c r="AA55" s="91"/>
      <c r="AB55" s="91"/>
      <c r="AC55" s="91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</row>
    <row r="56" spans="1:50" x14ac:dyDescent="0.2">
      <c r="A56" s="33"/>
      <c r="B56" s="33"/>
      <c r="C56" s="36"/>
      <c r="D56" s="36"/>
      <c r="E56" s="76"/>
      <c r="F56" s="76"/>
      <c r="G56" s="33"/>
      <c r="H56" s="86"/>
      <c r="I56" s="33"/>
      <c r="J56" s="33"/>
      <c r="K56" s="33"/>
      <c r="L56" s="48"/>
      <c r="M56" s="91"/>
      <c r="N56" s="100"/>
      <c r="O56" s="100"/>
      <c r="P56" s="100"/>
      <c r="Q56" s="91"/>
      <c r="R56" s="100"/>
      <c r="S56" s="100"/>
      <c r="T56" s="100"/>
      <c r="U56" s="91"/>
      <c r="V56" s="100"/>
      <c r="W56" s="100"/>
      <c r="X56" s="100"/>
      <c r="Y56" s="91"/>
      <c r="Z56" s="91"/>
      <c r="AA56" s="91"/>
      <c r="AB56" s="91"/>
      <c r="AC56" s="91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</row>
    <row r="57" spans="1:50" x14ac:dyDescent="0.2">
      <c r="A57" s="33"/>
      <c r="B57" s="33"/>
      <c r="C57" s="36"/>
      <c r="D57" s="36"/>
      <c r="E57" s="76"/>
      <c r="F57" s="76"/>
      <c r="G57" s="33"/>
      <c r="H57" s="86"/>
      <c r="I57" s="33"/>
      <c r="J57" s="33"/>
      <c r="K57" s="33"/>
      <c r="L57" s="48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</row>
    <row r="58" spans="1:50" x14ac:dyDescent="0.2">
      <c r="A58" s="114"/>
      <c r="B58" s="84"/>
      <c r="C58" s="39"/>
      <c r="D58" s="39"/>
      <c r="E58" s="76"/>
      <c r="F58" s="76"/>
      <c r="G58" s="33"/>
      <c r="H58" s="84"/>
      <c r="I58" s="33"/>
      <c r="J58" s="33"/>
      <c r="K58" s="33"/>
      <c r="L58" s="48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</row>
    <row r="59" spans="1:50" x14ac:dyDescent="0.2">
      <c r="A59" s="33"/>
      <c r="B59" s="108"/>
      <c r="C59" s="36"/>
      <c r="D59" s="36"/>
      <c r="E59" s="76"/>
      <c r="F59" s="76"/>
      <c r="G59" s="33"/>
      <c r="H59" s="113"/>
      <c r="I59" s="33"/>
      <c r="J59" s="33"/>
      <c r="K59" s="33"/>
      <c r="L59" s="48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</row>
    <row r="60" spans="1:50" ht="19" x14ac:dyDescent="0.25">
      <c r="A60" s="33"/>
      <c r="B60" s="33"/>
      <c r="C60" s="36"/>
      <c r="D60" s="39"/>
      <c r="E60" s="76"/>
      <c r="F60" s="76"/>
      <c r="G60" s="33"/>
      <c r="H60" s="105"/>
      <c r="I60" s="33"/>
      <c r="J60" s="33"/>
      <c r="K60" s="33"/>
      <c r="L60" s="48"/>
      <c r="M60" s="91"/>
      <c r="N60" s="101"/>
      <c r="O60" s="101"/>
      <c r="P60" s="101"/>
      <c r="Q60" s="101"/>
      <c r="R60" s="101"/>
      <c r="S60" s="101"/>
      <c r="T60" s="101"/>
      <c r="U60" s="91"/>
      <c r="V60" s="91"/>
      <c r="W60" s="91"/>
      <c r="X60" s="91"/>
      <c r="Y60" s="91"/>
      <c r="Z60" s="91"/>
      <c r="AA60" s="91"/>
      <c r="AB60" s="91"/>
      <c r="AC60" s="91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</row>
    <row r="61" spans="1:50" ht="19" x14ac:dyDescent="0.25">
      <c r="A61" s="33"/>
      <c r="B61" s="108"/>
      <c r="C61" s="36"/>
      <c r="D61" s="36"/>
      <c r="E61" s="76"/>
      <c r="F61" s="80"/>
      <c r="G61" s="33"/>
      <c r="H61" s="86"/>
      <c r="I61" s="33"/>
      <c r="J61" s="33"/>
      <c r="K61" s="33"/>
      <c r="L61" s="48"/>
      <c r="M61" s="91"/>
      <c r="N61" s="98"/>
      <c r="O61" s="91"/>
      <c r="P61" s="91"/>
      <c r="Q61" s="94"/>
      <c r="R61" s="94"/>
      <c r="S61" s="102"/>
      <c r="T61" s="102"/>
      <c r="U61" s="91"/>
      <c r="V61" s="91"/>
      <c r="W61" s="91"/>
      <c r="X61" s="91"/>
      <c r="Y61" s="91"/>
      <c r="Z61" s="91"/>
      <c r="AA61" s="91"/>
      <c r="AB61" s="91"/>
      <c r="AC61" s="91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</row>
    <row r="62" spans="1:50" x14ac:dyDescent="0.2">
      <c r="A62" s="33"/>
      <c r="B62" s="108"/>
      <c r="C62" s="36"/>
      <c r="D62" s="36"/>
      <c r="E62" s="76"/>
      <c r="F62" s="76"/>
      <c r="G62" s="33"/>
      <c r="H62" s="86"/>
      <c r="I62" s="33"/>
      <c r="J62" s="33"/>
      <c r="K62" s="33"/>
      <c r="L62" s="48"/>
      <c r="M62" s="91"/>
      <c r="N62" s="91"/>
      <c r="O62" s="91"/>
      <c r="P62" s="91"/>
      <c r="Q62" s="91"/>
      <c r="R62" s="97"/>
      <c r="S62" s="99"/>
      <c r="T62" s="99"/>
      <c r="U62" s="91"/>
      <c r="V62" s="91"/>
      <c r="W62" s="91"/>
      <c r="X62" s="91"/>
      <c r="Y62" s="91"/>
      <c r="Z62" s="91"/>
      <c r="AA62" s="91"/>
      <c r="AB62" s="91"/>
      <c r="AC62" s="91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</row>
    <row r="63" spans="1:50" x14ac:dyDescent="0.2">
      <c r="A63" s="33"/>
      <c r="B63" s="33"/>
      <c r="C63" s="36"/>
      <c r="D63" s="39"/>
      <c r="E63" s="76"/>
      <c r="F63" s="115"/>
      <c r="G63" s="33"/>
      <c r="H63" s="114"/>
      <c r="I63" s="33"/>
      <c r="J63" s="33"/>
      <c r="K63" s="33"/>
      <c r="L63" s="48"/>
      <c r="M63" s="91"/>
      <c r="N63" s="91"/>
      <c r="O63" s="91"/>
      <c r="P63" s="91"/>
      <c r="Q63" s="91"/>
      <c r="R63" s="91"/>
      <c r="S63" s="99"/>
      <c r="T63" s="99"/>
      <c r="U63" s="91"/>
      <c r="V63" s="91"/>
      <c r="W63" s="91"/>
      <c r="X63" s="91"/>
      <c r="Y63" s="91"/>
      <c r="Z63" s="91"/>
      <c r="AA63" s="91"/>
      <c r="AB63" s="91"/>
      <c r="AC63" s="91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</row>
    <row r="64" spans="1:50" x14ac:dyDescent="0.2">
      <c r="A64" s="33"/>
      <c r="B64" s="33"/>
      <c r="C64" s="36"/>
      <c r="D64" s="39"/>
      <c r="E64" s="76"/>
      <c r="F64" s="76"/>
      <c r="G64" s="33"/>
      <c r="H64" s="114"/>
      <c r="I64" s="33"/>
      <c r="J64" s="33"/>
      <c r="K64" s="33"/>
      <c r="L64" s="48"/>
      <c r="M64" s="91"/>
      <c r="N64" s="91"/>
      <c r="O64" s="91"/>
      <c r="P64" s="91"/>
      <c r="Q64" s="91"/>
      <c r="R64" s="91"/>
      <c r="S64" s="99"/>
      <c r="T64" s="99"/>
      <c r="U64" s="91"/>
      <c r="V64" s="91"/>
      <c r="W64" s="91"/>
      <c r="X64" s="91"/>
      <c r="Y64" s="91"/>
      <c r="Z64" s="91"/>
      <c r="AA64" s="91"/>
      <c r="AB64" s="91"/>
      <c r="AC64" s="91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</row>
    <row r="65" spans="1:50" x14ac:dyDescent="0.2">
      <c r="A65" s="33"/>
      <c r="B65" s="33"/>
      <c r="C65" s="36"/>
      <c r="D65" s="39"/>
      <c r="E65" s="76"/>
      <c r="F65" s="76"/>
      <c r="G65" s="33"/>
      <c r="H65" s="114"/>
      <c r="I65" s="33"/>
      <c r="J65" s="33"/>
      <c r="K65" s="33"/>
      <c r="L65" s="48"/>
      <c r="M65" s="91"/>
      <c r="N65" s="91"/>
      <c r="O65" s="91"/>
      <c r="P65" s="91"/>
      <c r="Q65" s="91"/>
      <c r="R65" s="91"/>
      <c r="S65" s="99"/>
      <c r="T65" s="99"/>
      <c r="U65" s="91"/>
      <c r="V65" s="91"/>
      <c r="W65" s="91"/>
      <c r="X65" s="91"/>
      <c r="Y65" s="91"/>
      <c r="Z65" s="91"/>
      <c r="AA65" s="91"/>
      <c r="AB65" s="91"/>
      <c r="AC65" s="91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</row>
    <row r="66" spans="1:50" x14ac:dyDescent="0.2">
      <c r="A66" s="33"/>
      <c r="B66" s="33"/>
      <c r="C66" s="36"/>
      <c r="D66" s="39"/>
      <c r="E66" s="76"/>
      <c r="F66" s="76"/>
      <c r="G66" s="33"/>
      <c r="H66" s="114"/>
      <c r="I66" s="33"/>
      <c r="J66" s="33"/>
      <c r="K66" s="33"/>
      <c r="L66" s="48"/>
      <c r="M66" s="91"/>
      <c r="N66" s="91"/>
      <c r="O66" s="91"/>
      <c r="P66" s="91"/>
      <c r="Q66" s="91"/>
      <c r="R66" s="91"/>
      <c r="S66" s="99"/>
      <c r="T66" s="99"/>
      <c r="U66" s="91"/>
      <c r="V66" s="91"/>
      <c r="W66" s="91"/>
      <c r="X66" s="91"/>
      <c r="Y66" s="91"/>
      <c r="Z66" s="91"/>
      <c r="AA66" s="91"/>
      <c r="AB66" s="91"/>
      <c r="AC66" s="91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</row>
    <row r="67" spans="1:50" x14ac:dyDescent="0.2">
      <c r="A67" s="114"/>
      <c r="B67" s="84"/>
      <c r="C67" s="39"/>
      <c r="D67" s="39"/>
      <c r="E67" s="76"/>
      <c r="F67" s="76"/>
      <c r="G67" s="33"/>
      <c r="H67" s="84"/>
      <c r="I67" s="33"/>
      <c r="J67" s="33"/>
      <c r="K67" s="33"/>
      <c r="L67" s="48"/>
      <c r="M67" s="91"/>
      <c r="N67" s="91"/>
      <c r="O67" s="91"/>
      <c r="P67" s="91"/>
      <c r="Q67" s="91"/>
      <c r="R67" s="91"/>
      <c r="S67" s="99"/>
      <c r="T67" s="99"/>
      <c r="U67" s="91"/>
      <c r="V67" s="91"/>
      <c r="W67" s="91"/>
      <c r="X67" s="91"/>
      <c r="Y67" s="91"/>
      <c r="Z67" s="91"/>
      <c r="AA67" s="91"/>
      <c r="AB67" s="91"/>
      <c r="AC67" s="91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</row>
    <row r="68" spans="1:50" x14ac:dyDescent="0.2">
      <c r="A68" s="84"/>
      <c r="B68" s="84"/>
      <c r="C68" s="39"/>
      <c r="D68" s="36"/>
      <c r="E68" s="76"/>
      <c r="F68" s="76"/>
      <c r="G68" s="33"/>
      <c r="H68" s="33"/>
      <c r="I68" s="33"/>
      <c r="J68" s="33"/>
      <c r="K68" s="33"/>
      <c r="L68" s="48"/>
      <c r="M68" s="91"/>
      <c r="N68" s="91"/>
      <c r="O68" s="91"/>
      <c r="P68" s="91"/>
      <c r="Q68" s="91"/>
      <c r="R68" s="91"/>
      <c r="S68" s="99"/>
      <c r="T68" s="99"/>
      <c r="U68" s="91"/>
      <c r="V68" s="91"/>
      <c r="W68" s="91"/>
      <c r="X68" s="91"/>
      <c r="Y68" s="91"/>
      <c r="Z68" s="91"/>
      <c r="AA68" s="91"/>
      <c r="AB68" s="91"/>
      <c r="AC68" s="91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</row>
    <row r="69" spans="1:50" x14ac:dyDescent="0.2">
      <c r="A69" s="33"/>
      <c r="B69" s="33"/>
      <c r="C69" s="36"/>
      <c r="D69" s="36"/>
      <c r="E69" s="76"/>
      <c r="F69" s="76"/>
      <c r="G69" s="33"/>
      <c r="H69" s="117"/>
      <c r="I69" s="33"/>
      <c r="J69" s="33"/>
      <c r="K69" s="33"/>
      <c r="L69" s="48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</row>
    <row r="70" spans="1:50" x14ac:dyDescent="0.2">
      <c r="A70" s="33"/>
      <c r="B70" s="33"/>
      <c r="C70" s="108"/>
      <c r="D70" s="39"/>
      <c r="E70" s="76"/>
      <c r="F70" s="76"/>
      <c r="G70" s="33"/>
      <c r="H70" s="109"/>
      <c r="I70" s="33"/>
      <c r="J70" s="33"/>
      <c r="K70" s="33"/>
      <c r="L70" s="48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</row>
    <row r="71" spans="1:50" x14ac:dyDescent="0.2">
      <c r="A71" s="33"/>
      <c r="B71" s="33"/>
      <c r="C71" s="108"/>
      <c r="D71" s="39"/>
      <c r="E71" s="76"/>
      <c r="F71" s="76"/>
      <c r="G71" s="33"/>
      <c r="H71" s="109"/>
      <c r="I71" s="33"/>
      <c r="J71" s="33"/>
      <c r="K71" s="33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</row>
    <row r="72" spans="1:50" x14ac:dyDescent="0.2">
      <c r="A72" s="33"/>
      <c r="B72" s="33"/>
      <c r="C72" s="108"/>
      <c r="D72" s="39"/>
      <c r="E72" s="76"/>
      <c r="F72" s="76"/>
      <c r="G72" s="33"/>
      <c r="H72" s="105"/>
      <c r="I72" s="33"/>
      <c r="J72" s="33"/>
      <c r="K72" s="33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</row>
    <row r="73" spans="1:50" x14ac:dyDescent="0.2">
      <c r="A73" s="33"/>
      <c r="B73" s="33"/>
      <c r="C73" s="108"/>
      <c r="D73" s="39"/>
      <c r="E73" s="76"/>
      <c r="F73" s="76"/>
      <c r="G73" s="33"/>
      <c r="H73" s="109"/>
      <c r="I73" s="33"/>
      <c r="J73" s="33"/>
      <c r="K73" s="33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</row>
    <row r="74" spans="1:50" x14ac:dyDescent="0.2">
      <c r="A74" s="33"/>
      <c r="B74" s="33"/>
      <c r="C74" s="108"/>
      <c r="D74" s="39"/>
      <c r="E74" s="76"/>
      <c r="F74" s="76"/>
      <c r="G74" s="33"/>
      <c r="H74" s="109"/>
      <c r="I74" s="33"/>
      <c r="J74" s="33"/>
      <c r="K74" s="33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</row>
    <row r="75" spans="1:50" x14ac:dyDescent="0.2">
      <c r="A75" s="33"/>
      <c r="B75" s="33"/>
      <c r="C75" s="108"/>
      <c r="D75" s="39"/>
      <c r="E75" s="76"/>
      <c r="F75" s="76"/>
      <c r="G75" s="33"/>
      <c r="H75" s="109"/>
      <c r="I75" s="33"/>
      <c r="J75" s="33"/>
      <c r="K75" s="33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</row>
    <row r="76" spans="1:50" x14ac:dyDescent="0.2">
      <c r="A76" s="108"/>
      <c r="B76" s="84"/>
      <c r="C76" s="108"/>
      <c r="D76" s="39"/>
      <c r="E76" s="76"/>
      <c r="F76" s="76"/>
      <c r="G76" s="33"/>
      <c r="H76" s="109"/>
      <c r="I76" s="33"/>
      <c r="J76" s="33"/>
      <c r="K76" s="33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</row>
    <row r="77" spans="1:50" x14ac:dyDescent="0.2">
      <c r="A77" s="108"/>
      <c r="B77" s="84"/>
      <c r="C77" s="108"/>
      <c r="D77" s="39"/>
      <c r="E77" s="76"/>
      <c r="F77" s="76"/>
      <c r="G77" s="33"/>
      <c r="H77" s="109"/>
      <c r="I77" s="33"/>
      <c r="J77" s="33"/>
      <c r="K77" s="33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</row>
    <row r="78" spans="1:50" x14ac:dyDescent="0.2">
      <c r="A78" s="108"/>
      <c r="B78" s="84"/>
      <c r="C78" s="108"/>
      <c r="D78" s="39"/>
      <c r="E78" s="76"/>
      <c r="F78" s="76"/>
      <c r="G78" s="33"/>
      <c r="H78" s="109"/>
      <c r="I78" s="33"/>
      <c r="J78" s="33"/>
      <c r="K78" s="33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</row>
    <row r="79" spans="1:50" x14ac:dyDescent="0.2">
      <c r="A79" s="114"/>
      <c r="B79" s="84"/>
      <c r="C79" s="39"/>
      <c r="D79" s="36"/>
      <c r="E79" s="76"/>
      <c r="F79" s="76"/>
      <c r="G79" s="33"/>
      <c r="H79" s="109"/>
      <c r="I79" s="33"/>
      <c r="J79" s="33"/>
      <c r="K79" s="33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</row>
    <row r="80" spans="1:50" x14ac:dyDescent="0.2">
      <c r="A80" s="114"/>
      <c r="B80" s="84"/>
      <c r="C80" s="39"/>
      <c r="D80" s="36"/>
      <c r="E80" s="76"/>
      <c r="F80" s="76"/>
      <c r="G80" s="33"/>
      <c r="H80" s="118"/>
      <c r="I80" s="33"/>
      <c r="J80" s="33"/>
      <c r="K80" s="33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</row>
    <row r="81" spans="1:40" x14ac:dyDescent="0.2">
      <c r="A81" s="36"/>
      <c r="B81" s="33"/>
      <c r="C81" s="36"/>
      <c r="D81" s="41"/>
      <c r="E81" s="76"/>
      <c r="F81" s="119"/>
      <c r="G81" s="33"/>
      <c r="H81" s="86"/>
      <c r="I81" s="33"/>
      <c r="J81" s="33"/>
      <c r="K81" s="33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</row>
    <row r="82" spans="1:40" x14ac:dyDescent="0.2">
      <c r="A82" s="33"/>
      <c r="B82" s="33"/>
      <c r="C82" s="36"/>
      <c r="D82" s="41"/>
      <c r="E82" s="76"/>
      <c r="F82" s="76"/>
      <c r="G82" s="33"/>
      <c r="H82" s="86"/>
      <c r="I82" s="33"/>
      <c r="J82" s="33"/>
      <c r="K82" s="33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</row>
    <row r="83" spans="1:40" x14ac:dyDescent="0.2">
      <c r="A83" s="33"/>
      <c r="B83" s="33"/>
      <c r="C83" s="36"/>
      <c r="D83" s="41"/>
      <c r="E83" s="76"/>
      <c r="F83" s="76"/>
      <c r="G83" s="33"/>
      <c r="H83" s="86"/>
      <c r="I83" s="33"/>
      <c r="J83" s="33"/>
      <c r="K83" s="33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</row>
    <row r="84" spans="1:40" x14ac:dyDescent="0.2">
      <c r="A84" s="33"/>
      <c r="B84" s="33"/>
      <c r="C84" s="36"/>
      <c r="D84" s="40"/>
      <c r="E84" s="76"/>
      <c r="F84" s="76"/>
      <c r="G84" s="33"/>
      <c r="H84" s="33"/>
      <c r="I84" s="33"/>
      <c r="J84" s="33"/>
      <c r="K84" s="33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</row>
    <row r="85" spans="1:40" x14ac:dyDescent="0.2">
      <c r="A85" s="33"/>
      <c r="B85" s="33"/>
      <c r="C85" s="36"/>
      <c r="D85" s="40"/>
      <c r="E85" s="76"/>
      <c r="F85" s="76"/>
      <c r="G85" s="33"/>
      <c r="H85" s="33"/>
      <c r="I85" s="33"/>
      <c r="J85" s="33"/>
      <c r="K85" s="33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</row>
    <row r="86" spans="1:40" x14ac:dyDescent="0.2">
      <c r="A86" s="33"/>
      <c r="B86" s="33"/>
      <c r="C86" s="36"/>
      <c r="D86" s="40"/>
      <c r="E86" s="76"/>
      <c r="F86" s="76"/>
      <c r="G86" s="33"/>
      <c r="H86" s="33"/>
      <c r="I86" s="33"/>
      <c r="J86" s="33"/>
      <c r="K86" s="33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</row>
    <row r="87" spans="1:40" x14ac:dyDescent="0.2">
      <c r="A87" s="33"/>
      <c r="B87" s="33"/>
      <c r="C87" s="36"/>
      <c r="D87" s="40"/>
      <c r="E87" s="76"/>
      <c r="F87" s="76"/>
      <c r="G87" s="33"/>
      <c r="H87" s="33"/>
      <c r="I87" s="33"/>
      <c r="J87" s="33"/>
      <c r="K87" s="33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</row>
    <row r="88" spans="1:40" x14ac:dyDescent="0.2">
      <c r="A88" s="33"/>
      <c r="B88" s="33"/>
      <c r="C88" s="36"/>
      <c r="D88" s="36"/>
      <c r="E88" s="76"/>
      <c r="F88" s="76"/>
      <c r="G88" s="33"/>
      <c r="H88" s="33"/>
      <c r="I88" s="33"/>
      <c r="J88" s="33"/>
      <c r="K88" s="33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</row>
    <row r="89" spans="1:40" x14ac:dyDescent="0.2">
      <c r="A89" s="33"/>
      <c r="B89" s="33"/>
      <c r="C89" s="36"/>
      <c r="D89" s="120"/>
      <c r="E89" s="76"/>
      <c r="F89" s="76"/>
      <c r="G89" s="33"/>
      <c r="H89" s="121"/>
      <c r="I89" s="33"/>
      <c r="J89" s="33"/>
      <c r="K89" s="33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</row>
    <row r="90" spans="1:40" x14ac:dyDescent="0.2">
      <c r="A90" s="33"/>
      <c r="B90" s="33"/>
      <c r="C90" s="36"/>
      <c r="D90" s="36"/>
      <c r="E90" s="76"/>
      <c r="F90" s="76"/>
      <c r="G90" s="33"/>
      <c r="H90" s="121"/>
      <c r="I90" s="33"/>
      <c r="J90" s="33"/>
      <c r="K90" s="33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</row>
    <row r="91" spans="1:40" x14ac:dyDescent="0.2">
      <c r="A91" s="33"/>
      <c r="B91" s="33"/>
      <c r="C91" s="36"/>
      <c r="D91" s="40"/>
      <c r="E91" s="76"/>
      <c r="F91" s="76"/>
      <c r="G91" s="33"/>
      <c r="H91" s="114"/>
      <c r="I91" s="33"/>
      <c r="J91" s="33"/>
      <c r="K91" s="33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</row>
    <row r="92" spans="1:40" x14ac:dyDescent="0.2">
      <c r="A92" s="33"/>
      <c r="B92" s="33"/>
      <c r="C92" s="36"/>
      <c r="D92" s="40"/>
      <c r="E92" s="76"/>
      <c r="F92" s="76"/>
      <c r="G92" s="33"/>
      <c r="H92" s="114"/>
      <c r="I92" s="33"/>
      <c r="J92" s="33"/>
      <c r="K92" s="33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</row>
    <row r="93" spans="1:40" x14ac:dyDescent="0.2">
      <c r="A93" s="33"/>
      <c r="B93" s="33"/>
      <c r="C93" s="36"/>
      <c r="D93" s="40"/>
      <c r="E93" s="76"/>
      <c r="F93" s="76"/>
      <c r="G93" s="33"/>
      <c r="H93" s="114"/>
      <c r="I93" s="33"/>
      <c r="J93" s="33"/>
      <c r="K93" s="33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</row>
    <row r="94" spans="1:40" x14ac:dyDescent="0.2">
      <c r="A94" s="33"/>
      <c r="B94" s="33"/>
      <c r="C94" s="36"/>
      <c r="D94" s="36"/>
      <c r="E94" s="76"/>
      <c r="F94" s="76"/>
      <c r="G94" s="33"/>
      <c r="H94" s="33"/>
      <c r="I94" s="33"/>
      <c r="J94" s="33"/>
      <c r="K94" s="33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</row>
    <row r="95" spans="1:40" x14ac:dyDescent="0.2">
      <c r="A95" s="33"/>
      <c r="B95" s="33"/>
      <c r="C95" s="36"/>
      <c r="D95" s="36"/>
      <c r="E95" s="76"/>
      <c r="F95" s="76"/>
      <c r="G95" s="33"/>
      <c r="H95" s="33"/>
      <c r="I95" s="33"/>
      <c r="J95" s="33"/>
      <c r="K95" s="33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</row>
    <row r="96" spans="1:40" x14ac:dyDescent="0.2">
      <c r="A96" s="33"/>
      <c r="B96" s="33"/>
      <c r="C96" s="36"/>
      <c r="D96" s="36"/>
      <c r="E96" s="76"/>
      <c r="F96" s="76"/>
      <c r="G96" s="33"/>
      <c r="H96" s="117"/>
      <c r="I96" s="33"/>
      <c r="J96" s="33"/>
      <c r="K96" s="33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</row>
    <row r="97" spans="1:40" x14ac:dyDescent="0.2">
      <c r="A97" s="33"/>
      <c r="B97" s="33"/>
      <c r="C97" s="36"/>
      <c r="D97" s="37"/>
      <c r="E97" s="76"/>
      <c r="F97" s="119"/>
      <c r="G97" s="33"/>
      <c r="H97" s="116"/>
      <c r="I97" s="33"/>
      <c r="J97" s="76"/>
      <c r="K97" s="33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</row>
    <row r="98" spans="1:40" x14ac:dyDescent="0.2">
      <c r="A98" s="33"/>
      <c r="B98" s="33"/>
      <c r="C98" s="36"/>
      <c r="D98" s="36"/>
      <c r="E98" s="76"/>
      <c r="F98" s="76"/>
      <c r="G98" s="33"/>
      <c r="H98" s="33"/>
      <c r="I98" s="33"/>
      <c r="J98" s="33"/>
      <c r="K98" s="33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</row>
    <row r="99" spans="1:40" x14ac:dyDescent="0.2">
      <c r="A99" s="33"/>
      <c r="B99" s="33"/>
      <c r="C99" s="36"/>
      <c r="D99" s="36"/>
      <c r="E99" s="76"/>
      <c r="F99" s="76"/>
      <c r="G99" s="33"/>
      <c r="H99" s="33"/>
      <c r="I99" s="33"/>
      <c r="J99" s="33"/>
      <c r="K99" s="33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</row>
    <row r="100" spans="1:40" x14ac:dyDescent="0.2">
      <c r="A100" s="114"/>
      <c r="B100" s="84"/>
      <c r="C100" s="39"/>
      <c r="D100" s="39"/>
      <c r="E100" s="76"/>
      <c r="F100" s="76"/>
      <c r="G100" s="33"/>
      <c r="H100" s="84"/>
      <c r="I100" s="33"/>
      <c r="J100" s="33"/>
      <c r="K100" s="33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</row>
    <row r="101" spans="1:40" x14ac:dyDescent="0.2">
      <c r="A101" s="114"/>
      <c r="B101" s="84"/>
      <c r="C101" s="39"/>
      <c r="D101" s="39"/>
      <c r="E101" s="76"/>
      <c r="F101" s="76"/>
      <c r="G101" s="33"/>
      <c r="H101" s="105"/>
      <c r="I101" s="33"/>
      <c r="J101" s="33"/>
      <c r="K101" s="33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</row>
    <row r="102" spans="1:40" x14ac:dyDescent="0.2">
      <c r="A102" s="33"/>
      <c r="B102" s="108"/>
      <c r="C102" s="36"/>
      <c r="D102" s="36"/>
      <c r="E102" s="76"/>
      <c r="F102" s="48"/>
      <c r="G102" s="33"/>
      <c r="H102" s="33"/>
      <c r="I102" s="33"/>
      <c r="J102" s="33"/>
      <c r="K102" s="33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</row>
    <row r="103" spans="1:40" x14ac:dyDescent="0.2">
      <c r="A103" s="33"/>
      <c r="B103" s="33"/>
      <c r="C103" s="36"/>
      <c r="D103" s="39"/>
      <c r="E103" s="76"/>
      <c r="F103" s="76"/>
      <c r="G103" s="33"/>
      <c r="H103" s="122"/>
      <c r="I103" s="33"/>
      <c r="J103" s="33"/>
      <c r="K103" s="33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</row>
    <row r="104" spans="1:40" x14ac:dyDescent="0.2">
      <c r="A104" s="33"/>
      <c r="B104" s="33"/>
      <c r="C104" s="36"/>
      <c r="D104" s="39"/>
      <c r="E104" s="76"/>
      <c r="F104" s="76"/>
      <c r="G104" s="33"/>
      <c r="H104" s="114"/>
      <c r="I104" s="33"/>
      <c r="J104" s="33"/>
      <c r="K104" s="33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</row>
    <row r="105" spans="1:40" x14ac:dyDescent="0.2">
      <c r="A105" s="33"/>
      <c r="B105" s="33"/>
      <c r="C105" s="36"/>
      <c r="D105" s="39"/>
      <c r="E105" s="76"/>
      <c r="F105" s="76"/>
      <c r="G105" s="33"/>
      <c r="H105" s="118"/>
      <c r="I105" s="33"/>
      <c r="J105" s="33"/>
      <c r="K105" s="33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0" x14ac:dyDescent="0.2">
      <c r="A106" s="33"/>
      <c r="B106" s="33"/>
      <c r="C106" s="36"/>
      <c r="D106" s="39"/>
      <c r="E106" s="76"/>
      <c r="F106" s="76"/>
      <c r="G106" s="33"/>
      <c r="H106" s="114"/>
      <c r="I106" s="33"/>
      <c r="J106" s="33"/>
      <c r="K106" s="33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0" x14ac:dyDescent="0.2">
      <c r="A107" s="114"/>
      <c r="B107" s="84"/>
      <c r="C107" s="39"/>
      <c r="D107" s="39"/>
      <c r="E107" s="76"/>
      <c r="F107" s="76"/>
      <c r="G107" s="33"/>
      <c r="H107" s="84"/>
      <c r="I107" s="33"/>
      <c r="J107" s="33"/>
      <c r="K107" s="33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0" x14ac:dyDescent="0.2">
      <c r="A108" s="114"/>
      <c r="B108" s="84"/>
      <c r="C108" s="39"/>
      <c r="D108" s="39"/>
      <c r="E108" s="76"/>
      <c r="F108" s="48"/>
      <c r="G108" s="33"/>
      <c r="H108" s="105"/>
      <c r="I108" s="33"/>
      <c r="J108" s="33"/>
      <c r="K108" s="33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0" x14ac:dyDescent="0.2">
      <c r="A109" s="84"/>
      <c r="B109" s="84"/>
      <c r="C109" s="39"/>
      <c r="D109" s="36"/>
      <c r="E109" s="76"/>
      <c r="F109" s="76"/>
      <c r="G109" s="33"/>
      <c r="H109" s="117"/>
      <c r="I109" s="33"/>
      <c r="J109" s="33"/>
      <c r="K109" s="33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0" x14ac:dyDescent="0.2">
      <c r="A110" s="33"/>
      <c r="B110" s="33"/>
      <c r="C110" s="36"/>
      <c r="D110" s="42"/>
      <c r="E110" s="76"/>
      <c r="F110" s="76"/>
      <c r="G110" s="33"/>
      <c r="H110" s="86"/>
      <c r="I110" s="33"/>
      <c r="J110" s="33"/>
      <c r="K110" s="33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0" x14ac:dyDescent="0.2">
      <c r="A111" s="33"/>
      <c r="B111" s="33"/>
      <c r="C111" s="108"/>
      <c r="D111" s="39"/>
      <c r="E111" s="76"/>
      <c r="F111" s="76"/>
      <c r="G111" s="33"/>
      <c r="H111" s="109"/>
      <c r="I111" s="33"/>
      <c r="J111" s="33"/>
      <c r="K111" s="33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0" x14ac:dyDescent="0.2">
      <c r="A112" s="33"/>
      <c r="B112" s="33"/>
      <c r="C112" s="108"/>
      <c r="D112" s="39"/>
      <c r="E112" s="76"/>
      <c r="F112" s="76"/>
      <c r="G112" s="33"/>
      <c r="H112" s="109"/>
      <c r="I112" s="33"/>
      <c r="J112" s="33"/>
      <c r="K112" s="33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1:40" x14ac:dyDescent="0.2">
      <c r="A113" s="33"/>
      <c r="B113" s="33"/>
      <c r="C113" s="108"/>
      <c r="D113" s="39"/>
      <c r="E113" s="76"/>
      <c r="F113" s="76"/>
      <c r="G113" s="33"/>
      <c r="H113" s="105"/>
      <c r="I113" s="33"/>
      <c r="J113" s="33"/>
      <c r="K113" s="33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1:40" x14ac:dyDescent="0.2">
      <c r="A114" s="33"/>
      <c r="B114" s="33"/>
      <c r="C114" s="108"/>
      <c r="D114" s="39"/>
      <c r="E114" s="76"/>
      <c r="F114" s="76"/>
      <c r="G114" s="33"/>
      <c r="H114" s="84"/>
      <c r="I114" s="33"/>
      <c r="J114" s="33"/>
      <c r="K114" s="33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1:40" x14ac:dyDescent="0.2">
      <c r="A115" s="33"/>
      <c r="B115" s="33"/>
      <c r="C115" s="108"/>
      <c r="D115" s="39"/>
      <c r="E115" s="76"/>
      <c r="F115" s="76"/>
      <c r="G115" s="33"/>
      <c r="H115" s="84"/>
      <c r="I115" s="33"/>
      <c r="J115" s="33"/>
      <c r="K115" s="33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1:40" x14ac:dyDescent="0.2">
      <c r="A116" s="33"/>
      <c r="B116" s="33"/>
      <c r="C116" s="108"/>
      <c r="D116" s="39"/>
      <c r="E116" s="76"/>
      <c r="F116" s="76"/>
      <c r="G116" s="33"/>
      <c r="H116" s="109"/>
      <c r="I116" s="33"/>
      <c r="J116" s="33"/>
      <c r="K116" s="33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1:40" x14ac:dyDescent="0.2">
      <c r="A117" s="108"/>
      <c r="B117" s="84"/>
      <c r="C117" s="108"/>
      <c r="D117" s="39"/>
      <c r="E117" s="76"/>
      <c r="F117" s="76"/>
      <c r="G117" s="33"/>
      <c r="H117" s="84"/>
      <c r="I117" s="33"/>
      <c r="J117" s="33"/>
      <c r="K117" s="33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  <row r="118" spans="1:40" x14ac:dyDescent="0.2">
      <c r="A118" s="108"/>
      <c r="B118" s="84"/>
      <c r="C118" s="108"/>
      <c r="D118" s="36"/>
      <c r="E118" s="76"/>
      <c r="F118" s="76"/>
      <c r="G118" s="33"/>
      <c r="H118" s="84"/>
      <c r="I118" s="33"/>
      <c r="J118" s="33"/>
      <c r="K118" s="33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</row>
    <row r="119" spans="1:40" x14ac:dyDescent="0.2">
      <c r="A119" s="108"/>
      <c r="B119" s="84"/>
      <c r="C119" s="108"/>
      <c r="D119" s="39"/>
      <c r="E119" s="76"/>
      <c r="F119" s="76"/>
      <c r="G119" s="33"/>
      <c r="H119" s="84"/>
      <c r="I119" s="33"/>
      <c r="J119" s="33"/>
      <c r="K119" s="33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</row>
    <row r="120" spans="1:40" x14ac:dyDescent="0.2">
      <c r="A120" s="114"/>
      <c r="B120" s="84"/>
      <c r="C120" s="39"/>
      <c r="D120" s="39"/>
      <c r="E120" s="76"/>
      <c r="F120" s="76"/>
      <c r="G120" s="33"/>
      <c r="H120" s="105"/>
      <c r="I120" s="33"/>
      <c r="J120" s="33"/>
      <c r="K120" s="33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</row>
    <row r="121" spans="1:40" x14ac:dyDescent="0.2">
      <c r="A121" s="114"/>
      <c r="B121" s="84"/>
      <c r="C121" s="39"/>
      <c r="D121" s="39"/>
      <c r="E121" s="76"/>
      <c r="F121" s="76"/>
      <c r="G121" s="33"/>
      <c r="H121" s="105"/>
      <c r="I121" s="33"/>
      <c r="J121" s="33"/>
      <c r="K121" s="33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</row>
    <row r="122" spans="1:40" x14ac:dyDescent="0.2">
      <c r="A122" s="36"/>
      <c r="B122" s="33"/>
      <c r="C122" s="36"/>
      <c r="D122" s="39"/>
      <c r="E122" s="76"/>
      <c r="F122" s="76"/>
      <c r="G122" s="33"/>
      <c r="H122" s="117"/>
      <c r="I122" s="33"/>
      <c r="J122" s="33"/>
      <c r="K122" s="33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</row>
    <row r="123" spans="1:40" x14ac:dyDescent="0.2">
      <c r="A123" s="33"/>
      <c r="B123" s="33"/>
      <c r="C123" s="36"/>
      <c r="D123" s="39"/>
      <c r="E123" s="76"/>
      <c r="F123" s="76"/>
      <c r="G123" s="33"/>
      <c r="H123" s="117"/>
      <c r="I123" s="33"/>
      <c r="J123" s="33"/>
      <c r="K123" s="33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</row>
    <row r="124" spans="1:40" x14ac:dyDescent="0.2">
      <c r="A124" s="33"/>
      <c r="B124" s="33"/>
      <c r="C124" s="36"/>
      <c r="D124" s="41"/>
      <c r="E124" s="76"/>
      <c r="F124" s="76"/>
      <c r="G124" s="33"/>
      <c r="H124" s="33"/>
      <c r="I124" s="33"/>
      <c r="J124" s="33"/>
      <c r="K124" s="33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</row>
    <row r="125" spans="1:40" x14ac:dyDescent="0.2">
      <c r="A125" s="33"/>
      <c r="B125" s="33"/>
      <c r="C125" s="36"/>
      <c r="D125" s="41"/>
      <c r="E125" s="76"/>
      <c r="F125" s="76"/>
      <c r="G125" s="33"/>
      <c r="H125" s="33"/>
      <c r="I125" s="33"/>
      <c r="J125" s="33"/>
      <c r="K125" s="33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</row>
    <row r="126" spans="1:40" x14ac:dyDescent="0.2">
      <c r="A126" s="33"/>
      <c r="B126" s="33"/>
      <c r="C126" s="36"/>
      <c r="D126" s="41"/>
      <c r="E126" s="76"/>
      <c r="F126" s="76"/>
      <c r="G126" s="33"/>
      <c r="H126" s="33"/>
      <c r="I126" s="33"/>
      <c r="J126" s="33"/>
      <c r="K126" s="33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</row>
    <row r="127" spans="1:40" x14ac:dyDescent="0.2">
      <c r="A127" s="33"/>
      <c r="B127" s="33"/>
      <c r="C127" s="36"/>
      <c r="D127" s="41"/>
      <c r="E127" s="76"/>
      <c r="F127" s="76"/>
      <c r="G127" s="33"/>
      <c r="H127" s="33"/>
      <c r="I127" s="33"/>
      <c r="J127" s="33"/>
      <c r="K127" s="33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</row>
    <row r="128" spans="1:40" x14ac:dyDescent="0.2">
      <c r="A128" s="33"/>
      <c r="B128" s="33"/>
      <c r="C128" s="36"/>
      <c r="D128" s="41"/>
      <c r="E128" s="76"/>
      <c r="F128" s="76"/>
      <c r="G128" s="33"/>
      <c r="H128" s="123"/>
      <c r="I128" s="33"/>
      <c r="J128" s="33"/>
      <c r="K128" s="33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</row>
    <row r="129" spans="1:40" x14ac:dyDescent="0.2">
      <c r="A129" s="33"/>
      <c r="B129" s="33"/>
      <c r="C129" s="36"/>
      <c r="D129" s="36"/>
      <c r="E129" s="76"/>
      <c r="F129" s="76"/>
      <c r="G129" s="33"/>
      <c r="H129" s="33"/>
      <c r="I129" s="33"/>
      <c r="J129" s="33"/>
      <c r="K129" s="33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</row>
    <row r="130" spans="1:40" x14ac:dyDescent="0.2">
      <c r="A130" s="33"/>
      <c r="B130" s="33"/>
      <c r="C130" s="36"/>
      <c r="D130" s="36"/>
      <c r="E130" s="76"/>
      <c r="F130" s="76"/>
      <c r="G130" s="33"/>
      <c r="H130" s="33"/>
      <c r="I130" s="33"/>
      <c r="J130" s="33"/>
      <c r="K130" s="33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</row>
    <row r="131" spans="1:40" x14ac:dyDescent="0.2">
      <c r="A131" s="33"/>
      <c r="B131" s="33"/>
      <c r="C131" s="36"/>
      <c r="D131" s="36"/>
      <c r="E131" s="76"/>
      <c r="F131" s="76"/>
      <c r="G131" s="33"/>
      <c r="H131" s="33"/>
      <c r="I131" s="33"/>
      <c r="J131" s="33"/>
      <c r="K131" s="33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</row>
    <row r="132" spans="1:40" x14ac:dyDescent="0.2">
      <c r="A132" s="33"/>
      <c r="B132" s="33"/>
      <c r="C132" s="36"/>
      <c r="D132" s="36"/>
      <c r="E132" s="76"/>
      <c r="F132" s="76"/>
      <c r="G132" s="33"/>
      <c r="H132" s="117"/>
      <c r="I132" s="33"/>
      <c r="J132" s="33"/>
      <c r="K132" s="33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</row>
    <row r="133" spans="1:40" x14ac:dyDescent="0.2">
      <c r="A133" s="33"/>
      <c r="B133" s="33"/>
      <c r="C133" s="36"/>
      <c r="D133" s="36"/>
      <c r="E133" s="76"/>
      <c r="F133" s="76"/>
      <c r="G133" s="33"/>
      <c r="H133" s="117"/>
      <c r="I133" s="33"/>
      <c r="J133" s="33"/>
      <c r="K133" s="33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</row>
    <row r="134" spans="1:40" x14ac:dyDescent="0.2">
      <c r="A134" s="33"/>
      <c r="B134" s="33"/>
      <c r="C134" s="36"/>
      <c r="D134" s="37"/>
      <c r="E134" s="76"/>
      <c r="F134" s="76"/>
      <c r="G134" s="33"/>
      <c r="H134" s="124"/>
      <c r="I134" s="33"/>
      <c r="J134" s="76"/>
      <c r="K134" s="33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</row>
    <row r="135" spans="1:40" x14ac:dyDescent="0.2">
      <c r="A135" s="33"/>
      <c r="B135" s="33"/>
      <c r="C135" s="36"/>
      <c r="D135" s="36"/>
      <c r="E135" s="76"/>
      <c r="F135" s="76"/>
      <c r="G135" s="33"/>
      <c r="H135" s="117"/>
      <c r="I135" s="33"/>
      <c r="J135" s="33"/>
      <c r="K135" s="33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</row>
    <row r="136" spans="1:40" x14ac:dyDescent="0.2">
      <c r="A136" s="33"/>
      <c r="B136" s="33"/>
      <c r="C136" s="36"/>
      <c r="D136" s="36"/>
      <c r="E136" s="76"/>
      <c r="F136" s="76"/>
      <c r="G136" s="33"/>
      <c r="H136" s="33"/>
      <c r="I136" s="33"/>
      <c r="J136" s="33"/>
      <c r="K136" s="33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</row>
    <row r="137" spans="1:40" x14ac:dyDescent="0.2">
      <c r="A137" s="33"/>
      <c r="B137" s="33"/>
      <c r="C137" s="36"/>
      <c r="D137" s="39"/>
      <c r="E137" s="76"/>
      <c r="F137" s="76"/>
      <c r="G137" s="33"/>
      <c r="H137" s="33"/>
      <c r="I137" s="33"/>
      <c r="J137" s="33"/>
      <c r="K137" s="33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</row>
    <row r="138" spans="1:40" x14ac:dyDescent="0.2">
      <c r="A138" s="33"/>
      <c r="B138" s="33"/>
      <c r="C138" s="36"/>
      <c r="D138" s="39"/>
      <c r="E138" s="76"/>
      <c r="F138" s="76"/>
      <c r="G138" s="33"/>
      <c r="H138" s="33"/>
      <c r="I138" s="33"/>
      <c r="J138" s="33"/>
      <c r="K138" s="33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</row>
    <row r="139" spans="1:40" x14ac:dyDescent="0.2">
      <c r="A139" s="33"/>
      <c r="B139" s="33"/>
      <c r="C139" s="36"/>
      <c r="D139" s="39"/>
      <c r="E139" s="76"/>
      <c r="F139" s="76"/>
      <c r="G139" s="33"/>
      <c r="H139" s="33"/>
      <c r="I139" s="33"/>
      <c r="J139" s="33"/>
      <c r="K139" s="33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</row>
    <row r="140" spans="1:40" x14ac:dyDescent="0.2">
      <c r="A140" s="114"/>
      <c r="B140" s="84"/>
      <c r="C140" s="39"/>
      <c r="D140" s="39"/>
      <c r="E140" s="76"/>
      <c r="F140" s="48"/>
      <c r="G140" s="33"/>
      <c r="H140" s="105"/>
      <c r="I140" s="33"/>
      <c r="J140" s="33"/>
      <c r="K140" s="33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</row>
    <row r="141" spans="1:40" x14ac:dyDescent="0.2">
      <c r="A141" s="33"/>
      <c r="B141" s="33"/>
      <c r="C141" s="36"/>
      <c r="D141" s="39"/>
      <c r="E141" s="76"/>
      <c r="F141" s="76"/>
      <c r="G141" s="33"/>
      <c r="H141" s="125"/>
      <c r="I141" s="33"/>
      <c r="J141" s="33"/>
      <c r="K141" s="33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</row>
    <row r="142" spans="1:40" x14ac:dyDescent="0.2">
      <c r="A142" s="33"/>
      <c r="B142" s="33"/>
      <c r="C142" s="36"/>
      <c r="D142" s="39"/>
      <c r="E142" s="76"/>
      <c r="F142" s="76"/>
      <c r="G142" s="33"/>
      <c r="H142" s="118"/>
      <c r="I142" s="33"/>
      <c r="J142" s="33"/>
      <c r="K142" s="33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</row>
    <row r="143" spans="1:40" x14ac:dyDescent="0.2">
      <c r="A143" s="33"/>
      <c r="B143" s="33"/>
      <c r="C143" s="36"/>
      <c r="D143" s="39"/>
      <c r="E143" s="76"/>
      <c r="F143" s="76"/>
      <c r="G143" s="33"/>
      <c r="H143" s="118"/>
      <c r="I143" s="33"/>
      <c r="J143" s="33"/>
      <c r="K143" s="33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</row>
    <row r="144" spans="1:40" x14ac:dyDescent="0.2">
      <c r="A144" s="33"/>
      <c r="B144" s="33"/>
      <c r="C144" s="36"/>
      <c r="D144" s="39"/>
      <c r="E144" s="76"/>
      <c r="F144" s="76"/>
      <c r="G144" s="33"/>
      <c r="H144" s="114"/>
      <c r="I144" s="33"/>
      <c r="J144" s="33"/>
      <c r="K144" s="33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</row>
    <row r="145" spans="1:40" x14ac:dyDescent="0.2">
      <c r="A145" s="114"/>
      <c r="B145" s="84"/>
      <c r="C145" s="39"/>
      <c r="D145" s="39"/>
      <c r="E145" s="76"/>
      <c r="F145" s="48"/>
      <c r="G145" s="33"/>
      <c r="H145" s="105"/>
      <c r="I145" s="33"/>
      <c r="J145" s="33"/>
      <c r="K145" s="33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</row>
    <row r="146" spans="1:40" x14ac:dyDescent="0.2">
      <c r="A146" s="84"/>
      <c r="B146" s="84"/>
      <c r="C146" s="39"/>
      <c r="D146" s="42"/>
      <c r="E146" s="76"/>
      <c r="F146" s="76"/>
      <c r="G146" s="33"/>
      <c r="H146" s="86"/>
      <c r="I146" s="33"/>
      <c r="J146" s="33"/>
      <c r="K146" s="33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</row>
    <row r="147" spans="1:40" x14ac:dyDescent="0.2">
      <c r="A147" s="33"/>
      <c r="B147" s="33"/>
      <c r="C147" s="36"/>
      <c r="D147" s="40"/>
      <c r="E147" s="76"/>
      <c r="F147" s="76"/>
      <c r="G147" s="33"/>
      <c r="H147" s="33"/>
      <c r="I147" s="33"/>
      <c r="J147" s="33"/>
      <c r="K147" s="33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</row>
    <row r="148" spans="1:40" x14ac:dyDescent="0.2">
      <c r="A148" s="33"/>
      <c r="B148" s="33"/>
      <c r="C148" s="108"/>
      <c r="D148" s="39"/>
      <c r="E148" s="76"/>
      <c r="F148" s="76"/>
      <c r="G148" s="33"/>
      <c r="H148" s="84"/>
      <c r="I148" s="33"/>
      <c r="J148" s="33"/>
      <c r="K148" s="33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</row>
    <row r="149" spans="1:40" x14ac:dyDescent="0.2">
      <c r="A149" s="33"/>
      <c r="B149" s="33"/>
      <c r="C149" s="108"/>
      <c r="D149" s="39"/>
      <c r="E149" s="76"/>
      <c r="F149" s="76"/>
      <c r="G149" s="33"/>
      <c r="H149" s="125"/>
      <c r="I149" s="33"/>
      <c r="J149" s="33"/>
      <c r="K149" s="33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</row>
    <row r="150" spans="1:40" x14ac:dyDescent="0.2">
      <c r="A150" s="33"/>
      <c r="B150" s="33"/>
      <c r="C150" s="108"/>
      <c r="D150" s="39"/>
      <c r="E150" s="76"/>
      <c r="F150" s="76"/>
      <c r="G150" s="33"/>
      <c r="H150" s="84"/>
      <c r="I150" s="33"/>
      <c r="J150" s="33"/>
      <c r="K150" s="33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</row>
    <row r="151" spans="1:40" x14ac:dyDescent="0.2">
      <c r="A151" s="114"/>
      <c r="B151" s="84"/>
      <c r="C151" s="39"/>
      <c r="D151" s="39"/>
      <c r="E151" s="76"/>
      <c r="F151" s="48"/>
      <c r="G151" s="33"/>
      <c r="H151" s="125"/>
      <c r="I151" s="33"/>
      <c r="J151" s="33"/>
      <c r="K151" s="33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</row>
    <row r="152" spans="1:40" x14ac:dyDescent="0.2">
      <c r="A152" s="114"/>
      <c r="B152" s="84"/>
      <c r="C152" s="39"/>
      <c r="D152" s="39"/>
      <c r="E152" s="76"/>
      <c r="F152" s="48"/>
      <c r="G152" s="33"/>
      <c r="H152" s="125"/>
      <c r="I152" s="33"/>
      <c r="J152" s="33"/>
      <c r="K152" s="33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</row>
    <row r="153" spans="1:40" x14ac:dyDescent="0.2">
      <c r="A153" s="33"/>
      <c r="B153" s="33"/>
      <c r="C153" s="36"/>
      <c r="D153" s="41"/>
      <c r="E153" s="76"/>
      <c r="F153" s="76"/>
      <c r="G153" s="33"/>
      <c r="H153" s="126"/>
      <c r="I153" s="33"/>
      <c r="J153" s="33"/>
      <c r="K153" s="33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</row>
    <row r="154" spans="1:40" x14ac:dyDescent="0.2">
      <c r="A154" s="33"/>
      <c r="B154" s="33"/>
      <c r="C154" s="36"/>
      <c r="D154" s="41"/>
      <c r="E154" s="76"/>
      <c r="F154" s="76"/>
      <c r="G154" s="33"/>
      <c r="H154" s="126"/>
      <c r="I154" s="33"/>
      <c r="J154" s="33"/>
      <c r="K154" s="33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</row>
    <row r="155" spans="1:40" x14ac:dyDescent="0.2">
      <c r="A155" s="33"/>
      <c r="B155" s="33"/>
      <c r="C155" s="36"/>
      <c r="D155" s="41"/>
      <c r="E155" s="76"/>
      <c r="F155" s="76"/>
      <c r="G155" s="33"/>
      <c r="H155" s="126"/>
      <c r="I155" s="33"/>
      <c r="J155" s="33"/>
      <c r="K155" s="33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</row>
    <row r="156" spans="1:40" x14ac:dyDescent="0.2">
      <c r="A156" s="33"/>
      <c r="B156" s="33"/>
      <c r="C156" s="36"/>
      <c r="D156" s="41"/>
      <c r="E156" s="76"/>
      <c r="F156" s="76"/>
      <c r="G156" s="33"/>
      <c r="H156" s="126"/>
      <c r="I156" s="33"/>
      <c r="J156" s="33"/>
      <c r="K156" s="33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</row>
    <row r="157" spans="1:40" x14ac:dyDescent="0.2">
      <c r="A157" s="33"/>
      <c r="B157" s="33"/>
      <c r="C157" s="36"/>
      <c r="D157" s="41"/>
      <c r="E157" s="76"/>
      <c r="F157" s="76"/>
      <c r="G157" s="33"/>
      <c r="H157" s="127"/>
      <c r="I157" s="33"/>
      <c r="J157" s="33"/>
      <c r="K157" s="33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</row>
    <row r="158" spans="1:40" x14ac:dyDescent="0.2">
      <c r="A158" s="33"/>
      <c r="B158" s="33"/>
      <c r="C158" s="36"/>
      <c r="D158" s="36"/>
      <c r="E158" s="76"/>
      <c r="F158" s="76"/>
      <c r="G158" s="33"/>
      <c r="H158" s="33"/>
      <c r="I158" s="33"/>
      <c r="J158" s="33"/>
      <c r="K158" s="33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</row>
    <row r="159" spans="1:40" x14ac:dyDescent="0.2">
      <c r="A159" s="33"/>
      <c r="B159" s="33"/>
      <c r="C159" s="36"/>
      <c r="D159" s="36"/>
      <c r="E159" s="76"/>
      <c r="F159" s="76"/>
      <c r="G159" s="33"/>
      <c r="H159" s="33"/>
      <c r="I159" s="33"/>
      <c r="J159" s="33"/>
      <c r="K159" s="33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</row>
    <row r="160" spans="1:40" x14ac:dyDescent="0.2">
      <c r="A160" s="33"/>
      <c r="B160" s="33"/>
      <c r="C160" s="36"/>
      <c r="D160" s="36"/>
      <c r="E160" s="76"/>
      <c r="F160" s="76"/>
      <c r="G160" s="33"/>
      <c r="H160" s="33"/>
      <c r="I160" s="33"/>
      <c r="J160" s="33"/>
      <c r="K160" s="33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</row>
    <row r="161" spans="1:40" x14ac:dyDescent="0.2">
      <c r="A161" s="33"/>
      <c r="B161" s="33"/>
      <c r="C161" s="36"/>
      <c r="D161" s="42"/>
      <c r="E161" s="76"/>
      <c r="F161" s="76"/>
      <c r="G161" s="33"/>
      <c r="H161" s="86"/>
      <c r="I161" s="33"/>
      <c r="J161" s="33"/>
      <c r="K161" s="33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</row>
    <row r="162" spans="1:40" x14ac:dyDescent="0.2">
      <c r="A162" s="33"/>
      <c r="B162" s="33"/>
      <c r="C162" s="36"/>
      <c r="D162" s="42"/>
      <c r="E162" s="76"/>
      <c r="F162" s="76"/>
      <c r="G162" s="33"/>
      <c r="H162" s="86"/>
      <c r="I162" s="33"/>
      <c r="J162" s="33"/>
      <c r="K162" s="33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</row>
    <row r="163" spans="1:40" x14ac:dyDescent="0.2">
      <c r="A163" s="33"/>
      <c r="B163" s="33"/>
      <c r="C163" s="36"/>
      <c r="D163" s="42"/>
      <c r="E163" s="76"/>
      <c r="F163" s="76"/>
      <c r="G163" s="33"/>
      <c r="H163" s="86"/>
      <c r="I163" s="33"/>
      <c r="J163" s="33"/>
      <c r="K163" s="33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</row>
    <row r="164" spans="1:40" x14ac:dyDescent="0.2">
      <c r="A164" s="33"/>
      <c r="B164" s="33"/>
      <c r="C164" s="36"/>
      <c r="D164" s="42"/>
      <c r="E164" s="76"/>
      <c r="F164" s="76"/>
      <c r="G164" s="33"/>
      <c r="H164" s="86"/>
      <c r="I164" s="33"/>
      <c r="J164" s="33"/>
      <c r="K164" s="33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</row>
    <row r="165" spans="1:40" x14ac:dyDescent="0.2">
      <c r="A165" s="33"/>
      <c r="B165" s="33"/>
      <c r="C165" s="36"/>
      <c r="D165" s="42"/>
      <c r="E165" s="76"/>
      <c r="F165" s="76"/>
      <c r="G165" s="33"/>
      <c r="H165" s="86"/>
      <c r="I165" s="33"/>
      <c r="J165" s="33"/>
      <c r="K165" s="33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</row>
    <row r="166" spans="1:40" x14ac:dyDescent="0.2">
      <c r="A166" s="33"/>
      <c r="B166" s="33"/>
      <c r="C166" s="36"/>
      <c r="D166" s="36"/>
      <c r="E166" s="76"/>
      <c r="F166" s="76"/>
      <c r="G166" s="33"/>
      <c r="H166" s="117"/>
      <c r="I166" s="33"/>
      <c r="J166" s="33"/>
      <c r="K166" s="33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</row>
    <row r="167" spans="1:40" x14ac:dyDescent="0.2">
      <c r="A167" s="114"/>
      <c r="B167" s="84"/>
      <c r="C167" s="39"/>
      <c r="D167" s="36"/>
      <c r="E167" s="76"/>
      <c r="F167" s="76"/>
      <c r="G167" s="33"/>
      <c r="H167" s="105"/>
      <c r="I167" s="33"/>
      <c r="J167" s="33"/>
      <c r="K167" s="33"/>
    </row>
    <row r="168" spans="1:40" x14ac:dyDescent="0.2">
      <c r="A168" s="33"/>
      <c r="B168" s="33"/>
      <c r="C168" s="36"/>
      <c r="D168" s="39"/>
      <c r="E168" s="76"/>
      <c r="F168" s="76"/>
      <c r="G168" s="33"/>
      <c r="H168" s="118"/>
      <c r="I168" s="33"/>
      <c r="J168" s="33"/>
      <c r="K168" s="33"/>
    </row>
    <row r="169" spans="1:40" x14ac:dyDescent="0.2">
      <c r="A169" s="33"/>
      <c r="B169" s="33"/>
      <c r="C169" s="36"/>
      <c r="D169" s="39"/>
      <c r="E169" s="76"/>
      <c r="F169" s="76"/>
      <c r="G169" s="33"/>
      <c r="H169" s="114"/>
      <c r="I169" s="33"/>
      <c r="J169" s="33"/>
      <c r="K169" s="33"/>
    </row>
    <row r="170" spans="1:40" x14ac:dyDescent="0.2">
      <c r="A170" s="84"/>
      <c r="B170" s="84"/>
      <c r="C170" s="39"/>
      <c r="D170" s="40"/>
      <c r="E170" s="76"/>
      <c r="F170" s="76"/>
      <c r="G170" s="33"/>
      <c r="H170" s="33"/>
      <c r="I170" s="33"/>
      <c r="J170" s="33"/>
      <c r="K170" s="33"/>
    </row>
    <row r="171" spans="1:40" x14ac:dyDescent="0.2">
      <c r="A171" s="33"/>
      <c r="B171" s="33"/>
      <c r="C171" s="36"/>
      <c r="D171" s="36"/>
      <c r="E171" s="76"/>
      <c r="F171" s="76"/>
      <c r="G171" s="33"/>
      <c r="H171" s="33"/>
      <c r="I171" s="33"/>
      <c r="J171" s="33"/>
      <c r="K171" s="33"/>
    </row>
    <row r="172" spans="1:40" x14ac:dyDescent="0.2">
      <c r="A172" s="33"/>
      <c r="B172" s="33"/>
      <c r="C172" s="108"/>
      <c r="D172" s="39"/>
      <c r="E172" s="76"/>
      <c r="F172" s="76"/>
      <c r="G172" s="33"/>
      <c r="H172" s="109"/>
      <c r="I172" s="33"/>
      <c r="J172" s="33"/>
      <c r="K172" s="33"/>
    </row>
    <row r="173" spans="1:40" x14ac:dyDescent="0.2">
      <c r="A173" s="33"/>
      <c r="B173" s="33"/>
      <c r="C173" s="108"/>
      <c r="D173" s="39"/>
      <c r="E173" s="76"/>
      <c r="F173" s="76"/>
      <c r="G173" s="33"/>
      <c r="H173" s="105"/>
      <c r="I173" s="33"/>
      <c r="J173" s="33"/>
      <c r="K173" s="33"/>
    </row>
    <row r="174" spans="1:40" x14ac:dyDescent="0.2">
      <c r="A174" s="33"/>
      <c r="B174" s="33"/>
      <c r="C174" s="108"/>
      <c r="D174" s="39"/>
      <c r="E174" s="76"/>
      <c r="F174" s="76"/>
      <c r="G174" s="33"/>
      <c r="H174" s="109"/>
      <c r="I174" s="33"/>
      <c r="J174" s="33"/>
      <c r="K174" s="33"/>
    </row>
    <row r="175" spans="1:40" x14ac:dyDescent="0.2">
      <c r="A175" s="36"/>
      <c r="B175" s="33"/>
      <c r="C175" s="36"/>
      <c r="D175" s="36"/>
      <c r="E175" s="76"/>
      <c r="F175" s="76"/>
      <c r="G175" s="33"/>
      <c r="H175" s="33"/>
      <c r="I175" s="33"/>
      <c r="J175" s="33"/>
      <c r="K175" s="33"/>
    </row>
    <row r="176" spans="1:40" x14ac:dyDescent="0.2">
      <c r="A176" s="33"/>
      <c r="B176" s="33"/>
      <c r="C176" s="36"/>
      <c r="D176" s="36"/>
      <c r="E176" s="76"/>
      <c r="F176" s="76"/>
      <c r="G176" s="33"/>
      <c r="H176" s="33"/>
      <c r="I176" s="33"/>
      <c r="J176" s="33"/>
      <c r="K176" s="33"/>
    </row>
    <row r="177" spans="1:11" x14ac:dyDescent="0.2">
      <c r="A177" s="33"/>
      <c r="B177" s="33"/>
      <c r="C177" s="36"/>
      <c r="D177" s="36"/>
      <c r="E177" s="76"/>
      <c r="F177" s="76"/>
      <c r="G177" s="33"/>
      <c r="H177" s="33"/>
      <c r="I177" s="33"/>
      <c r="J177" s="33"/>
      <c r="K177" s="33"/>
    </row>
    <row r="178" spans="1:11" x14ac:dyDescent="0.2">
      <c r="A178" s="33"/>
      <c r="B178" s="33"/>
      <c r="C178" s="36"/>
      <c r="D178" s="41"/>
      <c r="E178" s="76"/>
      <c r="F178" s="76"/>
      <c r="G178" s="33"/>
      <c r="H178" s="128"/>
      <c r="I178" s="33"/>
      <c r="J178" s="33"/>
      <c r="K178" s="33"/>
    </row>
    <row r="179" spans="1:11" x14ac:dyDescent="0.2">
      <c r="A179" s="33"/>
      <c r="B179" s="33"/>
      <c r="C179" s="36"/>
      <c r="D179" s="41"/>
      <c r="E179" s="76"/>
      <c r="F179" s="76"/>
      <c r="G179" s="33"/>
      <c r="H179" s="128"/>
      <c r="I179" s="33"/>
      <c r="J179" s="33"/>
      <c r="K179" s="33"/>
    </row>
    <row r="180" spans="1:11" x14ac:dyDescent="0.2">
      <c r="A180" s="33"/>
      <c r="B180" s="33"/>
      <c r="C180" s="36"/>
      <c r="D180" s="41"/>
      <c r="E180" s="76"/>
      <c r="F180" s="76"/>
      <c r="G180" s="33"/>
      <c r="H180" s="128"/>
      <c r="I180" s="33"/>
      <c r="J180" s="33"/>
      <c r="K180" s="33"/>
    </row>
    <row r="181" spans="1:11" x14ac:dyDescent="0.2">
      <c r="A181" s="33"/>
      <c r="B181" s="33"/>
      <c r="C181" s="36"/>
      <c r="D181" s="41"/>
      <c r="E181" s="76"/>
      <c r="F181" s="76"/>
      <c r="G181" s="33"/>
      <c r="H181" s="128"/>
      <c r="I181" s="33"/>
      <c r="J181" s="33"/>
      <c r="K181" s="33"/>
    </row>
    <row r="182" spans="1:11" x14ac:dyDescent="0.2">
      <c r="A182" s="33"/>
      <c r="B182" s="33"/>
      <c r="C182" s="36"/>
      <c r="D182" s="41"/>
      <c r="E182" s="76"/>
      <c r="F182" s="76"/>
      <c r="G182" s="33"/>
      <c r="H182" s="129"/>
      <c r="I182" s="33"/>
      <c r="J182" s="33"/>
      <c r="K182" s="33"/>
    </row>
    <row r="183" spans="1:11" x14ac:dyDescent="0.2">
      <c r="A183" s="33"/>
      <c r="B183" s="33"/>
      <c r="C183" s="36"/>
      <c r="D183" s="36"/>
      <c r="E183" s="76"/>
      <c r="F183" s="76"/>
      <c r="G183" s="33"/>
      <c r="H183" s="130"/>
      <c r="I183" s="33"/>
      <c r="J183" s="33"/>
      <c r="K183" s="33"/>
    </row>
    <row r="184" spans="1:11" x14ac:dyDescent="0.2">
      <c r="A184" s="33"/>
      <c r="B184" s="33"/>
      <c r="C184" s="36"/>
      <c r="D184" s="36"/>
      <c r="E184" s="76"/>
      <c r="F184" s="76"/>
      <c r="G184" s="33"/>
      <c r="H184" s="130"/>
      <c r="I184" s="33"/>
      <c r="J184" s="33"/>
      <c r="K184" s="33"/>
    </row>
    <row r="185" spans="1:11" x14ac:dyDescent="0.2">
      <c r="A185" s="33"/>
      <c r="B185" s="33"/>
      <c r="C185" s="36"/>
      <c r="D185" s="36"/>
      <c r="E185" s="76"/>
      <c r="F185" s="76"/>
      <c r="G185" s="33"/>
      <c r="H185" s="130"/>
      <c r="I185" s="33"/>
      <c r="J185" s="33"/>
      <c r="K185" s="33"/>
    </row>
    <row r="186" spans="1:11" x14ac:dyDescent="0.2">
      <c r="A186" s="33"/>
      <c r="B186" s="33"/>
      <c r="C186" s="36"/>
      <c r="D186" s="40"/>
      <c r="E186" s="76"/>
      <c r="F186" s="76"/>
      <c r="G186" s="33"/>
      <c r="H186" s="33"/>
      <c r="I186" s="33"/>
      <c r="J186" s="33"/>
      <c r="K186" s="33"/>
    </row>
    <row r="187" spans="1:11" x14ac:dyDescent="0.2">
      <c r="A187" s="33"/>
      <c r="B187" s="33"/>
      <c r="C187" s="36"/>
      <c r="D187" s="36"/>
      <c r="E187" s="76"/>
      <c r="F187" s="48"/>
      <c r="G187" s="33"/>
      <c r="H187" s="130"/>
      <c r="I187" s="33"/>
      <c r="J187" s="33"/>
      <c r="K187" s="33"/>
    </row>
    <row r="188" spans="1:11" x14ac:dyDescent="0.2">
      <c r="A188" s="33"/>
      <c r="B188" s="33"/>
      <c r="C188" s="36"/>
      <c r="D188" s="40"/>
      <c r="E188" s="76"/>
      <c r="F188" s="80"/>
      <c r="G188" s="33"/>
      <c r="H188" s="33"/>
      <c r="I188" s="33"/>
      <c r="J188" s="33"/>
      <c r="K188" s="33"/>
    </row>
    <row r="189" spans="1:11" x14ac:dyDescent="0.2">
      <c r="A189" s="33"/>
      <c r="B189" s="33"/>
      <c r="C189" s="36"/>
      <c r="D189" s="36"/>
      <c r="E189" s="76"/>
      <c r="F189" s="48"/>
      <c r="G189" s="33"/>
      <c r="H189" s="130"/>
      <c r="I189" s="33"/>
      <c r="J189" s="33"/>
      <c r="K189" s="33"/>
    </row>
    <row r="190" spans="1:11" x14ac:dyDescent="0.2">
      <c r="A190" s="33"/>
      <c r="B190" s="33"/>
      <c r="C190" s="36"/>
      <c r="D190" s="40"/>
      <c r="E190" s="76"/>
      <c r="F190" s="76"/>
      <c r="G190" s="33"/>
      <c r="H190" s="33"/>
      <c r="I190" s="33"/>
      <c r="J190" s="33"/>
      <c r="K190" s="33"/>
    </row>
    <row r="191" spans="1:11" x14ac:dyDescent="0.2">
      <c r="A191" s="33"/>
      <c r="B191" s="33"/>
      <c r="C191" s="36"/>
      <c r="D191" s="40"/>
      <c r="E191" s="76"/>
      <c r="F191" s="76"/>
      <c r="G191" s="33"/>
      <c r="H191" s="33"/>
      <c r="I191" s="33"/>
      <c r="J191" s="33"/>
      <c r="K191" s="33"/>
    </row>
    <row r="192" spans="1:11" x14ac:dyDescent="0.2">
      <c r="A192" s="33"/>
      <c r="B192" s="33"/>
      <c r="C192" s="36"/>
      <c r="D192" s="40"/>
      <c r="E192" s="76"/>
      <c r="F192" s="76"/>
      <c r="G192" s="33"/>
      <c r="H192" s="33"/>
      <c r="I192" s="33"/>
      <c r="J192" s="33"/>
      <c r="K192" s="33"/>
    </row>
    <row r="193" spans="1:11" x14ac:dyDescent="0.2">
      <c r="A193" s="33"/>
      <c r="B193" s="33"/>
      <c r="C193" s="36"/>
      <c r="D193" s="36"/>
      <c r="E193" s="76"/>
      <c r="F193" s="48"/>
      <c r="G193" s="33"/>
      <c r="H193" s="130"/>
      <c r="I193" s="33"/>
      <c r="J193" s="33"/>
      <c r="K193" s="33"/>
    </row>
    <row r="194" spans="1:11" x14ac:dyDescent="0.2">
      <c r="A194" s="33"/>
      <c r="B194" s="33"/>
      <c r="C194" s="36"/>
      <c r="D194" s="42"/>
      <c r="E194" s="76"/>
      <c r="F194" s="76"/>
      <c r="G194" s="33"/>
      <c r="H194" s="86"/>
      <c r="I194" s="33"/>
      <c r="J194" s="33"/>
      <c r="K194" s="33"/>
    </row>
    <row r="195" spans="1:11" x14ac:dyDescent="0.2">
      <c r="A195" s="114"/>
      <c r="B195" s="84"/>
      <c r="C195" s="39"/>
      <c r="D195" s="39"/>
      <c r="E195" s="76"/>
      <c r="F195" s="76"/>
      <c r="G195" s="33"/>
      <c r="H195" s="105"/>
      <c r="I195" s="33"/>
      <c r="J195" s="33"/>
      <c r="K195" s="33"/>
    </row>
    <row r="196" spans="1:11" x14ac:dyDescent="0.2">
      <c r="A196" s="33"/>
      <c r="B196" s="33"/>
      <c r="C196" s="36"/>
      <c r="D196" s="39"/>
      <c r="E196" s="76"/>
      <c r="F196" s="76"/>
      <c r="G196" s="33"/>
      <c r="H196" s="118"/>
      <c r="I196" s="33"/>
      <c r="J196" s="33"/>
      <c r="K196" s="33"/>
    </row>
    <row r="197" spans="1:11" x14ac:dyDescent="0.2">
      <c r="A197" s="33"/>
      <c r="B197" s="33"/>
      <c r="C197" s="36"/>
      <c r="D197" s="39"/>
      <c r="E197" s="76"/>
      <c r="F197" s="76"/>
      <c r="G197" s="33"/>
      <c r="H197" s="118"/>
      <c r="I197" s="33"/>
      <c r="J197" s="33"/>
      <c r="K197" s="33"/>
    </row>
    <row r="198" spans="1:11" x14ac:dyDescent="0.2">
      <c r="A198" s="114"/>
      <c r="B198" s="84"/>
      <c r="C198" s="39"/>
      <c r="D198" s="36"/>
      <c r="E198" s="76"/>
      <c r="F198" s="115"/>
      <c r="G198" s="33"/>
      <c r="H198" s="105"/>
      <c r="I198" s="33"/>
      <c r="J198" s="33"/>
      <c r="K198" s="33"/>
    </row>
    <row r="199" spans="1:11" x14ac:dyDescent="0.2">
      <c r="A199" s="114"/>
      <c r="B199" s="84"/>
      <c r="C199" s="39"/>
      <c r="D199" s="39"/>
      <c r="E199" s="76"/>
      <c r="F199" s="76"/>
      <c r="G199" s="33"/>
      <c r="H199" s="105"/>
      <c r="I199" s="33"/>
      <c r="J199" s="33"/>
      <c r="K199" s="33"/>
    </row>
    <row r="200" spans="1:11" x14ac:dyDescent="0.2">
      <c r="A200" s="84"/>
      <c r="B200" s="84"/>
      <c r="C200" s="39"/>
      <c r="D200" s="36"/>
      <c r="E200" s="76"/>
      <c r="F200" s="80"/>
      <c r="G200" s="33"/>
      <c r="H200" s="33"/>
      <c r="I200" s="33"/>
      <c r="J200" s="33"/>
      <c r="K200" s="33"/>
    </row>
    <row r="201" spans="1:11" x14ac:dyDescent="0.2">
      <c r="A201" s="33"/>
      <c r="B201" s="33"/>
      <c r="C201" s="36"/>
      <c r="D201" s="36"/>
      <c r="E201" s="76"/>
      <c r="F201" s="76"/>
      <c r="G201" s="33"/>
      <c r="H201" s="86"/>
      <c r="I201" s="33"/>
      <c r="J201" s="33"/>
      <c r="K201" s="33"/>
    </row>
    <row r="202" spans="1:11" x14ac:dyDescent="0.2">
      <c r="A202" s="33"/>
      <c r="B202" s="33"/>
      <c r="C202" s="108"/>
      <c r="D202" s="39"/>
      <c r="E202" s="76"/>
      <c r="F202" s="76"/>
      <c r="G202" s="33"/>
      <c r="H202" s="109"/>
      <c r="I202" s="33"/>
      <c r="J202" s="33"/>
      <c r="K202" s="33"/>
    </row>
    <row r="203" spans="1:11" x14ac:dyDescent="0.2">
      <c r="A203" s="33"/>
      <c r="B203" s="33"/>
      <c r="C203" s="108"/>
      <c r="D203" s="39"/>
      <c r="E203" s="76"/>
      <c r="F203" s="76"/>
      <c r="G203" s="33"/>
      <c r="H203" s="122"/>
      <c r="I203" s="33"/>
      <c r="J203" s="33"/>
      <c r="K203" s="33"/>
    </row>
    <row r="204" spans="1:11" x14ac:dyDescent="0.2">
      <c r="A204" s="33"/>
      <c r="B204" s="33"/>
      <c r="C204" s="108"/>
      <c r="D204" s="39"/>
      <c r="E204" s="76"/>
      <c r="F204" s="76"/>
      <c r="G204" s="33"/>
      <c r="H204" s="84"/>
      <c r="I204" s="33"/>
      <c r="J204" s="33"/>
      <c r="K204" s="33"/>
    </row>
    <row r="205" spans="1:11" x14ac:dyDescent="0.2">
      <c r="A205" s="33"/>
      <c r="B205" s="33"/>
      <c r="C205" s="36"/>
      <c r="D205" s="41"/>
      <c r="E205" s="76"/>
      <c r="F205" s="76"/>
      <c r="G205" s="33"/>
      <c r="H205" s="128"/>
      <c r="I205" s="33"/>
      <c r="J205" s="33"/>
      <c r="K205" s="33"/>
    </row>
    <row r="206" spans="1:11" x14ac:dyDescent="0.2">
      <c r="A206" s="33"/>
      <c r="B206" s="33"/>
      <c r="C206" s="36"/>
      <c r="D206" s="41"/>
      <c r="E206" s="76"/>
      <c r="F206" s="76"/>
      <c r="G206" s="33"/>
      <c r="H206" s="128"/>
      <c r="I206" s="33"/>
      <c r="J206" s="33"/>
      <c r="K206" s="33"/>
    </row>
    <row r="207" spans="1:11" x14ac:dyDescent="0.2">
      <c r="A207" s="33"/>
      <c r="B207" s="33"/>
      <c r="C207" s="36"/>
      <c r="D207" s="41"/>
      <c r="E207" s="76"/>
      <c r="F207" s="76"/>
      <c r="G207" s="33"/>
      <c r="H207" s="128"/>
      <c r="I207" s="33"/>
      <c r="J207" s="33"/>
      <c r="K207" s="33"/>
    </row>
    <row r="208" spans="1:11" x14ac:dyDescent="0.2">
      <c r="A208" s="33"/>
      <c r="B208" s="33"/>
      <c r="C208" s="36"/>
      <c r="D208" s="41"/>
      <c r="E208" s="76"/>
      <c r="F208" s="76"/>
      <c r="G208" s="33"/>
      <c r="H208" s="128"/>
      <c r="I208" s="33"/>
      <c r="J208" s="33"/>
      <c r="K208" s="33"/>
    </row>
    <row r="209" spans="1:11" x14ac:dyDescent="0.2">
      <c r="A209" s="33"/>
      <c r="B209" s="33"/>
      <c r="C209" s="36"/>
      <c r="D209" s="41"/>
      <c r="E209" s="76"/>
      <c r="F209" s="76"/>
      <c r="G209" s="33"/>
      <c r="H209" s="128"/>
      <c r="I209" s="33"/>
      <c r="J209" s="33"/>
      <c r="K209" s="33"/>
    </row>
    <row r="210" spans="1:11" x14ac:dyDescent="0.2">
      <c r="A210" s="33"/>
      <c r="B210" s="33"/>
      <c r="C210" s="36"/>
      <c r="D210" s="36"/>
      <c r="E210" s="76"/>
      <c r="F210" s="76"/>
      <c r="G210" s="33"/>
      <c r="H210" s="130"/>
      <c r="I210" s="33"/>
      <c r="J210" s="33"/>
      <c r="K210" s="33"/>
    </row>
    <row r="211" spans="1:11" x14ac:dyDescent="0.2">
      <c r="A211" s="33"/>
      <c r="B211" s="33"/>
      <c r="C211" s="36"/>
      <c r="D211" s="36"/>
      <c r="E211" s="76"/>
      <c r="F211" s="76"/>
      <c r="G211" s="33"/>
      <c r="H211" s="130"/>
      <c r="I211" s="33"/>
      <c r="J211" s="33"/>
      <c r="K211" s="33"/>
    </row>
    <row r="212" spans="1:11" x14ac:dyDescent="0.2">
      <c r="A212" s="33"/>
      <c r="B212" s="33"/>
      <c r="C212" s="36"/>
      <c r="D212" s="36"/>
      <c r="E212" s="76"/>
      <c r="F212" s="76"/>
      <c r="G212" s="33"/>
      <c r="H212" s="130"/>
      <c r="I212" s="33"/>
      <c r="J212" s="33"/>
      <c r="K212" s="33"/>
    </row>
    <row r="213" spans="1:11" x14ac:dyDescent="0.2">
      <c r="A213" s="33"/>
      <c r="B213" s="33"/>
      <c r="C213" s="36"/>
      <c r="D213" s="36"/>
      <c r="E213" s="76"/>
      <c r="F213" s="76"/>
      <c r="G213" s="33"/>
      <c r="H213" s="33"/>
      <c r="I213" s="33"/>
      <c r="J213" s="33"/>
      <c r="K213" s="33"/>
    </row>
    <row r="214" spans="1:11" x14ac:dyDescent="0.2">
      <c r="A214" s="33"/>
      <c r="B214" s="33"/>
      <c r="C214" s="36"/>
      <c r="D214" s="36"/>
      <c r="E214" s="76"/>
      <c r="F214" s="76"/>
      <c r="G214" s="33"/>
      <c r="H214" s="33"/>
      <c r="I214" s="33"/>
      <c r="J214" s="33"/>
      <c r="K214" s="33"/>
    </row>
    <row r="215" spans="1:11" x14ac:dyDescent="0.2">
      <c r="A215" s="33"/>
      <c r="B215" s="33"/>
      <c r="C215" s="36"/>
      <c r="D215" s="40"/>
      <c r="E215" s="76"/>
      <c r="F215" s="76"/>
      <c r="G215" s="33"/>
      <c r="H215" s="33"/>
      <c r="I215" s="33"/>
      <c r="J215" s="33"/>
      <c r="K215" s="33"/>
    </row>
    <row r="216" spans="1:11" x14ac:dyDescent="0.2">
      <c r="A216" s="33"/>
      <c r="B216" s="33"/>
      <c r="C216" s="36"/>
      <c r="D216" s="36"/>
      <c r="E216" s="76"/>
      <c r="F216" s="48"/>
      <c r="G216" s="33"/>
      <c r="H216" s="130"/>
      <c r="I216" s="33"/>
      <c r="J216" s="33"/>
      <c r="K216" s="33"/>
    </row>
    <row r="217" spans="1:11" x14ac:dyDescent="0.2">
      <c r="A217" s="114"/>
      <c r="B217" s="84"/>
      <c r="C217" s="39"/>
      <c r="D217" s="39"/>
      <c r="E217" s="76"/>
      <c r="F217" s="76"/>
      <c r="G217" s="33"/>
      <c r="H217" s="105"/>
      <c r="I217" s="33"/>
      <c r="J217" s="33"/>
      <c r="K217" s="33"/>
    </row>
    <row r="218" spans="1:11" x14ac:dyDescent="0.2">
      <c r="A218" s="33"/>
      <c r="B218" s="33"/>
      <c r="C218" s="36"/>
      <c r="D218" s="39"/>
      <c r="E218" s="76"/>
      <c r="F218" s="115"/>
      <c r="G218" s="33"/>
      <c r="H218" s="118"/>
      <c r="I218" s="33"/>
      <c r="J218" s="33"/>
      <c r="K218" s="33"/>
    </row>
    <row r="219" spans="1:11" x14ac:dyDescent="0.2">
      <c r="A219" s="33"/>
      <c r="B219" s="33"/>
      <c r="C219" s="36"/>
      <c r="D219" s="39"/>
      <c r="E219" s="76"/>
      <c r="F219" s="76"/>
      <c r="G219" s="33"/>
      <c r="H219" s="118"/>
      <c r="I219" s="33"/>
      <c r="J219" s="33"/>
      <c r="K219" s="33"/>
    </row>
    <row r="220" spans="1:11" x14ac:dyDescent="0.2">
      <c r="A220" s="114"/>
      <c r="B220" s="84"/>
      <c r="C220" s="39"/>
      <c r="D220" s="39"/>
      <c r="E220" s="76"/>
      <c r="F220" s="76"/>
      <c r="G220" s="33"/>
      <c r="H220" s="105"/>
      <c r="I220" s="33"/>
      <c r="J220" s="33"/>
      <c r="K220" s="33"/>
    </row>
    <row r="221" spans="1:11" x14ac:dyDescent="0.2">
      <c r="A221" s="84"/>
      <c r="B221" s="84"/>
      <c r="C221" s="39"/>
      <c r="D221" s="36"/>
      <c r="E221" s="76"/>
      <c r="F221" s="76"/>
      <c r="G221" s="33"/>
      <c r="H221" s="126"/>
      <c r="I221" s="33"/>
      <c r="J221" s="33"/>
      <c r="K221" s="33"/>
    </row>
    <row r="222" spans="1:11" x14ac:dyDescent="0.2">
      <c r="A222" s="33"/>
      <c r="B222" s="33"/>
      <c r="C222" s="108"/>
      <c r="D222" s="39"/>
      <c r="E222" s="76"/>
      <c r="F222" s="76"/>
      <c r="G222" s="33"/>
      <c r="H222" s="84"/>
      <c r="I222" s="33"/>
      <c r="J222" s="33"/>
      <c r="K222" s="33"/>
    </row>
    <row r="223" spans="1:11" x14ac:dyDescent="0.2">
      <c r="A223" s="33"/>
      <c r="B223" s="33"/>
      <c r="C223" s="108"/>
      <c r="D223" s="39"/>
      <c r="E223" s="76"/>
      <c r="F223" s="76"/>
      <c r="G223" s="33"/>
      <c r="H223" s="125"/>
      <c r="I223" s="33"/>
      <c r="J223" s="33"/>
      <c r="K223" s="33"/>
    </row>
    <row r="224" spans="1:11" x14ac:dyDescent="0.2">
      <c r="A224" s="33"/>
      <c r="B224" s="33"/>
      <c r="C224" s="108"/>
      <c r="D224" s="39"/>
      <c r="E224" s="76"/>
      <c r="F224" s="76"/>
      <c r="G224" s="33"/>
      <c r="H224" s="84"/>
      <c r="I224" s="33"/>
      <c r="J224" s="33"/>
      <c r="K224" s="33"/>
    </row>
    <row r="225" spans="1:11" x14ac:dyDescent="0.2">
      <c r="A225" s="33"/>
      <c r="B225" s="33"/>
      <c r="C225" s="36"/>
      <c r="D225" s="36"/>
      <c r="E225" s="76"/>
      <c r="F225" s="76"/>
      <c r="G225" s="33"/>
      <c r="H225" s="126"/>
      <c r="I225" s="33"/>
      <c r="J225" s="33"/>
      <c r="K225" s="33"/>
    </row>
    <row r="226" spans="1:11" x14ac:dyDescent="0.2">
      <c r="A226" s="33"/>
      <c r="B226" s="33"/>
      <c r="C226" s="36"/>
      <c r="D226" s="36"/>
      <c r="E226" s="76"/>
      <c r="F226" s="76"/>
      <c r="G226" s="33"/>
      <c r="H226" s="126"/>
      <c r="I226" s="33"/>
      <c r="J226" s="33"/>
      <c r="K226" s="33"/>
    </row>
    <row r="227" spans="1:11" x14ac:dyDescent="0.2">
      <c r="A227" s="33"/>
      <c r="B227" s="33"/>
      <c r="C227" s="36"/>
      <c r="D227" s="39"/>
      <c r="E227" s="76"/>
      <c r="F227" s="76"/>
      <c r="G227" s="33"/>
      <c r="H227" s="118"/>
      <c r="I227" s="33"/>
      <c r="J227" s="33"/>
      <c r="K227" s="33"/>
    </row>
    <row r="228" spans="1:11" x14ac:dyDescent="0.2">
      <c r="A228" s="33"/>
      <c r="B228" s="33"/>
      <c r="C228" s="36"/>
      <c r="D228" s="39"/>
      <c r="E228" s="76"/>
      <c r="F228" s="76"/>
      <c r="G228" s="33"/>
      <c r="H228" s="118"/>
      <c r="I228" s="33"/>
      <c r="J228" s="33"/>
      <c r="K228" s="33"/>
    </row>
    <row r="229" spans="1:11" x14ac:dyDescent="0.2">
      <c r="A229" s="33"/>
      <c r="B229" s="33"/>
      <c r="C229" s="36"/>
      <c r="D229" s="36"/>
      <c r="E229" s="76"/>
      <c r="F229" s="76"/>
      <c r="G229" s="33"/>
      <c r="H229" s="128"/>
      <c r="I229" s="33"/>
      <c r="J229" s="33"/>
      <c r="K229" s="33"/>
    </row>
    <row r="230" spans="1:11" x14ac:dyDescent="0.2">
      <c r="A230" s="33"/>
      <c r="B230" s="33"/>
      <c r="C230" s="108"/>
      <c r="D230" s="39"/>
      <c r="E230" s="76"/>
      <c r="F230" s="76"/>
      <c r="G230" s="33"/>
      <c r="H230" s="122"/>
      <c r="I230" s="33"/>
      <c r="J230" s="33"/>
      <c r="K230" s="33"/>
    </row>
    <row r="231" spans="1:11" x14ac:dyDescent="0.2">
      <c r="A231" s="33"/>
      <c r="B231" s="33"/>
      <c r="C231" s="108"/>
      <c r="D231" s="39"/>
      <c r="E231" s="76"/>
      <c r="F231" s="76"/>
      <c r="G231" s="33"/>
      <c r="H231" s="125"/>
      <c r="I231" s="33"/>
      <c r="J231" s="33"/>
      <c r="K231" s="33"/>
    </row>
    <row r="232" spans="1:11" x14ac:dyDescent="0.2">
      <c r="A232" s="33"/>
      <c r="B232" s="33"/>
      <c r="C232" s="108"/>
      <c r="D232" s="39"/>
      <c r="E232" s="76"/>
      <c r="F232" s="76"/>
      <c r="G232" s="33"/>
      <c r="H232" s="125"/>
      <c r="I232" s="33"/>
      <c r="J232" s="33"/>
      <c r="K232" s="33"/>
    </row>
    <row r="233" spans="1:11" x14ac:dyDescent="0.2">
      <c r="A233" s="36"/>
      <c r="B233" s="33"/>
      <c r="C233" s="36"/>
      <c r="D233" s="36"/>
      <c r="E233" s="76"/>
      <c r="F233" s="76"/>
      <c r="G233" s="33"/>
      <c r="H233" s="33"/>
      <c r="I233" s="33"/>
      <c r="J233" s="33"/>
      <c r="K233" s="33"/>
    </row>
    <row r="234" spans="1:11" x14ac:dyDescent="0.2">
      <c r="A234" s="33"/>
      <c r="B234" s="33"/>
      <c r="C234" s="36"/>
      <c r="D234" s="36"/>
      <c r="E234" s="76"/>
      <c r="F234" s="76"/>
      <c r="G234" s="33"/>
      <c r="H234" s="33"/>
      <c r="I234" s="33"/>
      <c r="J234" s="33"/>
      <c r="K234" s="33"/>
    </row>
    <row r="235" spans="1:11" x14ac:dyDescent="0.2">
      <c r="A235" s="33"/>
      <c r="B235" s="33"/>
      <c r="C235" s="36"/>
      <c r="D235" s="36"/>
      <c r="E235" s="76"/>
      <c r="F235" s="76"/>
      <c r="G235" s="33"/>
      <c r="H235" s="33"/>
      <c r="I235" s="33"/>
      <c r="J235" s="33"/>
      <c r="K235" s="33"/>
    </row>
    <row r="236" spans="1:11" x14ac:dyDescent="0.2">
      <c r="A236" s="33"/>
      <c r="B236" s="33"/>
      <c r="C236" s="36"/>
      <c r="D236" s="41"/>
      <c r="E236" s="76"/>
      <c r="F236" s="76"/>
      <c r="G236" s="33"/>
      <c r="H236" s="86"/>
      <c r="I236" s="33"/>
      <c r="J236" s="33"/>
      <c r="K236" s="33"/>
    </row>
    <row r="237" spans="1:11" x14ac:dyDescent="0.2">
      <c r="A237" s="33"/>
      <c r="B237" s="33"/>
      <c r="C237" s="36"/>
      <c r="D237" s="41"/>
      <c r="E237" s="76"/>
      <c r="F237" s="76"/>
      <c r="G237" s="33"/>
      <c r="H237" s="86"/>
      <c r="I237" s="33"/>
      <c r="J237" s="33"/>
      <c r="K237" s="33"/>
    </row>
    <row r="238" spans="1:11" x14ac:dyDescent="0.2">
      <c r="A238" s="33"/>
      <c r="B238" s="33"/>
      <c r="C238" s="36"/>
      <c r="D238" s="41"/>
      <c r="E238" s="76"/>
      <c r="F238" s="76"/>
      <c r="G238" s="33"/>
      <c r="H238" s="86"/>
      <c r="I238" s="33"/>
      <c r="J238" s="33"/>
      <c r="K238" s="33"/>
    </row>
    <row r="239" spans="1:11" x14ac:dyDescent="0.2">
      <c r="A239" s="33"/>
      <c r="B239" s="33"/>
      <c r="C239" s="36"/>
      <c r="D239" s="41"/>
      <c r="E239" s="76"/>
      <c r="F239" s="76"/>
      <c r="G239" s="33"/>
      <c r="H239" s="86"/>
      <c r="I239" s="33"/>
      <c r="J239" s="33"/>
      <c r="K239" s="33"/>
    </row>
    <row r="240" spans="1:11" x14ac:dyDescent="0.2">
      <c r="A240" s="33"/>
      <c r="B240" s="33"/>
      <c r="C240" s="36"/>
      <c r="D240" s="41"/>
      <c r="E240" s="76"/>
      <c r="F240" s="76"/>
      <c r="G240" s="33"/>
      <c r="H240" s="86"/>
      <c r="I240" s="33"/>
      <c r="J240" s="33"/>
      <c r="K240" s="33"/>
    </row>
    <row r="241" spans="1:11" x14ac:dyDescent="0.2">
      <c r="A241" s="33"/>
      <c r="B241" s="33"/>
      <c r="C241" s="36"/>
      <c r="D241" s="36"/>
      <c r="E241" s="76"/>
      <c r="F241" s="76"/>
      <c r="G241" s="33"/>
      <c r="H241" s="128"/>
      <c r="I241" s="33"/>
      <c r="J241" s="33"/>
      <c r="K241" s="33"/>
    </row>
    <row r="242" spans="1:11" x14ac:dyDescent="0.2">
      <c r="A242" s="33"/>
      <c r="B242" s="33"/>
      <c r="C242" s="36"/>
      <c r="D242" s="36"/>
      <c r="E242" s="76"/>
      <c r="F242" s="76"/>
      <c r="G242" s="33"/>
      <c r="H242" s="128"/>
      <c r="I242" s="33"/>
      <c r="J242" s="33"/>
      <c r="K242" s="33"/>
    </row>
    <row r="243" spans="1:11" x14ac:dyDescent="0.2">
      <c r="A243" s="84"/>
      <c r="B243" s="84"/>
      <c r="C243" s="39"/>
      <c r="D243" s="36"/>
      <c r="E243" s="76"/>
      <c r="F243" s="76"/>
      <c r="G243" s="33"/>
      <c r="H243" s="128"/>
      <c r="I243" s="33"/>
      <c r="J243" s="33"/>
      <c r="K243" s="33"/>
    </row>
    <row r="244" spans="1:11" x14ac:dyDescent="0.2">
      <c r="A244" s="33"/>
      <c r="B244" s="33"/>
      <c r="C244" s="36"/>
      <c r="D244" s="36"/>
      <c r="E244" s="76"/>
      <c r="F244" s="76"/>
      <c r="G244" s="33"/>
      <c r="H244" s="33"/>
      <c r="I244" s="33"/>
      <c r="J244" s="33"/>
      <c r="K244" s="33"/>
    </row>
    <row r="245" spans="1:11" x14ac:dyDescent="0.2">
      <c r="A245" s="33"/>
      <c r="B245" s="33"/>
      <c r="C245" s="108"/>
      <c r="D245" s="39"/>
      <c r="E245" s="76"/>
      <c r="F245" s="48"/>
      <c r="G245" s="33"/>
      <c r="H245" s="118"/>
      <c r="I245" s="33"/>
      <c r="J245" s="33"/>
      <c r="K245" s="33"/>
    </row>
    <row r="246" spans="1:11" x14ac:dyDescent="0.2">
      <c r="A246" s="33"/>
      <c r="B246" s="33"/>
      <c r="C246" s="108"/>
      <c r="D246" s="39"/>
      <c r="E246" s="76"/>
      <c r="F246" s="76"/>
      <c r="G246" s="33"/>
      <c r="H246" s="125"/>
      <c r="I246" s="33"/>
      <c r="J246" s="33"/>
      <c r="K246" s="33"/>
    </row>
    <row r="247" spans="1:11" x14ac:dyDescent="0.2">
      <c r="A247" s="33"/>
      <c r="B247" s="33"/>
      <c r="C247" s="108"/>
      <c r="D247" s="39"/>
      <c r="E247" s="76"/>
      <c r="F247" s="48"/>
      <c r="G247" s="33"/>
      <c r="H247" s="125"/>
      <c r="I247" s="33"/>
      <c r="J247" s="33"/>
      <c r="K247" s="33"/>
    </row>
    <row r="248" spans="1:11" x14ac:dyDescent="0.2">
      <c r="A248" s="33"/>
      <c r="B248" s="33"/>
      <c r="C248" s="36"/>
      <c r="D248" s="41"/>
      <c r="E248" s="76"/>
      <c r="F248" s="76"/>
      <c r="G248" s="33"/>
      <c r="H248" s="33"/>
      <c r="I248" s="33"/>
      <c r="J248" s="33"/>
      <c r="K248" s="33"/>
    </row>
    <row r="249" spans="1:11" x14ac:dyDescent="0.2">
      <c r="A249" s="33"/>
      <c r="B249" s="33"/>
      <c r="C249" s="36"/>
      <c r="D249" s="41"/>
      <c r="E249" s="76"/>
      <c r="F249" s="76"/>
      <c r="G249" s="33"/>
      <c r="H249" s="33"/>
      <c r="I249" s="33"/>
      <c r="J249" s="33"/>
      <c r="K249" s="33"/>
    </row>
    <row r="250" spans="1:11" x14ac:dyDescent="0.2">
      <c r="A250" s="33"/>
      <c r="B250" s="33"/>
      <c r="C250" s="36"/>
      <c r="D250" s="41"/>
      <c r="E250" s="76"/>
      <c r="F250" s="76"/>
      <c r="G250" s="33"/>
      <c r="H250" s="33"/>
      <c r="I250" s="33"/>
      <c r="J250" s="33"/>
      <c r="K250" s="33"/>
    </row>
    <row r="251" spans="1:11" x14ac:dyDescent="0.2">
      <c r="A251" s="33"/>
      <c r="B251" s="33"/>
      <c r="C251" s="36"/>
      <c r="D251" s="41"/>
      <c r="E251" s="76"/>
      <c r="F251" s="76"/>
      <c r="G251" s="33"/>
      <c r="H251" s="86"/>
      <c r="I251" s="33"/>
      <c r="J251" s="33"/>
      <c r="K251" s="33"/>
    </row>
    <row r="252" spans="1:11" x14ac:dyDescent="0.2">
      <c r="A252" s="33"/>
      <c r="B252" s="33"/>
      <c r="C252" s="36"/>
      <c r="D252" s="41"/>
      <c r="E252" s="76"/>
      <c r="F252" s="76"/>
      <c r="G252" s="33"/>
      <c r="H252" s="86"/>
      <c r="I252" s="33"/>
      <c r="J252" s="33"/>
      <c r="K252" s="33"/>
    </row>
    <row r="253" spans="1:11" x14ac:dyDescent="0.2">
      <c r="A253" s="33"/>
      <c r="B253" s="33"/>
      <c r="C253" s="36"/>
      <c r="D253" s="36"/>
      <c r="E253" s="76"/>
      <c r="F253" s="76"/>
      <c r="G253" s="33"/>
      <c r="H253" s="33"/>
      <c r="I253" s="33"/>
      <c r="J253" s="33"/>
      <c r="K253" s="33"/>
    </row>
    <row r="254" spans="1:11" x14ac:dyDescent="0.2">
      <c r="A254" s="33"/>
      <c r="B254" s="33"/>
      <c r="C254" s="36"/>
      <c r="D254" s="36"/>
      <c r="E254" s="76"/>
      <c r="F254" s="76"/>
      <c r="G254" s="33"/>
      <c r="H254" s="33"/>
      <c r="I254" s="33"/>
      <c r="J254" s="33"/>
      <c r="K254" s="33"/>
    </row>
    <row r="255" spans="1:11" x14ac:dyDescent="0.2">
      <c r="A255" s="33"/>
      <c r="B255" s="33"/>
      <c r="C255" s="36"/>
      <c r="D255" s="36"/>
      <c r="E255" s="76"/>
      <c r="F255" s="76"/>
      <c r="G255" s="33"/>
      <c r="H255" s="33"/>
      <c r="I255" s="33"/>
      <c r="J255" s="33"/>
      <c r="K255" s="33"/>
    </row>
    <row r="256" spans="1:11" x14ac:dyDescent="0.2">
      <c r="A256" s="33"/>
      <c r="B256" s="33"/>
      <c r="C256" s="36"/>
      <c r="D256" s="36"/>
      <c r="E256" s="76"/>
      <c r="F256" s="76"/>
      <c r="G256" s="33"/>
      <c r="H256" s="117"/>
      <c r="I256" s="33"/>
      <c r="J256" s="33"/>
      <c r="K256" s="33"/>
    </row>
    <row r="257" spans="1:11" x14ac:dyDescent="0.2">
      <c r="A257" s="33"/>
      <c r="B257" s="33"/>
      <c r="C257" s="36"/>
      <c r="D257" s="36"/>
      <c r="E257" s="76"/>
      <c r="F257" s="76"/>
      <c r="G257" s="33"/>
      <c r="H257" s="33"/>
      <c r="I257" s="33"/>
      <c r="J257" s="33"/>
      <c r="K257" s="33"/>
    </row>
    <row r="258" spans="1:11" x14ac:dyDescent="0.2">
      <c r="A258" s="33"/>
      <c r="B258" s="33"/>
      <c r="C258" s="36"/>
      <c r="D258" s="131"/>
      <c r="E258" s="76"/>
      <c r="F258" s="76"/>
      <c r="G258" s="33"/>
      <c r="H258" s="33"/>
      <c r="I258" s="33"/>
      <c r="J258" s="33"/>
      <c r="K258" s="33"/>
    </row>
    <row r="259" spans="1:11" x14ac:dyDescent="0.2">
      <c r="A259" s="33"/>
      <c r="B259" s="33"/>
      <c r="C259" s="36"/>
      <c r="D259" s="131"/>
      <c r="E259" s="76"/>
      <c r="F259" s="76"/>
      <c r="G259" s="33"/>
      <c r="H259" s="33"/>
      <c r="I259" s="33"/>
      <c r="J259" s="33"/>
      <c r="K259" s="33"/>
    </row>
    <row r="260" spans="1:11" x14ac:dyDescent="0.2">
      <c r="A260" s="33"/>
      <c r="B260" s="33"/>
      <c r="C260" s="36"/>
      <c r="D260" s="41"/>
      <c r="E260" s="76"/>
      <c r="F260" s="80"/>
      <c r="G260" s="33"/>
      <c r="H260" s="33"/>
      <c r="I260" s="33"/>
      <c r="J260" s="33"/>
      <c r="K260" s="33"/>
    </row>
    <row r="261" spans="1:11" x14ac:dyDescent="0.2">
      <c r="A261" s="33"/>
      <c r="B261" s="33"/>
      <c r="C261" s="36"/>
      <c r="D261" s="36"/>
      <c r="E261" s="76"/>
      <c r="F261" s="48"/>
      <c r="G261" s="33"/>
      <c r="H261" s="86"/>
      <c r="I261" s="33"/>
      <c r="J261" s="33"/>
      <c r="K261" s="33"/>
    </row>
    <row r="262" spans="1:11" x14ac:dyDescent="0.2">
      <c r="A262" s="33"/>
      <c r="B262" s="33"/>
      <c r="C262" s="36"/>
      <c r="D262" s="41"/>
      <c r="E262" s="76"/>
      <c r="F262" s="80"/>
      <c r="G262" s="33"/>
      <c r="H262" s="86"/>
      <c r="I262" s="33"/>
      <c r="J262" s="33"/>
      <c r="K262" s="33"/>
    </row>
    <row r="263" spans="1:11" x14ac:dyDescent="0.2">
      <c r="A263" s="33"/>
      <c r="B263" s="33"/>
      <c r="C263" s="36"/>
      <c r="D263" s="36"/>
      <c r="E263" s="76"/>
      <c r="F263" s="76"/>
      <c r="G263" s="33"/>
      <c r="H263" s="86"/>
      <c r="I263" s="33"/>
      <c r="J263" s="33"/>
      <c r="K263" s="33"/>
    </row>
    <row r="264" spans="1:11" x14ac:dyDescent="0.2">
      <c r="A264" s="33"/>
      <c r="B264" s="33"/>
      <c r="C264" s="36"/>
      <c r="D264" s="41"/>
      <c r="E264" s="76"/>
      <c r="F264" s="76"/>
      <c r="G264" s="33"/>
      <c r="H264" s="86"/>
      <c r="I264" s="33"/>
      <c r="J264" s="33"/>
      <c r="K264" s="33"/>
    </row>
    <row r="265" spans="1:11" x14ac:dyDescent="0.2">
      <c r="A265" s="33"/>
      <c r="B265" s="33"/>
      <c r="C265" s="36"/>
      <c r="D265" s="36"/>
      <c r="E265" s="76"/>
      <c r="F265" s="48"/>
      <c r="G265" s="33"/>
      <c r="H265" s="33"/>
      <c r="I265" s="33"/>
      <c r="J265" s="33"/>
      <c r="K265" s="33"/>
    </row>
    <row r="266" spans="1:11" x14ac:dyDescent="0.2">
      <c r="A266" s="33"/>
      <c r="B266" s="33"/>
      <c r="C266" s="36"/>
      <c r="D266" s="36"/>
      <c r="E266" s="76"/>
      <c r="F266" s="76"/>
      <c r="G266" s="33"/>
      <c r="H266" s="33"/>
      <c r="I266" s="33"/>
      <c r="J266" s="33"/>
      <c r="K266" s="33"/>
    </row>
    <row r="267" spans="1:11" x14ac:dyDescent="0.2">
      <c r="A267" s="33"/>
      <c r="B267" s="33"/>
      <c r="C267" s="36"/>
      <c r="D267" s="36"/>
      <c r="E267" s="76"/>
      <c r="F267" s="76"/>
      <c r="G267" s="33"/>
      <c r="H267" s="33"/>
      <c r="I267" s="33"/>
      <c r="J267" s="33"/>
      <c r="K267" s="33"/>
    </row>
    <row r="268" spans="1:11" x14ac:dyDescent="0.2">
      <c r="A268" s="33"/>
      <c r="B268" s="33"/>
      <c r="C268" s="36"/>
      <c r="D268" s="36"/>
      <c r="E268" s="76"/>
      <c r="F268" s="80"/>
      <c r="G268" s="33"/>
      <c r="H268" s="33"/>
      <c r="I268" s="33"/>
      <c r="J268" s="33"/>
      <c r="K268" s="33"/>
    </row>
    <row r="269" spans="1:11" x14ac:dyDescent="0.2">
      <c r="A269" s="33"/>
      <c r="B269" s="33"/>
      <c r="C269" s="36"/>
      <c r="D269" s="36"/>
      <c r="E269" s="76"/>
      <c r="F269" s="76"/>
      <c r="G269" s="33"/>
      <c r="H269" s="33"/>
      <c r="I269" s="33"/>
      <c r="J269" s="33"/>
      <c r="K269" s="33"/>
    </row>
    <row r="270" spans="1:11" x14ac:dyDescent="0.2">
      <c r="A270" s="33"/>
      <c r="B270" s="33"/>
      <c r="C270" s="36"/>
      <c r="D270" s="36"/>
      <c r="E270" s="76"/>
      <c r="F270" s="76"/>
      <c r="G270" s="33"/>
      <c r="H270" s="33"/>
      <c r="I270" s="33"/>
      <c r="J270" s="33"/>
      <c r="K270" s="33"/>
    </row>
    <row r="271" spans="1:11" x14ac:dyDescent="0.2">
      <c r="A271" s="33"/>
      <c r="B271" s="33"/>
      <c r="C271" s="36"/>
      <c r="D271" s="36"/>
      <c r="E271" s="76"/>
      <c r="F271" s="76"/>
      <c r="G271" s="33"/>
      <c r="H271" s="86"/>
      <c r="I271" s="33"/>
      <c r="J271" s="33"/>
      <c r="K271" s="33"/>
    </row>
    <row r="272" spans="1:11" x14ac:dyDescent="0.2">
      <c r="A272" s="33"/>
      <c r="B272" s="33"/>
      <c r="C272" s="36"/>
      <c r="D272" s="131"/>
      <c r="E272" s="76"/>
      <c r="F272" s="76"/>
      <c r="G272" s="33"/>
      <c r="H272" s="33"/>
      <c r="I272" s="33"/>
      <c r="J272" s="33"/>
      <c r="K272" s="33"/>
    </row>
    <row r="273" spans="1:11" x14ac:dyDescent="0.2">
      <c r="A273" s="33"/>
      <c r="B273" s="33"/>
      <c r="C273" s="36"/>
      <c r="D273" s="131"/>
      <c r="E273" s="76"/>
      <c r="F273" s="80"/>
      <c r="G273" s="33"/>
      <c r="H273" s="33"/>
      <c r="I273" s="33"/>
      <c r="J273" s="33"/>
      <c r="K273" s="33"/>
    </row>
    <row r="274" spans="1:11" x14ac:dyDescent="0.2">
      <c r="A274" s="33"/>
      <c r="B274" s="33"/>
      <c r="C274" s="36"/>
      <c r="D274" s="132"/>
      <c r="E274" s="76"/>
      <c r="F274" s="76"/>
      <c r="G274" s="33"/>
      <c r="H274" s="33"/>
      <c r="I274" s="33"/>
      <c r="J274" s="33"/>
      <c r="K274" s="33"/>
    </row>
    <row r="275" spans="1:11" x14ac:dyDescent="0.2">
      <c r="A275" s="33"/>
      <c r="B275" s="33"/>
      <c r="C275" s="36"/>
      <c r="D275" s="132"/>
      <c r="E275" s="76"/>
      <c r="F275" s="76"/>
      <c r="G275" s="33"/>
      <c r="H275" s="33"/>
      <c r="I275" s="33"/>
      <c r="J275" s="33"/>
      <c r="K275" s="33"/>
    </row>
    <row r="276" spans="1:11" x14ac:dyDescent="0.2">
      <c r="A276" s="33"/>
      <c r="B276" s="33"/>
      <c r="C276" s="36"/>
      <c r="D276" s="110"/>
      <c r="E276" s="76"/>
      <c r="F276" s="76"/>
      <c r="G276" s="33"/>
      <c r="H276" s="117"/>
      <c r="I276" s="33"/>
      <c r="J276" s="33"/>
      <c r="K276" s="33"/>
    </row>
    <row r="277" spans="1:11" x14ac:dyDescent="0.2">
      <c r="A277" s="84"/>
      <c r="B277" s="84"/>
      <c r="C277" s="39"/>
      <c r="D277" s="36"/>
      <c r="E277" s="76"/>
      <c r="F277" s="76"/>
      <c r="G277" s="33"/>
      <c r="H277" s="86"/>
      <c r="I277" s="33"/>
      <c r="J277" s="33"/>
      <c r="K277" s="33"/>
    </row>
    <row r="278" spans="1:11" x14ac:dyDescent="0.2">
      <c r="A278" s="33"/>
      <c r="B278" s="33"/>
      <c r="C278" s="36"/>
      <c r="D278" s="36"/>
      <c r="E278" s="76"/>
      <c r="F278" s="76"/>
      <c r="G278" s="33"/>
      <c r="H278" s="86"/>
      <c r="I278" s="33"/>
      <c r="J278" s="33"/>
      <c r="K278" s="33"/>
    </row>
    <row r="279" spans="1:11" x14ac:dyDescent="0.2">
      <c r="A279" s="33"/>
      <c r="B279" s="33"/>
      <c r="C279" s="36"/>
      <c r="D279" s="131"/>
      <c r="E279" s="76"/>
      <c r="F279" s="76"/>
      <c r="G279" s="33"/>
      <c r="H279" s="86"/>
      <c r="I279" s="33"/>
      <c r="J279" s="33"/>
      <c r="K279" s="33"/>
    </row>
    <row r="280" spans="1:11" x14ac:dyDescent="0.2">
      <c r="A280" s="33"/>
      <c r="B280" s="33"/>
      <c r="C280" s="36"/>
      <c r="D280" s="131"/>
      <c r="E280" s="76"/>
      <c r="F280" s="76"/>
      <c r="G280" s="33"/>
      <c r="H280" s="86"/>
      <c r="I280" s="33"/>
      <c r="J280" s="33"/>
      <c r="K280" s="33"/>
    </row>
    <row r="281" spans="1:11" x14ac:dyDescent="0.2">
      <c r="A281" s="33"/>
      <c r="B281" s="33"/>
      <c r="C281" s="36"/>
      <c r="D281" s="132"/>
      <c r="E281" s="76"/>
      <c r="F281" s="76"/>
      <c r="G281" s="33"/>
      <c r="H281" s="33"/>
      <c r="I281" s="33"/>
      <c r="J281" s="33"/>
      <c r="K281" s="33"/>
    </row>
    <row r="282" spans="1:11" x14ac:dyDescent="0.2">
      <c r="A282" s="33"/>
      <c r="B282" s="33"/>
      <c r="C282" s="36"/>
      <c r="D282" s="132"/>
      <c r="E282" s="76"/>
      <c r="F282" s="76"/>
      <c r="G282" s="33"/>
      <c r="H282" s="33"/>
      <c r="I282" s="33"/>
      <c r="J282" s="33"/>
      <c r="K282" s="33"/>
    </row>
    <row r="283" spans="1:11" x14ac:dyDescent="0.2">
      <c r="A283" s="33"/>
      <c r="B283" s="33"/>
      <c r="C283" s="36"/>
      <c r="D283" s="36"/>
      <c r="E283" s="76"/>
      <c r="F283" s="76"/>
      <c r="G283" s="33"/>
      <c r="H283" s="33"/>
      <c r="I283" s="33"/>
      <c r="J283" s="33"/>
      <c r="K283" s="33"/>
    </row>
    <row r="284" spans="1:11" x14ac:dyDescent="0.2">
      <c r="A284" s="84"/>
      <c r="B284" s="84"/>
      <c r="C284" s="39"/>
      <c r="D284" s="36"/>
      <c r="E284" s="76"/>
      <c r="F284" s="76"/>
      <c r="G284" s="33"/>
      <c r="H284" s="86"/>
      <c r="I284" s="33"/>
      <c r="J284" s="33"/>
      <c r="K284" s="33"/>
    </row>
    <row r="285" spans="1:11" x14ac:dyDescent="0.2">
      <c r="A285" s="33"/>
      <c r="B285" s="33"/>
      <c r="C285" s="36"/>
      <c r="D285" s="36"/>
      <c r="E285" s="76"/>
      <c r="F285" s="76"/>
      <c r="G285" s="33"/>
      <c r="H285" s="86"/>
      <c r="I285" s="33"/>
      <c r="J285" s="33"/>
      <c r="K285" s="33"/>
    </row>
    <row r="286" spans="1:11" x14ac:dyDescent="0.2">
      <c r="A286" s="33"/>
      <c r="B286" s="33"/>
      <c r="C286" s="36"/>
      <c r="D286" s="132"/>
      <c r="E286" s="76"/>
      <c r="F286" s="76"/>
      <c r="G286" s="33"/>
      <c r="H286" s="33"/>
      <c r="I286" s="33"/>
      <c r="J286" s="33"/>
      <c r="K286" s="33"/>
    </row>
    <row r="287" spans="1:11" x14ac:dyDescent="0.2">
      <c r="A287" s="33"/>
      <c r="B287" s="33"/>
      <c r="C287" s="36"/>
      <c r="D287" s="132"/>
      <c r="E287" s="76"/>
      <c r="F287" s="76"/>
      <c r="G287" s="33"/>
      <c r="H287" s="33"/>
      <c r="I287" s="33"/>
      <c r="J287" s="33"/>
      <c r="K287" s="33"/>
    </row>
    <row r="288" spans="1:11" x14ac:dyDescent="0.2">
      <c r="A288" s="33"/>
      <c r="B288" s="33"/>
      <c r="C288" s="36"/>
      <c r="D288" s="36"/>
      <c r="E288" s="76"/>
      <c r="F288" s="119"/>
      <c r="G288" s="33"/>
      <c r="H288" s="86"/>
      <c r="I288" s="33"/>
      <c r="J288" s="33"/>
      <c r="K288" s="33"/>
    </row>
    <row r="289" spans="1:11" x14ac:dyDescent="0.2">
      <c r="A289" s="84"/>
      <c r="B289" s="84"/>
      <c r="C289" s="39"/>
      <c r="D289" s="132"/>
      <c r="E289" s="76"/>
      <c r="F289" s="76"/>
      <c r="G289" s="33"/>
      <c r="H289" s="86"/>
      <c r="I289" s="33"/>
      <c r="J289" s="33"/>
      <c r="K289" s="33"/>
    </row>
    <row r="290" spans="1:11" x14ac:dyDescent="0.2">
      <c r="A290" s="33"/>
      <c r="B290" s="33"/>
      <c r="C290" s="36"/>
      <c r="D290" s="36"/>
      <c r="E290" s="76"/>
      <c r="F290" s="76"/>
      <c r="G290" s="33"/>
      <c r="H290" s="86"/>
      <c r="I290" s="33"/>
      <c r="J290" s="33"/>
      <c r="K290" s="33"/>
    </row>
    <row r="291" spans="1:11" x14ac:dyDescent="0.2">
      <c r="A291" s="33"/>
      <c r="B291" s="33"/>
      <c r="C291" s="36"/>
      <c r="D291" s="36"/>
      <c r="E291" s="76"/>
      <c r="F291" s="48"/>
      <c r="G291" s="33"/>
      <c r="H291" s="33"/>
      <c r="I291" s="33"/>
      <c r="J291" s="33"/>
      <c r="K291" s="33"/>
    </row>
    <row r="292" spans="1:11" x14ac:dyDescent="0.2">
      <c r="A292" s="33"/>
      <c r="B292" s="33"/>
      <c r="C292" s="36"/>
      <c r="D292" s="36"/>
      <c r="E292" s="76"/>
      <c r="F292" s="48"/>
      <c r="G292" s="33"/>
      <c r="H292" s="33"/>
      <c r="I292" s="33"/>
      <c r="J292" s="33"/>
      <c r="K292" s="33"/>
    </row>
    <row r="293" spans="1:11" x14ac:dyDescent="0.2">
      <c r="A293" s="33"/>
      <c r="B293" s="33"/>
      <c r="C293" s="36"/>
      <c r="D293" s="36"/>
      <c r="E293" s="76"/>
      <c r="F293" s="76"/>
      <c r="G293" s="33"/>
      <c r="H293" s="86"/>
      <c r="I293" s="33"/>
      <c r="J293" s="33"/>
      <c r="K293" s="33"/>
    </row>
    <row r="294" spans="1:11" x14ac:dyDescent="0.2">
      <c r="A294" s="84"/>
      <c r="B294" s="84"/>
      <c r="C294" s="39"/>
      <c r="D294" s="132"/>
      <c r="E294" s="76"/>
      <c r="F294" s="76"/>
      <c r="G294" s="33"/>
      <c r="H294" s="86"/>
      <c r="I294" s="33"/>
      <c r="J294" s="33"/>
      <c r="K294" s="33"/>
    </row>
    <row r="295" spans="1:11" x14ac:dyDescent="0.2">
      <c r="A295" s="33"/>
      <c r="B295" s="33"/>
      <c r="C295" s="36"/>
      <c r="D295" s="36"/>
      <c r="E295" s="76"/>
      <c r="F295" s="76"/>
      <c r="G295" s="33"/>
      <c r="H295" s="86"/>
      <c r="I295" s="33"/>
      <c r="J295" s="33"/>
      <c r="K295" s="33"/>
    </row>
    <row r="296" spans="1:11" x14ac:dyDescent="0.2">
      <c r="A296" s="33"/>
      <c r="B296" s="33"/>
      <c r="C296" s="36"/>
      <c r="D296" s="36"/>
      <c r="E296" s="76"/>
      <c r="F296" s="76"/>
      <c r="G296" s="33"/>
      <c r="H296" s="33"/>
      <c r="I296" s="33"/>
      <c r="J296" s="33"/>
      <c r="K296" s="33"/>
    </row>
    <row r="297" spans="1:11" x14ac:dyDescent="0.2">
      <c r="A297" s="33"/>
      <c r="B297" s="33"/>
      <c r="C297" s="36"/>
      <c r="D297" s="36"/>
      <c r="E297" s="76"/>
      <c r="F297" s="48"/>
      <c r="G297" s="33"/>
      <c r="H297" s="33"/>
      <c r="I297" s="33"/>
      <c r="J297" s="33"/>
      <c r="K297" s="33"/>
    </row>
    <row r="298" spans="1:11" x14ac:dyDescent="0.2">
      <c r="A298" s="33"/>
      <c r="B298" s="33"/>
      <c r="C298" s="36"/>
      <c r="D298" s="36"/>
      <c r="E298" s="76"/>
      <c r="F298" s="76"/>
      <c r="G298" s="33"/>
      <c r="H298" s="86"/>
      <c r="I298" s="33"/>
      <c r="J298" s="33"/>
      <c r="K298" s="33"/>
    </row>
    <row r="299" spans="1:11" x14ac:dyDescent="0.2">
      <c r="A299" s="84"/>
      <c r="B299" s="84"/>
      <c r="C299" s="39"/>
      <c r="D299" s="132"/>
      <c r="E299" s="76"/>
      <c r="F299" s="76"/>
      <c r="G299" s="33"/>
      <c r="H299" s="86"/>
      <c r="I299" s="33"/>
      <c r="J299" s="33"/>
      <c r="K299" s="33"/>
    </row>
    <row r="300" spans="1:11" x14ac:dyDescent="0.2">
      <c r="A300" s="84"/>
      <c r="B300" s="84"/>
      <c r="C300" s="39"/>
      <c r="D300" s="36"/>
      <c r="E300" s="76"/>
      <c r="F300" s="48"/>
      <c r="G300" s="33"/>
      <c r="H300" s="33"/>
      <c r="I300" s="33"/>
      <c r="J300" s="33"/>
      <c r="K300" s="33"/>
    </row>
    <row r="301" spans="1:11" x14ac:dyDescent="0.2">
      <c r="A301" s="33"/>
      <c r="B301" s="33"/>
      <c r="C301" s="36"/>
      <c r="D301" s="36"/>
      <c r="E301" s="76"/>
      <c r="F301" s="48"/>
      <c r="G301" s="33"/>
      <c r="H301" s="33"/>
      <c r="I301" s="33"/>
      <c r="J301" s="33"/>
      <c r="K301" s="33"/>
    </row>
    <row r="302" spans="1:11" x14ac:dyDescent="0.2">
      <c r="A302" s="104"/>
      <c r="B302" s="84"/>
      <c r="C302" s="39"/>
      <c r="D302" s="39"/>
      <c r="E302" s="76"/>
      <c r="F302" s="105"/>
      <c r="G302" s="33"/>
      <c r="H302" s="107"/>
      <c r="I302" s="33"/>
      <c r="J302" s="33"/>
      <c r="K302" s="76"/>
    </row>
    <row r="303" spans="1:11" x14ac:dyDescent="0.2">
      <c r="A303" s="104"/>
      <c r="B303" s="84"/>
      <c r="C303" s="39"/>
      <c r="D303" s="39"/>
      <c r="E303" s="76"/>
      <c r="F303" s="105"/>
      <c r="G303" s="33"/>
      <c r="H303" s="107"/>
      <c r="I303" s="33"/>
      <c r="J303" s="33"/>
      <c r="K303" s="76"/>
    </row>
    <row r="304" spans="1:11" x14ac:dyDescent="0.2">
      <c r="A304" s="104"/>
      <c r="B304" s="84"/>
      <c r="C304" s="39"/>
      <c r="D304" s="39"/>
      <c r="E304" s="76"/>
      <c r="F304" s="105"/>
      <c r="G304" s="33"/>
      <c r="H304" s="107"/>
      <c r="I304" s="33"/>
      <c r="J304" s="33"/>
      <c r="K304" s="76"/>
    </row>
    <row r="305" spans="1:11" x14ac:dyDescent="0.2">
      <c r="A305" s="104"/>
      <c r="B305" s="84"/>
      <c r="C305" s="39"/>
      <c r="D305" s="39"/>
      <c r="E305" s="76"/>
      <c r="F305" s="105"/>
      <c r="G305" s="33"/>
      <c r="H305" s="107"/>
      <c r="I305" s="33"/>
      <c r="J305" s="33"/>
      <c r="K305" s="76"/>
    </row>
    <row r="306" spans="1:11" x14ac:dyDescent="0.2">
      <c r="A306" s="104"/>
      <c r="B306" s="84"/>
      <c r="C306" s="39"/>
      <c r="D306" s="39"/>
      <c r="E306" s="76"/>
      <c r="F306" s="105"/>
      <c r="G306" s="33"/>
      <c r="H306" s="107"/>
      <c r="I306" s="33"/>
      <c r="J306" s="33"/>
      <c r="K306" s="76"/>
    </row>
    <row r="307" spans="1:11" x14ac:dyDescent="0.2">
      <c r="A307" s="104"/>
      <c r="B307" s="84"/>
      <c r="C307" s="39"/>
      <c r="D307" s="39"/>
      <c r="E307" s="76"/>
      <c r="F307" s="105"/>
      <c r="G307" s="33"/>
      <c r="H307" s="107"/>
      <c r="I307" s="33"/>
      <c r="J307" s="33"/>
      <c r="K307" s="76"/>
    </row>
  </sheetData>
  <mergeCells count="2">
    <mergeCell ref="AP34:AR36"/>
    <mergeCell ref="AT34:AV36"/>
  </mergeCells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5D27-8C58-9A4E-89EF-46B29B00DEDC}">
  <dimension ref="A1:M22"/>
  <sheetViews>
    <sheetView workbookViewId="0">
      <selection activeCell="K2" sqref="K2:K4"/>
    </sheetView>
  </sheetViews>
  <sheetFormatPr baseColWidth="10" defaultColWidth="11" defaultRowHeight="16" x14ac:dyDescent="0.2"/>
  <sheetData>
    <row r="1" spans="1:13" x14ac:dyDescent="0.2">
      <c r="A1" s="62" t="s">
        <v>0</v>
      </c>
      <c r="B1" s="63" t="s">
        <v>70</v>
      </c>
      <c r="C1" s="63" t="s">
        <v>1</v>
      </c>
      <c r="D1" s="63" t="s">
        <v>2</v>
      </c>
      <c r="E1" s="63" t="s">
        <v>3</v>
      </c>
      <c r="F1" s="63" t="s">
        <v>74</v>
      </c>
      <c r="G1" s="63" t="s">
        <v>4</v>
      </c>
      <c r="H1" s="63" t="s">
        <v>69</v>
      </c>
      <c r="I1" s="63" t="s">
        <v>6</v>
      </c>
      <c r="J1" s="63" t="s">
        <v>68</v>
      </c>
      <c r="K1" s="64" t="s">
        <v>71</v>
      </c>
    </row>
    <row r="2" spans="1:13" x14ac:dyDescent="0.2">
      <c r="A2" s="65" t="s">
        <v>27</v>
      </c>
      <c r="B2" s="4" t="s">
        <v>10</v>
      </c>
      <c r="C2" s="6">
        <v>43622</v>
      </c>
      <c r="D2" s="2">
        <v>43730</v>
      </c>
      <c r="E2" s="3">
        <v>3.540983606557377</v>
      </c>
      <c r="F2" s="3"/>
      <c r="G2" s="4" t="s">
        <v>81</v>
      </c>
      <c r="H2" s="7">
        <v>6.8</v>
      </c>
      <c r="I2" s="4" t="s">
        <v>7</v>
      </c>
      <c r="J2" s="4">
        <f t="shared" ref="J2:J7" si="0">IF($E2&lt;2,1,IF($E2&lt;3,2,IF($E2&lt;4,3,IF($E2&lt;5,4,IF($E2&lt;6,5,IF($E2&lt;7,6,IF($E2&lt;8,7,IF($E2&lt;9,8,IF($E2&lt;10,9,IF($E2&lt;11,10,IF($E2&lt;12,11,IF($E2&lt;13,12,IF($E2&lt;14,13,IF($E2&lt;15,14,IF($E2&lt;16,15,IF($E2&lt;17,16,IF($E2&lt;18,17,IF($E2&lt;19,18,IF($E2&lt;20,19,20)))))))))))))))))))</f>
        <v>3</v>
      </c>
      <c r="K2" s="66" t="str">
        <f t="shared" ref="K2:K7" si="1">IF($J2&lt;3,"1 – 2",IF($J2&lt;5,"3 – 4",IF($J2&lt;7,"5 – 6",IF($J2&lt;9,"7 – 8",IF($J2&lt;11,"9 – 10",IF($J2&lt;13,"11 – 12",IF($J2&lt;16,"13 – 15","16 – 19")))))))</f>
        <v>3 – 4</v>
      </c>
    </row>
    <row r="3" spans="1:13" x14ac:dyDescent="0.2">
      <c r="A3" s="65" t="s">
        <v>28</v>
      </c>
      <c r="B3" s="4" t="s">
        <v>10</v>
      </c>
      <c r="C3" s="2">
        <v>43622</v>
      </c>
      <c r="D3" s="2">
        <v>43730</v>
      </c>
      <c r="E3" s="3">
        <v>3.540983606557377</v>
      </c>
      <c r="F3" s="3"/>
      <c r="G3" s="4" t="s">
        <v>81</v>
      </c>
      <c r="H3" s="11">
        <v>314</v>
      </c>
      <c r="I3" s="4" t="s">
        <v>7</v>
      </c>
      <c r="J3" s="4">
        <f t="shared" si="0"/>
        <v>3</v>
      </c>
      <c r="K3" s="66" t="str">
        <f t="shared" si="1"/>
        <v>3 – 4</v>
      </c>
    </row>
    <row r="4" spans="1:13" x14ac:dyDescent="0.2">
      <c r="A4" s="65" t="s">
        <v>29</v>
      </c>
      <c r="B4" s="4" t="s">
        <v>10</v>
      </c>
      <c r="C4" s="2">
        <v>43622</v>
      </c>
      <c r="D4" s="2">
        <v>43730</v>
      </c>
      <c r="E4" s="3">
        <v>3.540983606557377</v>
      </c>
      <c r="F4" s="3"/>
      <c r="G4" s="4" t="s">
        <v>81</v>
      </c>
      <c r="H4" s="11">
        <v>6.8</v>
      </c>
      <c r="I4" s="4" t="s">
        <v>7</v>
      </c>
      <c r="J4" s="4">
        <f t="shared" si="0"/>
        <v>3</v>
      </c>
      <c r="K4" s="66" t="str">
        <f t="shared" si="1"/>
        <v>3 – 4</v>
      </c>
    </row>
    <row r="5" spans="1:13" x14ac:dyDescent="0.2">
      <c r="A5" s="65" t="s">
        <v>29</v>
      </c>
      <c r="B5" s="4" t="s">
        <v>10</v>
      </c>
      <c r="C5" s="6">
        <v>43622</v>
      </c>
      <c r="D5" s="6">
        <v>43730</v>
      </c>
      <c r="E5" s="3">
        <f>(Table93[[#This Row],[Serum date]]-Table93[[#This Row],[DOB]])/30.5</f>
        <v>1.6065573770491803</v>
      </c>
      <c r="F5" s="3"/>
      <c r="G5" s="4" t="s">
        <v>5</v>
      </c>
      <c r="H5" s="4">
        <v>5.3</v>
      </c>
      <c r="I5" s="4" t="s">
        <v>7</v>
      </c>
      <c r="J5" s="4">
        <f t="shared" si="0"/>
        <v>1</v>
      </c>
      <c r="K5" s="66" t="str">
        <f t="shared" si="1"/>
        <v>1 – 2</v>
      </c>
    </row>
    <row r="6" spans="1:13" x14ac:dyDescent="0.2">
      <c r="A6" s="65" t="s">
        <v>28</v>
      </c>
      <c r="B6" s="4" t="s">
        <v>10</v>
      </c>
      <c r="C6" s="6">
        <v>43622</v>
      </c>
      <c r="D6" s="6">
        <v>43730</v>
      </c>
      <c r="E6" s="3">
        <f>(Table93[[#This Row],[Serum date]]-Table93[[#This Row],[DOB]])/30.5</f>
        <v>1.6065573770491803</v>
      </c>
      <c r="F6" s="3"/>
      <c r="G6" s="4" t="s">
        <v>5</v>
      </c>
      <c r="H6" s="4">
        <v>0.6</v>
      </c>
      <c r="I6" s="4" t="s">
        <v>7</v>
      </c>
      <c r="J6" s="4">
        <f t="shared" si="0"/>
        <v>1</v>
      </c>
      <c r="K6" s="66" t="str">
        <f t="shared" si="1"/>
        <v>1 – 2</v>
      </c>
      <c r="M6" t="s">
        <v>123</v>
      </c>
    </row>
    <row r="7" spans="1:13" x14ac:dyDescent="0.2">
      <c r="A7" s="65" t="s">
        <v>27</v>
      </c>
      <c r="B7" s="4" t="s">
        <v>10</v>
      </c>
      <c r="C7" s="6">
        <v>43622</v>
      </c>
      <c r="D7" s="6">
        <v>43730</v>
      </c>
      <c r="E7" s="3">
        <f>(Table93[[#This Row],[Serum date]]-Table93[[#This Row],[DOB]])/30.5</f>
        <v>1.6065573770491803</v>
      </c>
      <c r="F7" s="3"/>
      <c r="G7" s="4" t="s">
        <v>5</v>
      </c>
      <c r="H7" s="4">
        <v>0.8</v>
      </c>
      <c r="I7" s="4" t="s">
        <v>7</v>
      </c>
      <c r="J7" s="4">
        <f t="shared" si="0"/>
        <v>1</v>
      </c>
      <c r="K7" s="66" t="str">
        <f t="shared" si="1"/>
        <v>1 – 2</v>
      </c>
    </row>
    <row r="8" spans="1:13" x14ac:dyDescent="0.2">
      <c r="A8" s="65"/>
      <c r="B8" s="4"/>
      <c r="C8" s="6"/>
      <c r="D8" s="25"/>
      <c r="E8" s="3"/>
      <c r="F8" s="3"/>
      <c r="G8" s="4"/>
      <c r="H8" s="26"/>
      <c r="I8" s="4"/>
      <c r="J8" s="4"/>
      <c r="K8" s="66"/>
    </row>
    <row r="9" spans="1:13" x14ac:dyDescent="0.2">
      <c r="A9" s="65"/>
      <c r="B9" s="4"/>
      <c r="C9" s="6"/>
      <c r="D9" s="25"/>
      <c r="E9" s="3"/>
      <c r="F9" s="3"/>
      <c r="G9" s="4"/>
      <c r="H9" s="17"/>
      <c r="I9" s="4"/>
      <c r="J9" s="4"/>
      <c r="K9" s="66"/>
    </row>
    <row r="10" spans="1:13" x14ac:dyDescent="0.2">
      <c r="A10" s="67"/>
      <c r="B10" s="68"/>
      <c r="C10" s="69"/>
      <c r="D10" s="70"/>
      <c r="E10" s="71"/>
      <c r="F10" s="71"/>
      <c r="G10" s="68"/>
      <c r="H10" s="68"/>
      <c r="I10" s="68"/>
      <c r="J10" s="68"/>
      <c r="K10" s="72"/>
    </row>
    <row r="14" spans="1:13" x14ac:dyDescent="0.2">
      <c r="D14" s="83" t="s">
        <v>84</v>
      </c>
      <c r="E14" s="83"/>
    </row>
    <row r="15" spans="1:13" x14ac:dyDescent="0.2">
      <c r="D15" s="83"/>
    </row>
    <row r="16" spans="1:13" x14ac:dyDescent="0.2">
      <c r="D16" s="83"/>
    </row>
    <row r="17" spans="4:4" x14ac:dyDescent="0.2">
      <c r="D17" s="83"/>
    </row>
    <row r="18" spans="4:4" x14ac:dyDescent="0.2">
      <c r="D18" s="83"/>
    </row>
    <row r="19" spans="4:4" x14ac:dyDescent="0.2">
      <c r="D19" s="83"/>
    </row>
    <row r="20" spans="4:4" x14ac:dyDescent="0.2">
      <c r="D20" s="83"/>
    </row>
    <row r="21" spans="4:4" x14ac:dyDescent="0.2">
      <c r="D21" s="83"/>
    </row>
    <row r="22" spans="4:4" x14ac:dyDescent="0.2">
      <c r="D22" s="8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IFNA4KO LU</vt:lpstr>
      <vt:lpstr>IFNA4 HE LU</vt:lpstr>
      <vt:lpstr>IFNA11 KO LU</vt:lpstr>
      <vt:lpstr>IFNA11 HE LU</vt:lpstr>
      <vt:lpstr>IFNKO LU_missing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Zarodniuk</cp:lastModifiedBy>
  <dcterms:created xsi:type="dcterms:W3CDTF">2022-04-11T10:19:28Z</dcterms:created>
  <dcterms:modified xsi:type="dcterms:W3CDTF">2022-06-14T09:31:07Z</dcterms:modified>
</cp:coreProperties>
</file>