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TOSHIBA/molpat/Martti Figs/Figure files for Maksym/"/>
    </mc:Choice>
  </mc:AlternateContent>
  <xr:revisionPtr revIDLastSave="0" documentId="13_ncr:1_{50E61722-7CCC-5547-ACE1-00AF9883F4C3}" xr6:coauthVersionLast="47" xr6:coauthVersionMax="47" xr10:uidLastSave="{00000000-0000-0000-0000-000000000000}"/>
  <bookViews>
    <workbookView xWindow="780" yWindow="500" windowWidth="15640" windowHeight="16040" activeTab="1" xr2:uid="{46D0AC27-C31D-1645-8F4C-780B5924ED63}"/>
  </bookViews>
  <sheets>
    <sheet name="Sheet1 _mann (2)" sheetId="5" r:id="rId1"/>
    <sheet name="skoor+if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1" i="4" l="1"/>
  <c r="E43" i="4"/>
  <c r="F43" i="4" s="1"/>
  <c r="E42" i="4"/>
  <c r="F42" i="4" s="1"/>
  <c r="E41" i="4"/>
  <c r="F41" i="4"/>
  <c r="E40" i="4"/>
  <c r="F40" i="4"/>
  <c r="E39" i="4"/>
  <c r="F39" i="4"/>
  <c r="E55" i="4"/>
  <c r="F55" i="4" s="1"/>
  <c r="G55" i="4"/>
  <c r="H55" i="4"/>
  <c r="E38" i="4"/>
  <c r="F38" i="4"/>
  <c r="F50" i="4"/>
  <c r="F47" i="4"/>
  <c r="F37" i="4"/>
  <c r="F36" i="4"/>
  <c r="F35" i="4"/>
  <c r="E34" i="4"/>
  <c r="F34" i="4" s="1"/>
  <c r="E33" i="4"/>
  <c r="F33" i="4"/>
  <c r="E32" i="4"/>
  <c r="F32" i="4" s="1"/>
  <c r="E31" i="4"/>
  <c r="F31" i="4"/>
  <c r="E49" i="4"/>
  <c r="F49" i="4"/>
  <c r="E48" i="4"/>
  <c r="F48" i="4" s="1"/>
  <c r="E30" i="4"/>
  <c r="F30" i="4" s="1"/>
  <c r="E29" i="4"/>
  <c r="F29" i="4" s="1"/>
  <c r="E28" i="4"/>
  <c r="F28" i="4"/>
  <c r="G28" i="4"/>
  <c r="H28" i="4"/>
  <c r="E27" i="4"/>
  <c r="F27" i="4" s="1"/>
  <c r="G27" i="4"/>
  <c r="H27" i="4"/>
  <c r="E26" i="4"/>
  <c r="F26" i="4" s="1"/>
  <c r="E25" i="4"/>
  <c r="F25" i="4" s="1"/>
  <c r="E24" i="4"/>
  <c r="F24" i="4"/>
  <c r="E23" i="4"/>
  <c r="F23" i="4" s="1"/>
  <c r="E22" i="4"/>
  <c r="F22" i="4" s="1"/>
  <c r="E21" i="4"/>
  <c r="F21" i="4"/>
  <c r="E20" i="4"/>
  <c r="F20" i="4" s="1"/>
  <c r="E19" i="4"/>
  <c r="F19" i="4" s="1"/>
  <c r="E18" i="4"/>
  <c r="F18" i="4" s="1"/>
  <c r="E17" i="4"/>
  <c r="F17" i="4"/>
  <c r="H17" i="4"/>
  <c r="E16" i="4"/>
  <c r="F16" i="4"/>
  <c r="E15" i="4"/>
  <c r="F15" i="4" s="1"/>
  <c r="E14" i="4"/>
  <c r="F14" i="4"/>
  <c r="E13" i="4"/>
  <c r="F13" i="4" s="1"/>
  <c r="G13" i="4"/>
  <c r="H13" i="4"/>
  <c r="E54" i="4"/>
  <c r="F54" i="4" s="1"/>
  <c r="E12" i="4"/>
  <c r="F12" i="4" s="1"/>
  <c r="G12" i="4"/>
  <c r="H12" i="4"/>
  <c r="E46" i="4"/>
  <c r="F46" i="4" s="1"/>
  <c r="G46" i="4"/>
  <c r="H46" i="4"/>
  <c r="E11" i="4"/>
  <c r="F11" i="4"/>
  <c r="G11" i="4"/>
  <c r="H11" i="4"/>
  <c r="E10" i="4"/>
  <c r="F10" i="4"/>
  <c r="E45" i="4"/>
  <c r="F45" i="4" s="1"/>
  <c r="G45" i="4"/>
  <c r="H45" i="4"/>
  <c r="E9" i="4"/>
  <c r="F9" i="4" s="1"/>
  <c r="E53" i="4"/>
  <c r="F53" i="4" s="1"/>
  <c r="E8" i="4"/>
  <c r="F8" i="4" s="1"/>
  <c r="E7" i="4"/>
  <c r="F7" i="4"/>
  <c r="E6" i="4"/>
  <c r="F6" i="4"/>
  <c r="G6" i="4"/>
  <c r="H6" i="4"/>
  <c r="E52" i="4"/>
  <c r="F52" i="4" s="1"/>
  <c r="E5" i="4"/>
  <c r="F5" i="4" s="1"/>
  <c r="E4" i="4"/>
  <c r="F4" i="4" s="1"/>
  <c r="E3" i="4"/>
  <c r="F3" i="4"/>
  <c r="E2" i="4"/>
  <c r="F2" i="4" s="1"/>
  <c r="E44" i="4"/>
  <c r="F44" i="4" s="1"/>
  <c r="M9" i="5"/>
  <c r="N9" i="5" s="1"/>
  <c r="M8" i="5"/>
  <c r="M6" i="5"/>
  <c r="Q7" i="5" s="1"/>
  <c r="R7" i="5" s="1"/>
  <c r="M5" i="5"/>
  <c r="M4" i="5"/>
  <c r="Q5" i="5" s="1"/>
  <c r="R5" i="5" s="1"/>
  <c r="L4" i="5"/>
  <c r="M3" i="5"/>
  <c r="Q4" i="5" s="1"/>
  <c r="R4" i="5" s="1"/>
  <c r="M2" i="5"/>
  <c r="K9" i="5"/>
  <c r="L9" i="5"/>
  <c r="K8" i="5"/>
  <c r="L8" i="5"/>
  <c r="N8" i="5"/>
  <c r="K7" i="5"/>
  <c r="L7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K3" i="5" s="1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Q3" i="5"/>
  <c r="R3" i="5" s="1"/>
  <c r="Q6" i="5"/>
  <c r="R6" i="5" s="1"/>
  <c r="E49" i="5"/>
  <c r="E48" i="5"/>
  <c r="AS47" i="5"/>
  <c r="AR47" i="5"/>
  <c r="E47" i="5"/>
  <c r="E46" i="5"/>
  <c r="E45" i="5"/>
  <c r="E44" i="5"/>
  <c r="E43" i="5"/>
  <c r="AR42" i="5"/>
  <c r="E42" i="5"/>
  <c r="AR41" i="5"/>
  <c r="E41" i="5"/>
  <c r="AR40" i="5"/>
  <c r="E40" i="5"/>
  <c r="AS39" i="5"/>
  <c r="AR39" i="5"/>
  <c r="E39" i="5"/>
  <c r="AS38" i="5"/>
  <c r="AR38" i="5"/>
  <c r="E38" i="5"/>
  <c r="AS37" i="5"/>
  <c r="AS46" i="5" s="1"/>
  <c r="AR37" i="5"/>
  <c r="AR46" i="5" s="1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N3" i="5" l="1"/>
  <c r="L6" i="5"/>
  <c r="L5" i="5"/>
  <c r="L2" i="5"/>
  <c r="K6" i="5"/>
  <c r="N6" i="5" s="1"/>
  <c r="K5" i="5"/>
  <c r="N5" i="5" s="1"/>
  <c r="L3" i="5"/>
  <c r="K2" i="5"/>
  <c r="N2" i="5" s="1"/>
  <c r="K4" i="5"/>
  <c r="N4" i="5" s="1"/>
  <c r="AR48" i="5"/>
  <c r="AR49" i="5" s="1"/>
  <c r="AS48" i="5"/>
</calcChain>
</file>

<file path=xl/sharedStrings.xml><?xml version="1.0" encoding="utf-8"?>
<sst xmlns="http://schemas.openxmlformats.org/spreadsheetml/2006/main" count="290" uniqueCount="93">
  <si>
    <t>Rat code</t>
  </si>
  <si>
    <t>Genotype</t>
  </si>
  <si>
    <t>Age</t>
  </si>
  <si>
    <t>Score</t>
  </si>
  <si>
    <t>P30/4</t>
  </si>
  <si>
    <t>KO</t>
  </si>
  <si>
    <t>P30/9</t>
  </si>
  <si>
    <t>P32/2</t>
  </si>
  <si>
    <t>HE</t>
  </si>
  <si>
    <t>P33/6</t>
  </si>
  <si>
    <t>P33/8</t>
  </si>
  <si>
    <t>P32/1</t>
  </si>
  <si>
    <t>P34/6</t>
  </si>
  <si>
    <t>P32/4</t>
  </si>
  <si>
    <t>P31/4</t>
  </si>
  <si>
    <t>P21/4</t>
  </si>
  <si>
    <t>P41/4</t>
  </si>
  <si>
    <t>P10/4</t>
  </si>
  <si>
    <t>P11/9</t>
  </si>
  <si>
    <t>P17/2</t>
  </si>
  <si>
    <t>P7/5</t>
  </si>
  <si>
    <t>P8/7</t>
  </si>
  <si>
    <t>P8/8</t>
  </si>
  <si>
    <t>P11/5</t>
  </si>
  <si>
    <t>P8/1</t>
  </si>
  <si>
    <t>P8/5</t>
  </si>
  <si>
    <t>P33/5</t>
  </si>
  <si>
    <t>P34/13</t>
  </si>
  <si>
    <t>P22/8</t>
  </si>
  <si>
    <t>Rott 1</t>
  </si>
  <si>
    <t>Rott 2</t>
  </si>
  <si>
    <t>P43/6</t>
  </si>
  <si>
    <t>P43/7</t>
  </si>
  <si>
    <t>P44/3</t>
  </si>
  <si>
    <t>P44/6</t>
  </si>
  <si>
    <t>P31/1</t>
  </si>
  <si>
    <t>P33/9</t>
  </si>
  <si>
    <t>P34/9</t>
  </si>
  <si>
    <t>P32/9</t>
  </si>
  <si>
    <t>P34/2</t>
  </si>
  <si>
    <t>P32/6</t>
  </si>
  <si>
    <t>P41/3</t>
  </si>
  <si>
    <t>P41/8</t>
  </si>
  <si>
    <t>P41/9</t>
  </si>
  <si>
    <t>P31/12</t>
  </si>
  <si>
    <t>P30/11</t>
  </si>
  <si>
    <t>P34/4</t>
  </si>
  <si>
    <t>P17/5</t>
  </si>
  <si>
    <t>P10/1</t>
  </si>
  <si>
    <t>P25/2</t>
  </si>
  <si>
    <t>P25/4</t>
  </si>
  <si>
    <t>P19/5</t>
  </si>
  <si>
    <t>Grupid</t>
  </si>
  <si>
    <t>Vanus</t>
  </si>
  <si>
    <t>N</t>
  </si>
  <si>
    <t>Genotüüp</t>
  </si>
  <si>
    <t>Keskväärtus</t>
  </si>
  <si>
    <t>Standarthälve</t>
  </si>
  <si>
    <t>Standardviga</t>
  </si>
  <si>
    <t>1 – 2</t>
  </si>
  <si>
    <t>3 – 5</t>
  </si>
  <si>
    <t>6 – 8</t>
  </si>
  <si>
    <t>9 – 12</t>
  </si>
  <si>
    <t>13 – 18</t>
  </si>
  <si>
    <t>Standaardhälve</t>
  </si>
  <si>
    <t>Dispersioon</t>
  </si>
  <si>
    <t>P30/1</t>
  </si>
  <si>
    <t>RANKED KO vs HE</t>
  </si>
  <si>
    <t>P31/11</t>
  </si>
  <si>
    <t>IFNa4</t>
  </si>
  <si>
    <t>IFNa11</t>
  </si>
  <si>
    <t>HE vs KO</t>
  </si>
  <si>
    <t>p=</t>
  </si>
  <si>
    <t>6 – 7</t>
  </si>
  <si>
    <t>8 – 9</t>
  </si>
  <si>
    <t>10 – 11</t>
  </si>
  <si>
    <t>12 – 13</t>
  </si>
  <si>
    <t>14 – 15</t>
  </si>
  <si>
    <t>16 – 18</t>
  </si>
  <si>
    <t>IFN tüüp</t>
  </si>
  <si>
    <t>Standardhälve</t>
  </si>
  <si>
    <t>16 – 18</t>
  </si>
  <si>
    <t>Age2</t>
  </si>
  <si>
    <t>Age_group</t>
  </si>
  <si>
    <t>Rat_code</t>
  </si>
  <si>
    <t>P59/13</t>
  </si>
  <si>
    <t>P59/15</t>
  </si>
  <si>
    <t>P59/7</t>
  </si>
  <si>
    <t>P60/1</t>
  </si>
  <si>
    <t>P60/5</t>
  </si>
  <si>
    <t>P60/6</t>
  </si>
  <si>
    <t>Inflammation_score_SG</t>
  </si>
  <si>
    <t>Inflammation_score_Panc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</si>
</sst>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00"/>
    <numFmt numFmtId="166" formatCode="#0.0"/>
  </numFmts>
  <fonts count="1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 (Body)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86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59996337778862885"/>
      </left>
      <right style="thin">
        <color theme="4" tint="0.59996337778862885"/>
      </right>
      <top/>
      <bottom/>
      <diagonal/>
    </border>
    <border>
      <left style="thin">
        <color theme="4" tint="0.59996337778862885"/>
      </left>
      <right/>
      <top/>
      <bottom/>
      <diagonal/>
    </border>
  </borders>
  <cellStyleXfs count="6">
    <xf numFmtId="0" fontId="0" fillId="0" borderId="0"/>
    <xf numFmtId="0" fontId="2" fillId="0" borderId="0"/>
    <xf numFmtId="0" fontId="8" fillId="8" borderId="0" applyNumberFormat="0" applyBorder="0" applyAlignment="0" applyProtection="0"/>
    <xf numFmtId="0" fontId="9" fillId="0" borderId="0" applyNumberFormat="0" applyFill="0" applyBorder="0" applyAlignment="0" applyProtection="0"/>
    <xf numFmtId="0" fontId="13" fillId="9" borderId="0" applyNumberFormat="0" applyBorder="0" applyAlignment="0" applyProtection="0"/>
    <xf numFmtId="0" fontId="12" fillId="0" borderId="0"/>
  </cellStyleXfs>
  <cellXfs count="6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2" fillId="0" borderId="0" xfId="1"/>
    <xf numFmtId="164" fontId="2" fillId="0" borderId="0" xfId="1" applyNumberFormat="1" applyAlignment="1">
      <alignment horizontal="right"/>
    </xf>
    <xf numFmtId="2" fontId="2" fillId="0" borderId="0" xfId="1" applyNumberFormat="1" applyAlignment="1">
      <alignment horizontal="righ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1" applyAlignment="1">
      <alignment horizontal="right"/>
    </xf>
    <xf numFmtId="0" fontId="0" fillId="0" borderId="0" xfId="1" applyFont="1" applyAlignment="1">
      <alignment horizontal="right"/>
    </xf>
    <xf numFmtId="0" fontId="1" fillId="2" borderId="1" xfId="0" applyFont="1" applyFill="1" applyBorder="1"/>
    <xf numFmtId="0" fontId="0" fillId="0" borderId="1" xfId="0" applyBorder="1"/>
    <xf numFmtId="165" fontId="0" fillId="0" borderId="1" xfId="0" applyNumberFormat="1" applyBorder="1"/>
    <xf numFmtId="0" fontId="0" fillId="0" borderId="3" xfId="0" applyBorder="1"/>
    <xf numFmtId="0" fontId="5" fillId="4" borderId="3" xfId="0" applyFont="1" applyFill="1" applyBorder="1"/>
    <xf numFmtId="0" fontId="0" fillId="4" borderId="3" xfId="0" applyFill="1" applyBorder="1"/>
    <xf numFmtId="165" fontId="0" fillId="0" borderId="0" xfId="0" applyNumberFormat="1"/>
    <xf numFmtId="0" fontId="0" fillId="5" borderId="2" xfId="0" applyFill="1" applyBorder="1"/>
    <xf numFmtId="165" fontId="0" fillId="5" borderId="3" xfId="0" applyNumberFormat="1" applyFill="1" applyBorder="1"/>
    <xf numFmtId="0" fontId="0" fillId="5" borderId="3" xfId="0" applyFill="1" applyBorder="1"/>
    <xf numFmtId="0" fontId="0" fillId="5" borderId="4" xfId="0" applyFill="1" applyBorder="1"/>
    <xf numFmtId="0" fontId="0" fillId="0" borderId="0" xfId="0" applyAlignment="1">
      <alignment wrapText="1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/>
    <xf numFmtId="0" fontId="0" fillId="3" borderId="3" xfId="0" applyFill="1" applyBorder="1"/>
    <xf numFmtId="0" fontId="0" fillId="7" borderId="0" xfId="0" applyFill="1"/>
    <xf numFmtId="0" fontId="0" fillId="7" borderId="6" xfId="0" applyFill="1" applyBorder="1"/>
    <xf numFmtId="0" fontId="0" fillId="0" borderId="3" xfId="0" applyBorder="1" applyAlignment="1">
      <alignment horizontal="center"/>
    </xf>
    <xf numFmtId="0" fontId="9" fillId="0" borderId="0" xfId="3" applyFill="1" applyBorder="1"/>
    <xf numFmtId="0" fontId="0" fillId="0" borderId="0" xfId="0" applyAlignment="1">
      <alignment horizontal="center"/>
    </xf>
    <xf numFmtId="0" fontId="5" fillId="6" borderId="6" xfId="0" applyFont="1" applyFill="1" applyBorder="1" applyAlignment="1">
      <alignment horizontal="center"/>
    </xf>
    <xf numFmtId="0" fontId="0" fillId="3" borderId="5" xfId="0" applyFill="1" applyBorder="1"/>
    <xf numFmtId="0" fontId="0" fillId="0" borderId="5" xfId="0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wrapText="1"/>
    </xf>
    <xf numFmtId="0" fontId="2" fillId="0" borderId="0" xfId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10" fillId="0" borderId="0" xfId="2" applyNumberFormat="1" applyFont="1" applyFill="1" applyBorder="1" applyAlignment="1">
      <alignment horizontal="center"/>
    </xf>
    <xf numFmtId="0" fontId="10" fillId="0" borderId="0" xfId="2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3" fillId="9" borderId="0" xfId="4" applyAlignment="1">
      <alignment horizontal="left"/>
    </xf>
    <xf numFmtId="164" fontId="13" fillId="9" borderId="0" xfId="4" applyNumberFormat="1" applyAlignment="1">
      <alignment horizontal="left"/>
    </xf>
    <xf numFmtId="0" fontId="0" fillId="0" borderId="12" xfId="0" applyBorder="1" applyAlignment="1">
      <alignment horizontal="center"/>
    </xf>
    <xf numFmtId="166" fontId="11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5"/>
    <xf numFmtId="0" fontId="13" fillId="9" borderId="0" xfId="4"/>
    <xf numFmtId="0" fontId="14" fillId="0" borderId="0" xfId="5" applyFont="1"/>
    <xf numFmtId="0" fontId="12" fillId="10" borderId="0" xfId="5" applyFill="1"/>
    <xf numFmtId="0" fontId="14" fillId="10" borderId="0" xfId="5" applyFont="1" applyFill="1"/>
    <xf numFmtId="164" fontId="0" fillId="0" borderId="0" xfId="0" applyNumberFormat="1" applyAlignment="1">
      <alignment horizontal="center"/>
    </xf>
    <xf numFmtId="0" fontId="13" fillId="9" borderId="0" xfId="4" applyBorder="1" applyAlignment="1">
      <alignment horizontal="left"/>
    </xf>
    <xf numFmtId="0" fontId="2" fillId="0" borderId="11" xfId="0" applyFont="1" applyBorder="1" applyAlignment="1">
      <alignment horizontal="center"/>
    </xf>
    <xf numFmtId="164" fontId="13" fillId="9" borderId="0" xfId="4" applyNumberFormat="1" applyBorder="1" applyAlignment="1">
      <alignment horizontal="left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6">
    <cellStyle name="Good" xfId="2" builtinId="26"/>
    <cellStyle name="Hyperlink" xfId="3" builtinId="8"/>
    <cellStyle name="Neutral" xfId="4" builtinId="28"/>
    <cellStyle name="Normal" xfId="0" builtinId="0"/>
    <cellStyle name="Normal 2" xfId="5" xr:uid="{3AC88808-35C1-C447-A904-3E6EDFB745F0}"/>
    <cellStyle name="Normal 6" xfId="1" xr:uid="{08A21A82-374D-4F4D-8606-30688033BF59}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border outline="0">
        <right style="thin">
          <color rgb="FF4472C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4F5BA2-4121-7C40-BCD2-B21CEB30D300}" name="Table147" displayName="Table147" ref="A1:F49" totalsRowShown="0" headerRowDxfId="24">
  <autoFilter ref="A1:F49" xr:uid="{84E8C2FF-657A-9141-8923-939D313FD7B8}"/>
  <sortState xmlns:xlrd2="http://schemas.microsoft.com/office/spreadsheetml/2017/richdata2" ref="A2:F49">
    <sortCondition ref="B1:B49"/>
  </sortState>
  <tableColumns count="6">
    <tableColumn id="1" xr3:uid="{D68716D1-3F67-BB4A-881D-A435ACFEB974}" name="Rat code" dataDxfId="23" dataCellStyle="Normal 6"/>
    <tableColumn id="2" xr3:uid="{53C8FF9F-7560-5147-90A9-700880CF2753}" name="Genotype" dataDxfId="22" dataCellStyle="Normal 6"/>
    <tableColumn id="3" xr3:uid="{27C6DDFA-F9DE-DC42-AE00-15701C8BE351}" name="Age" dataDxfId="21"/>
    <tableColumn id="4" xr3:uid="{5AAF4C22-612C-5D44-A9BB-03BC9778415C}" name="Score" dataDxfId="20"/>
    <tableColumn id="5" xr3:uid="{1DCF1386-46E3-DF4D-A08D-96E9BB2F7B3F}" name="Vanus" dataDxfId="19">
      <calculatedColumnFormula>IF($C2&lt;2,1,IF($C2&lt;3,2,IF($C2&lt;4,3,IF($C2&lt;5,4,IF($C2&lt;6,5,IF($C2&lt;7,6,IF($C2&lt;8,7,IF($C2&lt;9,8,IF($C2&lt;10,9,IF($C2&lt;11,10,IF($C2&lt;12,11,IF($C2&lt;13,12,IF($C2&lt;14,13,IF($C2&lt;15,14,IF($C2&lt;16,15,IF($C2&lt;17,16,IF($C2&lt;18,17,IF($C2&lt;19,18,IF($C2&lt;20,19,20)))))))))))))))))))</calculatedColumnFormula>
    </tableColumn>
    <tableColumn id="6" xr3:uid="{08F3CF46-ECC0-B24A-8424-5AE58E16BB94}" name="Grupid" dataDxfId="18">
      <calculatedColumnFormula>IF($E2&lt;3,"1 – 2",IF($E2&lt;6,"3 – 5",IF($E2&lt;8,"6 – 7",IF($E2&lt;10,"8 – 9",IF($E2&lt;12,"10 – 11",IF($E2&lt;14,"12 – 13",IF($E2&lt;16,"14 – 15","16 – 18")))))))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97C56F-6076-394B-A6E6-811A928E1AF0}" name="Table258" displayName="Table258" ref="I1:N9" totalsRowShown="0" headerRowDxfId="17" tableBorderDxfId="16">
  <autoFilter ref="I1:N9" xr:uid="{828B28C7-721A-5A43-9144-7E8032DF7545}"/>
  <tableColumns count="6">
    <tableColumn id="1" xr3:uid="{53659290-C4E7-7C45-9B8E-6E988007F34F}" name="Vanus"/>
    <tableColumn id="2" xr3:uid="{CA2B64E6-17C0-9748-8C85-851403F52B06}" name="Genotüüp" dataDxfId="15"/>
    <tableColumn id="3" xr3:uid="{3BED75A5-C97B-3747-8409-7990EAE60905}" name="N" dataDxfId="14">
      <calculatedColumnFormula>COUNTIF($F$23:$F$49,I2)</calculatedColumnFormula>
    </tableColumn>
    <tableColumn id="4" xr3:uid="{BF564E5E-A082-4F4C-AF87-77B1EA242397}" name="Keskväärtus" dataDxfId="13">
      <calculatedColumnFormula>AVERAGEIF($F$23:$F$49,I2,$D$23:$D$49)</calculatedColumnFormula>
    </tableColumn>
    <tableColumn id="5" xr3:uid="{21FA9690-E129-7E4B-9A68-27FD99381466}" name="Standarthälve" dataDxfId="12">
      <calculatedColumnFormula>_xlfn.STDEV.S(B316:B322)</calculatedColumnFormula>
    </tableColumn>
    <tableColumn id="6" xr3:uid="{53D6C84F-AAE6-7647-B41E-BA214A6EAC8F}" name="Standardviga" dataDxfId="11">
      <calculatedColumnFormula>M2/SQRT(K2)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3C0EC0-C87D-F149-8800-DF0F79A630F5}" name="Table146" displayName="Table146" ref="A1:I55" totalsRowShown="0" headerRowDxfId="10">
  <autoFilter ref="A1:I55" xr:uid="{D23C0EC0-C87D-F149-8800-DF0F79A630F5}"/>
  <sortState xmlns:xlrd2="http://schemas.microsoft.com/office/spreadsheetml/2017/richdata2" ref="A2:I55">
    <sortCondition ref="I1:I55"/>
  </sortState>
  <tableColumns count="9">
    <tableColumn id="1" xr3:uid="{22521FDB-7ED6-B24D-8626-8E25F7165F93}" name="Rat_code" dataDxfId="9" dataCellStyle="Normal 6"/>
    <tableColumn id="2" xr3:uid="{AB5FFB7C-737B-2448-9491-8D27EAD9F2EC}" name="Genotype" dataDxfId="8" dataCellStyle="Normal 6"/>
    <tableColumn id="3" xr3:uid="{AB36ACE1-D3C4-A640-9B0C-9079969F259B}" name="Age" dataDxfId="7"/>
    <tableColumn id="4" xr3:uid="{27EBF2DC-C431-B342-B665-31C2819D3C04}" name="Inflammation_score_SG" dataDxfId="6"/>
    <tableColumn id="5" xr3:uid="{16105D8C-C2BA-614E-96EB-D3AE4BEAF829}" name="Age2" dataDxfId="5">
      <calculatedColumnFormula>IF($C2&lt;2,1,IF($C2&lt;3,2,IF($C2&lt;4,3,IF($C2&lt;5,4,IF($C2&lt;6,5,IF($C2&lt;7,6,IF($C2&lt;8,7,IF($C2&lt;9,8,IF($C2&lt;10,9,IF($C2&lt;11,10,IF($C2&lt;12,11,IF($C2&lt;13,12,IF($C2&lt;14,13,IF($C2&lt;15,14,IF($C2&lt;16,15,IF($C2&lt;17,16,IF($C2&lt;18,17,IF($C2&lt;19,18,IF($C2&lt;20,19,20)))))))))))))))))))</calculatedColumnFormula>
    </tableColumn>
    <tableColumn id="6" xr3:uid="{CD25969B-DDEF-5B4C-A3B1-346A3C471CB2}" name="Age_group" dataDxfId="4">
      <calculatedColumnFormula>IF($E2&lt;3,"[1 – 3)",IF($E2&lt;6,"[3 – 6)",IF($E2&lt;9,"[6 – 9)",IF($E2&lt;13,"[9 – 13)","[13 – 18]"))))</calculatedColumnFormula>
    </tableColumn>
    <tableColumn id="7" xr3:uid="{0775B16F-19AE-824A-B4C0-1A80322CA9E8}" name="IFNa4" dataDxfId="3"/>
    <tableColumn id="8" xr3:uid="{AF7AEFD2-BD2B-C741-887A-605AF02543A4}" name="IFNa11" dataDxfId="2"/>
    <tableColumn id="10" xr3:uid="{4A0B5EBF-43CB-7844-98ED-7C076A5C2FDC}" name="Inflammation_score_Pan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DD6B5-D3C2-1A4B-A79E-515F7E155629}">
  <dimension ref="A1:AS125"/>
  <sheetViews>
    <sheetView zoomScale="116" zoomScaleNormal="108" workbookViewId="0">
      <selection activeCell="F36" sqref="F36"/>
    </sheetView>
  </sheetViews>
  <sheetFormatPr baseColWidth="10" defaultColWidth="11" defaultRowHeight="16" x14ac:dyDescent="0.2"/>
  <cols>
    <col min="2" max="2" width="11.1640625" customWidth="1"/>
    <col min="7" max="7" width="10.83203125" customWidth="1"/>
    <col min="8" max="8" width="16.33203125" customWidth="1"/>
    <col min="10" max="10" width="12.83203125" customWidth="1"/>
    <col min="12" max="12" width="16.6640625" customWidth="1"/>
    <col min="13" max="13" width="15" customWidth="1"/>
    <col min="14" max="14" width="14.33203125" customWidth="1"/>
    <col min="15" max="15" width="13.33203125" bestFit="1" customWidth="1"/>
    <col min="16" max="16" width="15.33203125" customWidth="1"/>
    <col min="17" max="17" width="13" bestFit="1" customWidth="1"/>
    <col min="20" max="20" width="17" customWidth="1"/>
  </cols>
  <sheetData>
    <row r="1" spans="1:43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53</v>
      </c>
      <c r="F1" s="1" t="s">
        <v>52</v>
      </c>
      <c r="I1" t="s">
        <v>53</v>
      </c>
      <c r="J1" s="10" t="s">
        <v>55</v>
      </c>
      <c r="K1" s="10" t="s">
        <v>54</v>
      </c>
      <c r="L1" s="10" t="s">
        <v>56</v>
      </c>
      <c r="M1" s="10" t="s">
        <v>57</v>
      </c>
      <c r="N1" s="10" t="s">
        <v>58</v>
      </c>
      <c r="P1" s="31" t="s">
        <v>5</v>
      </c>
      <c r="Q1" s="31"/>
      <c r="R1" s="31"/>
    </row>
    <row r="2" spans="1:43" x14ac:dyDescent="0.2">
      <c r="A2" t="s">
        <v>29</v>
      </c>
      <c r="B2" t="s">
        <v>8</v>
      </c>
      <c r="C2">
        <v>1</v>
      </c>
      <c r="D2">
        <v>1</v>
      </c>
      <c r="E2">
        <f t="shared" ref="E2:E49" si="0">IF($C2&lt;2,1,IF($C2&lt;3,2,IF($C2&lt;4,3,IF($C2&lt;5,4,IF($C2&lt;6,5,IF($C2&lt;7,6,IF($C2&lt;8,7,IF($C2&lt;9,8,IF($C2&lt;10,9,IF($C2&lt;11,10,IF($C2&lt;12,11,IF($C2&lt;13,12,IF($C2&lt;14,13,IF($C2&lt;15,14,IF($C2&lt;16,15,IF($C2&lt;17,16,IF($C2&lt;18,17,IF($C2&lt;19,18,IF($C2&lt;20,19,20)))))))))))))))))))</f>
        <v>1</v>
      </c>
      <c r="F2" t="str">
        <f t="shared" ref="F2:F49" si="1">IF($E2&lt;3,"1 – 2",IF($E2&lt;6,"3 – 5",IF($E2&lt;8,"6 – 7",IF($E2&lt;10,"8 – 9",IF($E2&lt;12,"10 – 11",IF($E2&lt;14,"12 – 13",IF($E2&lt;16,"14 – 15","16 – 18")))))))</f>
        <v>1 – 2</v>
      </c>
      <c r="I2" t="s">
        <v>59</v>
      </c>
      <c r="J2" s="11" t="s">
        <v>5</v>
      </c>
      <c r="K2" s="11">
        <f t="shared" ref="K2:K6" si="2">COUNTIF($F$23:$F$49,I2)</f>
        <v>4</v>
      </c>
      <c r="L2" s="11">
        <f t="shared" ref="L2:L6" si="3">AVERAGEIF($F$23:$F$49,I2,$D$23:$D$49)</f>
        <v>1</v>
      </c>
      <c r="M2" s="12">
        <f>_xlfn.STDEV.S(D23:D26)</f>
        <v>0</v>
      </c>
      <c r="N2" s="11">
        <f>M2/SQRT(K2)</f>
        <v>0</v>
      </c>
      <c r="P2" s="14" t="s">
        <v>53</v>
      </c>
      <c r="Q2" s="15" t="s">
        <v>64</v>
      </c>
      <c r="R2" s="15" t="s">
        <v>65</v>
      </c>
      <c r="W2" t="s">
        <v>71</v>
      </c>
      <c r="X2" s="23"/>
    </row>
    <row r="3" spans="1:43" x14ac:dyDescent="0.2">
      <c r="A3" s="3" t="s">
        <v>30</v>
      </c>
      <c r="B3" t="s">
        <v>8</v>
      </c>
      <c r="C3">
        <v>1</v>
      </c>
      <c r="D3">
        <v>1</v>
      </c>
      <c r="E3">
        <f t="shared" si="0"/>
        <v>1</v>
      </c>
      <c r="F3" t="str">
        <f t="shared" si="1"/>
        <v>1 – 2</v>
      </c>
      <c r="I3" t="s">
        <v>60</v>
      </c>
      <c r="J3" s="11" t="s">
        <v>5</v>
      </c>
      <c r="K3" s="11">
        <f t="shared" si="2"/>
        <v>6</v>
      </c>
      <c r="L3" s="11">
        <f t="shared" si="3"/>
        <v>3</v>
      </c>
      <c r="M3" s="12">
        <f>_xlfn.STDEV.S(D27:D32)</f>
        <v>1.5491933384829668</v>
      </c>
      <c r="N3" s="11">
        <f t="shared" ref="N3:N6" si="4">M3/SQRT(K3)</f>
        <v>0.63245553203367599</v>
      </c>
      <c r="P3" s="17" t="s">
        <v>59</v>
      </c>
      <c r="Q3" s="18">
        <f>M2</f>
        <v>0</v>
      </c>
      <c r="R3" s="19">
        <f>POWER(Q3,2)</f>
        <v>0</v>
      </c>
      <c r="V3" t="s">
        <v>72</v>
      </c>
      <c r="W3">
        <v>8.4600000000000005E-3</v>
      </c>
    </row>
    <row r="4" spans="1:43" x14ac:dyDescent="0.2">
      <c r="A4" s="3" t="s">
        <v>15</v>
      </c>
      <c r="B4" s="3" t="s">
        <v>8</v>
      </c>
      <c r="C4" s="9">
        <v>3.5</v>
      </c>
      <c r="D4">
        <v>0</v>
      </c>
      <c r="E4">
        <f t="shared" si="0"/>
        <v>3</v>
      </c>
      <c r="F4" t="str">
        <f t="shared" si="1"/>
        <v>3 – 5</v>
      </c>
      <c r="I4" t="s">
        <v>73</v>
      </c>
      <c r="J4" s="11" t="s">
        <v>5</v>
      </c>
      <c r="K4" s="11">
        <f t="shared" si="2"/>
        <v>3</v>
      </c>
      <c r="L4" s="11">
        <f>AVERAGEIF($F$23:$F$49,I4,$D$23:$D$49)</f>
        <v>0.66666666666666663</v>
      </c>
      <c r="M4" s="12">
        <f>_xlfn.STDEV.S(D33:D35)</f>
        <v>1.1547005383792517</v>
      </c>
      <c r="N4" s="11">
        <f t="shared" si="4"/>
        <v>0.66666666666666674</v>
      </c>
      <c r="P4" s="17" t="s">
        <v>60</v>
      </c>
      <c r="Q4" s="18">
        <f>M3</f>
        <v>1.5491933384829668</v>
      </c>
      <c r="R4" s="19">
        <f t="shared" ref="R4:R7" si="5">POWER(Q4,2)</f>
        <v>2.4000000000000004</v>
      </c>
    </row>
    <row r="5" spans="1:43" x14ac:dyDescent="0.2">
      <c r="A5" s="3" t="s">
        <v>39</v>
      </c>
      <c r="B5" s="3" t="s">
        <v>8</v>
      </c>
      <c r="C5" s="9">
        <v>3.5</v>
      </c>
      <c r="D5">
        <v>1</v>
      </c>
      <c r="E5">
        <f t="shared" si="0"/>
        <v>3</v>
      </c>
      <c r="F5" t="str">
        <f t="shared" si="1"/>
        <v>3 – 5</v>
      </c>
      <c r="I5" t="s">
        <v>74</v>
      </c>
      <c r="J5" s="11" t="s">
        <v>5</v>
      </c>
      <c r="K5" s="11">
        <f t="shared" si="2"/>
        <v>2</v>
      </c>
      <c r="L5" s="11">
        <f t="shared" si="3"/>
        <v>2</v>
      </c>
      <c r="M5" s="12">
        <f>_xlfn.STDEV.S(D36:D37)</f>
        <v>2.8284271247461903</v>
      </c>
      <c r="N5" s="11">
        <f t="shared" si="4"/>
        <v>2</v>
      </c>
      <c r="P5" s="17" t="s">
        <v>61</v>
      </c>
      <c r="Q5" s="18">
        <f>M4</f>
        <v>1.1547005383792517</v>
      </c>
      <c r="R5" s="19">
        <f t="shared" si="5"/>
        <v>1.3333333333333337</v>
      </c>
    </row>
    <row r="6" spans="1:43" x14ac:dyDescent="0.2">
      <c r="A6" s="3" t="s">
        <v>28</v>
      </c>
      <c r="B6" s="3" t="s">
        <v>8</v>
      </c>
      <c r="C6" s="4">
        <v>4.5</v>
      </c>
      <c r="D6">
        <v>1</v>
      </c>
      <c r="E6">
        <f t="shared" si="0"/>
        <v>4</v>
      </c>
      <c r="F6" t="str">
        <f t="shared" si="1"/>
        <v>3 – 5</v>
      </c>
      <c r="I6" t="s">
        <v>75</v>
      </c>
      <c r="J6" s="11" t="s">
        <v>5</v>
      </c>
      <c r="K6" s="11">
        <f t="shared" si="2"/>
        <v>5</v>
      </c>
      <c r="L6" s="11">
        <f t="shared" si="3"/>
        <v>0.8</v>
      </c>
      <c r="M6" s="12">
        <f>_xlfn.STDEV.S(D38:D42)</f>
        <v>1.3038404810405297</v>
      </c>
      <c r="N6" s="11">
        <f t="shared" si="4"/>
        <v>0.58309518948452999</v>
      </c>
      <c r="P6" s="17" t="s">
        <v>62</v>
      </c>
      <c r="Q6" s="18">
        <f>M5</f>
        <v>2.8284271247461903</v>
      </c>
      <c r="R6" s="19">
        <f t="shared" si="5"/>
        <v>8.0000000000000018</v>
      </c>
      <c r="Y6" s="22"/>
      <c r="Z6" s="22"/>
      <c r="AA6" s="22"/>
      <c r="AC6" s="22"/>
      <c r="AD6" s="22"/>
      <c r="AE6" s="22"/>
      <c r="AG6" s="22"/>
      <c r="AH6" s="22"/>
      <c r="AI6" s="22"/>
      <c r="AK6" s="22"/>
      <c r="AL6" s="22"/>
      <c r="AM6" s="22"/>
      <c r="AO6" s="22"/>
      <c r="AP6" s="22"/>
      <c r="AQ6" s="22"/>
    </row>
    <row r="7" spans="1:43" x14ac:dyDescent="0.2">
      <c r="A7" t="s">
        <v>16</v>
      </c>
      <c r="B7" t="s">
        <v>8</v>
      </c>
      <c r="C7">
        <v>4.8</v>
      </c>
      <c r="D7">
        <v>0</v>
      </c>
      <c r="E7">
        <f t="shared" si="0"/>
        <v>4</v>
      </c>
      <c r="F7" t="str">
        <f t="shared" si="1"/>
        <v>3 – 5</v>
      </c>
      <c r="I7" t="s">
        <v>76</v>
      </c>
      <c r="J7" s="11" t="s">
        <v>5</v>
      </c>
      <c r="K7" s="11">
        <f>COUNTIF($F$23:$F$49,I7)</f>
        <v>1</v>
      </c>
      <c r="L7" s="11">
        <f>AVERAGEIF($F$23:$F$49,I7,$D$23:$D$49)</f>
        <v>1</v>
      </c>
      <c r="M7" s="11">
        <v>0</v>
      </c>
      <c r="N7" s="11">
        <v>0</v>
      </c>
      <c r="P7" s="17" t="s">
        <v>63</v>
      </c>
      <c r="Q7" s="18">
        <f>M6</f>
        <v>1.3038404810405297</v>
      </c>
      <c r="R7" s="20">
        <f t="shared" si="5"/>
        <v>1.7</v>
      </c>
    </row>
    <row r="8" spans="1:43" x14ac:dyDescent="0.2">
      <c r="A8" t="s">
        <v>41</v>
      </c>
      <c r="B8" t="s">
        <v>8</v>
      </c>
      <c r="C8">
        <v>4.8</v>
      </c>
      <c r="D8">
        <v>1</v>
      </c>
      <c r="E8">
        <f t="shared" si="0"/>
        <v>4</v>
      </c>
      <c r="F8" t="str">
        <f t="shared" si="1"/>
        <v>3 – 5</v>
      </c>
      <c r="I8" t="s">
        <v>77</v>
      </c>
      <c r="J8" s="11" t="s">
        <v>5</v>
      </c>
      <c r="K8" s="11">
        <f>COUNTIF($F$23:$F$49,I8)</f>
        <v>2</v>
      </c>
      <c r="L8" s="11">
        <f>AVERAGEIF($F$23:$F$49,I8,$D$23:$D$49)</f>
        <v>1</v>
      </c>
      <c r="M8" s="11">
        <f>_xlfn.STDEV.S(E44:E45)</f>
        <v>0</v>
      </c>
      <c r="N8" s="11">
        <f>M8/SQRT(K8)</f>
        <v>0</v>
      </c>
      <c r="Q8" s="16"/>
    </row>
    <row r="9" spans="1:43" x14ac:dyDescent="0.2">
      <c r="A9" t="s">
        <v>19</v>
      </c>
      <c r="B9" t="s">
        <v>8</v>
      </c>
      <c r="C9">
        <v>5</v>
      </c>
      <c r="D9">
        <v>0</v>
      </c>
      <c r="E9">
        <f t="shared" si="0"/>
        <v>5</v>
      </c>
      <c r="F9" t="str">
        <f t="shared" si="1"/>
        <v>3 – 5</v>
      </c>
      <c r="I9" t="s">
        <v>78</v>
      </c>
      <c r="J9" s="11" t="s">
        <v>5</v>
      </c>
      <c r="K9" s="11">
        <f>COUNTIF($F$23:$F$49,I9)</f>
        <v>4</v>
      </c>
      <c r="L9" s="11">
        <f>AVERAGEIF($F$23:$F$49,I9,$D$23:$D$49)</f>
        <v>1.25</v>
      </c>
      <c r="M9" s="11">
        <f>_xlfn.STDEV.S(D46:D49)</f>
        <v>0.9574271077563381</v>
      </c>
      <c r="N9" s="11">
        <f>M9/SQRT(K9)</f>
        <v>0.47871355387816905</v>
      </c>
      <c r="Q9" s="16"/>
    </row>
    <row r="10" spans="1:43" x14ac:dyDescent="0.2">
      <c r="A10" t="s">
        <v>17</v>
      </c>
      <c r="B10" t="s">
        <v>8</v>
      </c>
      <c r="C10">
        <v>8</v>
      </c>
      <c r="D10">
        <v>0</v>
      </c>
      <c r="E10">
        <f t="shared" si="0"/>
        <v>8</v>
      </c>
      <c r="F10" t="str">
        <f t="shared" si="1"/>
        <v>8 – 9</v>
      </c>
      <c r="Q10" s="16"/>
    </row>
    <row r="11" spans="1:43" x14ac:dyDescent="0.2">
      <c r="A11" t="s">
        <v>18</v>
      </c>
      <c r="B11" t="s">
        <v>8</v>
      </c>
      <c r="C11">
        <v>8</v>
      </c>
      <c r="D11">
        <v>0</v>
      </c>
      <c r="E11">
        <f t="shared" si="0"/>
        <v>8</v>
      </c>
      <c r="F11" t="str">
        <f t="shared" si="1"/>
        <v>8 – 9</v>
      </c>
    </row>
    <row r="12" spans="1:43" x14ac:dyDescent="0.2">
      <c r="A12" s="3" t="s">
        <v>7</v>
      </c>
      <c r="B12" s="3" t="s">
        <v>8</v>
      </c>
      <c r="C12" s="5">
        <v>9.9700000000000006</v>
      </c>
      <c r="D12">
        <v>0</v>
      </c>
      <c r="E12">
        <f t="shared" si="0"/>
        <v>9</v>
      </c>
      <c r="F12" t="str">
        <f t="shared" si="1"/>
        <v>8 – 9</v>
      </c>
      <c r="P12" s="34"/>
      <c r="Q12" s="34"/>
      <c r="R12" s="34"/>
    </row>
    <row r="13" spans="1:43" x14ac:dyDescent="0.2">
      <c r="A13" t="s">
        <v>21</v>
      </c>
      <c r="B13" t="s">
        <v>8</v>
      </c>
      <c r="C13">
        <v>10</v>
      </c>
      <c r="D13">
        <v>0</v>
      </c>
      <c r="E13">
        <f t="shared" si="0"/>
        <v>10</v>
      </c>
      <c r="F13" t="str">
        <f t="shared" si="1"/>
        <v>10 – 11</v>
      </c>
      <c r="P13" s="23"/>
    </row>
    <row r="14" spans="1:43" x14ac:dyDescent="0.2">
      <c r="A14" t="s">
        <v>22</v>
      </c>
      <c r="B14" t="s">
        <v>8</v>
      </c>
      <c r="C14">
        <v>10</v>
      </c>
      <c r="D14">
        <v>0</v>
      </c>
      <c r="E14">
        <f t="shared" si="0"/>
        <v>10</v>
      </c>
      <c r="F14" t="str">
        <f t="shared" si="1"/>
        <v>10 – 11</v>
      </c>
      <c r="Q14" s="16"/>
    </row>
    <row r="15" spans="1:43" x14ac:dyDescent="0.2">
      <c r="A15" t="s">
        <v>20</v>
      </c>
      <c r="B15" t="s">
        <v>8</v>
      </c>
      <c r="C15">
        <v>11</v>
      </c>
      <c r="D15">
        <v>0</v>
      </c>
      <c r="E15">
        <f t="shared" si="0"/>
        <v>11</v>
      </c>
      <c r="F15" t="str">
        <f t="shared" si="1"/>
        <v>10 – 11</v>
      </c>
      <c r="I15" t="s">
        <v>52</v>
      </c>
      <c r="J15" t="s">
        <v>55</v>
      </c>
      <c r="K15" t="s">
        <v>79</v>
      </c>
      <c r="L15" t="s">
        <v>54</v>
      </c>
      <c r="M15" t="s">
        <v>56</v>
      </c>
      <c r="N15" t="s">
        <v>80</v>
      </c>
      <c r="O15" t="s">
        <v>58</v>
      </c>
      <c r="Q15" s="16"/>
      <c r="Y15" s="21"/>
      <c r="Z15" s="21"/>
      <c r="AA15" s="21"/>
      <c r="AC15" s="21"/>
      <c r="AD15" s="21"/>
      <c r="AE15" s="21"/>
      <c r="AG15" s="21"/>
      <c r="AH15" s="21"/>
      <c r="AI15" s="21"/>
      <c r="AK15" s="21"/>
      <c r="AL15" s="21"/>
      <c r="AM15" s="21"/>
      <c r="AO15" s="21"/>
      <c r="AP15" s="21"/>
      <c r="AQ15" s="21"/>
    </row>
    <row r="16" spans="1:43" x14ac:dyDescent="0.2">
      <c r="A16" t="s">
        <v>26</v>
      </c>
      <c r="B16" t="s">
        <v>8</v>
      </c>
      <c r="C16">
        <v>11.5</v>
      </c>
      <c r="D16">
        <v>1</v>
      </c>
      <c r="E16">
        <f t="shared" si="0"/>
        <v>11</v>
      </c>
      <c r="F16" t="str">
        <f t="shared" si="1"/>
        <v>10 – 11</v>
      </c>
      <c r="I16" t="s">
        <v>59</v>
      </c>
      <c r="J16" t="s">
        <v>5</v>
      </c>
      <c r="K16" t="s">
        <v>69</v>
      </c>
      <c r="L16">
        <v>74</v>
      </c>
      <c r="M16">
        <v>3.5067482449686813</v>
      </c>
      <c r="N16">
        <v>9.1290989571004122</v>
      </c>
      <c r="O16">
        <v>1.0612361976215861</v>
      </c>
      <c r="Q16" s="16"/>
      <c r="Y16" s="21"/>
      <c r="Z16" s="21"/>
      <c r="AA16" s="21"/>
      <c r="AC16" s="21"/>
      <c r="AD16" s="21"/>
      <c r="AE16" s="21"/>
      <c r="AG16" s="21"/>
      <c r="AH16" s="21"/>
      <c r="AI16" s="21"/>
      <c r="AK16" s="21"/>
      <c r="AL16" s="21"/>
      <c r="AM16" s="21"/>
      <c r="AO16" s="21"/>
      <c r="AP16" s="21"/>
      <c r="AQ16" s="21"/>
    </row>
    <row r="17" spans="1:45" x14ac:dyDescent="0.2">
      <c r="A17" t="s">
        <v>27</v>
      </c>
      <c r="B17" t="s">
        <v>8</v>
      </c>
      <c r="C17">
        <v>11.6</v>
      </c>
      <c r="D17">
        <v>1</v>
      </c>
      <c r="E17">
        <f t="shared" si="0"/>
        <v>11</v>
      </c>
      <c r="F17" t="str">
        <f t="shared" si="1"/>
        <v>10 – 11</v>
      </c>
      <c r="I17" t="s">
        <v>60</v>
      </c>
      <c r="J17" t="s">
        <v>5</v>
      </c>
      <c r="K17" t="s">
        <v>69</v>
      </c>
      <c r="L17">
        <v>107</v>
      </c>
      <c r="M17">
        <v>44.249789378203687</v>
      </c>
      <c r="N17">
        <v>75.098597146326171</v>
      </c>
      <c r="O17">
        <v>7.2600554137494049</v>
      </c>
      <c r="Q17" s="16"/>
      <c r="Y17" s="21"/>
      <c r="Z17" s="21"/>
      <c r="AA17" s="21"/>
      <c r="AC17" s="21"/>
      <c r="AD17" s="21"/>
      <c r="AE17" s="21"/>
      <c r="AG17" s="21"/>
      <c r="AH17" s="21"/>
      <c r="AI17" s="21"/>
      <c r="AK17" s="21"/>
      <c r="AL17" s="21"/>
      <c r="AM17" s="21"/>
      <c r="AO17" s="21"/>
      <c r="AP17" s="21"/>
      <c r="AQ17" s="21"/>
    </row>
    <row r="18" spans="1:45" x14ac:dyDescent="0.2">
      <c r="A18" t="s">
        <v>10</v>
      </c>
      <c r="B18" t="s">
        <v>8</v>
      </c>
      <c r="C18">
        <v>11.75</v>
      </c>
      <c r="D18">
        <v>0</v>
      </c>
      <c r="E18">
        <f t="shared" si="0"/>
        <v>11</v>
      </c>
      <c r="F18" t="str">
        <f t="shared" si="1"/>
        <v>10 – 11</v>
      </c>
      <c r="I18" t="s">
        <v>73</v>
      </c>
      <c r="J18" t="s">
        <v>5</v>
      </c>
      <c r="K18" t="s">
        <v>69</v>
      </c>
      <c r="L18">
        <v>54</v>
      </c>
      <c r="M18">
        <v>125.10529187753463</v>
      </c>
      <c r="N18">
        <v>111.3301790035013</v>
      </c>
      <c r="O18">
        <v>15.150118418405087</v>
      </c>
      <c r="Q18" s="16"/>
    </row>
    <row r="19" spans="1:45" x14ac:dyDescent="0.2">
      <c r="A19" t="s">
        <v>11</v>
      </c>
      <c r="B19" t="s">
        <v>8</v>
      </c>
      <c r="C19">
        <v>11.8</v>
      </c>
      <c r="D19">
        <v>0</v>
      </c>
      <c r="E19">
        <f t="shared" si="0"/>
        <v>11</v>
      </c>
      <c r="F19" t="str">
        <f t="shared" si="1"/>
        <v>10 – 11</v>
      </c>
      <c r="I19" t="s">
        <v>74</v>
      </c>
      <c r="J19" t="s">
        <v>5</v>
      </c>
      <c r="K19" t="s">
        <v>69</v>
      </c>
      <c r="L19">
        <v>22</v>
      </c>
      <c r="M19">
        <v>174.69529921741642</v>
      </c>
      <c r="N19">
        <v>192.00737979219485</v>
      </c>
      <c r="O19">
        <v>40.936110917259697</v>
      </c>
    </row>
    <row r="20" spans="1:45" x14ac:dyDescent="0.2">
      <c r="A20" s="3" t="s">
        <v>36</v>
      </c>
      <c r="B20" s="3" t="s">
        <v>8</v>
      </c>
      <c r="C20" s="8">
        <v>15.6</v>
      </c>
      <c r="D20">
        <v>1</v>
      </c>
      <c r="E20">
        <f t="shared" si="0"/>
        <v>15</v>
      </c>
      <c r="F20" t="str">
        <f t="shared" si="1"/>
        <v>14 – 15</v>
      </c>
      <c r="I20" t="s">
        <v>75</v>
      </c>
      <c r="J20" t="s">
        <v>5</v>
      </c>
      <c r="K20" t="s">
        <v>69</v>
      </c>
      <c r="L20">
        <v>27</v>
      </c>
      <c r="M20">
        <v>229.67189800842814</v>
      </c>
      <c r="N20">
        <v>148.39402675643439</v>
      </c>
      <c r="O20">
        <v>28.558443764653305</v>
      </c>
    </row>
    <row r="21" spans="1:45" ht="19" x14ac:dyDescent="0.25">
      <c r="A21" s="3" t="s">
        <v>68</v>
      </c>
      <c r="B21" s="3" t="s">
        <v>8</v>
      </c>
      <c r="C21">
        <v>16.600000000000001</v>
      </c>
      <c r="D21">
        <v>1</v>
      </c>
      <c r="E21">
        <f t="shared" si="0"/>
        <v>16</v>
      </c>
      <c r="F21" t="str">
        <f t="shared" si="1"/>
        <v>16 – 18</v>
      </c>
      <c r="I21" t="s">
        <v>76</v>
      </c>
      <c r="J21" t="s">
        <v>5</v>
      </c>
      <c r="K21" t="s">
        <v>69</v>
      </c>
      <c r="L21">
        <v>14</v>
      </c>
      <c r="M21">
        <v>299.67280449416188</v>
      </c>
      <c r="N21">
        <v>100.5450848979565</v>
      </c>
      <c r="O21">
        <v>26.871804258017999</v>
      </c>
      <c r="Z21" s="24"/>
      <c r="AA21" s="24"/>
      <c r="AB21" s="24"/>
      <c r="AC21" s="24"/>
      <c r="AD21" s="24"/>
      <c r="AE21" s="24"/>
    </row>
    <row r="22" spans="1:45" x14ac:dyDescent="0.2">
      <c r="A22" t="s">
        <v>14</v>
      </c>
      <c r="B22" t="s">
        <v>8</v>
      </c>
      <c r="C22">
        <v>18.399999999999999</v>
      </c>
      <c r="D22">
        <v>0</v>
      </c>
      <c r="E22">
        <f t="shared" si="0"/>
        <v>18</v>
      </c>
      <c r="F22" t="str">
        <f t="shared" si="1"/>
        <v>16 – 18</v>
      </c>
      <c r="I22" t="s">
        <v>77</v>
      </c>
      <c r="J22" t="s">
        <v>5</v>
      </c>
      <c r="K22" t="s">
        <v>69</v>
      </c>
      <c r="L22">
        <v>10</v>
      </c>
      <c r="M22">
        <v>221.16858450284471</v>
      </c>
      <c r="N22">
        <v>101.87466286018622</v>
      </c>
      <c r="O22">
        <v>32.215597049995218</v>
      </c>
      <c r="AB22" s="23"/>
      <c r="AC22" s="23"/>
      <c r="AD22" s="23"/>
      <c r="AE22" s="23"/>
    </row>
    <row r="23" spans="1:45" x14ac:dyDescent="0.2">
      <c r="A23" t="s">
        <v>31</v>
      </c>
      <c r="B23" t="s">
        <v>5</v>
      </c>
      <c r="C23">
        <v>1</v>
      </c>
      <c r="D23">
        <v>1</v>
      </c>
      <c r="E23">
        <f t="shared" si="0"/>
        <v>1</v>
      </c>
      <c r="F23" t="str">
        <f t="shared" si="1"/>
        <v>1 – 2</v>
      </c>
      <c r="I23" t="s">
        <v>81</v>
      </c>
      <c r="J23" t="s">
        <v>5</v>
      </c>
      <c r="K23" t="s">
        <v>69</v>
      </c>
      <c r="L23">
        <v>6</v>
      </c>
      <c r="M23">
        <v>123.09628172130412</v>
      </c>
      <c r="N23">
        <v>82.777435893704222</v>
      </c>
      <c r="O23">
        <v>33.793746692586765</v>
      </c>
      <c r="X23" s="29"/>
      <c r="AR23" s="27" t="s">
        <v>5</v>
      </c>
      <c r="AS23" s="26" t="s">
        <v>8</v>
      </c>
    </row>
    <row r="24" spans="1:45" x14ac:dyDescent="0.2">
      <c r="A24" t="s">
        <v>32</v>
      </c>
      <c r="B24" t="s">
        <v>5</v>
      </c>
      <c r="C24">
        <v>1</v>
      </c>
      <c r="D24">
        <v>1</v>
      </c>
      <c r="E24">
        <f t="shared" si="0"/>
        <v>1</v>
      </c>
      <c r="F24" t="str">
        <f t="shared" si="1"/>
        <v>1 – 2</v>
      </c>
      <c r="AR24" s="32" t="s">
        <v>63</v>
      </c>
      <c r="AS24" s="25" t="s">
        <v>63</v>
      </c>
    </row>
    <row r="25" spans="1:45" x14ac:dyDescent="0.2">
      <c r="A25" t="s">
        <v>33</v>
      </c>
      <c r="B25" t="s">
        <v>5</v>
      </c>
      <c r="C25">
        <v>1</v>
      </c>
      <c r="D25">
        <v>1</v>
      </c>
      <c r="E25">
        <f t="shared" si="0"/>
        <v>1</v>
      </c>
      <c r="F25" t="str">
        <f t="shared" si="1"/>
        <v>1 – 2</v>
      </c>
      <c r="AR25" s="33">
        <v>0</v>
      </c>
      <c r="AS25" s="13">
        <v>0</v>
      </c>
    </row>
    <row r="26" spans="1:45" x14ac:dyDescent="0.2">
      <c r="A26" t="s">
        <v>34</v>
      </c>
      <c r="B26" t="s">
        <v>5</v>
      </c>
      <c r="C26">
        <v>1</v>
      </c>
      <c r="D26">
        <v>1</v>
      </c>
      <c r="E26">
        <f t="shared" si="0"/>
        <v>1</v>
      </c>
      <c r="F26" t="str">
        <f t="shared" si="1"/>
        <v>1 – 2</v>
      </c>
      <c r="AR26" s="33">
        <v>0</v>
      </c>
      <c r="AS26" s="13">
        <v>1</v>
      </c>
    </row>
    <row r="27" spans="1:45" x14ac:dyDescent="0.2">
      <c r="A27" t="s">
        <v>51</v>
      </c>
      <c r="B27" t="s">
        <v>5</v>
      </c>
      <c r="C27">
        <v>3</v>
      </c>
      <c r="D27">
        <v>4</v>
      </c>
      <c r="E27">
        <f t="shared" si="0"/>
        <v>3</v>
      </c>
      <c r="F27" t="str">
        <f t="shared" si="1"/>
        <v>3 – 5</v>
      </c>
      <c r="AR27" s="33">
        <v>1</v>
      </c>
      <c r="AS27" s="13">
        <v>1</v>
      </c>
    </row>
    <row r="28" spans="1:45" x14ac:dyDescent="0.2">
      <c r="A28" s="3" t="s">
        <v>49</v>
      </c>
      <c r="B28" s="3" t="s">
        <v>5</v>
      </c>
      <c r="C28" s="8">
        <v>4</v>
      </c>
      <c r="D28">
        <v>4</v>
      </c>
      <c r="E28">
        <f t="shared" si="0"/>
        <v>4</v>
      </c>
      <c r="F28" t="str">
        <f t="shared" si="1"/>
        <v>3 – 5</v>
      </c>
      <c r="AR28" s="33">
        <v>1</v>
      </c>
      <c r="AS28" s="13"/>
    </row>
    <row r="29" spans="1:45" x14ac:dyDescent="0.2">
      <c r="A29" s="3" t="s">
        <v>50</v>
      </c>
      <c r="B29" s="3" t="s">
        <v>5</v>
      </c>
      <c r="C29" s="8">
        <v>4</v>
      </c>
      <c r="D29">
        <v>4</v>
      </c>
      <c r="E29">
        <f t="shared" si="0"/>
        <v>4</v>
      </c>
      <c r="F29" t="str">
        <f t="shared" si="1"/>
        <v>3 – 5</v>
      </c>
      <c r="AR29" s="33">
        <v>2</v>
      </c>
      <c r="AS29" s="13"/>
    </row>
    <row r="30" spans="1:45" x14ac:dyDescent="0.2">
      <c r="A30" t="s">
        <v>42</v>
      </c>
      <c r="B30" t="s">
        <v>5</v>
      </c>
      <c r="C30">
        <v>4.8</v>
      </c>
      <c r="D30">
        <v>1</v>
      </c>
      <c r="E30">
        <f t="shared" si="0"/>
        <v>4</v>
      </c>
      <c r="F30" t="str">
        <f t="shared" si="1"/>
        <v>3 – 5</v>
      </c>
      <c r="AR30" s="33">
        <v>2</v>
      </c>
      <c r="AS30" s="13"/>
    </row>
    <row r="31" spans="1:45" x14ac:dyDescent="0.2">
      <c r="A31" t="s">
        <v>43</v>
      </c>
      <c r="B31" t="s">
        <v>5</v>
      </c>
      <c r="C31">
        <v>4.8</v>
      </c>
      <c r="D31">
        <v>1</v>
      </c>
      <c r="E31">
        <f t="shared" si="0"/>
        <v>4</v>
      </c>
      <c r="F31" t="str">
        <f t="shared" si="1"/>
        <v>3 – 5</v>
      </c>
    </row>
    <row r="32" spans="1:45" x14ac:dyDescent="0.2">
      <c r="A32" t="s">
        <v>47</v>
      </c>
      <c r="B32" t="s">
        <v>5</v>
      </c>
      <c r="C32">
        <v>5</v>
      </c>
      <c r="D32">
        <v>4</v>
      </c>
      <c r="E32">
        <f t="shared" si="0"/>
        <v>5</v>
      </c>
      <c r="F32" t="str">
        <f t="shared" si="1"/>
        <v>3 – 5</v>
      </c>
      <c r="I32" s="23"/>
      <c r="M32" s="23"/>
      <c r="AB32" s="23"/>
      <c r="AF32" s="23"/>
    </row>
    <row r="33" spans="1:45" x14ac:dyDescent="0.2">
      <c r="A33" s="3" t="s">
        <v>4</v>
      </c>
      <c r="B33" s="3" t="s">
        <v>5</v>
      </c>
      <c r="C33" s="4">
        <v>6.3</v>
      </c>
      <c r="D33">
        <v>0</v>
      </c>
      <c r="E33">
        <f t="shared" si="0"/>
        <v>6</v>
      </c>
      <c r="F33" t="str">
        <f t="shared" si="1"/>
        <v>6 – 7</v>
      </c>
    </row>
    <row r="34" spans="1:45" x14ac:dyDescent="0.2">
      <c r="A34" s="3" t="s">
        <v>6</v>
      </c>
      <c r="B34" s="3" t="s">
        <v>5</v>
      </c>
      <c r="C34" s="4">
        <v>6.3</v>
      </c>
      <c r="D34">
        <v>0</v>
      </c>
      <c r="E34">
        <f t="shared" si="0"/>
        <v>6</v>
      </c>
      <c r="F34" t="str">
        <f t="shared" si="1"/>
        <v>6 – 7</v>
      </c>
    </row>
    <row r="35" spans="1:45" x14ac:dyDescent="0.2">
      <c r="A35" s="3" t="s">
        <v>66</v>
      </c>
      <c r="B35" s="3" t="s">
        <v>5</v>
      </c>
      <c r="C35">
        <v>6.3</v>
      </c>
      <c r="D35">
        <v>2</v>
      </c>
      <c r="E35">
        <f t="shared" si="0"/>
        <v>6</v>
      </c>
      <c r="F35" t="str">
        <f t="shared" si="1"/>
        <v>6 – 7</v>
      </c>
      <c r="AR35" s="61" t="s">
        <v>67</v>
      </c>
      <c r="AS35" s="61"/>
    </row>
    <row r="36" spans="1:45" x14ac:dyDescent="0.2">
      <c r="A36" t="s">
        <v>23</v>
      </c>
      <c r="B36" t="s">
        <v>5</v>
      </c>
      <c r="C36">
        <v>8</v>
      </c>
      <c r="D36">
        <v>0</v>
      </c>
      <c r="E36">
        <f t="shared" si="0"/>
        <v>8</v>
      </c>
      <c r="F36" t="str">
        <f t="shared" si="1"/>
        <v>8 – 9</v>
      </c>
      <c r="W36" s="22"/>
      <c r="X36" s="22"/>
      <c r="AR36" s="32" t="s">
        <v>63</v>
      </c>
      <c r="AS36" s="25" t="s">
        <v>63</v>
      </c>
    </row>
    <row r="37" spans="1:45" x14ac:dyDescent="0.2">
      <c r="A37" t="s">
        <v>48</v>
      </c>
      <c r="B37" t="s">
        <v>5</v>
      </c>
      <c r="C37">
        <v>8</v>
      </c>
      <c r="D37">
        <v>4</v>
      </c>
      <c r="E37">
        <f t="shared" si="0"/>
        <v>8</v>
      </c>
      <c r="F37" t="str">
        <f t="shared" si="1"/>
        <v>8 – 9</v>
      </c>
      <c r="AR37" s="33">
        <f>_xlfn.RANK.AVG(AR25,$AR$25:$AS$30,1)</f>
        <v>2</v>
      </c>
      <c r="AS37" s="13">
        <f>_xlfn.RANK.AVG(AS25,$AR$25:$AS$30,1)</f>
        <v>2</v>
      </c>
    </row>
    <row r="38" spans="1:45" x14ac:dyDescent="0.2">
      <c r="A38" t="s">
        <v>24</v>
      </c>
      <c r="B38" t="s">
        <v>5</v>
      </c>
      <c r="C38">
        <v>10</v>
      </c>
      <c r="D38">
        <v>0</v>
      </c>
      <c r="E38">
        <f t="shared" si="0"/>
        <v>10</v>
      </c>
      <c r="F38" t="str">
        <f t="shared" si="1"/>
        <v>10 – 11</v>
      </c>
      <c r="AR38" s="33">
        <f t="shared" ref="AR38:AR42" si="6">_xlfn.RANK.AVG(AR26,$AR$25:$AS$30,1)</f>
        <v>2</v>
      </c>
      <c r="AS38" s="13">
        <f>_xlfn.RANK.AVG(AS26,$AR$25:$AS$30,1)</f>
        <v>5.5</v>
      </c>
    </row>
    <row r="39" spans="1:45" x14ac:dyDescent="0.2">
      <c r="A39" t="s">
        <v>25</v>
      </c>
      <c r="B39" t="s">
        <v>5</v>
      </c>
      <c r="C39">
        <v>10</v>
      </c>
      <c r="D39">
        <v>0</v>
      </c>
      <c r="E39">
        <f t="shared" si="0"/>
        <v>10</v>
      </c>
      <c r="F39" t="str">
        <f t="shared" si="1"/>
        <v>10 – 11</v>
      </c>
      <c r="AR39" s="33">
        <f t="shared" si="6"/>
        <v>5.5</v>
      </c>
      <c r="AS39" s="13">
        <f>_xlfn.RANK.AVG(AS27,$AR$25:$AS$30,1)</f>
        <v>5.5</v>
      </c>
    </row>
    <row r="40" spans="1:45" x14ac:dyDescent="0.2">
      <c r="A40" s="6" t="s">
        <v>9</v>
      </c>
      <c r="B40" s="7" t="s">
        <v>5</v>
      </c>
      <c r="C40">
        <v>11.5</v>
      </c>
      <c r="D40">
        <v>0</v>
      </c>
      <c r="E40">
        <f t="shared" si="0"/>
        <v>11</v>
      </c>
      <c r="F40" t="str">
        <f t="shared" si="1"/>
        <v>10 – 11</v>
      </c>
      <c r="AR40" s="33">
        <f t="shared" si="6"/>
        <v>5.5</v>
      </c>
      <c r="AS40" s="13"/>
    </row>
    <row r="41" spans="1:45" x14ac:dyDescent="0.2">
      <c r="A41" t="s">
        <v>46</v>
      </c>
      <c r="B41" s="7" t="s">
        <v>5</v>
      </c>
      <c r="C41">
        <v>11.6</v>
      </c>
      <c r="D41">
        <v>3</v>
      </c>
      <c r="E41">
        <f t="shared" si="0"/>
        <v>11</v>
      </c>
      <c r="F41" t="str">
        <f t="shared" si="1"/>
        <v>10 – 11</v>
      </c>
      <c r="AR41" s="33">
        <f t="shared" si="6"/>
        <v>8.5</v>
      </c>
      <c r="AS41" s="13"/>
    </row>
    <row r="42" spans="1:45" x14ac:dyDescent="0.2">
      <c r="A42" t="s">
        <v>40</v>
      </c>
      <c r="B42" s="7" t="s">
        <v>5</v>
      </c>
      <c r="C42">
        <v>11.8</v>
      </c>
      <c r="D42">
        <v>1</v>
      </c>
      <c r="E42">
        <f t="shared" si="0"/>
        <v>11</v>
      </c>
      <c r="F42" t="str">
        <f t="shared" si="1"/>
        <v>10 – 11</v>
      </c>
      <c r="AR42" s="33">
        <f t="shared" si="6"/>
        <v>8.5</v>
      </c>
      <c r="AS42" s="13"/>
    </row>
    <row r="43" spans="1:45" x14ac:dyDescent="0.2">
      <c r="A43" s="3" t="s">
        <v>35</v>
      </c>
      <c r="B43" s="3" t="s">
        <v>5</v>
      </c>
      <c r="C43" s="9">
        <v>12</v>
      </c>
      <c r="D43">
        <v>1</v>
      </c>
      <c r="E43">
        <f t="shared" si="0"/>
        <v>12</v>
      </c>
      <c r="F43" t="str">
        <f t="shared" si="1"/>
        <v>12 – 13</v>
      </c>
    </row>
    <row r="44" spans="1:45" x14ac:dyDescent="0.2">
      <c r="A44" s="3" t="s">
        <v>12</v>
      </c>
      <c r="B44" s="3" t="s">
        <v>5</v>
      </c>
      <c r="C44" s="8">
        <v>15.8</v>
      </c>
      <c r="D44">
        <v>0</v>
      </c>
      <c r="E44">
        <f t="shared" si="0"/>
        <v>15</v>
      </c>
      <c r="F44" t="str">
        <f t="shared" si="1"/>
        <v>14 – 15</v>
      </c>
    </row>
    <row r="45" spans="1:45" ht="17" customHeight="1" x14ac:dyDescent="0.2">
      <c r="A45" s="3" t="s">
        <v>37</v>
      </c>
      <c r="B45" s="3" t="s">
        <v>5</v>
      </c>
      <c r="C45" s="8">
        <v>15.8</v>
      </c>
      <c r="D45">
        <v>2</v>
      </c>
      <c r="E45">
        <f t="shared" si="0"/>
        <v>15</v>
      </c>
      <c r="F45" t="str">
        <f t="shared" si="1"/>
        <v>14 – 15</v>
      </c>
      <c r="W45" s="21"/>
      <c r="X45" s="21"/>
    </row>
    <row r="46" spans="1:45" x14ac:dyDescent="0.2">
      <c r="A46" s="3" t="s">
        <v>38</v>
      </c>
      <c r="B46" s="3" t="s">
        <v>5</v>
      </c>
      <c r="C46" s="4">
        <v>16.3</v>
      </c>
      <c r="D46">
        <v>1</v>
      </c>
      <c r="E46">
        <f t="shared" si="0"/>
        <v>16</v>
      </c>
      <c r="F46" t="str">
        <f t="shared" si="1"/>
        <v>16 – 18</v>
      </c>
      <c r="H46" s="23"/>
      <c r="L46" s="23"/>
      <c r="P46" s="23"/>
      <c r="T46" s="23"/>
      <c r="W46" s="21"/>
      <c r="X46" s="21"/>
      <c r="AA46" s="23"/>
      <c r="AE46" s="23"/>
      <c r="AI46" s="23"/>
      <c r="AM46" s="23"/>
      <c r="AQ46" s="23"/>
      <c r="AR46" s="33">
        <f>SUM(AR37:AR42)</f>
        <v>32</v>
      </c>
      <c r="AS46" s="13">
        <f>SUM(AS37:AS39)</f>
        <v>13</v>
      </c>
    </row>
    <row r="47" spans="1:45" x14ac:dyDescent="0.2">
      <c r="A47" t="s">
        <v>13</v>
      </c>
      <c r="B47" s="3" t="s">
        <v>5</v>
      </c>
      <c r="C47" s="8">
        <v>16.7</v>
      </c>
      <c r="D47">
        <v>0</v>
      </c>
      <c r="E47">
        <f t="shared" si="0"/>
        <v>16</v>
      </c>
      <c r="F47" t="str">
        <f t="shared" si="1"/>
        <v>16 – 18</v>
      </c>
      <c r="H47" s="23"/>
      <c r="J47" s="30"/>
      <c r="K47" s="22"/>
      <c r="L47" s="23"/>
      <c r="N47" s="30"/>
      <c r="O47" s="22"/>
      <c r="P47" s="23"/>
      <c r="R47" s="30"/>
      <c r="S47" s="22"/>
      <c r="T47" s="23"/>
      <c r="V47" s="30"/>
      <c r="W47" s="21"/>
      <c r="X47" s="21"/>
      <c r="AA47" s="23"/>
      <c r="AC47" s="30"/>
      <c r="AD47" s="22"/>
      <c r="AE47" s="23"/>
      <c r="AG47" s="30"/>
      <c r="AH47" s="22"/>
      <c r="AI47" s="23"/>
      <c r="AK47" s="30"/>
      <c r="AL47" s="22"/>
      <c r="AM47" s="23"/>
      <c r="AO47" s="30"/>
      <c r="AQ47" s="23"/>
      <c r="AR47" s="33">
        <f>COUNT(AR25:AR30)</f>
        <v>6</v>
      </c>
      <c r="AS47" s="28">
        <f>COUNT(AS25:AS27)</f>
        <v>3</v>
      </c>
    </row>
    <row r="48" spans="1:45" x14ac:dyDescent="0.2">
      <c r="A48" s="3" t="s">
        <v>44</v>
      </c>
      <c r="B48" s="3" t="s">
        <v>5</v>
      </c>
      <c r="C48" s="8">
        <v>18.399999999999999</v>
      </c>
      <c r="D48">
        <v>2</v>
      </c>
      <c r="E48">
        <f t="shared" si="0"/>
        <v>18</v>
      </c>
      <c r="F48" t="str">
        <f t="shared" si="1"/>
        <v>16 – 18</v>
      </c>
      <c r="H48" s="23"/>
      <c r="L48" s="23"/>
      <c r="P48" s="23"/>
      <c r="T48" s="23"/>
      <c r="AA48" s="23"/>
      <c r="AE48" s="23"/>
      <c r="AI48" s="23"/>
      <c r="AM48" s="23"/>
      <c r="AQ48" s="23"/>
      <c r="AR48" s="33">
        <f>AR47*AS47+(AR47*(AR47+1)/2)-AR46</f>
        <v>7</v>
      </c>
      <c r="AS48" s="13">
        <f>AR47*AS47+(AS47*(AS47+1)/2)-AS46</f>
        <v>11</v>
      </c>
    </row>
    <row r="49" spans="1:45" x14ac:dyDescent="0.2">
      <c r="A49" s="3" t="s">
        <v>45</v>
      </c>
      <c r="B49" s="3" t="s">
        <v>5</v>
      </c>
      <c r="C49" s="8">
        <v>18.899999999999999</v>
      </c>
      <c r="D49">
        <v>2</v>
      </c>
      <c r="E49">
        <f t="shared" si="0"/>
        <v>18</v>
      </c>
      <c r="F49" t="str">
        <f t="shared" si="1"/>
        <v>16 – 18</v>
      </c>
      <c r="H49" s="34"/>
      <c r="L49" s="34"/>
      <c r="P49" s="34"/>
      <c r="T49" s="34"/>
      <c r="AA49" s="34"/>
      <c r="AE49" s="34"/>
      <c r="AI49" s="34"/>
      <c r="AM49" s="34"/>
      <c r="AQ49" s="34"/>
      <c r="AR49" s="64">
        <f>MIN(AR48:AS48)</f>
        <v>7</v>
      </c>
      <c r="AS49" s="65"/>
    </row>
    <row r="50" spans="1:45" x14ac:dyDescent="0.2">
      <c r="H50" s="35"/>
      <c r="I50" s="36"/>
      <c r="J50" s="36"/>
      <c r="L50" s="35"/>
      <c r="M50" s="36"/>
      <c r="N50" s="36"/>
      <c r="P50" s="35"/>
      <c r="Q50" s="36"/>
      <c r="R50" s="36"/>
      <c r="T50" s="35"/>
      <c r="U50" s="36"/>
      <c r="V50" s="36"/>
      <c r="AA50" s="35"/>
      <c r="AB50" s="36"/>
      <c r="AC50" s="36"/>
      <c r="AE50" s="35"/>
      <c r="AF50" s="36"/>
      <c r="AG50" s="36"/>
      <c r="AI50" s="35"/>
      <c r="AJ50" s="36"/>
      <c r="AK50" s="36"/>
      <c r="AM50" s="35"/>
      <c r="AN50" s="36"/>
      <c r="AO50" s="36"/>
      <c r="AQ50" s="35"/>
      <c r="AR50" s="62">
        <v>0.41420000000000001</v>
      </c>
      <c r="AS50" s="62"/>
    </row>
    <row r="51" spans="1:45" x14ac:dyDescent="0.2">
      <c r="H51" s="35"/>
      <c r="I51" s="36"/>
      <c r="J51" s="36"/>
      <c r="L51" s="35"/>
      <c r="M51" s="36"/>
      <c r="N51" s="36"/>
      <c r="P51" s="35"/>
      <c r="Q51" s="36"/>
      <c r="R51" s="36"/>
      <c r="T51" s="35"/>
      <c r="U51" s="36"/>
      <c r="V51" s="36"/>
      <c r="W51" s="22"/>
      <c r="X51" s="22"/>
      <c r="AA51" s="35"/>
      <c r="AB51" s="36"/>
      <c r="AC51" s="36"/>
      <c r="AE51" s="35"/>
      <c r="AF51" s="36"/>
      <c r="AG51" s="36"/>
      <c r="AI51" s="35"/>
      <c r="AJ51" s="36"/>
      <c r="AK51" s="36"/>
      <c r="AM51" s="35"/>
      <c r="AN51" s="36"/>
      <c r="AO51" s="36"/>
      <c r="AQ51" s="35"/>
      <c r="AR51" s="62"/>
      <c r="AS51" s="62"/>
    </row>
    <row r="52" spans="1:45" x14ac:dyDescent="0.2">
      <c r="H52" s="23"/>
      <c r="L52" s="23"/>
      <c r="P52" s="23"/>
      <c r="T52" s="23"/>
      <c r="AA52" s="23"/>
      <c r="AE52" s="23"/>
      <c r="AI52" s="23"/>
      <c r="AM52" s="23"/>
      <c r="AQ52" s="23"/>
      <c r="AR52" s="63"/>
      <c r="AS52" s="63"/>
    </row>
    <row r="53" spans="1:45" x14ac:dyDescent="0.2">
      <c r="H53" s="23"/>
      <c r="L53" s="23"/>
      <c r="P53" s="23"/>
      <c r="T53" s="23"/>
      <c r="AA53" s="23"/>
      <c r="AE53" s="23"/>
      <c r="AI53" s="23"/>
      <c r="AM53" s="23"/>
      <c r="AQ53" s="23"/>
      <c r="AR53" s="63"/>
      <c r="AS53" s="63"/>
    </row>
    <row r="54" spans="1:45" x14ac:dyDescent="0.2">
      <c r="H54" s="37"/>
      <c r="I54" s="36"/>
      <c r="J54" s="36"/>
      <c r="L54" s="37"/>
      <c r="M54" s="36"/>
      <c r="N54" s="36"/>
      <c r="P54" s="37"/>
      <c r="Q54" s="36"/>
      <c r="R54" s="36"/>
      <c r="T54" s="37"/>
      <c r="U54" s="36"/>
      <c r="V54" s="36"/>
      <c r="AA54" s="37"/>
      <c r="AB54" s="36"/>
      <c r="AC54" s="36"/>
      <c r="AE54" s="37"/>
      <c r="AF54" s="36"/>
      <c r="AG54" s="36"/>
      <c r="AI54" s="37"/>
      <c r="AJ54" s="36"/>
      <c r="AK54" s="36"/>
      <c r="AM54" s="37"/>
      <c r="AN54" s="36"/>
      <c r="AO54" s="36"/>
      <c r="AQ54" s="37"/>
      <c r="AR54" s="62"/>
      <c r="AS54" s="62"/>
    </row>
    <row r="55" spans="1:45" x14ac:dyDescent="0.2">
      <c r="H55" s="37"/>
      <c r="I55" s="36"/>
      <c r="J55" s="36"/>
      <c r="K55" s="21"/>
      <c r="L55" s="37"/>
      <c r="M55" s="36"/>
      <c r="N55" s="36"/>
      <c r="O55" s="21"/>
      <c r="P55" s="37"/>
      <c r="Q55" s="36"/>
      <c r="R55" s="36"/>
      <c r="S55" s="21"/>
      <c r="T55" s="37"/>
      <c r="U55" s="36"/>
      <c r="V55" s="36"/>
      <c r="AA55" s="37"/>
      <c r="AB55" s="36"/>
      <c r="AC55" s="36"/>
      <c r="AD55" s="21"/>
      <c r="AE55" s="37"/>
      <c r="AF55" s="36"/>
      <c r="AG55" s="36"/>
      <c r="AH55" s="21"/>
      <c r="AI55" s="37"/>
      <c r="AJ55" s="36"/>
      <c r="AK55" s="36"/>
      <c r="AL55" s="21"/>
      <c r="AM55" s="37"/>
      <c r="AN55" s="36"/>
      <c r="AO55" s="36"/>
      <c r="AQ55" s="37"/>
      <c r="AR55" s="62"/>
      <c r="AS55" s="62"/>
    </row>
    <row r="56" spans="1:45" x14ac:dyDescent="0.2">
      <c r="J56" s="21"/>
      <c r="K56" s="21"/>
      <c r="L56" s="21"/>
      <c r="N56" s="21"/>
      <c r="O56" s="21"/>
      <c r="P56" s="21"/>
      <c r="R56" s="21"/>
      <c r="S56" s="21"/>
      <c r="T56" s="21"/>
      <c r="V56" s="21"/>
    </row>
    <row r="57" spans="1:45" x14ac:dyDescent="0.2">
      <c r="I57" s="30"/>
      <c r="J57" s="30"/>
      <c r="K57" s="21"/>
      <c r="M57" s="30"/>
      <c r="N57" s="30"/>
      <c r="O57" s="21"/>
      <c r="Q57" s="30"/>
      <c r="R57" s="30"/>
      <c r="U57" s="30"/>
      <c r="V57" s="30"/>
    </row>
    <row r="60" spans="1:45" ht="19" x14ac:dyDescent="0.25">
      <c r="K60" s="24"/>
      <c r="L60" s="24"/>
      <c r="O60" s="24"/>
      <c r="P60" s="24"/>
    </row>
    <row r="61" spans="1:45" ht="24" customHeight="1" x14ac:dyDescent="0.2">
      <c r="O61" s="23"/>
      <c r="P61" s="23"/>
    </row>
    <row r="62" spans="1:45" x14ac:dyDescent="0.2">
      <c r="S62" s="22"/>
      <c r="T62" s="22"/>
    </row>
    <row r="65" spans="8:24" x14ac:dyDescent="0.2">
      <c r="W65" s="22"/>
      <c r="X65" s="22"/>
    </row>
    <row r="66" spans="8:24" x14ac:dyDescent="0.2">
      <c r="I66" s="23"/>
    </row>
    <row r="78" spans="8:24" x14ac:dyDescent="0.2">
      <c r="H78" s="23"/>
      <c r="L78" s="23"/>
      <c r="P78" s="23"/>
      <c r="T78" s="23"/>
    </row>
    <row r="79" spans="8:24" x14ac:dyDescent="0.2">
      <c r="H79" s="23"/>
      <c r="J79" s="30"/>
      <c r="L79" s="23"/>
      <c r="N79" s="30"/>
      <c r="P79" s="23"/>
      <c r="R79" s="30"/>
      <c r="T79" s="23"/>
      <c r="V79" s="30"/>
    </row>
    <row r="80" spans="8:24" x14ac:dyDescent="0.2">
      <c r="H80" s="23"/>
      <c r="L80" s="23"/>
      <c r="P80" s="23"/>
      <c r="T80" s="23"/>
    </row>
    <row r="81" spans="8:24" x14ac:dyDescent="0.2">
      <c r="H81" s="34"/>
      <c r="K81" s="21"/>
      <c r="L81" s="34"/>
      <c r="O81" s="21"/>
      <c r="P81" s="34"/>
      <c r="S81" s="21"/>
      <c r="T81" s="34"/>
    </row>
    <row r="82" spans="8:24" x14ac:dyDescent="0.2">
      <c r="H82" s="35"/>
      <c r="I82" s="36"/>
      <c r="J82" s="36"/>
      <c r="L82" s="35"/>
      <c r="M82" s="36"/>
      <c r="N82" s="36"/>
      <c r="P82" s="35"/>
      <c r="Q82" s="36"/>
      <c r="R82" s="36"/>
      <c r="T82" s="35"/>
      <c r="U82" s="36"/>
      <c r="V82" s="36"/>
    </row>
    <row r="83" spans="8:24" x14ac:dyDescent="0.2">
      <c r="H83" s="35"/>
      <c r="I83" s="36"/>
      <c r="J83" s="36"/>
      <c r="L83" s="35"/>
      <c r="M83" s="36"/>
      <c r="N83" s="36"/>
      <c r="P83" s="35"/>
      <c r="Q83" s="36"/>
      <c r="R83" s="36"/>
      <c r="T83" s="35"/>
      <c r="U83" s="36"/>
      <c r="V83" s="36"/>
      <c r="W83" s="21"/>
      <c r="X83" s="21"/>
    </row>
    <row r="84" spans="8:24" x14ac:dyDescent="0.2">
      <c r="H84" s="23"/>
      <c r="L84" s="23"/>
      <c r="P84" s="23"/>
      <c r="T84" s="23"/>
      <c r="W84" s="21"/>
      <c r="X84" s="21"/>
    </row>
    <row r="85" spans="8:24" x14ac:dyDescent="0.2">
      <c r="H85" s="23"/>
      <c r="K85" s="22"/>
      <c r="L85" s="23"/>
      <c r="O85" s="22"/>
      <c r="P85" s="23"/>
      <c r="S85" s="22"/>
      <c r="T85" s="23"/>
      <c r="W85" s="21"/>
      <c r="X85" s="21"/>
    </row>
    <row r="86" spans="8:24" x14ac:dyDescent="0.2">
      <c r="H86" s="37"/>
      <c r="I86" s="36"/>
      <c r="J86" s="36"/>
      <c r="L86" s="37"/>
      <c r="M86" s="36"/>
      <c r="N86" s="36"/>
      <c r="P86" s="37"/>
      <c r="Q86" s="36"/>
      <c r="R86" s="36"/>
      <c r="T86" s="37"/>
      <c r="U86" s="36"/>
      <c r="V86" s="36"/>
    </row>
    <row r="87" spans="8:24" x14ac:dyDescent="0.2">
      <c r="H87" s="37"/>
      <c r="I87" s="36"/>
      <c r="J87" s="36"/>
      <c r="L87" s="37"/>
      <c r="M87" s="36"/>
      <c r="N87" s="36"/>
      <c r="P87" s="37"/>
      <c r="Q87" s="36"/>
      <c r="R87" s="36"/>
      <c r="T87" s="37"/>
      <c r="U87" s="36"/>
      <c r="V87" s="36"/>
    </row>
    <row r="90" spans="8:24" x14ac:dyDescent="0.2">
      <c r="I90" s="30"/>
      <c r="J90" s="30"/>
      <c r="M90" s="30"/>
      <c r="N90" s="30"/>
    </row>
    <row r="93" spans="8:24" x14ac:dyDescent="0.2">
      <c r="O93" s="30"/>
      <c r="P93" s="30"/>
    </row>
    <row r="94" spans="8:24" x14ac:dyDescent="0.2">
      <c r="K94" s="21"/>
      <c r="L94" s="21"/>
      <c r="O94" s="21"/>
      <c r="P94" s="21"/>
      <c r="R94" s="21"/>
      <c r="S94" s="21"/>
      <c r="T94" s="21"/>
      <c r="V94" s="21"/>
    </row>
    <row r="95" spans="8:24" x14ac:dyDescent="0.2">
      <c r="K95" s="21"/>
      <c r="L95" s="21"/>
      <c r="O95" s="21"/>
      <c r="P95" s="21"/>
      <c r="R95" s="21"/>
      <c r="S95" s="21"/>
      <c r="T95" s="21"/>
      <c r="V95" s="21"/>
    </row>
    <row r="96" spans="8:24" x14ac:dyDescent="0.2">
      <c r="K96" s="21"/>
      <c r="L96" s="21"/>
      <c r="O96" s="21"/>
      <c r="P96" s="21"/>
      <c r="R96" s="21"/>
      <c r="S96" s="21"/>
      <c r="T96" s="21"/>
      <c r="V96" s="21"/>
    </row>
    <row r="99" spans="9:29" x14ac:dyDescent="0.2">
      <c r="I99" s="23"/>
    </row>
    <row r="101" spans="9:29" x14ac:dyDescent="0.2">
      <c r="AA101" s="23"/>
    </row>
    <row r="102" spans="9:29" x14ac:dyDescent="0.2">
      <c r="AA102" s="23"/>
      <c r="AC102" s="30"/>
    </row>
    <row r="103" spans="9:29" x14ac:dyDescent="0.2">
      <c r="AA103" s="23"/>
    </row>
    <row r="104" spans="9:29" x14ac:dyDescent="0.2">
      <c r="AA104" s="34"/>
    </row>
    <row r="105" spans="9:29" x14ac:dyDescent="0.2">
      <c r="AA105" s="35"/>
      <c r="AB105" s="36"/>
      <c r="AC105" s="36"/>
    </row>
    <row r="106" spans="9:29" x14ac:dyDescent="0.2">
      <c r="AA106" s="35"/>
      <c r="AB106" s="36"/>
      <c r="AC106" s="36"/>
    </row>
    <row r="112" spans="9:29" x14ac:dyDescent="0.2">
      <c r="J112" s="22"/>
      <c r="K112" s="22"/>
      <c r="L112" s="22"/>
      <c r="N112" s="22"/>
      <c r="O112" s="22"/>
      <c r="P112" s="22"/>
    </row>
    <row r="113" spans="8:32" x14ac:dyDescent="0.2">
      <c r="H113" s="23"/>
      <c r="L113" s="23"/>
    </row>
    <row r="114" spans="8:32" x14ac:dyDescent="0.2">
      <c r="H114" s="23"/>
      <c r="J114" s="30"/>
      <c r="L114" s="23"/>
      <c r="N114" s="30"/>
    </row>
    <row r="115" spans="8:32" x14ac:dyDescent="0.2">
      <c r="H115" s="23"/>
      <c r="L115" s="23"/>
    </row>
    <row r="116" spans="8:32" x14ac:dyDescent="0.2">
      <c r="H116" s="34"/>
      <c r="L116" s="34"/>
    </row>
    <row r="117" spans="8:32" x14ac:dyDescent="0.2">
      <c r="H117" s="35"/>
      <c r="I117" s="36"/>
      <c r="J117" s="36"/>
      <c r="L117" s="35"/>
      <c r="M117" s="36"/>
      <c r="N117" s="36"/>
    </row>
    <row r="118" spans="8:32" x14ac:dyDescent="0.2">
      <c r="H118" s="35"/>
      <c r="I118" s="36"/>
      <c r="J118" s="36"/>
      <c r="L118" s="35"/>
      <c r="M118" s="36"/>
      <c r="N118" s="36"/>
    </row>
    <row r="119" spans="8:32" x14ac:dyDescent="0.2">
      <c r="H119" s="23"/>
      <c r="L119" s="23"/>
    </row>
    <row r="120" spans="8:32" x14ac:dyDescent="0.2">
      <c r="H120" s="23"/>
      <c r="L120" s="23"/>
      <c r="AD120" s="23"/>
    </row>
    <row r="121" spans="8:32" x14ac:dyDescent="0.2">
      <c r="H121" s="37"/>
      <c r="I121" s="36"/>
      <c r="J121" s="36"/>
      <c r="K121" s="21"/>
      <c r="L121" s="37"/>
      <c r="M121" s="36"/>
      <c r="N121" s="36"/>
      <c r="O121" s="21"/>
      <c r="P121" s="21"/>
      <c r="AD121" s="23"/>
      <c r="AF121" s="30"/>
    </row>
    <row r="122" spans="8:32" x14ac:dyDescent="0.2">
      <c r="H122" s="37"/>
      <c r="I122" s="36"/>
      <c r="J122" s="36"/>
      <c r="L122" s="37"/>
      <c r="M122" s="36"/>
      <c r="N122" s="36"/>
      <c r="AD122" s="23"/>
    </row>
    <row r="123" spans="8:32" x14ac:dyDescent="0.2">
      <c r="AD123" s="34"/>
    </row>
    <row r="124" spans="8:32" x14ac:dyDescent="0.2">
      <c r="AD124" s="35"/>
      <c r="AE124" s="36"/>
      <c r="AF124" s="36"/>
    </row>
    <row r="125" spans="8:32" x14ac:dyDescent="0.2">
      <c r="AD125" s="35"/>
      <c r="AE125" s="36"/>
      <c r="AF125" s="36"/>
    </row>
  </sheetData>
  <mergeCells count="6">
    <mergeCell ref="AR35:AS35"/>
    <mergeCell ref="AR54:AS55"/>
    <mergeCell ref="AR53:AS53"/>
    <mergeCell ref="AR52:AS52"/>
    <mergeCell ref="AR50:AS51"/>
    <mergeCell ref="AR49:AS49"/>
  </mergeCells>
  <conditionalFormatting sqref="A2:A29">
    <cfRule type="duplicateValues" dxfId="1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1A914-96AD-D742-BE71-91E00F55C9FA}">
  <dimension ref="A1:I55"/>
  <sheetViews>
    <sheetView tabSelected="1" topLeftCell="A22" workbookViewId="0">
      <selection activeCell="I51" sqref="I51"/>
    </sheetView>
  </sheetViews>
  <sheetFormatPr baseColWidth="10" defaultColWidth="11" defaultRowHeight="16" x14ac:dyDescent="0.2"/>
  <sheetData>
    <row r="1" spans="1:9" x14ac:dyDescent="0.2">
      <c r="A1" s="1" t="s">
        <v>84</v>
      </c>
      <c r="B1" s="1" t="s">
        <v>1</v>
      </c>
      <c r="C1" s="1" t="s">
        <v>2</v>
      </c>
      <c r="D1" s="2" t="s">
        <v>91</v>
      </c>
      <c r="E1" s="1" t="s">
        <v>82</v>
      </c>
      <c r="F1" s="1" t="s">
        <v>83</v>
      </c>
      <c r="G1" s="1" t="s">
        <v>69</v>
      </c>
      <c r="H1" s="1" t="s">
        <v>70</v>
      </c>
      <c r="I1" s="1" t="s">
        <v>92</v>
      </c>
    </row>
    <row r="2" spans="1:9" x14ac:dyDescent="0.2">
      <c r="A2" t="s">
        <v>17</v>
      </c>
      <c r="B2" t="s">
        <v>8</v>
      </c>
      <c r="C2">
        <v>8</v>
      </c>
      <c r="D2">
        <v>0</v>
      </c>
      <c r="E2">
        <f t="shared" ref="E2:E34" si="0">IF($C2&lt;2,1,IF($C2&lt;3,2,IF($C2&lt;4,3,IF($C2&lt;5,4,IF($C2&lt;6,5,IF($C2&lt;7,6,IF($C2&lt;8,7,IF($C2&lt;9,8,IF($C2&lt;10,9,IF($C2&lt;11,10,IF($C2&lt;12,11,IF($C2&lt;13,12,IF($C2&lt;14,13,IF($C2&lt;15,14,IF($C2&lt;16,15,IF($C2&lt;17,16,IF($C2&lt;18,17,IF($C2&lt;19,18,IF($C2&lt;20,19,20)))))))))))))))))))</f>
        <v>8</v>
      </c>
      <c r="F2" t="str">
        <f t="shared" ref="F2:F33" si="1">IF($E2&lt;3,"[1 – 3)",IF($E2&lt;6,"[3 – 6)",IF($E2&lt;9,"[6 – 9)",IF($E2&lt;13,"[9 – 13)","[13 – 18]"))))</f>
        <v>[6 – 9)</v>
      </c>
      <c r="G2" s="30">
        <v>1.2</v>
      </c>
      <c r="H2" s="30">
        <v>1.3</v>
      </c>
      <c r="I2" s="54">
        <v>0</v>
      </c>
    </row>
    <row r="3" spans="1:9" x14ac:dyDescent="0.2">
      <c r="A3" t="s">
        <v>23</v>
      </c>
      <c r="B3" t="s">
        <v>5</v>
      </c>
      <c r="C3">
        <v>8</v>
      </c>
      <c r="D3">
        <v>0</v>
      </c>
      <c r="E3">
        <f t="shared" si="0"/>
        <v>8</v>
      </c>
      <c r="F3" t="str">
        <f t="shared" si="1"/>
        <v>[6 – 9)</v>
      </c>
      <c r="G3" s="30">
        <v>192.4</v>
      </c>
      <c r="H3" s="41">
        <v>148.4</v>
      </c>
      <c r="I3" s="52">
        <v>0</v>
      </c>
    </row>
    <row r="4" spans="1:9" x14ac:dyDescent="0.2">
      <c r="A4" t="s">
        <v>18</v>
      </c>
      <c r="B4" t="s">
        <v>8</v>
      </c>
      <c r="C4">
        <v>8</v>
      </c>
      <c r="D4">
        <v>0</v>
      </c>
      <c r="E4">
        <f t="shared" si="0"/>
        <v>8</v>
      </c>
      <c r="F4" t="str">
        <f t="shared" si="1"/>
        <v>[6 – 9)</v>
      </c>
      <c r="G4" s="30">
        <v>1</v>
      </c>
      <c r="H4" s="30">
        <v>1.7</v>
      </c>
      <c r="I4" s="54">
        <v>0</v>
      </c>
    </row>
    <row r="5" spans="1:9" x14ac:dyDescent="0.2">
      <c r="A5" t="s">
        <v>19</v>
      </c>
      <c r="B5" t="s">
        <v>8</v>
      </c>
      <c r="C5">
        <v>5</v>
      </c>
      <c r="D5">
        <v>0</v>
      </c>
      <c r="E5">
        <f t="shared" si="0"/>
        <v>5</v>
      </c>
      <c r="F5" t="str">
        <f t="shared" si="1"/>
        <v>[3 – 6)</v>
      </c>
      <c r="G5" s="30">
        <v>1.1000000000000001</v>
      </c>
      <c r="H5" s="30">
        <v>0.5</v>
      </c>
      <c r="I5" s="52">
        <v>0</v>
      </c>
    </row>
    <row r="6" spans="1:9" x14ac:dyDescent="0.2">
      <c r="A6" t="s">
        <v>51</v>
      </c>
      <c r="B6" t="s">
        <v>5</v>
      </c>
      <c r="C6">
        <v>3</v>
      </c>
      <c r="D6">
        <v>4</v>
      </c>
      <c r="E6">
        <f t="shared" si="0"/>
        <v>3</v>
      </c>
      <c r="F6" t="str">
        <f t="shared" si="1"/>
        <v>[3 – 6)</v>
      </c>
      <c r="G6" s="30">
        <f>AVERAGE(1.4,0.7,8.4)</f>
        <v>3.5</v>
      </c>
      <c r="H6" s="30">
        <f>AVERAGE(1,0.37,0.6)</f>
        <v>0.65666666666666673</v>
      </c>
      <c r="I6" s="52">
        <v>0</v>
      </c>
    </row>
    <row r="7" spans="1:9" x14ac:dyDescent="0.2">
      <c r="A7" s="3" t="s">
        <v>15</v>
      </c>
      <c r="B7" s="3" t="s">
        <v>8</v>
      </c>
      <c r="C7" s="9">
        <v>3.5</v>
      </c>
      <c r="D7">
        <v>0</v>
      </c>
      <c r="E7">
        <f t="shared" si="0"/>
        <v>3</v>
      </c>
      <c r="F7" t="str">
        <f t="shared" si="1"/>
        <v>[3 – 6)</v>
      </c>
      <c r="G7" s="30">
        <v>0.9</v>
      </c>
      <c r="H7" s="38">
        <v>0.85151507454725561</v>
      </c>
      <c r="I7" s="52">
        <v>0</v>
      </c>
    </row>
    <row r="8" spans="1:9" x14ac:dyDescent="0.2">
      <c r="A8" s="3" t="s">
        <v>28</v>
      </c>
      <c r="B8" s="3" t="s">
        <v>8</v>
      </c>
      <c r="C8" s="4">
        <v>4.5</v>
      </c>
      <c r="D8">
        <v>1</v>
      </c>
      <c r="E8">
        <f t="shared" si="0"/>
        <v>4</v>
      </c>
      <c r="F8" t="str">
        <f t="shared" si="1"/>
        <v>[3 – 6)</v>
      </c>
      <c r="G8" s="30">
        <v>1</v>
      </c>
      <c r="H8" s="38">
        <v>0.5</v>
      </c>
      <c r="I8" s="52">
        <v>0</v>
      </c>
    </row>
    <row r="9" spans="1:9" x14ac:dyDescent="0.2">
      <c r="A9" s="3" t="s">
        <v>50</v>
      </c>
      <c r="B9" s="3" t="s">
        <v>5</v>
      </c>
      <c r="C9" s="8">
        <v>4</v>
      </c>
      <c r="D9">
        <v>4</v>
      </c>
      <c r="E9">
        <f t="shared" si="0"/>
        <v>4</v>
      </c>
      <c r="F9" t="str">
        <f t="shared" si="1"/>
        <v>[3 – 6)</v>
      </c>
      <c r="G9" s="30">
        <v>7</v>
      </c>
      <c r="H9" s="38">
        <v>58.4</v>
      </c>
      <c r="I9" s="52">
        <v>0</v>
      </c>
    </row>
    <row r="10" spans="1:9" x14ac:dyDescent="0.2">
      <c r="A10" s="3" t="s">
        <v>45</v>
      </c>
      <c r="B10" s="3" t="s">
        <v>5</v>
      </c>
      <c r="C10" s="8">
        <v>18.899999999999999</v>
      </c>
      <c r="D10">
        <v>2</v>
      </c>
      <c r="E10">
        <f t="shared" si="0"/>
        <v>18</v>
      </c>
      <c r="F10" t="str">
        <f t="shared" si="1"/>
        <v>[13 – 18]</v>
      </c>
      <c r="G10" s="50">
        <v>116.12423447069116</v>
      </c>
      <c r="H10" s="30">
        <v>378.1</v>
      </c>
      <c r="I10" s="52">
        <v>0</v>
      </c>
    </row>
    <row r="11" spans="1:9" x14ac:dyDescent="0.2">
      <c r="A11" s="3" t="s">
        <v>4</v>
      </c>
      <c r="B11" s="3" t="s">
        <v>5</v>
      </c>
      <c r="C11" s="4">
        <v>6.3</v>
      </c>
      <c r="D11">
        <v>0</v>
      </c>
      <c r="E11">
        <f t="shared" si="0"/>
        <v>6</v>
      </c>
      <c r="F11" t="str">
        <f t="shared" si="1"/>
        <v>[6 – 9)</v>
      </c>
      <c r="G11" s="30">
        <f>AVERAGE(15.8,166.5)</f>
        <v>91.15</v>
      </c>
      <c r="H11" s="38">
        <f>AVERAGE(8.15,9.4)</f>
        <v>8.7750000000000004</v>
      </c>
      <c r="I11" s="54">
        <v>0</v>
      </c>
    </row>
    <row r="12" spans="1:9" x14ac:dyDescent="0.2">
      <c r="A12" s="3" t="s">
        <v>35</v>
      </c>
      <c r="B12" s="3" t="s">
        <v>5</v>
      </c>
      <c r="C12" s="9">
        <v>12</v>
      </c>
      <c r="D12">
        <v>1</v>
      </c>
      <c r="E12">
        <f t="shared" si="0"/>
        <v>12</v>
      </c>
      <c r="F12" t="str">
        <f t="shared" si="1"/>
        <v>[9 – 13)</v>
      </c>
      <c r="G12" s="30">
        <f>AVERAGE(31.4,127.79)</f>
        <v>79.594999999999999</v>
      </c>
      <c r="H12" s="30">
        <f>AVERAGE(74.9,108.08)</f>
        <v>91.490000000000009</v>
      </c>
      <c r="I12" s="52">
        <v>0</v>
      </c>
    </row>
    <row r="13" spans="1:9" x14ac:dyDescent="0.2">
      <c r="A13" s="3" t="s">
        <v>44</v>
      </c>
      <c r="B13" s="3" t="s">
        <v>5</v>
      </c>
      <c r="C13" s="8">
        <v>18.399999999999999</v>
      </c>
      <c r="D13">
        <v>2</v>
      </c>
      <c r="E13">
        <f t="shared" si="0"/>
        <v>18</v>
      </c>
      <c r="F13" t="str">
        <f t="shared" si="1"/>
        <v>[13 – 18]</v>
      </c>
      <c r="G13" s="30">
        <f>AVERAGE(26.2,103.51)</f>
        <v>64.855000000000004</v>
      </c>
      <c r="H13" s="30">
        <f>AVERAGE(63.6,87.97)</f>
        <v>75.784999999999997</v>
      </c>
      <c r="I13" s="52">
        <v>0</v>
      </c>
    </row>
    <row r="14" spans="1:9" x14ac:dyDescent="0.2">
      <c r="A14" t="s">
        <v>14</v>
      </c>
      <c r="B14" t="s">
        <v>8</v>
      </c>
      <c r="C14">
        <v>18.399999999999999</v>
      </c>
      <c r="D14">
        <v>0</v>
      </c>
      <c r="E14">
        <f t="shared" si="0"/>
        <v>18</v>
      </c>
      <c r="F14" t="str">
        <f t="shared" si="1"/>
        <v>[13 – 18]</v>
      </c>
      <c r="G14" s="30">
        <v>1</v>
      </c>
      <c r="H14" s="30">
        <v>0.6</v>
      </c>
      <c r="I14" s="52">
        <v>0</v>
      </c>
    </row>
    <row r="15" spans="1:9" x14ac:dyDescent="0.2">
      <c r="A15" t="s">
        <v>11</v>
      </c>
      <c r="B15" t="s">
        <v>8</v>
      </c>
      <c r="C15">
        <v>11.8</v>
      </c>
      <c r="D15">
        <v>0</v>
      </c>
      <c r="E15">
        <f t="shared" si="0"/>
        <v>11</v>
      </c>
      <c r="F15" t="str">
        <f t="shared" si="1"/>
        <v>[9 – 13)</v>
      </c>
      <c r="G15" s="30">
        <v>0.9</v>
      </c>
      <c r="H15" s="30">
        <v>2</v>
      </c>
      <c r="I15" s="52">
        <v>0</v>
      </c>
    </row>
    <row r="16" spans="1:9" x14ac:dyDescent="0.2">
      <c r="A16" s="3" t="s">
        <v>7</v>
      </c>
      <c r="B16" s="3" t="s">
        <v>8</v>
      </c>
      <c r="C16" s="5">
        <v>9.9700000000000006</v>
      </c>
      <c r="D16">
        <v>0</v>
      </c>
      <c r="E16">
        <f t="shared" si="0"/>
        <v>9</v>
      </c>
      <c r="F16" t="str">
        <f t="shared" si="1"/>
        <v>[9 – 13)</v>
      </c>
      <c r="G16" s="39">
        <v>1</v>
      </c>
      <c r="H16" s="38">
        <v>0.9</v>
      </c>
      <c r="I16" s="52">
        <v>0</v>
      </c>
    </row>
    <row r="17" spans="1:9" x14ac:dyDescent="0.2">
      <c r="A17" t="s">
        <v>13</v>
      </c>
      <c r="B17" s="3" t="s">
        <v>5</v>
      </c>
      <c r="C17" s="8">
        <v>16.7</v>
      </c>
      <c r="D17">
        <v>0</v>
      </c>
      <c r="E17">
        <f t="shared" si="0"/>
        <v>16</v>
      </c>
      <c r="F17" t="str">
        <f t="shared" si="1"/>
        <v>[13 – 18]</v>
      </c>
      <c r="G17" s="30">
        <v>80.849999999999994</v>
      </c>
      <c r="H17" s="30">
        <f>AVERAGE(9.7,7.299)</f>
        <v>8.4994999999999994</v>
      </c>
      <c r="I17" s="52">
        <v>0</v>
      </c>
    </row>
    <row r="18" spans="1:9" x14ac:dyDescent="0.2">
      <c r="A18" t="s">
        <v>40</v>
      </c>
      <c r="B18" s="7" t="s">
        <v>5</v>
      </c>
      <c r="C18">
        <v>11.8</v>
      </c>
      <c r="D18">
        <v>1</v>
      </c>
      <c r="E18">
        <f t="shared" si="0"/>
        <v>11</v>
      </c>
      <c r="F18" t="str">
        <f t="shared" si="1"/>
        <v>[9 – 13)</v>
      </c>
      <c r="G18" s="30">
        <v>21.3</v>
      </c>
      <c r="H18" s="30">
        <v>87.3</v>
      </c>
      <c r="I18" s="52">
        <v>0</v>
      </c>
    </row>
    <row r="19" spans="1:9" x14ac:dyDescent="0.2">
      <c r="A19" s="3" t="s">
        <v>38</v>
      </c>
      <c r="B19" s="3" t="s">
        <v>5</v>
      </c>
      <c r="C19" s="4">
        <v>16.3</v>
      </c>
      <c r="D19">
        <v>1</v>
      </c>
      <c r="E19">
        <f t="shared" si="0"/>
        <v>16</v>
      </c>
      <c r="F19" t="str">
        <f t="shared" si="1"/>
        <v>[13 – 18]</v>
      </c>
      <c r="G19" s="30">
        <v>20.100000000000001</v>
      </c>
      <c r="H19" s="57">
        <v>86</v>
      </c>
      <c r="I19" s="52">
        <v>0</v>
      </c>
    </row>
    <row r="20" spans="1:9" x14ac:dyDescent="0.2">
      <c r="A20" t="s">
        <v>26</v>
      </c>
      <c r="B20" t="s">
        <v>8</v>
      </c>
      <c r="C20">
        <v>11.5</v>
      </c>
      <c r="D20">
        <v>1</v>
      </c>
      <c r="E20">
        <f t="shared" si="0"/>
        <v>11</v>
      </c>
      <c r="F20" t="str">
        <f t="shared" si="1"/>
        <v>[9 – 13)</v>
      </c>
      <c r="G20" s="30">
        <v>2</v>
      </c>
      <c r="H20" s="30">
        <v>1.3</v>
      </c>
      <c r="I20" s="52">
        <v>0</v>
      </c>
    </row>
    <row r="21" spans="1:9" x14ac:dyDescent="0.2">
      <c r="A21" s="6" t="s">
        <v>9</v>
      </c>
      <c r="B21" s="7" t="s">
        <v>5</v>
      </c>
      <c r="C21">
        <v>11.5</v>
      </c>
      <c r="D21">
        <v>0</v>
      </c>
      <c r="E21">
        <f t="shared" si="0"/>
        <v>11</v>
      </c>
      <c r="F21" t="str">
        <f t="shared" si="1"/>
        <v>[9 – 13)</v>
      </c>
      <c r="G21" s="44">
        <v>9.1999999999999993</v>
      </c>
      <c r="H21" s="59">
        <v>13.9</v>
      </c>
      <c r="I21" s="52">
        <v>0</v>
      </c>
    </row>
    <row r="22" spans="1:9" x14ac:dyDescent="0.2">
      <c r="A22" t="s">
        <v>10</v>
      </c>
      <c r="B22" t="s">
        <v>8</v>
      </c>
      <c r="C22">
        <v>11.75</v>
      </c>
      <c r="D22">
        <v>0</v>
      </c>
      <c r="E22">
        <f t="shared" si="0"/>
        <v>11</v>
      </c>
      <c r="F22" t="str">
        <f t="shared" si="1"/>
        <v>[9 – 13)</v>
      </c>
      <c r="G22" s="40">
        <v>0.5</v>
      </c>
      <c r="H22" s="40">
        <v>1</v>
      </c>
      <c r="I22" s="52">
        <v>0</v>
      </c>
    </row>
    <row r="23" spans="1:9" x14ac:dyDescent="0.2">
      <c r="A23" s="3" t="s">
        <v>36</v>
      </c>
      <c r="B23" s="3" t="s">
        <v>8</v>
      </c>
      <c r="C23" s="8">
        <v>15.6</v>
      </c>
      <c r="D23">
        <v>1</v>
      </c>
      <c r="E23">
        <f t="shared" si="0"/>
        <v>15</v>
      </c>
      <c r="F23" t="str">
        <f t="shared" si="1"/>
        <v>[13 – 18]</v>
      </c>
      <c r="G23" s="30">
        <v>0.9</v>
      </c>
      <c r="H23" s="38">
        <v>1.3</v>
      </c>
      <c r="I23" s="52">
        <v>0</v>
      </c>
    </row>
    <row r="24" spans="1:9" x14ac:dyDescent="0.2">
      <c r="A24" t="s">
        <v>27</v>
      </c>
      <c r="B24" t="s">
        <v>8</v>
      </c>
      <c r="C24">
        <v>11.6</v>
      </c>
      <c r="D24">
        <v>1</v>
      </c>
      <c r="E24">
        <f t="shared" si="0"/>
        <v>11</v>
      </c>
      <c r="F24" t="str">
        <f t="shared" si="1"/>
        <v>[9 – 13)</v>
      </c>
      <c r="G24" s="30">
        <v>0.5</v>
      </c>
      <c r="H24" s="30">
        <v>0.7</v>
      </c>
      <c r="I24" s="52">
        <v>0</v>
      </c>
    </row>
    <row r="25" spans="1:9" x14ac:dyDescent="0.2">
      <c r="A25" s="3" t="s">
        <v>39</v>
      </c>
      <c r="B25" s="3" t="s">
        <v>8</v>
      </c>
      <c r="C25" s="9">
        <v>3.5</v>
      </c>
      <c r="D25">
        <v>1</v>
      </c>
      <c r="E25">
        <f t="shared" si="0"/>
        <v>3</v>
      </c>
      <c r="F25" t="str">
        <f t="shared" si="1"/>
        <v>[3 – 6)</v>
      </c>
      <c r="G25" s="30">
        <v>0.9</v>
      </c>
      <c r="H25" s="38">
        <v>1.1000000000000001</v>
      </c>
      <c r="I25" s="52">
        <v>0</v>
      </c>
    </row>
    <row r="26" spans="1:9" x14ac:dyDescent="0.2">
      <c r="A26" t="s">
        <v>46</v>
      </c>
      <c r="B26" s="7" t="s">
        <v>5</v>
      </c>
      <c r="C26">
        <v>11.6</v>
      </c>
      <c r="D26">
        <v>3</v>
      </c>
      <c r="E26">
        <f t="shared" si="0"/>
        <v>11</v>
      </c>
      <c r="F26" t="str">
        <f t="shared" si="1"/>
        <v>[9 – 13)</v>
      </c>
      <c r="G26" s="30">
        <v>10.6</v>
      </c>
      <c r="H26" s="30">
        <v>15</v>
      </c>
      <c r="I26" s="52">
        <v>0</v>
      </c>
    </row>
    <row r="27" spans="1:9" x14ac:dyDescent="0.2">
      <c r="A27" s="3" t="s">
        <v>12</v>
      </c>
      <c r="B27" s="3" t="s">
        <v>5</v>
      </c>
      <c r="C27" s="8">
        <v>15.8</v>
      </c>
      <c r="D27">
        <v>0</v>
      </c>
      <c r="E27">
        <f t="shared" si="0"/>
        <v>15</v>
      </c>
      <c r="F27" t="str">
        <f t="shared" si="1"/>
        <v>[13 – 18]</v>
      </c>
      <c r="G27" s="30">
        <f>AVERAGE(15.2,211.4)</f>
        <v>113.3</v>
      </c>
      <c r="H27" s="30">
        <f>AVERAGE(9.8,9.55)</f>
        <v>9.6750000000000007</v>
      </c>
      <c r="I27" s="52">
        <v>0</v>
      </c>
    </row>
    <row r="28" spans="1:9" x14ac:dyDescent="0.2">
      <c r="A28" s="3" t="s">
        <v>37</v>
      </c>
      <c r="B28" s="3" t="s">
        <v>5</v>
      </c>
      <c r="C28" s="8">
        <v>15.8</v>
      </c>
      <c r="D28">
        <v>2</v>
      </c>
      <c r="E28">
        <f t="shared" si="0"/>
        <v>15</v>
      </c>
      <c r="F28" t="str">
        <f t="shared" si="1"/>
        <v>[13 – 18]</v>
      </c>
      <c r="G28" s="30">
        <f>AVERAGE(18.7,241.5)</f>
        <v>130.1</v>
      </c>
      <c r="H28" s="40">
        <f>AVERAGE(12.4,9.18)</f>
        <v>10.79</v>
      </c>
      <c r="I28" s="52">
        <v>0</v>
      </c>
    </row>
    <row r="29" spans="1:9" x14ac:dyDescent="0.2">
      <c r="A29" t="s">
        <v>41</v>
      </c>
      <c r="B29" t="s">
        <v>8</v>
      </c>
      <c r="C29">
        <v>4.8</v>
      </c>
      <c r="D29">
        <v>1</v>
      </c>
      <c r="E29">
        <f t="shared" si="0"/>
        <v>4</v>
      </c>
      <c r="F29" t="str">
        <f t="shared" si="1"/>
        <v>[3 – 6)</v>
      </c>
      <c r="G29" s="40">
        <v>0.9</v>
      </c>
      <c r="H29" s="40">
        <v>0.51205201798277922</v>
      </c>
      <c r="I29" s="52">
        <v>0</v>
      </c>
    </row>
    <row r="30" spans="1:9" x14ac:dyDescent="0.2">
      <c r="A30" t="s">
        <v>16</v>
      </c>
      <c r="B30" t="s">
        <v>8</v>
      </c>
      <c r="C30">
        <v>4.8</v>
      </c>
      <c r="D30">
        <v>0</v>
      </c>
      <c r="E30">
        <f t="shared" si="0"/>
        <v>4</v>
      </c>
      <c r="F30" t="str">
        <f t="shared" si="1"/>
        <v>[3 – 6)</v>
      </c>
      <c r="G30" s="30">
        <v>1.1000000000000001</v>
      </c>
      <c r="H30" s="30">
        <v>0.68121205963780451</v>
      </c>
      <c r="I30" s="52">
        <v>0</v>
      </c>
    </row>
    <row r="31" spans="1:9" x14ac:dyDescent="0.2">
      <c r="A31" t="s">
        <v>31</v>
      </c>
      <c r="B31" t="s">
        <v>5</v>
      </c>
      <c r="C31">
        <v>1</v>
      </c>
      <c r="D31">
        <v>1</v>
      </c>
      <c r="E31">
        <f t="shared" si="0"/>
        <v>1</v>
      </c>
      <c r="F31" t="str">
        <f t="shared" si="1"/>
        <v>[1 – 3)</v>
      </c>
      <c r="G31" s="30">
        <v>1</v>
      </c>
      <c r="H31" s="30">
        <v>0.8</v>
      </c>
      <c r="I31" s="52">
        <v>0</v>
      </c>
    </row>
    <row r="32" spans="1:9" x14ac:dyDescent="0.2">
      <c r="A32" t="s">
        <v>32</v>
      </c>
      <c r="B32" t="s">
        <v>5</v>
      </c>
      <c r="C32">
        <v>1</v>
      </c>
      <c r="D32">
        <v>1</v>
      </c>
      <c r="E32">
        <f t="shared" si="0"/>
        <v>1</v>
      </c>
      <c r="F32" t="str">
        <f t="shared" si="1"/>
        <v>[1 – 3)</v>
      </c>
      <c r="G32" s="49">
        <v>0.9</v>
      </c>
      <c r="H32" s="49">
        <v>0.73721774910467097</v>
      </c>
      <c r="I32" s="52">
        <v>0</v>
      </c>
    </row>
    <row r="33" spans="1:9" x14ac:dyDescent="0.2">
      <c r="A33" t="s">
        <v>33</v>
      </c>
      <c r="B33" t="s">
        <v>5</v>
      </c>
      <c r="C33">
        <v>1</v>
      </c>
      <c r="D33">
        <v>1</v>
      </c>
      <c r="E33">
        <f t="shared" si="0"/>
        <v>1</v>
      </c>
      <c r="F33" t="str">
        <f t="shared" si="1"/>
        <v>[1 – 3)</v>
      </c>
      <c r="G33" s="30">
        <v>1.2</v>
      </c>
      <c r="H33" s="30">
        <v>1</v>
      </c>
      <c r="I33" s="52">
        <v>0</v>
      </c>
    </row>
    <row r="34" spans="1:9" x14ac:dyDescent="0.2">
      <c r="A34" t="s">
        <v>34</v>
      </c>
      <c r="B34" t="s">
        <v>5</v>
      </c>
      <c r="C34">
        <v>1</v>
      </c>
      <c r="D34">
        <v>1</v>
      </c>
      <c r="E34">
        <f t="shared" si="0"/>
        <v>1</v>
      </c>
      <c r="F34" t="str">
        <f t="shared" ref="F34:F55" si="2">IF($E34&lt;3,"[1 – 3)",IF($E34&lt;6,"[3 – 6)",IF($E34&lt;9,"[6 – 9)",IF($E34&lt;13,"[9 – 13)","[13 – 18]"))))</f>
        <v>[1 – 3)</v>
      </c>
      <c r="G34" s="30">
        <v>1</v>
      </c>
      <c r="H34" s="30">
        <v>1.1000000000000001</v>
      </c>
      <c r="I34" s="52">
        <v>0</v>
      </c>
    </row>
    <row r="35" spans="1:9" x14ac:dyDescent="0.2">
      <c r="A35" s="47" t="s">
        <v>85</v>
      </c>
      <c r="B35" s="47" t="s">
        <v>8</v>
      </c>
      <c r="C35" s="47">
        <v>3.2</v>
      </c>
      <c r="D35" s="47">
        <v>0</v>
      </c>
      <c r="E35" s="47">
        <v>3</v>
      </c>
      <c r="F35" t="str">
        <f t="shared" si="2"/>
        <v>[3 – 6)</v>
      </c>
      <c r="G35" s="47">
        <v>0.87219382084907759</v>
      </c>
      <c r="H35" s="48">
        <v>0.9339622641509433</v>
      </c>
      <c r="I35" s="53">
        <v>0</v>
      </c>
    </row>
    <row r="36" spans="1:9" x14ac:dyDescent="0.2">
      <c r="A36" s="47" t="s">
        <v>86</v>
      </c>
      <c r="B36" s="47" t="s">
        <v>8</v>
      </c>
      <c r="C36" s="47">
        <v>3.2</v>
      </c>
      <c r="D36" s="47">
        <v>0</v>
      </c>
      <c r="E36" s="47">
        <v>3</v>
      </c>
      <c r="F36" t="str">
        <f t="shared" si="2"/>
        <v>[3 – 6)</v>
      </c>
      <c r="G36" s="47">
        <v>0.94420982440542356</v>
      </c>
      <c r="H36" s="48">
        <v>0.92688679245283012</v>
      </c>
      <c r="I36" s="53">
        <v>0</v>
      </c>
    </row>
    <row r="37" spans="1:9" x14ac:dyDescent="0.2">
      <c r="A37" s="47" t="s">
        <v>87</v>
      </c>
      <c r="B37" s="47" t="s">
        <v>8</v>
      </c>
      <c r="C37" s="47">
        <v>3.2</v>
      </c>
      <c r="D37" s="47">
        <v>0</v>
      </c>
      <c r="E37" s="47">
        <v>3</v>
      </c>
      <c r="F37" t="str">
        <f t="shared" si="2"/>
        <v>[3 – 6)</v>
      </c>
      <c r="G37" s="47">
        <v>1.1835963547454991</v>
      </c>
      <c r="H37" s="48">
        <v>1.1391509433962264</v>
      </c>
      <c r="I37" s="53">
        <v>0</v>
      </c>
    </row>
    <row r="38" spans="1:9" x14ac:dyDescent="0.2">
      <c r="A38" t="s">
        <v>20</v>
      </c>
      <c r="B38" t="s">
        <v>8</v>
      </c>
      <c r="C38">
        <v>11</v>
      </c>
      <c r="D38">
        <v>0</v>
      </c>
      <c r="E38">
        <f t="shared" ref="E38:E46" si="3">IF($C38&lt;2,1,IF($C38&lt;3,2,IF($C38&lt;4,3,IF($C38&lt;5,4,IF($C38&lt;6,5,IF($C38&lt;7,6,IF($C38&lt;8,7,IF($C38&lt;9,8,IF($C38&lt;10,9,IF($C38&lt;11,10,IF($C38&lt;12,11,IF($C38&lt;13,12,IF($C38&lt;14,13,IF($C38&lt;15,14,IF($C38&lt;16,15,IF($C38&lt;17,16,IF($C38&lt;18,17,IF($C38&lt;19,18,IF($C38&lt;20,19,20)))))))))))))))))))</f>
        <v>11</v>
      </c>
      <c r="F38" t="str">
        <f t="shared" si="2"/>
        <v>[9 – 13)</v>
      </c>
      <c r="G38" s="30">
        <v>1</v>
      </c>
      <c r="H38" s="30">
        <v>1.3</v>
      </c>
      <c r="I38" s="52">
        <v>0</v>
      </c>
    </row>
    <row r="39" spans="1:9" x14ac:dyDescent="0.2">
      <c r="A39" t="s">
        <v>25</v>
      </c>
      <c r="B39" t="s">
        <v>5</v>
      </c>
      <c r="C39">
        <v>10</v>
      </c>
      <c r="D39">
        <v>0</v>
      </c>
      <c r="E39">
        <f t="shared" si="3"/>
        <v>10</v>
      </c>
      <c r="F39" t="str">
        <f t="shared" si="2"/>
        <v>[9 – 13)</v>
      </c>
      <c r="G39" s="43">
        <v>224.9</v>
      </c>
      <c r="H39" s="30">
        <v>180.2</v>
      </c>
      <c r="I39" s="52">
        <v>0</v>
      </c>
    </row>
    <row r="40" spans="1:9" x14ac:dyDescent="0.2">
      <c r="A40" t="s">
        <v>21</v>
      </c>
      <c r="B40" t="s">
        <v>8</v>
      </c>
      <c r="C40">
        <v>10</v>
      </c>
      <c r="D40">
        <v>0</v>
      </c>
      <c r="E40">
        <f t="shared" si="3"/>
        <v>10</v>
      </c>
      <c r="F40" t="str">
        <f t="shared" si="2"/>
        <v>[9 – 13)</v>
      </c>
      <c r="G40" s="30">
        <v>1.1000000000000001</v>
      </c>
      <c r="H40" s="30">
        <v>1.6</v>
      </c>
      <c r="I40" s="52">
        <v>0</v>
      </c>
    </row>
    <row r="41" spans="1:9" x14ac:dyDescent="0.2">
      <c r="A41" t="s">
        <v>22</v>
      </c>
      <c r="B41" t="s">
        <v>8</v>
      </c>
      <c r="C41">
        <v>10</v>
      </c>
      <c r="D41">
        <v>0</v>
      </c>
      <c r="E41">
        <f t="shared" si="3"/>
        <v>10</v>
      </c>
      <c r="F41" t="str">
        <f t="shared" si="2"/>
        <v>[9 – 13)</v>
      </c>
      <c r="G41" s="30">
        <v>1</v>
      </c>
      <c r="H41" s="30">
        <v>0.5</v>
      </c>
      <c r="I41" s="52">
        <v>0</v>
      </c>
    </row>
    <row r="42" spans="1:9" x14ac:dyDescent="0.2">
      <c r="A42" t="s">
        <v>29</v>
      </c>
      <c r="B42" t="s">
        <v>8</v>
      </c>
      <c r="C42">
        <v>1</v>
      </c>
      <c r="D42">
        <v>1</v>
      </c>
      <c r="E42">
        <f t="shared" si="3"/>
        <v>1</v>
      </c>
      <c r="F42" t="str">
        <f t="shared" si="2"/>
        <v>[1 – 3)</v>
      </c>
      <c r="G42" s="30">
        <v>1</v>
      </c>
      <c r="H42" s="30">
        <v>1</v>
      </c>
      <c r="I42" s="52">
        <v>0</v>
      </c>
    </row>
    <row r="43" spans="1:9" x14ac:dyDescent="0.2">
      <c r="A43" s="3" t="s">
        <v>30</v>
      </c>
      <c r="B43" t="s">
        <v>8</v>
      </c>
      <c r="C43">
        <v>1</v>
      </c>
      <c r="D43">
        <v>1</v>
      </c>
      <c r="E43">
        <f t="shared" si="3"/>
        <v>1</v>
      </c>
      <c r="F43" t="str">
        <f t="shared" si="2"/>
        <v>[1 – 3)</v>
      </c>
      <c r="G43" s="30">
        <v>1.1000000000000001</v>
      </c>
      <c r="H43" s="30">
        <v>0.7</v>
      </c>
      <c r="I43" s="52">
        <v>0</v>
      </c>
    </row>
    <row r="44" spans="1:9" x14ac:dyDescent="0.2">
      <c r="A44" t="s">
        <v>48</v>
      </c>
      <c r="B44" t="s">
        <v>5</v>
      </c>
      <c r="C44">
        <v>8</v>
      </c>
      <c r="D44">
        <v>4</v>
      </c>
      <c r="E44">
        <f t="shared" si="3"/>
        <v>8</v>
      </c>
      <c r="F44" t="str">
        <f t="shared" si="2"/>
        <v>[6 – 9)</v>
      </c>
      <c r="G44" s="42">
        <v>190.6</v>
      </c>
      <c r="H44" s="41">
        <v>94.8</v>
      </c>
      <c r="I44" s="52">
        <v>1</v>
      </c>
    </row>
    <row r="45" spans="1:9" x14ac:dyDescent="0.2">
      <c r="A45" s="3" t="s">
        <v>66</v>
      </c>
      <c r="B45" s="3" t="s">
        <v>5</v>
      </c>
      <c r="C45">
        <v>6.3</v>
      </c>
      <c r="D45">
        <v>2</v>
      </c>
      <c r="E45">
        <f t="shared" si="3"/>
        <v>6</v>
      </c>
      <c r="F45" t="str">
        <f t="shared" si="2"/>
        <v>[6 – 9)</v>
      </c>
      <c r="G45" s="30">
        <f>AVERAGE(5.7,73.1)</f>
        <v>39.4</v>
      </c>
      <c r="H45" s="38">
        <f>AVERAGE(7.2,7.6)</f>
        <v>7.4</v>
      </c>
      <c r="I45" s="54">
        <v>1</v>
      </c>
    </row>
    <row r="46" spans="1:9" x14ac:dyDescent="0.2">
      <c r="A46" s="3" t="s">
        <v>6</v>
      </c>
      <c r="B46" s="3" t="s">
        <v>5</v>
      </c>
      <c r="C46" s="4">
        <v>6.3</v>
      </c>
      <c r="D46">
        <v>0</v>
      </c>
      <c r="E46">
        <f t="shared" si="3"/>
        <v>6</v>
      </c>
      <c r="F46" t="str">
        <f t="shared" si="2"/>
        <v>[6 – 9)</v>
      </c>
      <c r="G46" s="30">
        <f>AVERAGE(1.5,6)</f>
        <v>3.75</v>
      </c>
      <c r="H46" s="38">
        <f>AVERAGE(6,9.8)</f>
        <v>7.9</v>
      </c>
      <c r="I46" s="54">
        <v>1</v>
      </c>
    </row>
    <row r="47" spans="1:9" x14ac:dyDescent="0.2">
      <c r="A47" s="47" t="s">
        <v>88</v>
      </c>
      <c r="B47" s="47" t="s">
        <v>5</v>
      </c>
      <c r="C47" s="47">
        <v>3.2</v>
      </c>
      <c r="D47" s="47">
        <v>4</v>
      </c>
      <c r="E47" s="47">
        <v>3</v>
      </c>
      <c r="F47" t="str">
        <f t="shared" si="2"/>
        <v>[3 – 6)</v>
      </c>
      <c r="G47" s="47">
        <v>51.456215054112498</v>
      </c>
      <c r="H47" s="48">
        <v>171.30778301886792</v>
      </c>
      <c r="I47" s="53">
        <v>1</v>
      </c>
    </row>
    <row r="48" spans="1:9" x14ac:dyDescent="0.2">
      <c r="A48" t="s">
        <v>42</v>
      </c>
      <c r="B48" t="s">
        <v>5</v>
      </c>
      <c r="C48">
        <v>4.8</v>
      </c>
      <c r="D48">
        <v>1</v>
      </c>
      <c r="E48">
        <f>IF($C48&lt;2,1,IF($C48&lt;3,2,IF($C48&lt;4,3,IF($C48&lt;5,4,IF($C48&lt;6,5,IF($C48&lt;7,6,IF($C48&lt;8,7,IF($C48&lt;9,8,IF($C48&lt;10,9,IF($C48&lt;11,10,IF($C48&lt;12,11,IF($C48&lt;13,12,IF($C48&lt;14,13,IF($C48&lt;15,14,IF($C48&lt;16,15,IF($C48&lt;17,16,IF($C48&lt;18,17,IF($C48&lt;19,18,IF($C48&lt;20,19,20)))))))))))))))))))</f>
        <v>4</v>
      </c>
      <c r="F48" t="str">
        <f t="shared" si="2"/>
        <v>[3 – 6)</v>
      </c>
      <c r="G48" s="45">
        <v>36.9</v>
      </c>
      <c r="H48" s="46">
        <v>4.8</v>
      </c>
      <c r="I48" s="54">
        <v>2</v>
      </c>
    </row>
    <row r="49" spans="1:9" x14ac:dyDescent="0.2">
      <c r="A49" t="s">
        <v>43</v>
      </c>
      <c r="B49" t="s">
        <v>5</v>
      </c>
      <c r="C49">
        <v>4.8</v>
      </c>
      <c r="D49">
        <v>1</v>
      </c>
      <c r="E49">
        <f>IF($C49&lt;2,1,IF($C49&lt;3,2,IF($C49&lt;4,3,IF($C49&lt;5,4,IF($C49&lt;6,5,IF($C49&lt;7,6,IF($C49&lt;8,7,IF($C49&lt;9,8,IF($C49&lt;10,9,IF($C49&lt;11,10,IF($C49&lt;12,11,IF($C49&lt;13,12,IF($C49&lt;14,13,IF($C49&lt;15,14,IF($C49&lt;16,15,IF($C49&lt;17,16,IF($C49&lt;18,17,IF($C49&lt;19,18,IF($C49&lt;20,19,20)))))))))))))))))))</f>
        <v>4</v>
      </c>
      <c r="F49" t="str">
        <f t="shared" si="2"/>
        <v>[3 – 6)</v>
      </c>
      <c r="G49" s="45">
        <v>9.9</v>
      </c>
      <c r="H49" s="46">
        <v>84.2</v>
      </c>
      <c r="I49" s="54">
        <v>2</v>
      </c>
    </row>
    <row r="50" spans="1:9" x14ac:dyDescent="0.2">
      <c r="A50" s="47" t="s">
        <v>89</v>
      </c>
      <c r="B50" s="47" t="s">
        <v>5</v>
      </c>
      <c r="C50" s="47">
        <v>3.2</v>
      </c>
      <c r="D50" s="47">
        <v>3</v>
      </c>
      <c r="E50" s="47">
        <v>3</v>
      </c>
      <c r="F50" t="str">
        <f t="shared" si="2"/>
        <v>[3 – 6)</v>
      </c>
      <c r="G50" s="47">
        <v>1.4383196265836853</v>
      </c>
      <c r="H50" s="48">
        <v>3.0707547169811318</v>
      </c>
      <c r="I50" s="53">
        <v>2</v>
      </c>
    </row>
    <row r="51" spans="1:9" x14ac:dyDescent="0.2">
      <c r="A51" s="47" t="s">
        <v>90</v>
      </c>
      <c r="B51" s="47" t="s">
        <v>5</v>
      </c>
      <c r="C51" s="47">
        <v>3.2</v>
      </c>
      <c r="D51" s="47">
        <v>4</v>
      </c>
      <c r="E51" s="47">
        <v>3</v>
      </c>
      <c r="F51" t="str">
        <f t="shared" si="2"/>
        <v>[3 – 6)</v>
      </c>
      <c r="G51" s="58">
        <v>1.8537452767281617</v>
      </c>
      <c r="H51" s="60">
        <v>85.195754716981128</v>
      </c>
      <c r="I51" s="53">
        <v>2</v>
      </c>
    </row>
    <row r="52" spans="1:9" x14ac:dyDescent="0.2">
      <c r="A52" t="s">
        <v>47</v>
      </c>
      <c r="B52" t="s">
        <v>5</v>
      </c>
      <c r="C52">
        <v>5</v>
      </c>
      <c r="D52">
        <v>4</v>
      </c>
      <c r="E52">
        <f>IF($C52&lt;2,1,IF($C52&lt;3,2,IF($C52&lt;4,3,IF($C52&lt;5,4,IF($C52&lt;6,5,IF($C52&lt;7,6,IF($C52&lt;8,7,IF($C52&lt;9,8,IF($C52&lt;10,9,IF($C52&lt;11,10,IF($C52&lt;12,11,IF($C52&lt;13,12,IF($C52&lt;14,13,IF($C52&lt;15,14,IF($C52&lt;16,15,IF($C52&lt;17,16,IF($C52&lt;18,17,IF($C52&lt;19,18,IF($C52&lt;20,19,20)))))))))))))))))))</f>
        <v>5</v>
      </c>
      <c r="F52" t="str">
        <f t="shared" si="2"/>
        <v>[3 – 6)</v>
      </c>
      <c r="G52" s="43">
        <v>364.2</v>
      </c>
      <c r="H52" s="51">
        <v>187.4</v>
      </c>
      <c r="I52" s="56"/>
    </row>
    <row r="53" spans="1:9" x14ac:dyDescent="0.2">
      <c r="A53" s="3" t="s">
        <v>49</v>
      </c>
      <c r="B53" s="3" t="s">
        <v>5</v>
      </c>
      <c r="C53" s="8">
        <v>4</v>
      </c>
      <c r="D53">
        <v>4</v>
      </c>
      <c r="E53">
        <f>IF($C53&lt;2,1,IF($C53&lt;3,2,IF($C53&lt;4,3,IF($C53&lt;5,4,IF($C53&lt;6,5,IF($C53&lt;7,6,IF($C53&lt;8,7,IF($C53&lt;9,8,IF($C53&lt;10,9,IF($C53&lt;11,10,IF($C53&lt;12,11,IF($C53&lt;13,12,IF($C53&lt;14,13,IF($C53&lt;15,14,IF($C53&lt;16,15,IF($C53&lt;17,16,IF($C53&lt;18,17,IF($C53&lt;19,18,IF($C53&lt;20,19,20)))))))))))))))))))</f>
        <v>4</v>
      </c>
      <c r="F53" t="str">
        <f t="shared" si="2"/>
        <v>[3 – 6)</v>
      </c>
      <c r="G53" s="30">
        <v>0.8</v>
      </c>
      <c r="H53" s="38">
        <v>1.3</v>
      </c>
      <c r="I53" s="55"/>
    </row>
    <row r="54" spans="1:9" x14ac:dyDescent="0.2">
      <c r="A54" s="3" t="s">
        <v>68</v>
      </c>
      <c r="B54" s="3" t="s">
        <v>8</v>
      </c>
      <c r="C54">
        <v>16.600000000000001</v>
      </c>
      <c r="D54">
        <v>1</v>
      </c>
      <c r="E54">
        <f>IF($C54&lt;2,1,IF($C54&lt;3,2,IF($C54&lt;4,3,IF($C54&lt;5,4,IF($C54&lt;6,5,IF($C54&lt;7,6,IF($C54&lt;8,7,IF($C54&lt;9,8,IF($C54&lt;10,9,IF($C54&lt;11,10,IF($C54&lt;12,11,IF($C54&lt;13,12,IF($C54&lt;14,13,IF($C54&lt;15,14,IF($C54&lt;16,15,IF($C54&lt;17,16,IF($C54&lt;18,17,IF($C54&lt;19,18,IF($C54&lt;20,19,20)))))))))))))))))))</f>
        <v>16</v>
      </c>
      <c r="F54" t="str">
        <f t="shared" si="2"/>
        <v>[13 – 18]</v>
      </c>
      <c r="G54" s="30">
        <v>0.9</v>
      </c>
      <c r="H54" s="30">
        <v>1</v>
      </c>
      <c r="I54" s="55"/>
    </row>
    <row r="55" spans="1:9" x14ac:dyDescent="0.2">
      <c r="A55" t="s">
        <v>24</v>
      </c>
      <c r="B55" t="s">
        <v>5</v>
      </c>
      <c r="C55">
        <v>10</v>
      </c>
      <c r="D55">
        <v>0</v>
      </c>
      <c r="E55">
        <f>IF($C55&lt;2,1,IF($C55&lt;3,2,IF($C55&lt;4,3,IF($C55&lt;5,4,IF($C55&lt;6,5,IF($C55&lt;7,6,IF($C55&lt;8,7,IF($C55&lt;9,8,IF($C55&lt;10,9,IF($C55&lt;11,10,IF($C55&lt;12,11,IF($C55&lt;13,12,IF($C55&lt;14,13,IF($C55&lt;15,14,IF($C55&lt;16,15,IF($C55&lt;17,16,IF($C55&lt;18,17,IF($C55&lt;19,18,IF($C55&lt;20,19,20)))))))))))))))))))</f>
        <v>10</v>
      </c>
      <c r="F55" t="str">
        <f t="shared" si="2"/>
        <v>[9 – 13)</v>
      </c>
      <c r="G55" s="30">
        <f>AVERAGE(5.1,1.3)</f>
        <v>3.1999999999999997</v>
      </c>
      <c r="H55" s="30">
        <f>AVERAGE(5.4,5.38)</f>
        <v>5.3900000000000006</v>
      </c>
    </row>
  </sheetData>
  <conditionalFormatting sqref="A2:A29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_mann (2)</vt:lpstr>
      <vt:lpstr>skoor+ifn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Maksym Zarodniuk</cp:lastModifiedBy>
  <dcterms:created xsi:type="dcterms:W3CDTF">2022-04-27T10:22:02Z</dcterms:created>
  <dcterms:modified xsi:type="dcterms:W3CDTF">2025-01-03T14:37:47Z</dcterms:modified>
</cp:coreProperties>
</file>