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gruber/Desktop/Flo/base_simulation_co2_geothermal/"/>
    </mc:Choice>
  </mc:AlternateContent>
  <xr:revisionPtr revIDLastSave="0" documentId="13_ncr:1_{D0768EFE-D8A4-4844-A172-B311C7F13E75}" xr6:coauthVersionLast="47" xr6:coauthVersionMax="47" xr10:uidLastSave="{00000000-0000-0000-0000-000000000000}"/>
  <bookViews>
    <workbookView xWindow="380" yWindow="500" windowWidth="27440" windowHeight="16280" xr2:uid="{AF638D10-AB6C-9843-9DA1-86F242BAB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1" l="1"/>
  <c r="U29" i="1"/>
  <c r="W29" i="1"/>
  <c r="Y29" i="1"/>
  <c r="AA29" i="1"/>
  <c r="K39" i="1"/>
  <c r="K41" i="1"/>
  <c r="K37" i="1"/>
  <c r="X2" i="1"/>
  <c r="U26" i="1"/>
  <c r="U23" i="1"/>
  <c r="U20" i="1"/>
  <c r="U17" i="1"/>
  <c r="U14" i="1"/>
  <c r="U5" i="1"/>
  <c r="U2" i="1"/>
  <c r="W26" i="1"/>
  <c r="W23" i="1"/>
  <c r="W20" i="1"/>
  <c r="W14" i="1"/>
  <c r="W5" i="1"/>
  <c r="W2" i="1"/>
  <c r="Y26" i="1"/>
  <c r="AA26" i="1"/>
  <c r="Y23" i="1"/>
  <c r="AA23" i="1"/>
  <c r="Y20" i="1"/>
  <c r="AA20" i="1"/>
  <c r="AA17" i="1"/>
  <c r="Y17" i="1"/>
  <c r="Y14" i="1"/>
  <c r="AA14" i="1"/>
  <c r="AA5" i="1"/>
  <c r="Y5" i="1"/>
  <c r="AA2" i="1"/>
  <c r="Y2" i="1"/>
  <c r="C34" i="1"/>
  <c r="K30" i="1"/>
  <c r="K27" i="1"/>
  <c r="R26" i="1" a="1"/>
  <c r="R26" i="1" s="1"/>
  <c r="K26" i="1"/>
  <c r="J41" i="1"/>
  <c r="O41" i="1" s="1"/>
  <c r="E41" i="1"/>
  <c r="J39" i="1"/>
  <c r="O39" i="1" s="1"/>
  <c r="E39" i="1"/>
  <c r="J37" i="1"/>
  <c r="O37" i="1" s="1"/>
  <c r="E37" i="1"/>
  <c r="R2" i="1" a="1"/>
  <c r="R2" i="1" s="1"/>
  <c r="K3" i="1"/>
  <c r="K5" i="1"/>
  <c r="K6" i="1"/>
  <c r="K8" i="1"/>
  <c r="K9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<sst xmlns="http://schemas.openxmlformats.org/spreadsheetml/2006/main" count="269" uniqueCount="158">
  <si>
    <t>Description</t>
  </si>
  <si>
    <t xml:space="preserve">Reference </t>
  </si>
  <si>
    <t>Inj. Temperature [°C]</t>
  </si>
  <si>
    <t>Well Spacing [m]</t>
  </si>
  <si>
    <t>Case No.</t>
  </si>
  <si>
    <t>Permeability [m2]</t>
  </si>
  <si>
    <t>Reservoir width [m]</t>
  </si>
  <si>
    <t>Reservoir thickness [m]</t>
  </si>
  <si>
    <t>FileName</t>
  </si>
  <si>
    <t>Flow rate [m3/s]</t>
  </si>
  <si>
    <t>mass flow water [kg/s]</t>
  </si>
  <si>
    <t>masss flow CO2 [kg/s]</t>
  </si>
  <si>
    <t>-</t>
  </si>
  <si>
    <t>Total Enthalpy produced [J]</t>
  </si>
  <si>
    <t>Water</t>
  </si>
  <si>
    <t>1A</t>
  </si>
  <si>
    <t>1B</t>
  </si>
  <si>
    <t>2A</t>
  </si>
  <si>
    <t>2B</t>
  </si>
  <si>
    <t>3A</t>
  </si>
  <si>
    <t>3B</t>
  </si>
  <si>
    <t>4A</t>
  </si>
  <si>
    <t>4B</t>
  </si>
  <si>
    <t>Res. Temp [°C]</t>
  </si>
  <si>
    <t>0.15</t>
  </si>
  <si>
    <t>Data reference @ [x,y,z]</t>
  </si>
  <si>
    <t>0,525,0</t>
  </si>
  <si>
    <t>Time [years]</t>
  </si>
  <si>
    <t>Time [s]</t>
  </si>
  <si>
    <t>Mesh File</t>
  </si>
  <si>
    <t>task_2D</t>
  </si>
  <si>
    <t>Thickness [m]</t>
  </si>
  <si>
    <t>Injection mass flow rates</t>
  </si>
  <si>
    <t>Pressure Mpa</t>
  </si>
  <si>
    <t>rho CO2 kg/m3</t>
  </si>
  <si>
    <t>mass flow rate kg/s</t>
  </si>
  <si>
    <t>Vol. Flow rate [q] m3/s</t>
  </si>
  <si>
    <t>Vol. Flow rate [q] l/s</t>
  </si>
  <si>
    <t>(for water only case)</t>
  </si>
  <si>
    <t>Temp H2O °C</t>
  </si>
  <si>
    <t>rho w</t>
  </si>
  <si>
    <t>Temp K  CO2</t>
  </si>
  <si>
    <t>Temp °C CO2</t>
  </si>
  <si>
    <t>Temp H20 K</t>
  </si>
  <si>
    <t>CO2_1A</t>
  </si>
  <si>
    <t>H20_1B</t>
  </si>
  <si>
    <t>CO2_2A</t>
  </si>
  <si>
    <t>q [l/s]</t>
  </si>
  <si>
    <t>CO2_3A</t>
  </si>
  <si>
    <t>H20_3B</t>
  </si>
  <si>
    <t>Comments</t>
  </si>
  <si>
    <t>CO2_4A</t>
  </si>
  <si>
    <t>H20_4B</t>
  </si>
  <si>
    <t>5A</t>
  </si>
  <si>
    <t>5B</t>
  </si>
  <si>
    <t>Inj. Pressure [MPa] ??</t>
  </si>
  <si>
    <t>CO2_5A</t>
  </si>
  <si>
    <t>H20_5B</t>
  </si>
  <si>
    <t>CO2</t>
  </si>
  <si>
    <t>Case #</t>
  </si>
  <si>
    <t>6A</t>
  </si>
  <si>
    <t>6B</t>
  </si>
  <si>
    <t>CO2_6A</t>
  </si>
  <si>
    <t>H20_6B</t>
  </si>
  <si>
    <t>7A</t>
  </si>
  <si>
    <t>7B</t>
  </si>
  <si>
    <t>8A</t>
  </si>
  <si>
    <t>8B</t>
  </si>
  <si>
    <t>CO2_7A</t>
  </si>
  <si>
    <t>H20_7B</t>
  </si>
  <si>
    <t>CO2_8A</t>
  </si>
  <si>
    <t>H20_8B</t>
  </si>
  <si>
    <t>9A</t>
  </si>
  <si>
    <t>9B</t>
  </si>
  <si>
    <t>10A</t>
  </si>
  <si>
    <t>10B</t>
  </si>
  <si>
    <t>CO2_9A</t>
  </si>
  <si>
    <t>H20_9B</t>
  </si>
  <si>
    <t>CO2_10A</t>
  </si>
  <si>
    <t>H20_10B</t>
  </si>
  <si>
    <t>H20_2B</t>
  </si>
  <si>
    <t>Gravity Number</t>
  </si>
  <si>
    <t>583,360,0</t>
  </si>
  <si>
    <t>183,360,0</t>
  </si>
  <si>
    <t>CO2_1A_out.e</t>
  </si>
  <si>
    <t>Block: reservoir</t>
  </si>
  <si>
    <t>Id: 6437</t>
  </si>
  <si>
    <t>Type: Triangle</t>
  </si>
  <si>
    <t>ids: 6438</t>
  </si>
  <si>
    <t>density_gas: 209.286</t>
  </si>
  <si>
    <t>density_water: 128.19</t>
  </si>
  <si>
    <t>enthalpy_gas: 456951</t>
  </si>
  <si>
    <t>enthalpy_water: 3.04403e+06</t>
  </si>
  <si>
    <t>viscosity_gas: 3.8189e-05</t>
  </si>
  <si>
    <t>viscosity_water: 3.25623e-05</t>
  </si>
  <si>
    <t>object_id: 25</t>
  </si>
  <si>
    <t xml:space="preserve">Data </t>
  </si>
  <si>
    <t>CO2_2A_out.e</t>
  </si>
  <si>
    <t>density_gas: 204.889</t>
  </si>
  <si>
    <t>density_water: 123.904</t>
  </si>
  <si>
    <t>enthalpy_gas: 457582</t>
  </si>
  <si>
    <t>enthalpy_water: 3.0573e+06</t>
  </si>
  <si>
    <t>viscosity_gas: 3.80441e-05</t>
  </si>
  <si>
    <t>viscosity_water: 3.23504e-05</t>
  </si>
  <si>
    <t>density_water: 123.91</t>
  </si>
  <si>
    <t>enthalpy_water: 3.05728e+06</t>
  </si>
  <si>
    <t>viscosity_gas: 3.80443e-05</t>
  </si>
  <si>
    <t>viscosity_water: 3.23507e-05</t>
  </si>
  <si>
    <t>CO2_5A_out.e</t>
  </si>
  <si>
    <t>density_gas: 209.203</t>
  </si>
  <si>
    <t>density_water: 128.109</t>
  </si>
  <si>
    <t>enthalpy_gas: 456957</t>
  </si>
  <si>
    <t>enthalpy_water: 3.04427e+06</t>
  </si>
  <si>
    <t>viscosity_gas: 3.81861e-05</t>
  </si>
  <si>
    <t>viscosity_water: 3.2558e-05</t>
  </si>
  <si>
    <t>CO2_6A_out.e</t>
  </si>
  <si>
    <t>density_gas: 204.895</t>
  </si>
  <si>
    <t>enthalpy_gas: 457581</t>
  </si>
  <si>
    <t>rho_c</t>
  </si>
  <si>
    <t>viscosity_c</t>
  </si>
  <si>
    <t>CO2_7A_out.e</t>
  </si>
  <si>
    <t>Id: 2868</t>
  </si>
  <si>
    <t>ids: 2869</t>
  </si>
  <si>
    <t>density_gas: 209.984</t>
  </si>
  <si>
    <t>density_water: 128.879</t>
  </si>
  <si>
    <t>enthalpy_gas: 456861</t>
  </si>
  <si>
    <t>enthalpy_water: 3.04193e+06</t>
  </si>
  <si>
    <t>viscosity_gas: 3.82125e-05</t>
  </si>
  <si>
    <t>viscosity_water: 3.25972e-05</t>
  </si>
  <si>
    <t>CO2_8A_out.e</t>
  </si>
  <si>
    <t>density_gas: 204.195</t>
  </si>
  <si>
    <t>density_water: 123.256</t>
  </si>
  <si>
    <t>enthalpy_gas: 457577</t>
  </si>
  <si>
    <t>enthalpy_water: 3.05906e+06</t>
  </si>
  <si>
    <t>viscosity_gas: 3.80187e-05</t>
  </si>
  <si>
    <t>viscosity_water: 3.23147e-05</t>
  </si>
  <si>
    <t>CO2_9A_out.e</t>
  </si>
  <si>
    <t>density_gas: 210.193</t>
  </si>
  <si>
    <t>density_water: 129.084</t>
  </si>
  <si>
    <t>enthalpy_gas: 456845</t>
  </si>
  <si>
    <t>enthalpy_water: 3.04134e+06</t>
  </si>
  <si>
    <t>viscosity_gas: 3.82198e-05</t>
  </si>
  <si>
    <t>viscosity_water: 3.2608e-05</t>
  </si>
  <si>
    <t>CO2_10A_out.e</t>
  </si>
  <si>
    <t>density_gas: 204.163</t>
  </si>
  <si>
    <t>density_water: 123.226</t>
  </si>
  <si>
    <t>enthalpy_water: 3.05915e+06</t>
  </si>
  <si>
    <t>viscosity_gas: 3.80176e-05</t>
  </si>
  <si>
    <t>viscosity_water: 3.23131e-05</t>
  </si>
  <si>
    <t>q[m3/s] x 1000</t>
  </si>
  <si>
    <t>New Equilibration file (task_2D_400)</t>
  </si>
  <si>
    <t>Not further investigated</t>
  </si>
  <si>
    <t>Grav.Number Reference Point [x,y,z]</t>
  </si>
  <si>
    <t>r (= width - x)</t>
  </si>
  <si>
    <t>d (2/3 of reservoir thickness)</t>
  </si>
  <si>
    <t>dRho [&gt;0 --&gt; CO2 sinks &amp; &lt;0 --&gt; CO2 floats]</t>
  </si>
  <si>
    <t>Qm [fixed at 6 kg/s]</t>
  </si>
  <si>
    <t>Porosity 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</si>
</sst>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4" borderId="0" xfId="0" applyFill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2" borderId="5" xfId="0" applyNumberFormat="1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/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1" fontId="0" fillId="5" borderId="5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1" fontId="0" fillId="5" borderId="8" xfId="0" applyNumberFormat="1" applyFill="1" applyBorder="1" applyAlignment="1">
      <alignment horizontal="center" vertical="center"/>
    </xf>
    <xf numFmtId="3" fontId="0" fillId="5" borderId="8" xfId="0" applyNumberFormat="1" applyFill="1" applyBorder="1" applyAlignment="1">
      <alignment horizontal="center" vertical="center"/>
    </xf>
    <xf numFmtId="0" fontId="0" fillId="5" borderId="10" xfId="0" applyFill="1" applyBorder="1"/>
    <xf numFmtId="0" fontId="1" fillId="0" borderId="0" xfId="0" applyFont="1" applyAlignment="1">
      <alignment horizontal="center" vertical="center"/>
    </xf>
    <xf numFmtId="168" fontId="0" fillId="0" borderId="0" xfId="0" applyNumberFormat="1"/>
    <xf numFmtId="168" fontId="1" fillId="0" borderId="0" xfId="0" applyNumberFormat="1" applyFont="1" applyAlignment="1">
      <alignment horizontal="center" vertical="center" wrapText="1"/>
    </xf>
    <xf numFmtId="0" fontId="0" fillId="4" borderId="0" xfId="0" applyFill="1" applyBorder="1"/>
    <xf numFmtId="0" fontId="0" fillId="5" borderId="0" xfId="0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5" borderId="0" xfId="0" applyFill="1" applyBorder="1" applyAlignment="1">
      <alignment horizontal="center" vertical="center" textRotation="135" wrapText="1"/>
    </xf>
    <xf numFmtId="0" fontId="0" fillId="0" borderId="0" xfId="0" applyBorder="1" applyAlignment="1">
      <alignment horizontal="center" textRotation="135" wrapText="1"/>
    </xf>
    <xf numFmtId="169" fontId="0" fillId="0" borderId="0" xfId="0" applyNumberFormat="1" applyBorder="1"/>
    <xf numFmtId="168" fontId="0" fillId="0" borderId="0" xfId="0" applyNumberFormat="1" applyBorder="1"/>
    <xf numFmtId="11" fontId="0" fillId="0" borderId="0" xfId="0" applyNumberFormat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168" fontId="0" fillId="4" borderId="0" xfId="0" applyNumberFormat="1" applyFill="1" applyBorder="1"/>
    <xf numFmtId="2" fontId="0" fillId="0" borderId="0" xfId="0" applyNumberFormat="1" applyBorder="1"/>
    <xf numFmtId="0" fontId="0" fillId="5" borderId="0" xfId="0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/>
    <xf numFmtId="168" fontId="0" fillId="0" borderId="8" xfId="0" applyNumberFormat="1" applyBorder="1"/>
    <xf numFmtId="0" fontId="0" fillId="0" borderId="9" xfId="0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4" borderId="2" xfId="0" applyFill="1" applyBorder="1"/>
    <xf numFmtId="168" fontId="0" fillId="4" borderId="2" xfId="0" applyNumberFormat="1" applyFill="1" applyBorder="1"/>
    <xf numFmtId="0" fontId="0" fillId="4" borderId="3" xfId="0" applyFill="1" applyBorder="1"/>
    <xf numFmtId="0" fontId="0" fillId="4" borderId="8" xfId="0" applyFill="1" applyBorder="1"/>
    <xf numFmtId="168" fontId="0" fillId="4" borderId="8" xfId="0" applyNumberFormat="1" applyFill="1" applyBorder="1"/>
    <xf numFmtId="0" fontId="0" fillId="4" borderId="9" xfId="0" applyFill="1" applyBorder="1"/>
    <xf numFmtId="0" fontId="0" fillId="5" borderId="5" xfId="0" applyFill="1" applyBorder="1" applyAlignment="1">
      <alignment horizontal="center" vertical="center" textRotation="135" wrapText="1"/>
    </xf>
    <xf numFmtId="0" fontId="0" fillId="0" borderId="5" xfId="0" applyBorder="1"/>
    <xf numFmtId="168" fontId="0" fillId="0" borderId="5" xfId="0" applyNumberFormat="1" applyBorder="1"/>
    <xf numFmtId="0" fontId="0" fillId="0" borderId="6" xfId="0" applyBorder="1"/>
    <xf numFmtId="0" fontId="0" fillId="5" borderId="8" xfId="0" applyFill="1" applyBorder="1" applyAlignment="1">
      <alignment horizontal="center" vertical="center" textRotation="135" wrapText="1"/>
    </xf>
    <xf numFmtId="2" fontId="0" fillId="0" borderId="5" xfId="0" applyNumberFormat="1" applyBorder="1"/>
    <xf numFmtId="0" fontId="0" fillId="0" borderId="5" xfId="0" applyBorder="1" applyAlignment="1">
      <alignment horizontal="center" textRotation="135" wrapText="1"/>
    </xf>
    <xf numFmtId="0" fontId="0" fillId="0" borderId="8" xfId="0" applyBorder="1" applyAlignment="1">
      <alignment horizontal="center" textRotation="135" wrapText="1"/>
    </xf>
    <xf numFmtId="11" fontId="0" fillId="2" borderId="0" xfId="0" applyNumberFormat="1" applyFill="1" applyBorder="1" applyAlignment="1">
      <alignment horizontal="center" vertical="center"/>
    </xf>
    <xf numFmtId="0" fontId="0" fillId="4" borderId="7" xfId="0" applyFill="1" applyBorder="1"/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8" fontId="1" fillId="0" borderId="8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BB68-2542-ED4E-852A-9D02983FC07B}">
  <dimension ref="A1:AC54"/>
  <sheetViews>
    <sheetView tabSelected="1" zoomScale="91" zoomScaleNormal="100" workbookViewId="0">
      <pane xSplit="1" topLeftCell="B1" activePane="topRight" state="frozen"/>
      <selection pane="topRight" activeCell="H2" sqref="H2"/>
    </sheetView>
  </sheetViews>
  <sheetFormatPr baseColWidth="10" defaultRowHeight="16" x14ac:dyDescent="0.2"/>
  <cols>
    <col min="1" max="1" width="10.83203125" style="2"/>
    <col min="2" max="2" width="15.1640625" style="2" customWidth="1"/>
    <col min="3" max="3" width="12.33203125" style="2" customWidth="1"/>
    <col min="4" max="4" width="10.83203125" style="2"/>
    <col min="5" max="5" width="14.83203125" style="2" bestFit="1" customWidth="1"/>
    <col min="6" max="6" width="10.83203125" style="2"/>
    <col min="7" max="7" width="12" style="2" customWidth="1"/>
    <col min="8" max="8" width="10.83203125" style="2"/>
    <col min="9" max="9" width="11.83203125" style="2" bestFit="1" customWidth="1"/>
    <col min="10" max="10" width="19" style="2" customWidth="1"/>
    <col min="11" max="14" width="10.83203125" style="2"/>
    <col min="15" max="15" width="11.6640625" style="2" bestFit="1" customWidth="1"/>
    <col min="16" max="17" width="10.83203125" style="2"/>
    <col min="18" max="18" width="16.6640625" style="2" customWidth="1"/>
    <col min="19" max="19" width="26.33203125" style="2" customWidth="1"/>
    <col min="20" max="20" width="26.1640625" bestFit="1" customWidth="1"/>
    <col min="21" max="23" width="26.6640625" bestFit="1" customWidth="1"/>
    <col min="24" max="24" width="10.83203125" customWidth="1"/>
    <col min="25" max="25" width="14.83203125" customWidth="1"/>
    <col min="27" max="27" width="13" bestFit="1" customWidth="1"/>
  </cols>
  <sheetData>
    <row r="1" spans="1:29" ht="69" thickBot="1" x14ac:dyDescent="0.25">
      <c r="A1" s="4" t="s">
        <v>4</v>
      </c>
      <c r="B1" s="1" t="s">
        <v>8</v>
      </c>
      <c r="C1" s="1" t="s">
        <v>0</v>
      </c>
      <c r="D1" s="1" t="s">
        <v>23</v>
      </c>
      <c r="E1" s="1" t="s">
        <v>2</v>
      </c>
      <c r="F1" s="1" t="s">
        <v>55</v>
      </c>
      <c r="G1" s="6" t="s">
        <v>5</v>
      </c>
      <c r="H1" s="1" t="s">
        <v>157</v>
      </c>
      <c r="I1" s="6" t="s">
        <v>3</v>
      </c>
      <c r="J1" s="1" t="s">
        <v>1</v>
      </c>
      <c r="K1" s="1" t="s">
        <v>6</v>
      </c>
      <c r="L1" s="5" t="s">
        <v>7</v>
      </c>
      <c r="M1" s="1" t="s">
        <v>13</v>
      </c>
      <c r="N1" s="1" t="s">
        <v>9</v>
      </c>
      <c r="O1" s="1" t="s">
        <v>10</v>
      </c>
      <c r="P1" s="1" t="s">
        <v>11</v>
      </c>
      <c r="Q1" s="1" t="s">
        <v>25</v>
      </c>
      <c r="R1" s="1" t="s">
        <v>27</v>
      </c>
      <c r="S1" s="1" t="s">
        <v>28</v>
      </c>
      <c r="T1" s="1" t="s">
        <v>50</v>
      </c>
      <c r="U1" s="52" t="s">
        <v>81</v>
      </c>
      <c r="V1" s="52" t="s">
        <v>152</v>
      </c>
      <c r="W1" s="52" t="s">
        <v>153</v>
      </c>
      <c r="X1" s="52" t="s">
        <v>154</v>
      </c>
      <c r="Y1" s="52" t="s">
        <v>155</v>
      </c>
      <c r="Z1" s="52" t="s">
        <v>118</v>
      </c>
      <c r="AA1" s="52" t="s">
        <v>119</v>
      </c>
      <c r="AB1" s="53" t="s">
        <v>156</v>
      </c>
    </row>
    <row r="2" spans="1:29" x14ac:dyDescent="0.2">
      <c r="A2" s="8" t="s">
        <v>15</v>
      </c>
      <c r="B2" s="9" t="s">
        <v>44</v>
      </c>
      <c r="C2" s="9" t="s">
        <v>58</v>
      </c>
      <c r="D2" s="9">
        <v>500</v>
      </c>
      <c r="E2" s="10">
        <v>380</v>
      </c>
      <c r="F2" s="9">
        <v>42</v>
      </c>
      <c r="G2" s="11">
        <v>1.0000000000000001E-15</v>
      </c>
      <c r="H2" s="9" t="s">
        <v>24</v>
      </c>
      <c r="I2" s="9">
        <v>800</v>
      </c>
      <c r="J2" s="12"/>
      <c r="K2" s="9">
        <f>I2</f>
        <v>800</v>
      </c>
      <c r="L2" s="9">
        <v>1050</v>
      </c>
      <c r="M2" s="9"/>
      <c r="N2" s="9"/>
      <c r="O2" s="9" t="s">
        <v>12</v>
      </c>
      <c r="P2" s="9">
        <v>6</v>
      </c>
      <c r="Q2" s="9" t="s">
        <v>26</v>
      </c>
      <c r="R2" s="9" cm="1">
        <f t="array" ref="R2">IF(S2=631152000, 20, manual)</f>
        <v>20</v>
      </c>
      <c r="S2" s="9">
        <v>631152000</v>
      </c>
      <c r="T2" s="36"/>
      <c r="U2" s="39">
        <f>((G2)*Y2*9.81*Z2*2*PI()*W2*X2)/(AB2*AA2)</f>
        <v>0.69351638153489503</v>
      </c>
      <c r="V2" s="36" t="s">
        <v>82</v>
      </c>
      <c r="W2" s="36">
        <f>800-583</f>
        <v>217</v>
      </c>
      <c r="X2" s="36">
        <f>1050*2/3</f>
        <v>700</v>
      </c>
      <c r="Y2" s="40">
        <f>209.286-128.19</f>
        <v>81.096000000000004</v>
      </c>
      <c r="Z2" s="36">
        <v>209.286</v>
      </c>
      <c r="AA2" s="41">
        <f>3.8189*10^-5</f>
        <v>3.8189000000000003E-5</v>
      </c>
      <c r="AB2" s="42">
        <v>6</v>
      </c>
    </row>
    <row r="3" spans="1:29" ht="17" thickBot="1" x14ac:dyDescent="0.25">
      <c r="A3" s="14" t="s">
        <v>16</v>
      </c>
      <c r="B3" s="15" t="s">
        <v>45</v>
      </c>
      <c r="C3" s="15" t="s">
        <v>14</v>
      </c>
      <c r="D3" s="15">
        <v>500</v>
      </c>
      <c r="E3" s="15">
        <v>380</v>
      </c>
      <c r="F3" s="43">
        <v>42</v>
      </c>
      <c r="G3" s="15" t="s">
        <v>12</v>
      </c>
      <c r="H3" s="15"/>
      <c r="I3" s="15"/>
      <c r="J3" s="15"/>
      <c r="K3" s="15">
        <f t="shared" ref="K3:K9" si="0">I3</f>
        <v>0</v>
      </c>
      <c r="L3" s="15"/>
      <c r="M3" s="15"/>
      <c r="N3" s="15"/>
      <c r="O3" s="16">
        <v>11</v>
      </c>
      <c r="P3" s="15" t="s">
        <v>12</v>
      </c>
      <c r="Q3" s="15"/>
      <c r="R3" s="15">
        <v>20</v>
      </c>
      <c r="S3" s="15">
        <v>631152000</v>
      </c>
      <c r="T3" s="49"/>
      <c r="U3" s="49"/>
      <c r="V3" s="49"/>
      <c r="W3" s="49"/>
      <c r="X3" s="49"/>
      <c r="Y3" s="50"/>
      <c r="Z3" s="49"/>
      <c r="AA3" s="49"/>
      <c r="AB3" s="51"/>
    </row>
    <row r="4" spans="1:29" s="13" customFormat="1" ht="17" thickBot="1" x14ac:dyDescent="0.25">
      <c r="A4" s="19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54"/>
      <c r="U4" s="54"/>
      <c r="V4" s="54"/>
      <c r="W4" s="54"/>
      <c r="X4" s="54"/>
      <c r="Y4" s="55"/>
      <c r="Z4" s="54"/>
      <c r="AA4" s="54"/>
      <c r="AB4" s="56"/>
    </row>
    <row r="5" spans="1:29" x14ac:dyDescent="0.2">
      <c r="A5" s="8" t="s">
        <v>17</v>
      </c>
      <c r="B5" s="9" t="s">
        <v>46</v>
      </c>
      <c r="C5" s="9" t="s">
        <v>58</v>
      </c>
      <c r="D5" s="9">
        <v>500</v>
      </c>
      <c r="E5" s="9">
        <v>380</v>
      </c>
      <c r="F5" s="9">
        <v>42</v>
      </c>
      <c r="G5" s="18">
        <v>1E-14</v>
      </c>
      <c r="H5" s="9" t="s">
        <v>24</v>
      </c>
      <c r="I5" s="9">
        <v>800</v>
      </c>
      <c r="J5" s="9"/>
      <c r="K5" s="9">
        <f t="shared" si="0"/>
        <v>800</v>
      </c>
      <c r="L5" s="9"/>
      <c r="M5" s="9"/>
      <c r="N5" s="9"/>
      <c r="O5" s="9"/>
      <c r="P5" s="43">
        <v>6</v>
      </c>
      <c r="Q5" s="9" t="s">
        <v>26</v>
      </c>
      <c r="R5" s="9">
        <v>20</v>
      </c>
      <c r="S5" s="9">
        <v>631152000</v>
      </c>
      <c r="T5" s="36"/>
      <c r="U5" s="45">
        <f>((G5)*Y5*9.81*Z5*2*PI()*W5*X5)/(AB5*AA5)</f>
        <v>6.8063262753465841</v>
      </c>
      <c r="V5" s="36" t="s">
        <v>82</v>
      </c>
      <c r="W5" s="36">
        <f>800-583</f>
        <v>217</v>
      </c>
      <c r="X5" s="36">
        <v>700</v>
      </c>
      <c r="Y5" s="40">
        <f>Z5-123.9</f>
        <v>80.989000000000004</v>
      </c>
      <c r="Z5" s="36">
        <v>204.88900000000001</v>
      </c>
      <c r="AA5" s="36">
        <f>3.80441*10^-5</f>
        <v>3.8044100000000004E-5</v>
      </c>
      <c r="AB5" s="42">
        <v>6</v>
      </c>
    </row>
    <row r="6" spans="1:29" ht="17" thickBot="1" x14ac:dyDescent="0.25">
      <c r="A6" s="14" t="s">
        <v>18</v>
      </c>
      <c r="B6" s="15" t="s">
        <v>80</v>
      </c>
      <c r="C6" s="15" t="s">
        <v>14</v>
      </c>
      <c r="D6" s="15">
        <v>500</v>
      </c>
      <c r="E6" s="15">
        <v>380</v>
      </c>
      <c r="F6" s="15">
        <v>42</v>
      </c>
      <c r="G6" s="17" t="s">
        <v>12</v>
      </c>
      <c r="H6" s="15" t="s">
        <v>24</v>
      </c>
      <c r="I6" s="15">
        <v>800</v>
      </c>
      <c r="J6" s="15"/>
      <c r="K6" s="15">
        <f t="shared" si="0"/>
        <v>800</v>
      </c>
      <c r="L6" s="15"/>
      <c r="M6" s="15"/>
      <c r="N6" s="15"/>
      <c r="O6" s="43">
        <v>11</v>
      </c>
      <c r="P6" s="15"/>
      <c r="Q6" s="15" t="s">
        <v>26</v>
      </c>
      <c r="R6" s="15">
        <v>20</v>
      </c>
      <c r="S6" s="15">
        <v>631152000</v>
      </c>
      <c r="T6" s="49"/>
      <c r="U6" s="49"/>
      <c r="V6" s="49"/>
      <c r="W6" s="49"/>
      <c r="X6" s="49"/>
      <c r="Y6" s="50"/>
      <c r="Z6" s="49"/>
      <c r="AA6" s="49"/>
      <c r="AB6" s="51"/>
    </row>
    <row r="7" spans="1:29" s="13" customFormat="1" ht="17" thickBot="1" x14ac:dyDescent="0.25">
      <c r="A7" s="19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57"/>
      <c r="U7" s="57"/>
      <c r="V7" s="57"/>
      <c r="W7" s="57"/>
      <c r="X7" s="57"/>
      <c r="Y7" s="58"/>
      <c r="Z7" s="57"/>
      <c r="AA7" s="57"/>
      <c r="AB7" s="59"/>
    </row>
    <row r="8" spans="1:29" ht="16" customHeight="1" x14ac:dyDescent="0.2">
      <c r="A8" s="22" t="s">
        <v>19</v>
      </c>
      <c r="B8" s="23" t="s">
        <v>48</v>
      </c>
      <c r="C8" s="23" t="s">
        <v>58</v>
      </c>
      <c r="D8" s="23">
        <v>500</v>
      </c>
      <c r="E8" s="23">
        <v>78</v>
      </c>
      <c r="F8" s="23">
        <v>42</v>
      </c>
      <c r="G8" s="24">
        <v>1.0000000000000001E-15</v>
      </c>
      <c r="H8" s="23" t="s">
        <v>24</v>
      </c>
      <c r="I8" s="23">
        <v>800</v>
      </c>
      <c r="J8" s="23"/>
      <c r="K8" s="23">
        <f t="shared" si="0"/>
        <v>800</v>
      </c>
      <c r="L8" s="23"/>
      <c r="M8" s="23"/>
      <c r="N8" s="23"/>
      <c r="O8" s="23" t="s">
        <v>12</v>
      </c>
      <c r="P8" s="23">
        <v>6</v>
      </c>
      <c r="Q8" s="23" t="s">
        <v>26</v>
      </c>
      <c r="R8" s="23">
        <v>20</v>
      </c>
      <c r="S8" s="23">
        <v>631152000</v>
      </c>
      <c r="T8" s="60" t="s">
        <v>151</v>
      </c>
      <c r="U8" s="61"/>
      <c r="V8" s="61"/>
      <c r="W8" s="61"/>
      <c r="X8" s="61"/>
      <c r="Y8" s="62"/>
      <c r="Z8" s="61"/>
      <c r="AA8" s="61"/>
      <c r="AB8" s="63"/>
    </row>
    <row r="9" spans="1:29" ht="17" thickBot="1" x14ac:dyDescent="0.25">
      <c r="A9" s="25" t="s">
        <v>20</v>
      </c>
      <c r="B9" s="26" t="s">
        <v>49</v>
      </c>
      <c r="C9" s="26" t="s">
        <v>14</v>
      </c>
      <c r="D9" s="26"/>
      <c r="E9" s="26">
        <v>78</v>
      </c>
      <c r="F9" s="26">
        <v>42</v>
      </c>
      <c r="G9" s="27">
        <v>1.0000000000000001E-15</v>
      </c>
      <c r="H9" s="26" t="s">
        <v>24</v>
      </c>
      <c r="I9" s="26">
        <v>800</v>
      </c>
      <c r="J9" s="26"/>
      <c r="K9" s="26">
        <f t="shared" si="0"/>
        <v>800</v>
      </c>
      <c r="L9" s="26"/>
      <c r="M9" s="26"/>
      <c r="N9" s="26"/>
      <c r="O9" s="28">
        <v>7</v>
      </c>
      <c r="P9" s="26"/>
      <c r="Q9" s="26" t="s">
        <v>26</v>
      </c>
      <c r="R9" s="26">
        <v>20</v>
      </c>
      <c r="S9" s="26">
        <v>631152000</v>
      </c>
      <c r="T9" s="37"/>
      <c r="U9" s="36"/>
      <c r="V9" s="36"/>
      <c r="W9" s="36"/>
      <c r="X9" s="36"/>
      <c r="Y9" s="36"/>
      <c r="Z9" s="36"/>
      <c r="AA9" s="36"/>
      <c r="AB9" s="42"/>
      <c r="AC9" s="36"/>
    </row>
    <row r="10" spans="1:29" s="13" customFormat="1" ht="17" thickBot="1" x14ac:dyDescent="0.25">
      <c r="A10" s="29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7"/>
      <c r="U10" s="36"/>
      <c r="V10" s="36"/>
      <c r="W10" s="36"/>
      <c r="X10" s="36"/>
      <c r="Y10" s="36"/>
      <c r="Z10" s="36"/>
      <c r="AA10" s="36"/>
      <c r="AB10" s="42"/>
      <c r="AC10" s="33"/>
    </row>
    <row r="11" spans="1:29" x14ac:dyDescent="0.2">
      <c r="A11" s="22" t="s">
        <v>21</v>
      </c>
      <c r="B11" s="23" t="s">
        <v>51</v>
      </c>
      <c r="C11" s="23" t="s">
        <v>58</v>
      </c>
      <c r="D11" s="23">
        <v>500</v>
      </c>
      <c r="E11" s="23">
        <v>78</v>
      </c>
      <c r="F11" s="23">
        <v>42</v>
      </c>
      <c r="G11" s="24">
        <v>1E-14</v>
      </c>
      <c r="H11" s="23" t="s">
        <v>24</v>
      </c>
      <c r="I11" s="23">
        <v>800</v>
      </c>
      <c r="J11" s="23"/>
      <c r="K11" s="23">
        <v>800</v>
      </c>
      <c r="L11" s="23"/>
      <c r="M11" s="23"/>
      <c r="N11" s="23"/>
      <c r="O11" s="23" t="s">
        <v>12</v>
      </c>
      <c r="P11" s="46">
        <v>6</v>
      </c>
      <c r="Q11" s="23" t="s">
        <v>26</v>
      </c>
      <c r="R11" s="23">
        <v>20</v>
      </c>
      <c r="S11" s="23">
        <v>631152000</v>
      </c>
      <c r="T11" s="37"/>
      <c r="U11" s="36"/>
      <c r="V11" s="36"/>
      <c r="W11" s="36"/>
      <c r="X11" s="36"/>
      <c r="Y11" s="36"/>
      <c r="Z11" s="36"/>
      <c r="AA11" s="36"/>
      <c r="AB11" s="42"/>
      <c r="AC11" s="36"/>
    </row>
    <row r="12" spans="1:29" ht="17" thickBot="1" x14ac:dyDescent="0.25">
      <c r="A12" s="25" t="s">
        <v>22</v>
      </c>
      <c r="B12" s="26" t="s">
        <v>52</v>
      </c>
      <c r="C12" s="26" t="s">
        <v>14</v>
      </c>
      <c r="D12" s="26"/>
      <c r="E12" s="26">
        <v>78</v>
      </c>
      <c r="F12" s="26">
        <v>42</v>
      </c>
      <c r="G12" s="27">
        <v>1E-14</v>
      </c>
      <c r="H12" s="26" t="s">
        <v>24</v>
      </c>
      <c r="I12" s="26">
        <v>800</v>
      </c>
      <c r="J12" s="26"/>
      <c r="K12" s="26">
        <v>800</v>
      </c>
      <c r="L12" s="26"/>
      <c r="M12" s="26"/>
      <c r="N12" s="26"/>
      <c r="O12" s="26">
        <v>7</v>
      </c>
      <c r="P12" s="26"/>
      <c r="Q12" s="26" t="s">
        <v>26</v>
      </c>
      <c r="R12" s="26">
        <v>20</v>
      </c>
      <c r="S12" s="26">
        <v>631152000</v>
      </c>
      <c r="T12" s="64"/>
      <c r="U12" s="49"/>
      <c r="V12" s="49"/>
      <c r="W12" s="49"/>
      <c r="X12" s="49"/>
      <c r="Y12" s="50"/>
      <c r="Z12" s="49"/>
      <c r="AA12" s="49"/>
      <c r="AB12" s="51"/>
    </row>
    <row r="13" spans="1:29" s="13" customFormat="1" ht="17" thickBot="1" x14ac:dyDescent="0.25">
      <c r="A13" s="19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54"/>
      <c r="U13" s="54"/>
      <c r="V13" s="54"/>
      <c r="W13" s="54"/>
      <c r="X13" s="54"/>
      <c r="Y13" s="55"/>
      <c r="Z13" s="54"/>
      <c r="AA13" s="54"/>
      <c r="AB13" s="56"/>
    </row>
    <row r="14" spans="1:29" x14ac:dyDescent="0.2">
      <c r="A14" s="8" t="s">
        <v>53</v>
      </c>
      <c r="B14" s="9" t="s">
        <v>56</v>
      </c>
      <c r="C14" s="9" t="s">
        <v>58</v>
      </c>
      <c r="D14" s="9">
        <v>500</v>
      </c>
      <c r="E14" s="10">
        <v>60</v>
      </c>
      <c r="F14" s="9">
        <v>42</v>
      </c>
      <c r="G14" s="18">
        <v>1.0000000000000001E-15</v>
      </c>
      <c r="H14" s="9" t="s">
        <v>24</v>
      </c>
      <c r="I14" s="9">
        <v>800</v>
      </c>
      <c r="J14" s="9"/>
      <c r="K14" s="9">
        <v>800</v>
      </c>
      <c r="L14" s="9"/>
      <c r="M14" s="9"/>
      <c r="N14" s="9"/>
      <c r="O14" s="9" t="s">
        <v>12</v>
      </c>
      <c r="P14" s="9">
        <v>6</v>
      </c>
      <c r="Q14" s="9" t="s">
        <v>26</v>
      </c>
      <c r="R14" s="9">
        <v>20</v>
      </c>
      <c r="S14" s="9">
        <v>631152000</v>
      </c>
      <c r="T14" s="61"/>
      <c r="U14" s="65">
        <f>((G14)*Y14*9.81*Z14*2*PI()*W14*X14)/(AB14*AA14)</f>
        <v>0.69327689162866357</v>
      </c>
      <c r="V14" s="61" t="s">
        <v>82</v>
      </c>
      <c r="W14" s="61">
        <f>800-583</f>
        <v>217</v>
      </c>
      <c r="X14" s="61">
        <v>700</v>
      </c>
      <c r="Y14" s="62">
        <f>Z14-128.109</f>
        <v>81.093999999999994</v>
      </c>
      <c r="Z14" s="61">
        <v>209.203</v>
      </c>
      <c r="AA14" s="61">
        <f>3.81861*10^-5</f>
        <v>3.8186100000000004E-5</v>
      </c>
      <c r="AB14" s="63">
        <v>6</v>
      </c>
    </row>
    <row r="15" spans="1:29" ht="17" thickBot="1" x14ac:dyDescent="0.25">
      <c r="A15" s="21" t="s">
        <v>54</v>
      </c>
      <c r="B15" s="43" t="s">
        <v>57</v>
      </c>
      <c r="C15" s="43" t="s">
        <v>14</v>
      </c>
      <c r="D15" s="43">
        <v>500</v>
      </c>
      <c r="E15" s="43">
        <v>60</v>
      </c>
      <c r="F15" s="43"/>
      <c r="G15" s="47">
        <v>1.0000000000000001E-15</v>
      </c>
      <c r="H15" s="43" t="s">
        <v>24</v>
      </c>
      <c r="I15" s="43">
        <v>800</v>
      </c>
      <c r="J15" s="43"/>
      <c r="K15" s="43">
        <v>800</v>
      </c>
      <c r="L15" s="43"/>
      <c r="M15" s="43"/>
      <c r="N15" s="43"/>
      <c r="O15" s="48">
        <v>6.7</v>
      </c>
      <c r="P15" s="43" t="s">
        <v>12</v>
      </c>
      <c r="Q15" s="15" t="s">
        <v>26</v>
      </c>
      <c r="R15" s="15">
        <v>20</v>
      </c>
      <c r="S15" s="15">
        <v>631152000</v>
      </c>
      <c r="T15" s="49"/>
      <c r="U15" s="49"/>
      <c r="V15" s="49"/>
      <c r="W15" s="49"/>
      <c r="X15" s="49"/>
      <c r="Y15" s="50"/>
      <c r="Z15" s="49"/>
      <c r="AA15" s="49"/>
      <c r="AB15" s="51"/>
    </row>
    <row r="16" spans="1:29" s="13" customFormat="1" ht="17" thickBot="1" x14ac:dyDescent="0.25">
      <c r="A16" s="19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54"/>
      <c r="U16" s="54"/>
      <c r="V16" s="54"/>
      <c r="W16" s="54"/>
      <c r="X16" s="54"/>
      <c r="Y16" s="55"/>
      <c r="Z16" s="54"/>
      <c r="AA16" s="54"/>
      <c r="AB16" s="56"/>
    </row>
    <row r="17" spans="1:28" x14ac:dyDescent="0.2">
      <c r="A17" s="8" t="s">
        <v>60</v>
      </c>
      <c r="B17" s="9" t="s">
        <v>62</v>
      </c>
      <c r="C17" s="9" t="s">
        <v>58</v>
      </c>
      <c r="D17" s="9">
        <v>500</v>
      </c>
      <c r="E17" s="9">
        <v>60</v>
      </c>
      <c r="F17" s="9">
        <v>42</v>
      </c>
      <c r="G17" s="11">
        <v>1E-14</v>
      </c>
      <c r="H17" s="9" t="s">
        <v>24</v>
      </c>
      <c r="I17" s="9">
        <v>800</v>
      </c>
      <c r="J17" s="36"/>
      <c r="K17" s="43">
        <v>800</v>
      </c>
      <c r="L17" s="36"/>
      <c r="M17" s="36"/>
      <c r="N17" s="36"/>
      <c r="O17" s="9" t="s">
        <v>12</v>
      </c>
      <c r="P17" s="9">
        <v>6</v>
      </c>
      <c r="Q17" s="9" t="s">
        <v>26</v>
      </c>
      <c r="R17" s="9">
        <v>20</v>
      </c>
      <c r="S17" s="9">
        <v>631152000</v>
      </c>
      <c r="T17" s="36"/>
      <c r="U17" s="45">
        <f>((G17)*Y17*9.81*Z17*2*PI()*W17*X17)/(AB17*AA17)</f>
        <v>6.8061536421085762</v>
      </c>
      <c r="V17" s="36" t="s">
        <v>82</v>
      </c>
      <c r="W17" s="36">
        <v>217</v>
      </c>
      <c r="X17" s="36">
        <v>700</v>
      </c>
      <c r="Y17" s="40">
        <f>Z17-123.91</f>
        <v>80.985000000000014</v>
      </c>
      <c r="Z17" s="36">
        <v>204.89500000000001</v>
      </c>
      <c r="AA17" s="36">
        <f>3.80443*10^-5</f>
        <v>3.8044300000000004E-5</v>
      </c>
      <c r="AB17" s="42">
        <v>6</v>
      </c>
    </row>
    <row r="18" spans="1:28" ht="17" thickBot="1" x14ac:dyDescent="0.25">
      <c r="A18" s="14" t="s">
        <v>61</v>
      </c>
      <c r="B18" s="15" t="s">
        <v>63</v>
      </c>
      <c r="C18" s="15" t="s">
        <v>14</v>
      </c>
      <c r="D18" s="15">
        <v>500</v>
      </c>
      <c r="E18" s="15">
        <v>60</v>
      </c>
      <c r="F18" s="15"/>
      <c r="G18" s="17">
        <v>1E-14</v>
      </c>
      <c r="H18" s="15" t="s">
        <v>24</v>
      </c>
      <c r="I18" s="15">
        <v>800</v>
      </c>
      <c r="J18" s="15"/>
      <c r="K18" s="15">
        <v>800</v>
      </c>
      <c r="L18" s="15"/>
      <c r="M18" s="15"/>
      <c r="N18" s="15"/>
      <c r="O18" s="15">
        <v>6.7</v>
      </c>
      <c r="P18" s="15" t="s">
        <v>12</v>
      </c>
      <c r="Q18" s="15" t="s">
        <v>26</v>
      </c>
      <c r="R18" s="15">
        <v>20</v>
      </c>
      <c r="S18" s="15">
        <v>631152000</v>
      </c>
      <c r="T18" s="49"/>
      <c r="U18" s="49"/>
      <c r="V18" s="49"/>
      <c r="W18" s="49"/>
      <c r="X18" s="49"/>
      <c r="Y18" s="50"/>
      <c r="Z18" s="49"/>
      <c r="AA18" s="49"/>
      <c r="AB18" s="51"/>
    </row>
    <row r="19" spans="1:28" s="13" customFormat="1" ht="17" thickBot="1" x14ac:dyDescent="0.25">
      <c r="A19" s="19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54"/>
      <c r="U19" s="54"/>
      <c r="V19" s="54"/>
      <c r="W19" s="54"/>
      <c r="X19" s="54"/>
      <c r="Y19" s="55"/>
      <c r="Z19" s="54"/>
      <c r="AA19" s="54"/>
      <c r="AB19" s="56"/>
    </row>
    <row r="20" spans="1:28" ht="17" thickBot="1" x14ac:dyDescent="0.25">
      <c r="A20" s="21" t="s">
        <v>64</v>
      </c>
      <c r="B20" s="9" t="s">
        <v>68</v>
      </c>
      <c r="C20" s="9" t="s">
        <v>58</v>
      </c>
      <c r="D20" s="9">
        <v>500</v>
      </c>
      <c r="E20" s="9">
        <v>60</v>
      </c>
      <c r="F20" s="9">
        <v>42</v>
      </c>
      <c r="G20" s="18">
        <v>1.0000000000000001E-15</v>
      </c>
      <c r="H20" s="9" t="s">
        <v>24</v>
      </c>
      <c r="I20" s="10">
        <v>400</v>
      </c>
      <c r="J20" s="36"/>
      <c r="K20" s="43">
        <v>400</v>
      </c>
      <c r="L20" s="36"/>
      <c r="M20" s="36"/>
      <c r="N20" s="36"/>
      <c r="O20" s="9" t="s">
        <v>12</v>
      </c>
      <c r="P20" s="9">
        <v>6</v>
      </c>
      <c r="Q20" s="9" t="s">
        <v>26</v>
      </c>
      <c r="R20" s="9">
        <v>20</v>
      </c>
      <c r="S20" s="9">
        <v>631152000</v>
      </c>
      <c r="T20" s="66" t="s">
        <v>150</v>
      </c>
      <c r="U20" s="65">
        <f>((G20)*Y20*9.81*Z20*2*PI()*W20*X20)/(AB20*AA20)</f>
        <v>0.69547861484329954</v>
      </c>
      <c r="V20" s="61" t="s">
        <v>83</v>
      </c>
      <c r="W20" s="61">
        <f>400-183</f>
        <v>217</v>
      </c>
      <c r="X20" s="61">
        <v>700</v>
      </c>
      <c r="Y20" s="62">
        <f>Z20-128.879</f>
        <v>81.105000000000018</v>
      </c>
      <c r="Z20" s="61">
        <v>209.98400000000001</v>
      </c>
      <c r="AA20" s="61">
        <f>3.82125*10^-5</f>
        <v>3.82125E-5</v>
      </c>
      <c r="AB20" s="63">
        <v>6</v>
      </c>
    </row>
    <row r="21" spans="1:28" ht="17" thickBot="1" x14ac:dyDescent="0.25">
      <c r="A21" s="21" t="s">
        <v>65</v>
      </c>
      <c r="B21" s="15" t="s">
        <v>69</v>
      </c>
      <c r="C21" s="15" t="s">
        <v>14</v>
      </c>
      <c r="D21" s="15">
        <v>500</v>
      </c>
      <c r="E21" s="15">
        <v>60</v>
      </c>
      <c r="F21" s="15"/>
      <c r="G21" s="18">
        <v>1.0000000000000001E-15</v>
      </c>
      <c r="H21" s="15" t="s">
        <v>24</v>
      </c>
      <c r="I21" s="15">
        <v>400</v>
      </c>
      <c r="J21" s="15"/>
      <c r="K21" s="15">
        <v>400</v>
      </c>
      <c r="L21" s="15"/>
      <c r="M21" s="15"/>
      <c r="N21" s="15"/>
      <c r="O21" s="15">
        <v>6.7</v>
      </c>
      <c r="P21" s="15" t="s">
        <v>12</v>
      </c>
      <c r="Q21" s="15" t="s">
        <v>26</v>
      </c>
      <c r="R21" s="15">
        <v>20</v>
      </c>
      <c r="S21" s="15">
        <v>631152000</v>
      </c>
      <c r="T21" s="38"/>
      <c r="U21" s="36"/>
      <c r="V21" s="36"/>
      <c r="W21" s="36"/>
      <c r="X21" s="36"/>
      <c r="Y21" s="40"/>
      <c r="Z21" s="36"/>
      <c r="AA21" s="36"/>
      <c r="AB21" s="42"/>
    </row>
    <row r="22" spans="1:28" s="13" customFormat="1" ht="17" thickBot="1" x14ac:dyDescent="0.25">
      <c r="A22" s="19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8"/>
      <c r="U22" s="33"/>
      <c r="V22" s="33"/>
      <c r="W22" s="33"/>
      <c r="X22" s="33"/>
      <c r="Y22" s="44"/>
      <c r="Z22" s="33"/>
      <c r="AA22" s="33"/>
      <c r="AB22" s="20"/>
    </row>
    <row r="23" spans="1:28" ht="17" thickBot="1" x14ac:dyDescent="0.25">
      <c r="A23" s="21" t="s">
        <v>66</v>
      </c>
      <c r="B23" s="9" t="s">
        <v>70</v>
      </c>
      <c r="C23" s="9" t="s">
        <v>58</v>
      </c>
      <c r="D23" s="9">
        <v>500</v>
      </c>
      <c r="E23" s="9">
        <v>60</v>
      </c>
      <c r="F23" s="9">
        <v>42</v>
      </c>
      <c r="G23" s="17">
        <v>1E-14</v>
      </c>
      <c r="H23" s="9" t="s">
        <v>24</v>
      </c>
      <c r="I23" s="9">
        <v>400</v>
      </c>
      <c r="J23" s="36"/>
      <c r="K23" s="43">
        <v>400</v>
      </c>
      <c r="L23" s="36"/>
      <c r="M23" s="36"/>
      <c r="N23" s="36"/>
      <c r="O23" s="9" t="s">
        <v>12</v>
      </c>
      <c r="P23" s="9">
        <v>6</v>
      </c>
      <c r="Q23" s="9" t="s">
        <v>26</v>
      </c>
      <c r="R23" s="9">
        <v>20</v>
      </c>
      <c r="S23" s="9">
        <v>631152000</v>
      </c>
      <c r="T23" s="38"/>
      <c r="U23" s="45">
        <f>((G23)*Y23*9.81*Z23*2*PI()*W23*X23)/(AB23*AA23)</f>
        <v>6.783613167866994</v>
      </c>
      <c r="V23" s="36" t="s">
        <v>83</v>
      </c>
      <c r="W23" s="36">
        <f>400-183</f>
        <v>217</v>
      </c>
      <c r="X23" s="36">
        <v>700</v>
      </c>
      <c r="Y23" s="40">
        <f>Z23-123.256</f>
        <v>80.938999999999993</v>
      </c>
      <c r="Z23" s="36">
        <v>204.19499999999999</v>
      </c>
      <c r="AA23" s="36">
        <f>3.80187*10^-5</f>
        <v>3.8018700000000002E-5</v>
      </c>
      <c r="AB23" s="42">
        <v>6</v>
      </c>
    </row>
    <row r="24" spans="1:28" ht="17" thickBot="1" x14ac:dyDescent="0.25">
      <c r="A24" s="21" t="s">
        <v>67</v>
      </c>
      <c r="B24" s="15" t="s">
        <v>71</v>
      </c>
      <c r="C24" s="15" t="s">
        <v>14</v>
      </c>
      <c r="D24" s="15">
        <v>500</v>
      </c>
      <c r="E24" s="15">
        <v>60</v>
      </c>
      <c r="F24" s="15"/>
      <c r="G24" s="17">
        <v>1E-14</v>
      </c>
      <c r="H24" s="15" t="s">
        <v>24</v>
      </c>
      <c r="I24" s="15">
        <v>400</v>
      </c>
      <c r="J24" s="15"/>
      <c r="K24" s="15">
        <v>400</v>
      </c>
      <c r="L24" s="15"/>
      <c r="M24" s="15"/>
      <c r="N24" s="15"/>
      <c r="O24" s="15">
        <v>6.7</v>
      </c>
      <c r="P24" s="15" t="s">
        <v>12</v>
      </c>
      <c r="Q24" s="15" t="s">
        <v>26</v>
      </c>
      <c r="R24" s="15">
        <v>20</v>
      </c>
      <c r="S24" s="15">
        <v>631152000</v>
      </c>
      <c r="T24" s="67"/>
      <c r="U24" s="49"/>
      <c r="V24" s="49"/>
      <c r="W24" s="49"/>
      <c r="X24" s="49"/>
      <c r="Y24" s="50"/>
      <c r="Z24" s="49"/>
      <c r="AA24" s="49"/>
      <c r="AB24" s="51"/>
    </row>
    <row r="25" spans="1:28" s="13" customFormat="1" ht="17" thickBot="1" x14ac:dyDescent="0.25">
      <c r="A25" s="19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54"/>
      <c r="U25" s="54"/>
      <c r="V25" s="54"/>
      <c r="W25" s="54"/>
      <c r="X25" s="54"/>
      <c r="Y25" s="55"/>
      <c r="Z25" s="54"/>
      <c r="AA25" s="54"/>
      <c r="AB25" s="56"/>
    </row>
    <row r="26" spans="1:28" x14ac:dyDescent="0.2">
      <c r="A26" s="8" t="s">
        <v>72</v>
      </c>
      <c r="B26" s="9" t="s">
        <v>76</v>
      </c>
      <c r="C26" s="9" t="s">
        <v>58</v>
      </c>
      <c r="D26" s="9">
        <v>500</v>
      </c>
      <c r="E26" s="10">
        <v>380</v>
      </c>
      <c r="F26" s="9">
        <v>42</v>
      </c>
      <c r="G26" s="11">
        <v>1.0000000000000001E-15</v>
      </c>
      <c r="H26" s="9" t="s">
        <v>24</v>
      </c>
      <c r="I26" s="9">
        <v>400</v>
      </c>
      <c r="J26" s="12"/>
      <c r="K26" s="9">
        <f>I26</f>
        <v>400</v>
      </c>
      <c r="L26" s="9">
        <v>1050</v>
      </c>
      <c r="M26" s="9"/>
      <c r="N26" s="9"/>
      <c r="O26" s="9" t="s">
        <v>12</v>
      </c>
      <c r="P26" s="9">
        <v>6</v>
      </c>
      <c r="Q26" s="9" t="s">
        <v>26</v>
      </c>
      <c r="R26" s="9" cm="1">
        <f t="array" ref="R26">IF(S26=631152000, 20, manual)</f>
        <v>20</v>
      </c>
      <c r="S26" s="9">
        <v>631152000</v>
      </c>
      <c r="T26" s="61"/>
      <c r="U26" s="65">
        <f>((G26)*Y26*9.81*Z26*2*PI()*W26*X26)/(AB26*AA26)</f>
        <v>0.69607219317621549</v>
      </c>
      <c r="V26" s="61" t="s">
        <v>83</v>
      </c>
      <c r="W26" s="61">
        <f>400-183</f>
        <v>217</v>
      </c>
      <c r="X26" s="61">
        <v>700</v>
      </c>
      <c r="Y26" s="62">
        <f>Z26-129.084</f>
        <v>81.109000000000009</v>
      </c>
      <c r="Z26" s="61">
        <v>210.19300000000001</v>
      </c>
      <c r="AA26" s="61">
        <f>3.82198*10^-5</f>
        <v>3.8219800000000003E-5</v>
      </c>
      <c r="AB26" s="63">
        <v>6</v>
      </c>
    </row>
    <row r="27" spans="1:28" ht="17" thickBot="1" x14ac:dyDescent="0.25">
      <c r="A27" s="14" t="s">
        <v>73</v>
      </c>
      <c r="B27" s="15" t="s">
        <v>77</v>
      </c>
      <c r="C27" s="15" t="s">
        <v>14</v>
      </c>
      <c r="D27" s="15">
        <v>500</v>
      </c>
      <c r="E27" s="15">
        <v>380</v>
      </c>
      <c r="F27" s="43">
        <v>42</v>
      </c>
      <c r="G27" s="15" t="s">
        <v>12</v>
      </c>
      <c r="H27" s="15"/>
      <c r="I27" s="15">
        <v>400</v>
      </c>
      <c r="J27" s="15"/>
      <c r="K27" s="15">
        <f t="shared" ref="K27" si="1">I27</f>
        <v>400</v>
      </c>
      <c r="L27" s="15"/>
      <c r="M27" s="15"/>
      <c r="N27" s="15"/>
      <c r="O27" s="16">
        <v>11</v>
      </c>
      <c r="P27" s="15" t="s">
        <v>12</v>
      </c>
      <c r="Q27" s="15"/>
      <c r="R27" s="15">
        <v>20</v>
      </c>
      <c r="S27" s="15">
        <v>631152000</v>
      </c>
      <c r="T27" s="49"/>
      <c r="U27" s="49"/>
      <c r="V27" s="49"/>
      <c r="W27" s="49"/>
      <c r="X27" s="49"/>
      <c r="Y27" s="50"/>
      <c r="Z27" s="49"/>
      <c r="AA27" s="49"/>
      <c r="AB27" s="51"/>
    </row>
    <row r="28" spans="1:28" s="13" customFormat="1" ht="17" thickBot="1" x14ac:dyDescent="0.25">
      <c r="A28" s="69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4"/>
      <c r="U28" s="54"/>
      <c r="V28" s="54"/>
      <c r="W28" s="54"/>
      <c r="X28" s="54"/>
      <c r="Y28" s="55"/>
      <c r="Z28" s="54"/>
      <c r="AA28" s="54"/>
      <c r="AB28" s="56"/>
    </row>
    <row r="29" spans="1:28" x14ac:dyDescent="0.2">
      <c r="A29" s="21" t="s">
        <v>74</v>
      </c>
      <c r="B29" s="43" t="s">
        <v>78</v>
      </c>
      <c r="C29" s="43" t="s">
        <v>58</v>
      </c>
      <c r="D29" s="43">
        <v>500</v>
      </c>
      <c r="E29" s="43">
        <v>380</v>
      </c>
      <c r="F29" s="43">
        <v>42</v>
      </c>
      <c r="G29" s="68">
        <v>1E-14</v>
      </c>
      <c r="H29" s="43" t="s">
        <v>24</v>
      </c>
      <c r="I29" s="43">
        <v>400</v>
      </c>
      <c r="J29" s="43"/>
      <c r="K29" s="43">
        <f t="shared" ref="K29:K30" si="2">I29</f>
        <v>400</v>
      </c>
      <c r="L29" s="43"/>
      <c r="M29" s="43"/>
      <c r="N29" s="43"/>
      <c r="O29" s="43"/>
      <c r="P29" s="43">
        <v>6</v>
      </c>
      <c r="Q29" s="43" t="s">
        <v>26</v>
      </c>
      <c r="R29" s="43">
        <v>20</v>
      </c>
      <c r="S29" s="43">
        <v>631152000</v>
      </c>
      <c r="T29" s="36"/>
      <c r="U29" s="45">
        <f>((G29)*Y29*9.81*Z29*2*PI()*W29*X29)/(AB29*AA29)</f>
        <v>6.782578732510034</v>
      </c>
      <c r="V29" s="36" t="s">
        <v>83</v>
      </c>
      <c r="W29" s="36">
        <f>400-183</f>
        <v>217</v>
      </c>
      <c r="X29" s="36">
        <v>700</v>
      </c>
      <c r="Y29" s="40">
        <f>Z29-123.226</f>
        <v>80.937000000000012</v>
      </c>
      <c r="Z29" s="36">
        <v>204.16300000000001</v>
      </c>
      <c r="AA29" s="36">
        <f>3.80176*10^-5</f>
        <v>3.80176E-5</v>
      </c>
      <c r="AB29" s="42">
        <v>6</v>
      </c>
    </row>
    <row r="30" spans="1:28" ht="17" thickBot="1" x14ac:dyDescent="0.25">
      <c r="A30" s="14" t="s">
        <v>75</v>
      </c>
      <c r="B30" s="15" t="s">
        <v>79</v>
      </c>
      <c r="C30" s="15" t="s">
        <v>14</v>
      </c>
      <c r="D30" s="15">
        <v>500</v>
      </c>
      <c r="E30" s="15">
        <v>380</v>
      </c>
      <c r="F30" s="15">
        <v>42</v>
      </c>
      <c r="G30" s="17" t="s">
        <v>12</v>
      </c>
      <c r="H30" s="15" t="s">
        <v>24</v>
      </c>
      <c r="I30" s="15">
        <v>400</v>
      </c>
      <c r="J30" s="15"/>
      <c r="K30" s="15">
        <f t="shared" si="2"/>
        <v>400</v>
      </c>
      <c r="L30" s="15"/>
      <c r="M30" s="15"/>
      <c r="N30" s="15"/>
      <c r="O30" s="15">
        <v>11</v>
      </c>
      <c r="P30" s="15"/>
      <c r="Q30" s="15" t="s">
        <v>26</v>
      </c>
      <c r="R30" s="15">
        <v>20</v>
      </c>
      <c r="S30" s="15">
        <v>631152000</v>
      </c>
      <c r="T30" s="49"/>
      <c r="U30" s="49"/>
      <c r="V30" s="49"/>
      <c r="W30" s="49"/>
      <c r="X30" s="49"/>
      <c r="Y30" s="49"/>
      <c r="Z30" s="49"/>
      <c r="AA30" s="49"/>
      <c r="AB30" s="51"/>
    </row>
    <row r="34" spans="1:29" x14ac:dyDescent="0.2">
      <c r="C34" s="2">
        <f>773.15-273.15</f>
        <v>500</v>
      </c>
      <c r="F34" s="30" t="s">
        <v>32</v>
      </c>
      <c r="G34" s="30"/>
      <c r="H34" s="2" t="s">
        <v>38</v>
      </c>
    </row>
    <row r="35" spans="1:29" ht="17" thickBot="1" x14ac:dyDescent="0.25"/>
    <row r="36" spans="1:29" ht="35" thickBot="1" x14ac:dyDescent="0.25">
      <c r="D36" s="4" t="s">
        <v>59</v>
      </c>
      <c r="E36" s="70" t="s">
        <v>41</v>
      </c>
      <c r="F36" s="70" t="s">
        <v>42</v>
      </c>
      <c r="G36" s="70" t="s">
        <v>33</v>
      </c>
      <c r="H36" s="1" t="s">
        <v>34</v>
      </c>
      <c r="I36" s="1" t="s">
        <v>35</v>
      </c>
      <c r="J36" s="1" t="s">
        <v>36</v>
      </c>
      <c r="K36" s="1" t="s">
        <v>37</v>
      </c>
      <c r="L36" s="70" t="s">
        <v>43</v>
      </c>
      <c r="M36" s="70" t="s">
        <v>39</v>
      </c>
      <c r="N36" s="70" t="s">
        <v>40</v>
      </c>
      <c r="O36" s="71" t="s">
        <v>10</v>
      </c>
      <c r="S36" s="3" t="s">
        <v>96</v>
      </c>
    </row>
    <row r="37" spans="1:29" x14ac:dyDescent="0.2">
      <c r="D37" s="21">
        <v>1</v>
      </c>
      <c r="E37" s="43">
        <f>F37+273.15</f>
        <v>653.15</v>
      </c>
      <c r="F37" s="72">
        <v>380</v>
      </c>
      <c r="G37" s="72">
        <v>42</v>
      </c>
      <c r="H37" s="35">
        <v>325.08</v>
      </c>
      <c r="I37" s="35">
        <v>6</v>
      </c>
      <c r="J37" s="35">
        <f>I37/H37</f>
        <v>1.8456995201181249E-2</v>
      </c>
      <c r="K37" s="73">
        <f>J37*1000</f>
        <v>18.45699520118125</v>
      </c>
      <c r="L37" s="43"/>
      <c r="M37" s="72">
        <v>380</v>
      </c>
      <c r="N37" s="72">
        <v>602.70000000000005</v>
      </c>
      <c r="O37" s="74">
        <f>N37*J37</f>
        <v>11.12403100775194</v>
      </c>
      <c r="S37" s="2" t="s">
        <v>84</v>
      </c>
      <c r="T37" t="s">
        <v>97</v>
      </c>
      <c r="U37" t="s">
        <v>108</v>
      </c>
      <c r="V37" t="s">
        <v>115</v>
      </c>
      <c r="W37" t="s">
        <v>120</v>
      </c>
      <c r="Y37" t="s">
        <v>129</v>
      </c>
      <c r="AA37" t="s">
        <v>136</v>
      </c>
      <c r="AC37" t="s">
        <v>143</v>
      </c>
    </row>
    <row r="38" spans="1:29" x14ac:dyDescent="0.2">
      <c r="D38" s="21">
        <v>2</v>
      </c>
      <c r="E38" s="36"/>
      <c r="F38" s="36"/>
      <c r="G38" s="36"/>
      <c r="H38" s="36"/>
      <c r="I38" s="36"/>
      <c r="J38" s="35"/>
      <c r="K38" s="73"/>
      <c r="L38" s="36"/>
      <c r="M38" s="36"/>
      <c r="N38" s="36"/>
      <c r="O38" s="42"/>
      <c r="S38" s="2" t="s">
        <v>85</v>
      </c>
      <c r="T38" t="s">
        <v>85</v>
      </c>
      <c r="U38" t="s">
        <v>85</v>
      </c>
      <c r="V38" t="s">
        <v>85</v>
      </c>
      <c r="W38" t="s">
        <v>85</v>
      </c>
      <c r="Y38" t="s">
        <v>85</v>
      </c>
      <c r="AA38" t="s">
        <v>85</v>
      </c>
      <c r="AC38" t="s">
        <v>85</v>
      </c>
    </row>
    <row r="39" spans="1:29" x14ac:dyDescent="0.2">
      <c r="D39" s="21">
        <v>3</v>
      </c>
      <c r="E39" s="36">
        <f>F39+273.15</f>
        <v>351.15</v>
      </c>
      <c r="F39" s="36">
        <v>78</v>
      </c>
      <c r="G39" s="36">
        <v>42</v>
      </c>
      <c r="H39" s="36">
        <v>841.25599999999997</v>
      </c>
      <c r="I39" s="36">
        <v>6</v>
      </c>
      <c r="J39" s="35">
        <f t="shared" ref="J39:J42" si="3">I39/H39</f>
        <v>7.1321928164553954E-3</v>
      </c>
      <c r="K39" s="73">
        <f t="shared" ref="K38:K42" si="4">J39*1000</f>
        <v>7.1321928164553956</v>
      </c>
      <c r="L39" s="36"/>
      <c r="M39" s="36">
        <v>78</v>
      </c>
      <c r="N39" s="36">
        <v>990.8</v>
      </c>
      <c r="O39" s="42">
        <f>N39*J39</f>
        <v>7.0665766425440051</v>
      </c>
      <c r="S39" s="2" t="s">
        <v>86</v>
      </c>
      <c r="T39" t="s">
        <v>86</v>
      </c>
      <c r="U39" t="s">
        <v>86</v>
      </c>
      <c r="V39" t="s">
        <v>86</v>
      </c>
      <c r="W39" t="s">
        <v>121</v>
      </c>
      <c r="Y39" t="s">
        <v>121</v>
      </c>
      <c r="AA39" t="s">
        <v>121</v>
      </c>
      <c r="AC39" t="s">
        <v>121</v>
      </c>
    </row>
    <row r="40" spans="1:29" x14ac:dyDescent="0.2">
      <c r="A40" s="3" t="s">
        <v>29</v>
      </c>
      <c r="B40" s="3" t="s">
        <v>3</v>
      </c>
      <c r="C40" s="3" t="s">
        <v>31</v>
      </c>
      <c r="D40" s="21">
        <v>4</v>
      </c>
      <c r="E40" s="36"/>
      <c r="F40" s="72"/>
      <c r="G40" s="72"/>
      <c r="H40" s="72"/>
      <c r="I40" s="72"/>
      <c r="J40" s="35"/>
      <c r="K40" s="73"/>
      <c r="L40" s="72"/>
      <c r="M40" s="72"/>
      <c r="N40" s="72"/>
      <c r="O40" s="42"/>
      <c r="S40" s="2" t="s">
        <v>87</v>
      </c>
      <c r="T40" t="s">
        <v>87</v>
      </c>
      <c r="U40" t="s">
        <v>87</v>
      </c>
      <c r="V40" t="s">
        <v>87</v>
      </c>
      <c r="W40" t="s">
        <v>87</v>
      </c>
      <c r="Y40" t="s">
        <v>87</v>
      </c>
      <c r="AA40" t="s">
        <v>87</v>
      </c>
      <c r="AC40" t="s">
        <v>87</v>
      </c>
    </row>
    <row r="41" spans="1:29" ht="17" thickBot="1" x14ac:dyDescent="0.25">
      <c r="A41" s="2" t="s">
        <v>30</v>
      </c>
      <c r="B41" s="2">
        <v>800</v>
      </c>
      <c r="C41" s="2">
        <v>1050</v>
      </c>
      <c r="D41" s="14">
        <v>5</v>
      </c>
      <c r="E41" s="49">
        <f t="shared" ref="E41" si="5">F41+273.15</f>
        <v>333.15</v>
      </c>
      <c r="F41" s="15">
        <v>60</v>
      </c>
      <c r="G41" s="15">
        <v>42</v>
      </c>
      <c r="H41" s="15">
        <v>899.54</v>
      </c>
      <c r="I41" s="15">
        <v>6</v>
      </c>
      <c r="J41" s="75">
        <f t="shared" si="3"/>
        <v>6.6700758165284483E-3</v>
      </c>
      <c r="K41" s="76">
        <f t="shared" si="4"/>
        <v>6.6700758165284482</v>
      </c>
      <c r="L41" s="49"/>
      <c r="M41" s="49">
        <v>78</v>
      </c>
      <c r="N41" s="49">
        <v>1001</v>
      </c>
      <c r="O41" s="51">
        <f t="shared" ref="O40:O42" si="6">N41*J41</f>
        <v>6.676745892344977</v>
      </c>
      <c r="S41" s="2" t="s">
        <v>88</v>
      </c>
      <c r="T41" t="s">
        <v>88</v>
      </c>
      <c r="U41" t="s">
        <v>88</v>
      </c>
      <c r="V41" t="s">
        <v>88</v>
      </c>
      <c r="W41" t="s">
        <v>122</v>
      </c>
      <c r="Y41" t="s">
        <v>122</v>
      </c>
      <c r="AA41" t="s">
        <v>122</v>
      </c>
      <c r="AC41" t="s">
        <v>122</v>
      </c>
    </row>
    <row r="42" spans="1:29" x14ac:dyDescent="0.2">
      <c r="E42"/>
      <c r="F42"/>
      <c r="G42"/>
      <c r="H42"/>
      <c r="I42"/>
      <c r="J42" s="7"/>
      <c r="K42" s="32"/>
      <c r="L42"/>
      <c r="M42"/>
      <c r="N42"/>
      <c r="O42"/>
      <c r="S42" s="2" t="s">
        <v>89</v>
      </c>
      <c r="T42" t="s">
        <v>98</v>
      </c>
      <c r="U42" t="s">
        <v>109</v>
      </c>
      <c r="V42" t="s">
        <v>116</v>
      </c>
      <c r="W42" t="s">
        <v>123</v>
      </c>
      <c r="Y42" t="s">
        <v>130</v>
      </c>
      <c r="AA42" t="s">
        <v>137</v>
      </c>
      <c r="AC42" t="s">
        <v>144</v>
      </c>
    </row>
    <row r="43" spans="1:29" x14ac:dyDescent="0.2">
      <c r="E43"/>
      <c r="F43"/>
      <c r="G43"/>
      <c r="H43"/>
      <c r="I43"/>
      <c r="J43"/>
      <c r="K43" s="31"/>
      <c r="L43"/>
      <c r="M43"/>
      <c r="N43"/>
      <c r="O43"/>
      <c r="S43" s="2" t="s">
        <v>90</v>
      </c>
      <c r="T43" t="s">
        <v>99</v>
      </c>
      <c r="U43" t="s">
        <v>110</v>
      </c>
      <c r="V43" t="s">
        <v>104</v>
      </c>
      <c r="W43" t="s">
        <v>124</v>
      </c>
      <c r="Y43" t="s">
        <v>131</v>
      </c>
      <c r="AA43" t="s">
        <v>138</v>
      </c>
      <c r="AC43" t="s">
        <v>145</v>
      </c>
    </row>
    <row r="44" spans="1:29" x14ac:dyDescent="0.2">
      <c r="E44"/>
      <c r="F44"/>
      <c r="G44"/>
      <c r="H44"/>
      <c r="I44"/>
      <c r="J44"/>
      <c r="K44"/>
      <c r="L44"/>
      <c r="M44"/>
      <c r="N44"/>
      <c r="O44"/>
      <c r="P44"/>
      <c r="S44" s="2" t="s">
        <v>91</v>
      </c>
      <c r="T44" t="s">
        <v>100</v>
      </c>
      <c r="U44" t="s">
        <v>111</v>
      </c>
      <c r="V44" t="s">
        <v>117</v>
      </c>
      <c r="W44" t="s">
        <v>125</v>
      </c>
      <c r="Y44" t="s">
        <v>132</v>
      </c>
      <c r="AA44" t="s">
        <v>139</v>
      </c>
      <c r="AC44" t="s">
        <v>117</v>
      </c>
    </row>
    <row r="45" spans="1:29" x14ac:dyDescent="0.2">
      <c r="E45"/>
      <c r="F45"/>
      <c r="G45"/>
      <c r="H45"/>
      <c r="I45"/>
      <c r="J45"/>
      <c r="K45"/>
      <c r="L45"/>
      <c r="M45"/>
      <c r="N45"/>
      <c r="O45"/>
      <c r="S45" s="2" t="s">
        <v>92</v>
      </c>
      <c r="T45" t="s">
        <v>101</v>
      </c>
      <c r="U45" t="s">
        <v>112</v>
      </c>
      <c r="V45" t="s">
        <v>105</v>
      </c>
      <c r="W45" t="s">
        <v>126</v>
      </c>
      <c r="Y45" t="s">
        <v>133</v>
      </c>
      <c r="AA45" t="s">
        <v>140</v>
      </c>
      <c r="AC45" t="s">
        <v>146</v>
      </c>
    </row>
    <row r="46" spans="1:29" x14ac:dyDescent="0.2">
      <c r="O46"/>
      <c r="S46" s="2" t="s">
        <v>93</v>
      </c>
      <c r="T46" t="s">
        <v>102</v>
      </c>
      <c r="U46" t="s">
        <v>113</v>
      </c>
      <c r="V46" t="s">
        <v>106</v>
      </c>
      <c r="W46" t="s">
        <v>127</v>
      </c>
      <c r="Y46" t="s">
        <v>134</v>
      </c>
      <c r="AA46" t="s">
        <v>141</v>
      </c>
      <c r="AC46" t="s">
        <v>147</v>
      </c>
    </row>
    <row r="47" spans="1:29" x14ac:dyDescent="0.2">
      <c r="O47"/>
      <c r="Q47" s="2" t="s">
        <v>47</v>
      </c>
      <c r="R47" s="2" t="s">
        <v>149</v>
      </c>
      <c r="S47" s="2" t="s">
        <v>94</v>
      </c>
      <c r="T47" t="s">
        <v>103</v>
      </c>
      <c r="U47" t="s">
        <v>114</v>
      </c>
      <c r="V47" t="s">
        <v>107</v>
      </c>
      <c r="W47" t="s">
        <v>128</v>
      </c>
      <c r="Y47" t="s">
        <v>135</v>
      </c>
      <c r="AA47" t="s">
        <v>142</v>
      </c>
      <c r="AC47" t="s">
        <v>148</v>
      </c>
    </row>
    <row r="48" spans="1:29" x14ac:dyDescent="0.2">
      <c r="O48"/>
      <c r="S48" s="2" t="s">
        <v>95</v>
      </c>
      <c r="T48" t="s">
        <v>95</v>
      </c>
      <c r="U48" t="s">
        <v>95</v>
      </c>
      <c r="V48" t="s">
        <v>95</v>
      </c>
      <c r="W48" t="s">
        <v>95</v>
      </c>
      <c r="Y48" t="s">
        <v>95</v>
      </c>
      <c r="AA48" t="s">
        <v>95</v>
      </c>
      <c r="AC48" t="s">
        <v>95</v>
      </c>
    </row>
    <row r="49" spans="15:15" x14ac:dyDescent="0.2">
      <c r="O49"/>
    </row>
    <row r="50" spans="15:15" x14ac:dyDescent="0.2">
      <c r="O50"/>
    </row>
    <row r="51" spans="15:15" x14ac:dyDescent="0.2">
      <c r="O51"/>
    </row>
    <row r="52" spans="15:15" x14ac:dyDescent="0.2">
      <c r="O52"/>
    </row>
    <row r="53" spans="15:15" x14ac:dyDescent="0.2">
      <c r="O53"/>
    </row>
    <row r="54" spans="15:15" x14ac:dyDescent="0.2">
      <c r="O54"/>
    </row>
  </sheetData>
  <mergeCells count="3">
    <mergeCell ref="F34:G34"/>
    <mergeCell ref="T8:T12"/>
    <mergeCell ref="T20:T24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Gruber, Matthias</cp:lastModifiedBy>
  <dcterms:created xsi:type="dcterms:W3CDTF">2023-03-20T15:41:33Z</dcterms:created>
  <dcterms:modified xsi:type="dcterms:W3CDTF">2023-05-07T10:54:56Z</dcterms:modified>
</cp:coreProperties>
</file>