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hdfc RRP kt\finance doc\"/>
    </mc:Choice>
  </mc:AlternateContent>
  <bookViews>
    <workbookView xWindow="0" yWindow="0" windowWidth="20700" windowHeight="7920"/>
  </bookViews>
  <sheets>
    <sheet name="Sheet1" sheetId="5" r:id="rId1"/>
    <sheet name="Lookup" sheetId="12" r:id="rId2"/>
    <sheet name="Restated Financials" sheetId="6" r:id="rId3"/>
    <sheet name="Key Financials" sheetId="7" r:id="rId4"/>
    <sheet name="Model Ratios" sheetId="10" r:id="rId5"/>
    <sheet name="Cash Flow" sheetId="8" r:id="rId6"/>
    <sheet name="Funds Flow" sheetId="9" r:id="rId7"/>
    <sheet name="Common Size" sheetId="11" r:id="rId8"/>
  </sheets>
  <definedNames>
    <definedName name="_xlnm._FilterDatabase" localSheetId="0" hidden="1">Sheet1!$A$6:$IE$2989</definedName>
  </definedNames>
  <calcPr calcId="152511"/>
</workbook>
</file>

<file path=xl/calcChain.xml><?xml version="1.0" encoding="utf-8"?>
<calcChain xmlns="http://schemas.openxmlformats.org/spreadsheetml/2006/main">
  <c r="G19" i="5" l="1"/>
  <c r="C3" i="6" l="1"/>
  <c r="D3" i="6"/>
  <c r="E3" i="6"/>
  <c r="F3" i="6"/>
  <c r="G3" i="6"/>
  <c r="C12" i="5" l="1"/>
  <c r="E15" i="5" l="1"/>
  <c r="F15" i="5" s="1"/>
  <c r="G15" i="5" s="1"/>
  <c r="G197" i="5" l="1"/>
  <c r="F197" i="5"/>
  <c r="E197" i="5"/>
  <c r="D197" i="5"/>
  <c r="C197" i="5"/>
  <c r="G188" i="5"/>
  <c r="F188" i="5"/>
  <c r="E188" i="5"/>
  <c r="D188" i="5"/>
  <c r="C188" i="5"/>
  <c r="G179" i="5"/>
  <c r="F179" i="5"/>
  <c r="E179" i="5"/>
  <c r="D179" i="5"/>
  <c r="C179" i="5"/>
  <c r="G171" i="5"/>
  <c r="F171" i="5"/>
  <c r="E171" i="5"/>
  <c r="D171" i="5"/>
  <c r="C171" i="5"/>
  <c r="G162" i="5"/>
  <c r="F162" i="5"/>
  <c r="E162" i="5"/>
  <c r="D162" i="5"/>
  <c r="C162" i="5"/>
  <c r="G150" i="5"/>
  <c r="F150" i="5"/>
  <c r="E150" i="5"/>
  <c r="D150" i="5"/>
  <c r="C150" i="5"/>
  <c r="G133" i="5"/>
  <c r="F133" i="5"/>
  <c r="E133" i="5"/>
  <c r="D133" i="5"/>
  <c r="C133" i="5"/>
  <c r="G120" i="5"/>
  <c r="F120" i="5"/>
  <c r="E120" i="5"/>
  <c r="D120" i="5"/>
  <c r="C120" i="5"/>
  <c r="G107" i="5"/>
  <c r="F107" i="5"/>
  <c r="E107" i="5"/>
  <c r="D107" i="5"/>
  <c r="C107" i="5"/>
  <c r="G93" i="5"/>
  <c r="F93" i="5"/>
  <c r="E93" i="5"/>
  <c r="D93" i="5"/>
  <c r="C93" i="5"/>
  <c r="G82" i="5"/>
  <c r="F82" i="5"/>
  <c r="E82" i="5"/>
  <c r="D82" i="5"/>
  <c r="C82" i="5"/>
  <c r="G72" i="5"/>
  <c r="F72" i="5"/>
  <c r="E72" i="5"/>
  <c r="D72" i="5"/>
  <c r="C72" i="5"/>
  <c r="G65" i="5"/>
  <c r="F65" i="5"/>
  <c r="E65" i="5"/>
  <c r="D65" i="5"/>
  <c r="C65" i="5"/>
  <c r="G51" i="5"/>
  <c r="G44" i="5" s="1"/>
  <c r="F51" i="5"/>
  <c r="E51" i="5"/>
  <c r="E44" i="5" s="1"/>
  <c r="D51" i="5"/>
  <c r="D44" i="5" s="1"/>
  <c r="C51" i="5"/>
  <c r="C44" i="5" s="1"/>
  <c r="F44" i="5"/>
  <c r="G35" i="5"/>
  <c r="F35" i="5"/>
  <c r="E35" i="5"/>
  <c r="D35" i="5"/>
  <c r="C35" i="5"/>
  <c r="G30" i="5"/>
  <c r="G25" i="5" s="1"/>
  <c r="F30" i="5"/>
  <c r="E30" i="5"/>
  <c r="D30" i="5"/>
  <c r="C30" i="5"/>
  <c r="C205" i="5" l="1"/>
  <c r="G205" i="5"/>
  <c r="D205" i="5"/>
  <c r="F144" i="5"/>
  <c r="C144" i="5"/>
  <c r="G144" i="5"/>
  <c r="E205" i="5"/>
  <c r="D144" i="5"/>
  <c r="E144" i="5"/>
  <c r="F205" i="5"/>
  <c r="G88" i="5"/>
  <c r="C206" i="5" l="1"/>
  <c r="G206" i="5"/>
  <c r="E206" i="5"/>
  <c r="D206" i="5"/>
  <c r="F206" i="5"/>
  <c r="C3" i="12"/>
  <c r="C4" i="12"/>
  <c r="C5" i="12"/>
  <c r="C6" i="12"/>
  <c r="C7" i="12"/>
  <c r="C8" i="12"/>
  <c r="C1" i="12"/>
  <c r="C19" i="5" l="1"/>
  <c r="F19" i="5"/>
  <c r="E19" i="5"/>
  <c r="D19" i="5"/>
  <c r="G14" i="5" l="1"/>
  <c r="G17" i="5" s="1"/>
  <c r="D14" i="12"/>
  <c r="D13" i="12"/>
  <c r="D12" i="12"/>
  <c r="D11" i="12"/>
  <c r="C2" i="12" s="1"/>
  <c r="F14" i="5" l="1"/>
  <c r="F17" i="5" s="1"/>
  <c r="C35" i="10"/>
  <c r="C34" i="10"/>
  <c r="G104" i="7"/>
  <c r="F104" i="7"/>
  <c r="E104" i="7"/>
  <c r="D104" i="7"/>
  <c r="C104" i="7"/>
  <c r="G85" i="7"/>
  <c r="G80" i="7"/>
  <c r="F80" i="7"/>
  <c r="E80" i="7"/>
  <c r="D80" i="7"/>
  <c r="C80" i="7"/>
  <c r="G79" i="7"/>
  <c r="F79" i="7"/>
  <c r="E79" i="7"/>
  <c r="D79" i="7"/>
  <c r="C79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E64" i="7" s="1"/>
  <c r="D192" i="6"/>
  <c r="C192" i="6"/>
  <c r="G191" i="6"/>
  <c r="F191" i="6"/>
  <c r="E191" i="6"/>
  <c r="D191" i="6"/>
  <c r="C191" i="6"/>
  <c r="G190" i="6"/>
  <c r="G66" i="7" s="1"/>
  <c r="F190" i="6"/>
  <c r="E190" i="6"/>
  <c r="E66" i="7" s="1"/>
  <c r="D190" i="6"/>
  <c r="C190" i="6"/>
  <c r="C66" i="7" s="1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1" i="6"/>
  <c r="F161" i="6"/>
  <c r="E161" i="6"/>
  <c r="D161" i="6"/>
  <c r="C161" i="6"/>
  <c r="G158" i="6"/>
  <c r="F158" i="6"/>
  <c r="E158" i="6"/>
  <c r="D158" i="6"/>
  <c r="C158" i="6"/>
  <c r="G157" i="6"/>
  <c r="F157" i="6"/>
  <c r="E157" i="6"/>
  <c r="D157" i="6"/>
  <c r="C157" i="6"/>
  <c r="G155" i="6"/>
  <c r="F155" i="6"/>
  <c r="E155" i="6"/>
  <c r="D155" i="6"/>
  <c r="C155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34" i="6"/>
  <c r="F134" i="6"/>
  <c r="E134" i="6"/>
  <c r="D134" i="6"/>
  <c r="C134" i="6"/>
  <c r="G133" i="6"/>
  <c r="F133" i="6"/>
  <c r="F65" i="7" s="1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2" i="6"/>
  <c r="F112" i="6"/>
  <c r="E112" i="6"/>
  <c r="D112" i="6"/>
  <c r="C112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5" i="6"/>
  <c r="F95" i="6"/>
  <c r="E95" i="6"/>
  <c r="D95" i="6"/>
  <c r="C95" i="6"/>
  <c r="G92" i="6"/>
  <c r="F92" i="6"/>
  <c r="E92" i="6"/>
  <c r="D92" i="6"/>
  <c r="C92" i="6"/>
  <c r="G91" i="6"/>
  <c r="F91" i="6"/>
  <c r="E91" i="6"/>
  <c r="D91" i="6"/>
  <c r="C91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73" i="6"/>
  <c r="F73" i="6"/>
  <c r="E73" i="6"/>
  <c r="D73" i="6"/>
  <c r="C73" i="6"/>
  <c r="G68" i="6"/>
  <c r="F68" i="6"/>
  <c r="E68" i="6"/>
  <c r="D68" i="6"/>
  <c r="C68" i="6"/>
  <c r="G67" i="6"/>
  <c r="F67" i="6"/>
  <c r="E67" i="6"/>
  <c r="D67" i="6"/>
  <c r="C67" i="6"/>
  <c r="G64" i="6"/>
  <c r="F64" i="6"/>
  <c r="E64" i="6"/>
  <c r="D64" i="6"/>
  <c r="C64" i="6"/>
  <c r="G63" i="6"/>
  <c r="F63" i="6"/>
  <c r="E63" i="6"/>
  <c r="D63" i="6"/>
  <c r="C63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2" i="6"/>
  <c r="F22" i="6"/>
  <c r="E22" i="6"/>
  <c r="D22" i="6"/>
  <c r="C22" i="6"/>
  <c r="G21" i="6"/>
  <c r="F21" i="6"/>
  <c r="E21" i="6"/>
  <c r="D21" i="6"/>
  <c r="C21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1194" i="5"/>
  <c r="C1193" i="5"/>
  <c r="C1192" i="5"/>
  <c r="C1191" i="5"/>
  <c r="C1190" i="5"/>
  <c r="D1190" i="5" s="1"/>
  <c r="B1170" i="5"/>
  <c r="B1169" i="5"/>
  <c r="G34" i="6"/>
  <c r="F34" i="6"/>
  <c r="E34" i="6"/>
  <c r="C34" i="6"/>
  <c r="F25" i="5"/>
  <c r="F88" i="5" s="1"/>
  <c r="E25" i="5"/>
  <c r="E88" i="5" s="1"/>
  <c r="D25" i="5"/>
  <c r="D88" i="5" s="1"/>
  <c r="C25" i="5"/>
  <c r="C88" i="5" s="1"/>
  <c r="E14" i="5" l="1"/>
  <c r="E17" i="5" s="1"/>
  <c r="D34" i="6"/>
  <c r="E71" i="7"/>
  <c r="D100" i="7"/>
  <c r="D123" i="7" s="1"/>
  <c r="E103" i="7"/>
  <c r="E154" i="6"/>
  <c r="E75" i="7" s="1"/>
  <c r="E65" i="7"/>
  <c r="G890" i="5"/>
  <c r="F7" i="7"/>
  <c r="C96" i="7"/>
  <c r="C65" i="7"/>
  <c r="G65" i="7"/>
  <c r="D107" i="7"/>
  <c r="D162" i="7" s="1"/>
  <c r="D64" i="7"/>
  <c r="F64" i="7"/>
  <c r="D65" i="7"/>
  <c r="C64" i="7"/>
  <c r="G64" i="7"/>
  <c r="G7" i="7"/>
  <c r="D30" i="7"/>
  <c r="C110" i="7"/>
  <c r="F96" i="7"/>
  <c r="D103" i="7"/>
  <c r="C103" i="7"/>
  <c r="G103" i="7"/>
  <c r="C8" i="6"/>
  <c r="C21" i="11" s="1"/>
  <c r="F8" i="7"/>
  <c r="E8" i="7"/>
  <c r="D7" i="7"/>
  <c r="D20" i="6"/>
  <c r="C20" i="6"/>
  <c r="G20" i="6"/>
  <c r="E91" i="7"/>
  <c r="D91" i="7"/>
  <c r="G91" i="7"/>
  <c r="F59" i="6"/>
  <c r="D170" i="6"/>
  <c r="D177" i="6"/>
  <c r="C198" i="6"/>
  <c r="G198" i="6"/>
  <c r="D82" i="7"/>
  <c r="D83" i="7" s="1"/>
  <c r="G8" i="7"/>
  <c r="G59" i="6"/>
  <c r="D71" i="7"/>
  <c r="F109" i="6"/>
  <c r="E124" i="6"/>
  <c r="D154" i="6"/>
  <c r="C154" i="6"/>
  <c r="E177" i="6"/>
  <c r="C7" i="7"/>
  <c r="G84" i="7"/>
  <c r="C59" i="6"/>
  <c r="D96" i="7"/>
  <c r="F71" i="7"/>
  <c r="F103" i="7"/>
  <c r="F110" i="7"/>
  <c r="E110" i="7"/>
  <c r="D110" i="7"/>
  <c r="G8" i="6"/>
  <c r="G82" i="7"/>
  <c r="E20" i="6"/>
  <c r="E88" i="7"/>
  <c r="E87" i="7" s="1"/>
  <c r="E86" i="7" s="1"/>
  <c r="E52" i="6"/>
  <c r="E84" i="7"/>
  <c r="C90" i="6"/>
  <c r="C100" i="7"/>
  <c r="C123" i="7" s="1"/>
  <c r="G90" i="6"/>
  <c r="G71" i="7"/>
  <c r="F124" i="6"/>
  <c r="F167" i="7"/>
  <c r="F30" i="7"/>
  <c r="C107" i="7"/>
  <c r="E185" i="6"/>
  <c r="E108" i="7"/>
  <c r="D198" i="6"/>
  <c r="D66" i="7"/>
  <c r="G88" i="7"/>
  <c r="G87" i="7" s="1"/>
  <c r="G86" i="7" s="1"/>
  <c r="G107" i="7"/>
  <c r="C8" i="7"/>
  <c r="E7" i="7"/>
  <c r="F20" i="6"/>
  <c r="F88" i="7"/>
  <c r="F87" i="7" s="1"/>
  <c r="F86" i="7" s="1"/>
  <c r="F42" i="6"/>
  <c r="F91" i="7"/>
  <c r="E42" i="6"/>
  <c r="F52" i="6"/>
  <c r="F84" i="7"/>
  <c r="E59" i="6"/>
  <c r="G96" i="7"/>
  <c r="C109" i="6"/>
  <c r="G109" i="6"/>
  <c r="C138" i="6"/>
  <c r="C105" i="7"/>
  <c r="C106" i="7" s="1"/>
  <c r="C167" i="7"/>
  <c r="C30" i="7"/>
  <c r="G138" i="6"/>
  <c r="G105" i="7"/>
  <c r="G106" i="7" s="1"/>
  <c r="G30" i="7"/>
  <c r="E170" i="6"/>
  <c r="E30" i="7"/>
  <c r="C82" i="7"/>
  <c r="F105" i="7"/>
  <c r="F106" i="7" s="1"/>
  <c r="E167" i="7"/>
  <c r="E8" i="6"/>
  <c r="E47" i="11" s="1"/>
  <c r="D8" i="6"/>
  <c r="D4" i="11" s="1"/>
  <c r="D8" i="7"/>
  <c r="C88" i="7"/>
  <c r="C87" i="7" s="1"/>
  <c r="C86" i="7" s="1"/>
  <c r="C91" i="7"/>
  <c r="C52" i="6"/>
  <c r="C84" i="7"/>
  <c r="G52" i="6"/>
  <c r="E100" i="7"/>
  <c r="E123" i="7" s="1"/>
  <c r="D109" i="6"/>
  <c r="C124" i="6"/>
  <c r="G124" i="6"/>
  <c r="D138" i="6"/>
  <c r="D167" i="7"/>
  <c r="D105" i="7"/>
  <c r="D106" i="7" s="1"/>
  <c r="F138" i="6"/>
  <c r="F154" i="6"/>
  <c r="C185" i="6"/>
  <c r="C108" i="7"/>
  <c r="G185" i="6"/>
  <c r="G108" i="7"/>
  <c r="F185" i="6"/>
  <c r="F198" i="6"/>
  <c r="F66" i="7"/>
  <c r="C12" i="7"/>
  <c r="C71" i="7"/>
  <c r="E82" i="7"/>
  <c r="E157" i="7" s="1"/>
  <c r="G100" i="7"/>
  <c r="G123" i="7" s="1"/>
  <c r="G167" i="7"/>
  <c r="F8" i="6"/>
  <c r="F82" i="7"/>
  <c r="F157" i="7" s="1"/>
  <c r="D88" i="7"/>
  <c r="D87" i="7" s="1"/>
  <c r="D86" i="7" s="1"/>
  <c r="G154" i="6"/>
  <c r="C170" i="6"/>
  <c r="G170" i="6"/>
  <c r="C177" i="6"/>
  <c r="G177" i="6"/>
  <c r="F107" i="7"/>
  <c r="D185" i="6"/>
  <c r="D108" i="7"/>
  <c r="G110" i="7"/>
  <c r="D42" i="6"/>
  <c r="G42" i="6"/>
  <c r="D52" i="6"/>
  <c r="D59" i="6"/>
  <c r="E96" i="7"/>
  <c r="F90" i="6"/>
  <c r="F100" i="7"/>
  <c r="F123" i="7" s="1"/>
  <c r="E90" i="6"/>
  <c r="D90" i="6"/>
  <c r="E109" i="6"/>
  <c r="D124" i="6"/>
  <c r="E138" i="6"/>
  <c r="F170" i="6"/>
  <c r="F177" i="6"/>
  <c r="E107" i="7"/>
  <c r="E198" i="6"/>
  <c r="D84" i="7"/>
  <c r="E105" i="7"/>
  <c r="E106" i="7" s="1"/>
  <c r="F108" i="7"/>
  <c r="C42" i="6"/>
  <c r="G1210" i="5"/>
  <c r="F910" i="5"/>
  <c r="E887" i="5"/>
  <c r="D1210" i="5"/>
  <c r="F907" i="5"/>
  <c r="E912" i="5"/>
  <c r="C910" i="5"/>
  <c r="G910" i="5"/>
  <c r="F887" i="5"/>
  <c r="E890" i="5"/>
  <c r="D893" i="5"/>
  <c r="F899" i="5"/>
  <c r="C1210" i="5"/>
  <c r="C1211" i="5" s="1"/>
  <c r="D912" i="5"/>
  <c r="D890" i="5"/>
  <c r="E1210" i="5"/>
  <c r="C907" i="5"/>
  <c r="G907" i="5"/>
  <c r="F912" i="5"/>
  <c r="D910" i="5"/>
  <c r="C887" i="5"/>
  <c r="G887" i="5"/>
  <c r="F890" i="5"/>
  <c r="E893" i="5"/>
  <c r="C893" i="5"/>
  <c r="G893" i="5"/>
  <c r="F1210" i="5"/>
  <c r="D907" i="5"/>
  <c r="C912" i="5"/>
  <c r="G912" i="5"/>
  <c r="E910" i="5"/>
  <c r="D887" i="5"/>
  <c r="C890" i="5"/>
  <c r="F893" i="5"/>
  <c r="D899" i="5"/>
  <c r="E907" i="5"/>
  <c r="C899" i="5"/>
  <c r="G899" i="5"/>
  <c r="E899" i="5"/>
  <c r="F891" i="5" l="1"/>
  <c r="D14" i="5"/>
  <c r="D17" i="5" s="1"/>
  <c r="D165" i="7"/>
  <c r="G42" i="11"/>
  <c r="D166" i="7"/>
  <c r="D75" i="7"/>
  <c r="G52" i="11"/>
  <c r="D157" i="7"/>
  <c r="C42" i="11"/>
  <c r="D59" i="11"/>
  <c r="G891" i="5"/>
  <c r="D126" i="6"/>
  <c r="D49" i="7" s="1"/>
  <c r="C52" i="11"/>
  <c r="C71" i="11"/>
  <c r="E891" i="5"/>
  <c r="E42" i="11"/>
  <c r="D121" i="7"/>
  <c r="D159" i="7"/>
  <c r="G59" i="11"/>
  <c r="C48" i="11"/>
  <c r="D891" i="5"/>
  <c r="D109" i="7"/>
  <c r="D137" i="7" s="1"/>
  <c r="C59" i="11"/>
  <c r="D42" i="11"/>
  <c r="F8" i="11"/>
  <c r="F63" i="11"/>
  <c r="F55" i="11"/>
  <c r="F27" i="11"/>
  <c r="F16" i="11"/>
  <c r="F25" i="11"/>
  <c r="F14" i="11"/>
  <c r="F5" i="11"/>
  <c r="F67" i="11"/>
  <c r="F12" i="11"/>
  <c r="F64" i="11"/>
  <c r="F47" i="11"/>
  <c r="F39" i="11"/>
  <c r="F22" i="11"/>
  <c r="F13" i="11"/>
  <c r="F26" i="11"/>
  <c r="F56" i="11"/>
  <c r="F48" i="11"/>
  <c r="F49" i="11"/>
  <c r="F9" i="11"/>
  <c r="F46" i="11"/>
  <c r="F3" i="11"/>
  <c r="F4" i="11"/>
  <c r="F34" i="11"/>
  <c r="F6" i="11"/>
  <c r="F17" i="11"/>
  <c r="F71" i="11"/>
  <c r="F52" i="11"/>
  <c r="E52" i="11"/>
  <c r="G68" i="11"/>
  <c r="G54" i="11"/>
  <c r="G64" i="11"/>
  <c r="G13" i="11"/>
  <c r="G4" i="11"/>
  <c r="G56" i="11"/>
  <c r="G34" i="11"/>
  <c r="G17" i="11"/>
  <c r="G8" i="11"/>
  <c r="G26" i="11"/>
  <c r="G15" i="11"/>
  <c r="G37" i="11"/>
  <c r="G21" i="11"/>
  <c r="G71" i="11"/>
  <c r="G5" i="11"/>
  <c r="G48" i="11"/>
  <c r="G39" i="11"/>
  <c r="G47" i="11"/>
  <c r="G3" i="11"/>
  <c r="G27" i="11"/>
  <c r="G49" i="11"/>
  <c r="G6" i="11"/>
  <c r="G7" i="11"/>
  <c r="G14" i="11"/>
  <c r="G22" i="11"/>
  <c r="C156" i="6"/>
  <c r="C76" i="7" s="1"/>
  <c r="F21" i="11"/>
  <c r="G55" i="11"/>
  <c r="G9" i="11"/>
  <c r="F54" i="11"/>
  <c r="E5" i="11"/>
  <c r="E49" i="11"/>
  <c r="E4" i="11"/>
  <c r="E140" i="6"/>
  <c r="E139" i="7" s="1"/>
  <c r="G156" i="6"/>
  <c r="G159" i="6" s="1"/>
  <c r="F156" i="6"/>
  <c r="F159" i="6" s="1"/>
  <c r="D67" i="11"/>
  <c r="D8" i="11"/>
  <c r="D3" i="11"/>
  <c r="D63" i="11"/>
  <c r="D27" i="11"/>
  <c r="D16" i="11"/>
  <c r="D7" i="11"/>
  <c r="D55" i="11"/>
  <c r="D25" i="11"/>
  <c r="D14" i="11"/>
  <c r="D48" i="11"/>
  <c r="D22" i="11"/>
  <c r="D5" i="11"/>
  <c r="D12" i="11"/>
  <c r="D6" i="11"/>
  <c r="D13" i="11"/>
  <c r="D21" i="11"/>
  <c r="D46" i="11"/>
  <c r="D17" i="11"/>
  <c r="D56" i="11"/>
  <c r="D39" i="11"/>
  <c r="D37" i="11"/>
  <c r="D15" i="11"/>
  <c r="D34" i="11"/>
  <c r="D64" i="11"/>
  <c r="D68" i="11"/>
  <c r="D49" i="11"/>
  <c r="D54" i="11"/>
  <c r="D47" i="11"/>
  <c r="F23" i="6"/>
  <c r="F894" i="5" s="1"/>
  <c r="F20" i="11"/>
  <c r="D156" i="6"/>
  <c r="D159" i="6" s="1"/>
  <c r="C23" i="6"/>
  <c r="C894" i="5" s="1"/>
  <c r="C20" i="11"/>
  <c r="G25" i="11"/>
  <c r="D71" i="11"/>
  <c r="D26" i="11"/>
  <c r="G16" i="11"/>
  <c r="F38" i="11"/>
  <c r="D38" i="11"/>
  <c r="D52" i="11"/>
  <c r="E64" i="11"/>
  <c r="E56" i="11"/>
  <c r="E54" i="11"/>
  <c r="E26" i="11"/>
  <c r="E15" i="11"/>
  <c r="E6" i="11"/>
  <c r="E13" i="11"/>
  <c r="E68" i="11"/>
  <c r="E34" i="11"/>
  <c r="E17" i="11"/>
  <c r="E8" i="11"/>
  <c r="E39" i="11"/>
  <c r="E16" i="11"/>
  <c r="E55" i="11"/>
  <c r="E38" i="11"/>
  <c r="E14" i="11"/>
  <c r="E27" i="11"/>
  <c r="E63" i="11"/>
  <c r="E22" i="11"/>
  <c r="E3" i="11"/>
  <c r="E71" i="11"/>
  <c r="E67" i="11"/>
  <c r="E48" i="11"/>
  <c r="E46" i="11"/>
  <c r="E37" i="11"/>
  <c r="E25" i="11"/>
  <c r="E9" i="11"/>
  <c r="E59" i="11"/>
  <c r="F126" i="6"/>
  <c r="E23" i="6"/>
  <c r="E894" i="5" s="1"/>
  <c r="E20" i="11"/>
  <c r="F68" i="11"/>
  <c r="G12" i="11"/>
  <c r="G46" i="11"/>
  <c r="F15" i="11"/>
  <c r="E7" i="11"/>
  <c r="D9" i="11"/>
  <c r="D187" i="6"/>
  <c r="D43" i="7" s="1"/>
  <c r="C140" i="6"/>
  <c r="C19" i="10" s="1"/>
  <c r="F42" i="11"/>
  <c r="G38" i="11"/>
  <c r="F37" i="11"/>
  <c r="G63" i="11"/>
  <c r="E12" i="11"/>
  <c r="G67" i="11"/>
  <c r="F7" i="11"/>
  <c r="E21" i="11"/>
  <c r="D23" i="6"/>
  <c r="D894" i="5" s="1"/>
  <c r="D20" i="11"/>
  <c r="C68" i="11"/>
  <c r="C54" i="11"/>
  <c r="C17" i="11"/>
  <c r="C8" i="11"/>
  <c r="C64" i="11"/>
  <c r="C26" i="11"/>
  <c r="C15" i="11"/>
  <c r="C56" i="11"/>
  <c r="C13" i="11"/>
  <c r="C4" i="11"/>
  <c r="C34" i="11"/>
  <c r="C38" i="11"/>
  <c r="C67" i="11"/>
  <c r="C46" i="11"/>
  <c r="C9" i="11"/>
  <c r="C63" i="11"/>
  <c r="E156" i="6"/>
  <c r="C5" i="11"/>
  <c r="C37" i="11"/>
  <c r="C16" i="11"/>
  <c r="C22" i="11"/>
  <c r="C14" i="11"/>
  <c r="C7" i="11"/>
  <c r="C6" i="11"/>
  <c r="C47" i="11"/>
  <c r="C49" i="11"/>
  <c r="F59" i="11"/>
  <c r="G23" i="6"/>
  <c r="G894" i="5" s="1"/>
  <c r="G20" i="11"/>
  <c r="C27" i="11"/>
  <c r="C3" i="11"/>
  <c r="C55" i="11"/>
  <c r="C25" i="11"/>
  <c r="C12" i="11"/>
  <c r="C39" i="11"/>
  <c r="F29" i="7"/>
  <c r="F30" i="10"/>
  <c r="G33" i="10"/>
  <c r="C85" i="10" s="1"/>
  <c r="G29" i="10"/>
  <c r="C81" i="10" s="1"/>
  <c r="D29" i="7"/>
  <c r="D30" i="10"/>
  <c r="F1209" i="5"/>
  <c r="F33" i="10"/>
  <c r="F29" i="10"/>
  <c r="C33" i="10"/>
  <c r="C29" i="10"/>
  <c r="E29" i="7"/>
  <c r="E30" i="10"/>
  <c r="D33" i="10"/>
  <c r="D29" i="10"/>
  <c r="G29" i="7"/>
  <c r="G30" i="10"/>
  <c r="C82" i="10" s="1"/>
  <c r="E29" i="10"/>
  <c r="E33" i="10"/>
  <c r="C29" i="7"/>
  <c r="C30" i="10"/>
  <c r="D140" i="6"/>
  <c r="F140" i="6"/>
  <c r="D28" i="7"/>
  <c r="C75" i="7"/>
  <c r="F1211" i="5"/>
  <c r="F1221" i="5" s="1"/>
  <c r="C891" i="5"/>
  <c r="D1207" i="5"/>
  <c r="E1207" i="5"/>
  <c r="G75" i="7"/>
  <c r="G140" i="6"/>
  <c r="G142" i="6" s="1"/>
  <c r="C10" i="6"/>
  <c r="C10" i="11" s="1"/>
  <c r="C5" i="7"/>
  <c r="C32" i="7" s="1"/>
  <c r="E93" i="6"/>
  <c r="E99" i="7"/>
  <c r="E152" i="7" s="1"/>
  <c r="G166" i="7"/>
  <c r="G138" i="7"/>
  <c r="G159" i="7"/>
  <c r="G162" i="7"/>
  <c r="E159" i="7"/>
  <c r="E138" i="7"/>
  <c r="E166" i="7"/>
  <c r="E162" i="7"/>
  <c r="F159" i="7"/>
  <c r="F138" i="7"/>
  <c r="F166" i="7"/>
  <c r="G187" i="6"/>
  <c r="G165" i="7"/>
  <c r="G28" i="7"/>
  <c r="F121" i="7"/>
  <c r="F83" i="7"/>
  <c r="F89" i="7" s="1"/>
  <c r="G109" i="7"/>
  <c r="G126" i="6"/>
  <c r="E109" i="7"/>
  <c r="C166" i="7"/>
  <c r="C138" i="7"/>
  <c r="C159" i="7"/>
  <c r="G93" i="6"/>
  <c r="G99" i="7"/>
  <c r="G152" i="7" s="1"/>
  <c r="G121" i="7"/>
  <c r="G83" i="7"/>
  <c r="G89" i="7" s="1"/>
  <c r="G157" i="7"/>
  <c r="D901" i="5"/>
  <c r="E126" i="6"/>
  <c r="F93" i="6"/>
  <c r="F99" i="7"/>
  <c r="F154" i="7" s="1"/>
  <c r="F162" i="7"/>
  <c r="C187" i="6"/>
  <c r="C165" i="7"/>
  <c r="C28" i="7"/>
  <c r="F10" i="6"/>
  <c r="F10" i="11" s="1"/>
  <c r="F5" i="7"/>
  <c r="D10" i="6"/>
  <c r="D10" i="11" s="1"/>
  <c r="D5" i="7"/>
  <c r="C83" i="7"/>
  <c r="C89" i="7" s="1"/>
  <c r="C121" i="7"/>
  <c r="C126" i="6"/>
  <c r="D89" i="7"/>
  <c r="C157" i="7"/>
  <c r="F75" i="7"/>
  <c r="G10" i="6"/>
  <c r="G10" i="11" s="1"/>
  <c r="G5" i="7"/>
  <c r="D138" i="7"/>
  <c r="E1211" i="5"/>
  <c r="E1219" i="5" s="1"/>
  <c r="F109" i="7"/>
  <c r="F187" i="6"/>
  <c r="F165" i="7"/>
  <c r="F28" i="7"/>
  <c r="D93" i="6"/>
  <c r="D99" i="7"/>
  <c r="D152" i="7" s="1"/>
  <c r="E121" i="7"/>
  <c r="E83" i="7"/>
  <c r="E89" i="7" s="1"/>
  <c r="C109" i="7"/>
  <c r="E10" i="6"/>
  <c r="E10" i="11" s="1"/>
  <c r="E5" i="7"/>
  <c r="E187" i="6"/>
  <c r="E28" i="7"/>
  <c r="E165" i="7"/>
  <c r="C162" i="7"/>
  <c r="C93" i="6"/>
  <c r="C99" i="7"/>
  <c r="C153" i="7" s="1"/>
  <c r="D914" i="5"/>
  <c r="D916" i="5" s="1"/>
  <c r="G914" i="5"/>
  <c r="G916" i="5" s="1"/>
  <c r="C914" i="5"/>
  <c r="C916" i="5" s="1"/>
  <c r="C901" i="5"/>
  <c r="G1049" i="5"/>
  <c r="G896" i="5"/>
  <c r="G897" i="5" s="1"/>
  <c r="E888" i="5"/>
  <c r="G1207" i="5"/>
  <c r="E1209" i="5"/>
  <c r="C1061" i="5"/>
  <c r="C1048" i="5"/>
  <c r="F1207" i="5"/>
  <c r="G1211" i="5"/>
  <c r="D1209" i="5"/>
  <c r="F1049" i="5"/>
  <c r="F896" i="5"/>
  <c r="F897" i="5" s="1"/>
  <c r="D1048" i="5"/>
  <c r="D1061" i="5"/>
  <c r="C908" i="5"/>
  <c r="E908" i="5"/>
  <c r="F901" i="5"/>
  <c r="E901" i="5"/>
  <c r="F914" i="5"/>
  <c r="F916" i="5" s="1"/>
  <c r="E1049" i="5"/>
  <c r="E896" i="5"/>
  <c r="E897" i="5" s="1"/>
  <c r="G888" i="5"/>
  <c r="C888" i="5"/>
  <c r="G1209" i="5"/>
  <c r="C1049" i="5"/>
  <c r="C896" i="5"/>
  <c r="C897" i="5" s="1"/>
  <c r="C1220" i="5"/>
  <c r="C1219" i="5"/>
  <c r="C1218" i="5"/>
  <c r="C1221" i="5"/>
  <c r="E914" i="5"/>
  <c r="E916" i="5" s="1"/>
  <c r="D908" i="5"/>
  <c r="C1228" i="5"/>
  <c r="D1049" i="5"/>
  <c r="D896" i="5"/>
  <c r="D897" i="5" s="1"/>
  <c r="D888" i="5"/>
  <c r="C1207" i="5"/>
  <c r="F1061" i="5"/>
  <c r="F1048" i="5"/>
  <c r="G1228" i="5"/>
  <c r="G1061" i="5"/>
  <c r="G1048" i="5"/>
  <c r="G908" i="5"/>
  <c r="F1228" i="5"/>
  <c r="C1209" i="5"/>
  <c r="G901" i="5"/>
  <c r="F888" i="5"/>
  <c r="F908" i="5"/>
  <c r="D1211" i="5"/>
  <c r="E1228" i="5"/>
  <c r="E1048" i="5"/>
  <c r="E1061" i="5"/>
  <c r="D1228" i="5"/>
  <c r="E1221" i="5" l="1"/>
  <c r="C14" i="5"/>
  <c r="C17" i="5" s="1"/>
  <c r="D172" i="7"/>
  <c r="D161" i="7"/>
  <c r="D168" i="7"/>
  <c r="D160" i="7"/>
  <c r="D136" i="7"/>
  <c r="D169" i="7"/>
  <c r="C139" i="7"/>
  <c r="F1218" i="5"/>
  <c r="F76" i="7"/>
  <c r="G1047" i="5"/>
  <c r="D163" i="7"/>
  <c r="C140" i="7"/>
  <c r="C142" i="6"/>
  <c r="C144" i="6" s="1"/>
  <c r="C90" i="11" s="1"/>
  <c r="D158" i="7"/>
  <c r="D200" i="6"/>
  <c r="D164" i="7"/>
  <c r="F1219" i="5"/>
  <c r="F1220" i="5"/>
  <c r="E142" i="6"/>
  <c r="E144" i="6" s="1"/>
  <c r="E90" i="11" s="1"/>
  <c r="E19" i="10"/>
  <c r="G76" i="7"/>
  <c r="E1220" i="5"/>
  <c r="E140" i="7"/>
  <c r="E1218" i="5"/>
  <c r="G30" i="6"/>
  <c r="G30" i="11" s="1"/>
  <c r="G23" i="11"/>
  <c r="G153" i="7"/>
  <c r="C49" i="7"/>
  <c r="G49" i="7"/>
  <c r="D54" i="7"/>
  <c r="E159" i="6"/>
  <c r="E164" i="7" s="1"/>
  <c r="E76" i="7"/>
  <c r="F49" i="7"/>
  <c r="F30" i="6"/>
  <c r="F30" i="11" s="1"/>
  <c r="F23" i="11"/>
  <c r="E49" i="7"/>
  <c r="D45" i="7"/>
  <c r="D23" i="10" s="1"/>
  <c r="E30" i="6"/>
  <c r="E30" i="11" s="1"/>
  <c r="E23" i="11"/>
  <c r="D76" i="7"/>
  <c r="D30" i="6"/>
  <c r="D30" i="11" s="1"/>
  <c r="D23" i="11"/>
  <c r="C30" i="6"/>
  <c r="C30" i="11" s="1"/>
  <c r="C23" i="11"/>
  <c r="C159" i="6"/>
  <c r="C164" i="7" s="1"/>
  <c r="G154" i="7"/>
  <c r="G171" i="7"/>
  <c r="D46" i="7"/>
  <c r="G140" i="7"/>
  <c r="G32" i="10"/>
  <c r="C84" i="10" s="1"/>
  <c r="G19" i="10"/>
  <c r="F139" i="7"/>
  <c r="F32" i="10"/>
  <c r="F19" i="10"/>
  <c r="E32" i="10"/>
  <c r="D142" i="6"/>
  <c r="D144" i="6" s="1"/>
  <c r="D32" i="10"/>
  <c r="D19" i="10"/>
  <c r="D140" i="7"/>
  <c r="D139" i="7"/>
  <c r="D44" i="7"/>
  <c r="D922" i="5" s="1"/>
  <c r="C32" i="10"/>
  <c r="F1047" i="5"/>
  <c r="E153" i="7"/>
  <c r="G139" i="7"/>
  <c r="F140" i="7"/>
  <c r="F142" i="6"/>
  <c r="E161" i="7"/>
  <c r="C154" i="7"/>
  <c r="D153" i="7"/>
  <c r="C4" i="7"/>
  <c r="C161" i="7"/>
  <c r="F4" i="7"/>
  <c r="F903" i="5"/>
  <c r="F920" i="5" s="1"/>
  <c r="E172" i="7"/>
  <c r="E168" i="7"/>
  <c r="E4" i="7"/>
  <c r="F168" i="7"/>
  <c r="F172" i="7"/>
  <c r="G32" i="7"/>
  <c r="D150" i="7"/>
  <c r="D127" i="7"/>
  <c r="D142" i="7"/>
  <c r="D90" i="7"/>
  <c r="D92" i="7" s="1"/>
  <c r="D95" i="7" s="1"/>
  <c r="C142" i="7"/>
  <c r="C127" i="7"/>
  <c r="C90" i="7"/>
  <c r="C92" i="7" s="1"/>
  <c r="C95" i="7" s="1"/>
  <c r="C150" i="7"/>
  <c r="C55" i="7"/>
  <c r="C47" i="7"/>
  <c r="C48" i="7"/>
  <c r="C72" i="7"/>
  <c r="E45" i="7"/>
  <c r="E23" i="10" s="1"/>
  <c r="E44" i="7"/>
  <c r="E922" i="5" s="1"/>
  <c r="E46" i="7"/>
  <c r="E43" i="7"/>
  <c r="E31" i="7" s="1"/>
  <c r="E142" i="7"/>
  <c r="E127" i="7"/>
  <c r="E90" i="7"/>
  <c r="E92" i="7" s="1"/>
  <c r="E95" i="7" s="1"/>
  <c r="E150" i="7"/>
  <c r="D55" i="7"/>
  <c r="D47" i="7"/>
  <c r="D48" i="7"/>
  <c r="D72" i="7"/>
  <c r="F163" i="7"/>
  <c r="F160" i="7"/>
  <c r="F158" i="7"/>
  <c r="F136" i="7"/>
  <c r="F164" i="7"/>
  <c r="F137" i="7"/>
  <c r="F169" i="7"/>
  <c r="D4" i="7"/>
  <c r="F32" i="7"/>
  <c r="G6" i="7"/>
  <c r="G34" i="10" s="1"/>
  <c r="C86" i="10" s="1"/>
  <c r="C43" i="7"/>
  <c r="C31" i="7" s="1"/>
  <c r="C44" i="7"/>
  <c r="C922" i="5" s="1"/>
  <c r="C46" i="7"/>
  <c r="C45" i="7"/>
  <c r="C23" i="10" s="1"/>
  <c r="F116" i="7"/>
  <c r="F120" i="7" s="1"/>
  <c r="F118" i="7"/>
  <c r="F115" i="7"/>
  <c r="F119" i="7"/>
  <c r="F156" i="7"/>
  <c r="F117" i="7"/>
  <c r="F155" i="7" s="1"/>
  <c r="F170" i="7"/>
  <c r="F171" i="7"/>
  <c r="G55" i="7"/>
  <c r="G56" i="7" s="1"/>
  <c r="G47" i="7"/>
  <c r="G48" i="7"/>
  <c r="G53" i="7" s="1"/>
  <c r="G72" i="7"/>
  <c r="E160" i="7"/>
  <c r="E136" i="7"/>
  <c r="E158" i="7"/>
  <c r="E137" i="7"/>
  <c r="E163" i="7"/>
  <c r="E169" i="7"/>
  <c r="F153" i="7"/>
  <c r="F127" i="7"/>
  <c r="F90" i="7"/>
  <c r="F92" i="7" s="1"/>
  <c r="F95" i="7" s="1"/>
  <c r="F150" i="7"/>
  <c r="F142" i="7"/>
  <c r="G43" i="7"/>
  <c r="G31" i="7" s="1"/>
  <c r="G45" i="7"/>
  <c r="G23" i="10" s="1"/>
  <c r="C75" i="10" s="1"/>
  <c r="G46" i="7"/>
  <c r="G44" i="7"/>
  <c r="G922" i="5" s="1"/>
  <c r="E72" i="7"/>
  <c r="E48" i="7"/>
  <c r="E55" i="7"/>
  <c r="E47" i="7"/>
  <c r="G903" i="5"/>
  <c r="G920" i="5" s="1"/>
  <c r="E32" i="7"/>
  <c r="F6" i="7"/>
  <c r="F34" i="10" s="1"/>
  <c r="F48" i="7"/>
  <c r="F72" i="7"/>
  <c r="F47" i="7"/>
  <c r="F1058" i="5" s="1"/>
  <c r="D1067" i="5" s="1"/>
  <c r="F55" i="7"/>
  <c r="G142" i="7"/>
  <c r="G127" i="7"/>
  <c r="G90" i="7"/>
  <c r="G92" i="7" s="1"/>
  <c r="G95" i="7" s="1"/>
  <c r="G150" i="7"/>
  <c r="C119" i="7"/>
  <c r="C115" i="7"/>
  <c r="C118" i="7"/>
  <c r="C117" i="7"/>
  <c r="C155" i="7" s="1"/>
  <c r="C116" i="7"/>
  <c r="C120" i="7" s="1"/>
  <c r="C171" i="7"/>
  <c r="C156" i="7"/>
  <c r="C170" i="7"/>
  <c r="C152" i="7"/>
  <c r="C158" i="7"/>
  <c r="C169" i="7"/>
  <c r="C137" i="7"/>
  <c r="C136" i="7"/>
  <c r="C163" i="7"/>
  <c r="C160" i="7"/>
  <c r="G200" i="6"/>
  <c r="G54" i="7"/>
  <c r="D118" i="7"/>
  <c r="D156" i="7"/>
  <c r="D119" i="7"/>
  <c r="D117" i="7"/>
  <c r="D155" i="7" s="1"/>
  <c r="D116" i="7"/>
  <c r="D120" i="7" s="1"/>
  <c r="D115" i="7"/>
  <c r="D170" i="7"/>
  <c r="D171" i="7"/>
  <c r="F44" i="7"/>
  <c r="F922" i="5" s="1"/>
  <c r="F46" i="7"/>
  <c r="F45" i="7"/>
  <c r="F23" i="10" s="1"/>
  <c r="F43" i="7"/>
  <c r="F31" i="7" s="1"/>
  <c r="G4" i="7"/>
  <c r="D32" i="7"/>
  <c r="D31" i="7"/>
  <c r="E6" i="7"/>
  <c r="E34" i="10" s="1"/>
  <c r="D6" i="7"/>
  <c r="D34" i="10" s="1"/>
  <c r="F54" i="7"/>
  <c r="F200" i="6"/>
  <c r="C168" i="7"/>
  <c r="C172" i="7"/>
  <c r="G119" i="7"/>
  <c r="G115" i="7"/>
  <c r="G156" i="7"/>
  <c r="G117" i="7"/>
  <c r="G155" i="7" s="1"/>
  <c r="G118" i="7"/>
  <c r="G116" i="7"/>
  <c r="G120" i="7" s="1"/>
  <c r="G170" i="7"/>
  <c r="F152" i="7"/>
  <c r="G158" i="7"/>
  <c r="G164" i="7"/>
  <c r="G163" i="7"/>
  <c r="G169" i="7"/>
  <c r="G160" i="7"/>
  <c r="G137" i="7"/>
  <c r="G136" i="7"/>
  <c r="G172" i="7"/>
  <c r="G168" i="7"/>
  <c r="F161" i="7"/>
  <c r="G161" i="7"/>
  <c r="D154" i="7"/>
  <c r="E117" i="7"/>
  <c r="E155" i="7" s="1"/>
  <c r="E118" i="7"/>
  <c r="E116" i="7"/>
  <c r="E120" i="7" s="1"/>
  <c r="E170" i="7"/>
  <c r="E119" i="7"/>
  <c r="E115" i="7"/>
  <c r="E171" i="7"/>
  <c r="E156" i="7"/>
  <c r="E154" i="7"/>
  <c r="G144" i="6"/>
  <c r="G123" i="11" s="1"/>
  <c r="E1047" i="5"/>
  <c r="C1229" i="5"/>
  <c r="C1230" i="5"/>
  <c r="E1213" i="5"/>
  <c r="F1213" i="5"/>
  <c r="D1045" i="5"/>
  <c r="D1212" i="5"/>
  <c r="D1047" i="5"/>
  <c r="E903" i="5"/>
  <c r="E1229" i="5"/>
  <c r="E1230" i="5"/>
  <c r="F1230" i="5"/>
  <c r="F1229" i="5"/>
  <c r="G1229" i="5"/>
  <c r="G1230" i="5"/>
  <c r="D903" i="5"/>
  <c r="C1047" i="5"/>
  <c r="C1213" i="5"/>
  <c r="D1213" i="5"/>
  <c r="G1213" i="5"/>
  <c r="D1230" i="5"/>
  <c r="D1229" i="5"/>
  <c r="C1203" i="5"/>
  <c r="E1212" i="5"/>
  <c r="E1045" i="5"/>
  <c r="D1219" i="5"/>
  <c r="D1218" i="5"/>
  <c r="D1221" i="5"/>
  <c r="D1220" i="5"/>
  <c r="G1212" i="5"/>
  <c r="G1045" i="5"/>
  <c r="F1212" i="5"/>
  <c r="F1045" i="5"/>
  <c r="C903" i="5"/>
  <c r="G1220" i="5"/>
  <c r="G1219" i="5"/>
  <c r="G1218" i="5"/>
  <c r="G1221" i="5"/>
  <c r="C1212" i="5"/>
  <c r="C1045" i="5"/>
  <c r="F183" i="11" l="1"/>
  <c r="G31" i="9"/>
  <c r="G28" i="8"/>
  <c r="D150" i="11"/>
  <c r="E28" i="8"/>
  <c r="E31" i="9"/>
  <c r="D155" i="11"/>
  <c r="E27" i="8"/>
  <c r="E29" i="9"/>
  <c r="D56" i="7"/>
  <c r="E53" i="7"/>
  <c r="E32" i="6"/>
  <c r="E32" i="11" s="1"/>
  <c r="D187" i="11"/>
  <c r="E56" i="9"/>
  <c r="D176" i="11"/>
  <c r="E12" i="8"/>
  <c r="E13" i="9"/>
  <c r="E13" i="8"/>
  <c r="E29" i="8"/>
  <c r="E17" i="9"/>
  <c r="E38" i="9"/>
  <c r="D145" i="11"/>
  <c r="D170" i="11"/>
  <c r="E18" i="8"/>
  <c r="E38" i="8"/>
  <c r="E4" i="9"/>
  <c r="E18" i="9"/>
  <c r="E39" i="9"/>
  <c r="D151" i="11"/>
  <c r="E5" i="8"/>
  <c r="E20" i="8"/>
  <c r="E40" i="8"/>
  <c r="E12" i="9"/>
  <c r="E27" i="9"/>
  <c r="E55" i="9"/>
  <c r="D157" i="11"/>
  <c r="D190" i="11"/>
  <c r="D147" i="11"/>
  <c r="E9" i="8"/>
  <c r="E15" i="8"/>
  <c r="E25" i="8"/>
  <c r="E30" i="8"/>
  <c r="D122" i="7"/>
  <c r="E5" i="9"/>
  <c r="E14" i="9"/>
  <c r="E25" i="9"/>
  <c r="E30" i="9"/>
  <c r="E46" i="9"/>
  <c r="D168" i="11"/>
  <c r="D161" i="11"/>
  <c r="D174" i="11"/>
  <c r="D177" i="11"/>
  <c r="D152" i="11"/>
  <c r="E10" i="8"/>
  <c r="E17" i="8"/>
  <c r="E26" i="8"/>
  <c r="E31" i="8"/>
  <c r="E7" i="9"/>
  <c r="E16" i="9"/>
  <c r="E26" i="9"/>
  <c r="E54" i="9"/>
  <c r="D183" i="11"/>
  <c r="D181" i="11"/>
  <c r="D169" i="11"/>
  <c r="D178" i="11"/>
  <c r="D162" i="11"/>
  <c r="D154" i="11"/>
  <c r="D188" i="11"/>
  <c r="D175" i="11"/>
  <c r="D167" i="11"/>
  <c r="D196" i="11"/>
  <c r="E56" i="7"/>
  <c r="D53" i="7"/>
  <c r="C53" i="7"/>
  <c r="D1201" i="5"/>
  <c r="D33" i="7"/>
  <c r="E4" i="8"/>
  <c r="E11" i="8"/>
  <c r="E16" i="8"/>
  <c r="E21" i="8"/>
  <c r="E32" i="8"/>
  <c r="E46" i="8"/>
  <c r="E8" i="9"/>
  <c r="E15" i="9"/>
  <c r="E24" i="9"/>
  <c r="E28" i="9"/>
  <c r="E37" i="9"/>
  <c r="E50" i="9"/>
  <c r="E57" i="9"/>
  <c r="D146" i="11"/>
  <c r="D186" i="11"/>
  <c r="D153" i="11"/>
  <c r="D163" i="11"/>
  <c r="D160" i="11"/>
  <c r="D189" i="11"/>
  <c r="D194" i="11"/>
  <c r="C67" i="7"/>
  <c r="D32" i="6"/>
  <c r="D32" i="11" s="1"/>
  <c r="G32" i="6"/>
  <c r="G32" i="11" s="1"/>
  <c r="C56" i="7"/>
  <c r="E200" i="6"/>
  <c r="F56" i="7"/>
  <c r="C32" i="6"/>
  <c r="C32" i="11" s="1"/>
  <c r="F32" i="6"/>
  <c r="F32" i="11" s="1"/>
  <c r="G122" i="7"/>
  <c r="G196" i="11"/>
  <c r="G177" i="11"/>
  <c r="G170" i="11"/>
  <c r="G190" i="11"/>
  <c r="G189" i="11"/>
  <c r="G187" i="11"/>
  <c r="G162" i="11"/>
  <c r="G161" i="11"/>
  <c r="G147" i="11"/>
  <c r="G174" i="11"/>
  <c r="G160" i="11"/>
  <c r="G169" i="11"/>
  <c r="G157" i="11"/>
  <c r="G178" i="11"/>
  <c r="G153" i="11"/>
  <c r="G168" i="11"/>
  <c r="G151" i="11"/>
  <c r="G167" i="11"/>
  <c r="G163" i="11"/>
  <c r="G175" i="11"/>
  <c r="G188" i="11"/>
  <c r="G186" i="11"/>
  <c r="G154" i="11"/>
  <c r="G146" i="11"/>
  <c r="G145" i="11"/>
  <c r="G176" i="11"/>
  <c r="G150" i="11"/>
  <c r="G181" i="11"/>
  <c r="G194" i="11"/>
  <c r="F144" i="6"/>
  <c r="F139" i="11" s="1"/>
  <c r="D139" i="11"/>
  <c r="E139" i="11"/>
  <c r="C137" i="11"/>
  <c r="D3" i="10"/>
  <c r="D9" i="10" s="1"/>
  <c r="D141" i="11"/>
  <c r="D110" i="11"/>
  <c r="D95" i="11"/>
  <c r="D81" i="11"/>
  <c r="D79" i="11"/>
  <c r="D99" i="11"/>
  <c r="D92" i="11"/>
  <c r="D96" i="11"/>
  <c r="D97" i="11"/>
  <c r="D101" i="11"/>
  <c r="D127" i="11"/>
  <c r="D109" i="11"/>
  <c r="D112" i="11"/>
  <c r="D88" i="11"/>
  <c r="D113" i="11"/>
  <c r="D80" i="11"/>
  <c r="D115" i="11"/>
  <c r="D102" i="11"/>
  <c r="D129" i="11"/>
  <c r="D126" i="11"/>
  <c r="D89" i="11"/>
  <c r="D116" i="11"/>
  <c r="D111" i="11"/>
  <c r="D82" i="11"/>
  <c r="D117" i="11"/>
  <c r="D114" i="11"/>
  <c r="D131" i="11"/>
  <c r="D100" i="11"/>
  <c r="D128" i="11"/>
  <c r="D83" i="11"/>
  <c r="D78" i="11"/>
  <c r="D98" i="11"/>
  <c r="D130" i="11"/>
  <c r="D87" i="11"/>
  <c r="D121" i="11"/>
  <c r="D135" i="11"/>
  <c r="D123" i="11"/>
  <c r="D106" i="11"/>
  <c r="C54" i="7"/>
  <c r="C139" i="11"/>
  <c r="G155" i="11"/>
  <c r="C200" i="6"/>
  <c r="G139" i="11"/>
  <c r="G3" i="10"/>
  <c r="G14" i="10" s="1"/>
  <c r="E49" i="10" s="1"/>
  <c r="C66" i="10" s="1"/>
  <c r="G141" i="11"/>
  <c r="G110" i="11"/>
  <c r="G111" i="11"/>
  <c r="G96" i="11"/>
  <c r="G82" i="11"/>
  <c r="G78" i="11"/>
  <c r="G80" i="11"/>
  <c r="G79" i="11"/>
  <c r="G101" i="11"/>
  <c r="G129" i="11"/>
  <c r="G99" i="11"/>
  <c r="G97" i="11"/>
  <c r="G95" i="11"/>
  <c r="G128" i="11"/>
  <c r="G92" i="11"/>
  <c r="G102" i="11"/>
  <c r="G130" i="11"/>
  <c r="G100" i="11"/>
  <c r="G131" i="11"/>
  <c r="G89" i="11"/>
  <c r="G114" i="11"/>
  <c r="G116" i="11"/>
  <c r="G98" i="11"/>
  <c r="G109" i="11"/>
  <c r="G88" i="11"/>
  <c r="G113" i="11"/>
  <c r="G117" i="11"/>
  <c r="G112" i="11"/>
  <c r="G126" i="11"/>
  <c r="G127" i="11"/>
  <c r="G81" i="11"/>
  <c r="G83" i="11"/>
  <c r="G115" i="11"/>
  <c r="G121" i="11"/>
  <c r="G135" i="11"/>
  <c r="G106" i="11"/>
  <c r="G87" i="11"/>
  <c r="F196" i="11"/>
  <c r="F170" i="11"/>
  <c r="F174" i="11"/>
  <c r="F147" i="11"/>
  <c r="F187" i="11"/>
  <c r="F167" i="11"/>
  <c r="F177" i="11"/>
  <c r="F176" i="11"/>
  <c r="F157" i="11"/>
  <c r="F189" i="11"/>
  <c r="F146" i="11"/>
  <c r="F190" i="11"/>
  <c r="F153" i="11"/>
  <c r="F163" i="11"/>
  <c r="F178" i="11"/>
  <c r="F151" i="11"/>
  <c r="F175" i="11"/>
  <c r="F162" i="11"/>
  <c r="F188" i="11"/>
  <c r="F145" i="11"/>
  <c r="F161" i="11"/>
  <c r="F186" i="11"/>
  <c r="F154" i="11"/>
  <c r="F169" i="11"/>
  <c r="F160" i="11"/>
  <c r="F168" i="11"/>
  <c r="F150" i="11"/>
  <c r="F181" i="11"/>
  <c r="F194" i="11"/>
  <c r="E3" i="10"/>
  <c r="E110" i="11"/>
  <c r="E141" i="11"/>
  <c r="E113" i="11"/>
  <c r="E127" i="11"/>
  <c r="E100" i="11"/>
  <c r="E98" i="11"/>
  <c r="E80" i="11"/>
  <c r="E92" i="11"/>
  <c r="E82" i="11"/>
  <c r="E78" i="11"/>
  <c r="E79" i="11"/>
  <c r="E114" i="11"/>
  <c r="E89" i="11"/>
  <c r="E128" i="11"/>
  <c r="E117" i="11"/>
  <c r="E88" i="11"/>
  <c r="E115" i="11"/>
  <c r="E81" i="11"/>
  <c r="E83" i="11"/>
  <c r="E109" i="11"/>
  <c r="E131" i="11"/>
  <c r="E99" i="11"/>
  <c r="E129" i="11"/>
  <c r="E97" i="11"/>
  <c r="E101" i="11"/>
  <c r="E116" i="11"/>
  <c r="E130" i="11"/>
  <c r="E112" i="11"/>
  <c r="E95" i="11"/>
  <c r="E102" i="11"/>
  <c r="E126" i="11"/>
  <c r="E111" i="11"/>
  <c r="E96" i="11"/>
  <c r="E135" i="11"/>
  <c r="E121" i="11"/>
  <c r="E106" i="11"/>
  <c r="E87" i="11"/>
  <c r="C71" i="10"/>
  <c r="G152" i="11"/>
  <c r="G183" i="11"/>
  <c r="D90" i="11"/>
  <c r="E123" i="11"/>
  <c r="E137" i="11"/>
  <c r="C3" i="10"/>
  <c r="C141" i="11"/>
  <c r="C110" i="11"/>
  <c r="C129" i="11"/>
  <c r="C115" i="11"/>
  <c r="C82" i="11"/>
  <c r="C78" i="11"/>
  <c r="C102" i="11"/>
  <c r="C96" i="11"/>
  <c r="C80" i="11"/>
  <c r="C126" i="11"/>
  <c r="C128" i="11"/>
  <c r="C92" i="11"/>
  <c r="C79" i="11"/>
  <c r="C114" i="11"/>
  <c r="C111" i="11"/>
  <c r="C112" i="11"/>
  <c r="C100" i="11"/>
  <c r="C131" i="11"/>
  <c r="C97" i="11"/>
  <c r="C98" i="11"/>
  <c r="C95" i="11"/>
  <c r="C88" i="11"/>
  <c r="C113" i="11"/>
  <c r="C83" i="11"/>
  <c r="C81" i="11"/>
  <c r="C89" i="11"/>
  <c r="C101" i="11"/>
  <c r="C116" i="11"/>
  <c r="C127" i="11"/>
  <c r="C117" i="11"/>
  <c r="C99" i="11"/>
  <c r="C109" i="11"/>
  <c r="C130" i="11"/>
  <c r="C106" i="11"/>
  <c r="C121" i="11"/>
  <c r="C135" i="11"/>
  <c r="C87" i="11"/>
  <c r="F155" i="11"/>
  <c r="G137" i="11"/>
  <c r="G90" i="11"/>
  <c r="D137" i="11"/>
  <c r="F152" i="11"/>
  <c r="E54" i="7"/>
  <c r="C123" i="11"/>
  <c r="G50" i="7"/>
  <c r="G26" i="10"/>
  <c r="G21" i="10"/>
  <c r="F918" i="5"/>
  <c r="F924" i="5" s="1"/>
  <c r="E50" i="7"/>
  <c r="E26" i="10"/>
  <c r="E27" i="10" s="1"/>
  <c r="E21" i="10"/>
  <c r="G918" i="5"/>
  <c r="G924" i="5" s="1"/>
  <c r="F26" i="10"/>
  <c r="F27" i="10" s="1"/>
  <c r="F21" i="10"/>
  <c r="F53" i="7"/>
  <c r="D26" i="10"/>
  <c r="D27" i="10" s="1"/>
  <c r="D21" i="10"/>
  <c r="C50" i="7"/>
  <c r="C26" i="10"/>
  <c r="C27" i="10" s="1"/>
  <c r="C21" i="10"/>
  <c r="F33" i="7"/>
  <c r="G56" i="9"/>
  <c r="G55" i="9"/>
  <c r="G54" i="9"/>
  <c r="G50" i="9"/>
  <c r="G46" i="9"/>
  <c r="G39" i="9"/>
  <c r="G37" i="9"/>
  <c r="G29" i="9"/>
  <c r="G27" i="9"/>
  <c r="G26" i="9"/>
  <c r="G24" i="9"/>
  <c r="G17" i="9"/>
  <c r="G15" i="9"/>
  <c r="G14" i="9"/>
  <c r="G7" i="9"/>
  <c r="G5" i="9"/>
  <c r="G57" i="9"/>
  <c r="G38" i="9"/>
  <c r="G30" i="9"/>
  <c r="G28" i="9"/>
  <c r="G25" i="9"/>
  <c r="G18" i="9"/>
  <c r="G16" i="9"/>
  <c r="G13" i="9"/>
  <c r="G12" i="9"/>
  <c r="G8" i="9"/>
  <c r="G4" i="9"/>
  <c r="E67" i="7"/>
  <c r="C51" i="7"/>
  <c r="F122" i="7"/>
  <c r="G46" i="8"/>
  <c r="G40" i="8"/>
  <c r="G38" i="8"/>
  <c r="G32" i="8"/>
  <c r="G31" i="8"/>
  <c r="G30" i="8"/>
  <c r="G29" i="8"/>
  <c r="G27" i="8"/>
  <c r="G26" i="8"/>
  <c r="G25" i="8"/>
  <c r="G21" i="8"/>
  <c r="G20" i="8"/>
  <c r="G18" i="8"/>
  <c r="G17" i="8"/>
  <c r="G16" i="8"/>
  <c r="G15" i="8"/>
  <c r="G13" i="8"/>
  <c r="G12" i="8"/>
  <c r="G11" i="8"/>
  <c r="G10" i="8"/>
  <c r="G9" i="8"/>
  <c r="G5" i="8"/>
  <c r="G4" i="8"/>
  <c r="G141" i="7"/>
  <c r="G129" i="7"/>
  <c r="D67" i="7"/>
  <c r="D42" i="7"/>
  <c r="D51" i="7"/>
  <c r="D52" i="7"/>
  <c r="D50" i="7"/>
  <c r="F50" i="7"/>
  <c r="F51" i="7"/>
  <c r="F52" i="7"/>
  <c r="F67" i="7"/>
  <c r="F42" i="7"/>
  <c r="E52" i="7"/>
  <c r="C42" i="7"/>
  <c r="C129" i="7"/>
  <c r="C141" i="7"/>
  <c r="C52" i="7"/>
  <c r="C1208" i="5" s="1"/>
  <c r="E141" i="7"/>
  <c r="E129" i="7"/>
  <c r="D141" i="7"/>
  <c r="D129" i="7"/>
  <c r="G52" i="7"/>
  <c r="G67" i="7"/>
  <c r="G42" i="7"/>
  <c r="G51" i="7"/>
  <c r="E51" i="7"/>
  <c r="F129" i="7"/>
  <c r="F141" i="7"/>
  <c r="E42" i="7"/>
  <c r="G33" i="7"/>
  <c r="G1223" i="5"/>
  <c r="G1222" i="5"/>
  <c r="G1216" i="5"/>
  <c r="G1214" i="5"/>
  <c r="F1054" i="5"/>
  <c r="D1063" i="5" s="1"/>
  <c r="F1204" i="5"/>
  <c r="G1225" i="5"/>
  <c r="G1215" i="5"/>
  <c r="G1217" i="5"/>
  <c r="G1224" i="5"/>
  <c r="C1225" i="5"/>
  <c r="C1224" i="5"/>
  <c r="C1215" i="5"/>
  <c r="C1217" i="5"/>
  <c r="D920" i="5"/>
  <c r="D918" i="5"/>
  <c r="D1054" i="5"/>
  <c r="D1204" i="5"/>
  <c r="E1058" i="5"/>
  <c r="G1058" i="5"/>
  <c r="C1204" i="5"/>
  <c r="C1054" i="5"/>
  <c r="C920" i="5"/>
  <c r="C918" i="5"/>
  <c r="D1046" i="5"/>
  <c r="F1046" i="5"/>
  <c r="F1224" i="5"/>
  <c r="F1217" i="5"/>
  <c r="F1225" i="5"/>
  <c r="F1215" i="5"/>
  <c r="E1046" i="5"/>
  <c r="C1223" i="5"/>
  <c r="C1216" i="5"/>
  <c r="C1222" i="5"/>
  <c r="C1214" i="5"/>
  <c r="F1222" i="5"/>
  <c r="F1216" i="5"/>
  <c r="F1223" i="5"/>
  <c r="F1214" i="5"/>
  <c r="D1058" i="5"/>
  <c r="D1059" i="5" s="1"/>
  <c r="G1204" i="5"/>
  <c r="G1054" i="5"/>
  <c r="E1063" i="5" s="1"/>
  <c r="E1223" i="5"/>
  <c r="E1214" i="5"/>
  <c r="E1222" i="5"/>
  <c r="E1216" i="5"/>
  <c r="D1224" i="5"/>
  <c r="D1215" i="5"/>
  <c r="D1225" i="5"/>
  <c r="D1217" i="5"/>
  <c r="C1046" i="5"/>
  <c r="D1222" i="5"/>
  <c r="D1214" i="5"/>
  <c r="D1223" i="5"/>
  <c r="D1216" i="5"/>
  <c r="E1054" i="5"/>
  <c r="C1063" i="5" s="1"/>
  <c r="E1204" i="5"/>
  <c r="G1046" i="5"/>
  <c r="C1058" i="5"/>
  <c r="C1059" i="5" s="1"/>
  <c r="E918" i="5"/>
  <c r="E920" i="5"/>
  <c r="F1059" i="5"/>
  <c r="D1068" i="5" s="1"/>
  <c r="E1225" i="5"/>
  <c r="E1224" i="5"/>
  <c r="E1217" i="5"/>
  <c r="E1215" i="5"/>
  <c r="E35" i="6" l="1"/>
  <c r="E8" i="10"/>
  <c r="C43" i="10" s="1"/>
  <c r="F9" i="7"/>
  <c r="F32" i="8"/>
  <c r="F31" i="9"/>
  <c r="F28" i="8"/>
  <c r="D28" i="8"/>
  <c r="D31" i="9"/>
  <c r="G39" i="8"/>
  <c r="G42" i="8" s="1"/>
  <c r="E9" i="7"/>
  <c r="E19" i="7" s="1"/>
  <c r="D35" i="6"/>
  <c r="D44" i="6" s="1"/>
  <c r="G9" i="7"/>
  <c r="G19" i="7" s="1"/>
  <c r="E41" i="9"/>
  <c r="F10" i="8"/>
  <c r="E58" i="9"/>
  <c r="E33" i="9"/>
  <c r="E154" i="11"/>
  <c r="E20" i="9"/>
  <c r="E34" i="8"/>
  <c r="E150" i="11"/>
  <c r="E146" i="11"/>
  <c r="E168" i="11"/>
  <c r="F37" i="9"/>
  <c r="E162" i="11"/>
  <c r="E169" i="11"/>
  <c r="E1201" i="5"/>
  <c r="E153" i="11"/>
  <c r="E167" i="11"/>
  <c r="E147" i="11"/>
  <c r="E39" i="8"/>
  <c r="E42" i="8" s="1"/>
  <c r="E188" i="11"/>
  <c r="E170" i="11"/>
  <c r="F7" i="9"/>
  <c r="E194" i="11"/>
  <c r="E190" i="11"/>
  <c r="E177" i="11"/>
  <c r="E161" i="11"/>
  <c r="F31" i="8"/>
  <c r="D85" i="7"/>
  <c r="C12" i="10"/>
  <c r="E14" i="10"/>
  <c r="C49" i="10" s="1"/>
  <c r="D7" i="10"/>
  <c r="G11" i="10"/>
  <c r="E46" i="10" s="1"/>
  <c r="C63" i="10" s="1"/>
  <c r="D16" i="10"/>
  <c r="C9" i="10"/>
  <c r="E12" i="10"/>
  <c r="C47" i="10" s="1"/>
  <c r="G8" i="10"/>
  <c r="E43" i="10" s="1"/>
  <c r="C60" i="10" s="1"/>
  <c r="F17" i="9"/>
  <c r="D9" i="7"/>
  <c r="C17" i="10"/>
  <c r="E9" i="10"/>
  <c r="D14" i="10"/>
  <c r="E155" i="11"/>
  <c r="E181" i="11"/>
  <c r="E189" i="11"/>
  <c r="E163" i="11"/>
  <c r="E186" i="11"/>
  <c r="E178" i="11"/>
  <c r="E174" i="11"/>
  <c r="E175" i="11"/>
  <c r="F14" i="9"/>
  <c r="F15" i="8"/>
  <c r="F21" i="8"/>
  <c r="F46" i="9"/>
  <c r="F27" i="8"/>
  <c r="F50" i="9"/>
  <c r="F16" i="9"/>
  <c r="F11" i="8"/>
  <c r="C35" i="6"/>
  <c r="C35" i="11" s="1"/>
  <c r="C7" i="10"/>
  <c r="E17" i="10"/>
  <c r="C52" i="10" s="1"/>
  <c r="D12" i="10"/>
  <c r="E176" i="11"/>
  <c r="E145" i="11"/>
  <c r="E157" i="11"/>
  <c r="E160" i="11"/>
  <c r="E151" i="11"/>
  <c r="E187" i="11"/>
  <c r="E196" i="11"/>
  <c r="F56" i="9"/>
  <c r="F25" i="9"/>
  <c r="F4" i="8"/>
  <c r="F29" i="9"/>
  <c r="F20" i="8"/>
  <c r="G926" i="5"/>
  <c r="G928" i="5" s="1"/>
  <c r="G35" i="6"/>
  <c r="G35" i="11" s="1"/>
  <c r="C9" i="7"/>
  <c r="C19" i="7" s="1"/>
  <c r="G16" i="10"/>
  <c r="E51" i="10" s="1"/>
  <c r="C68" i="10" s="1"/>
  <c r="C55" i="10"/>
  <c r="F926" i="5"/>
  <c r="F928" i="5" s="1"/>
  <c r="F35" i="6"/>
  <c r="F44" i="6" s="1"/>
  <c r="G17" i="10"/>
  <c r="E52" i="10" s="1"/>
  <c r="C69" i="10" s="1"/>
  <c r="G7" i="10"/>
  <c r="C56" i="10"/>
  <c r="E183" i="11"/>
  <c r="F26" i="9"/>
  <c r="F8" i="9"/>
  <c r="F16" i="8"/>
  <c r="F57" i="9"/>
  <c r="E122" i="7"/>
  <c r="G12" i="10"/>
  <c r="E47" i="10" s="1"/>
  <c r="C64" i="10" s="1"/>
  <c r="G9" i="10"/>
  <c r="E152" i="11"/>
  <c r="F30" i="9"/>
  <c r="F12" i="9"/>
  <c r="F18" i="9"/>
  <c r="F25" i="8"/>
  <c r="F40" i="8"/>
  <c r="F12" i="8"/>
  <c r="E33" i="7"/>
  <c r="F27" i="9"/>
  <c r="F55" i="9"/>
  <c r="F13" i="9"/>
  <c r="F46" i="8"/>
  <c r="F18" i="8"/>
  <c r="F30" i="8"/>
  <c r="F5" i="8"/>
  <c r="F54" i="9"/>
  <c r="F24" i="9"/>
  <c r="F38" i="9"/>
  <c r="F4" i="9"/>
  <c r="F38" i="8"/>
  <c r="F13" i="8"/>
  <c r="F26" i="8"/>
  <c r="F39" i="9"/>
  <c r="F15" i="9"/>
  <c r="F28" i="9"/>
  <c r="F5" i="9"/>
  <c r="F29" i="8"/>
  <c r="F9" i="8"/>
  <c r="F17" i="8"/>
  <c r="C8" i="10"/>
  <c r="C11" i="10"/>
  <c r="C14" i="10"/>
  <c r="E7" i="10"/>
  <c r="E16" i="10"/>
  <c r="C51" i="10" s="1"/>
  <c r="D17" i="10"/>
  <c r="C16" i="10"/>
  <c r="E11" i="10"/>
  <c r="C46" i="10" s="1"/>
  <c r="D11" i="10"/>
  <c r="D8" i="10"/>
  <c r="E44" i="6"/>
  <c r="E35" i="11"/>
  <c r="C196" i="11"/>
  <c r="C186" i="11"/>
  <c r="C170" i="11"/>
  <c r="C146" i="11"/>
  <c r="C145" i="11"/>
  <c r="C147" i="11"/>
  <c r="C174" i="11"/>
  <c r="C160" i="11"/>
  <c r="C169" i="11"/>
  <c r="C177" i="11"/>
  <c r="C157" i="11"/>
  <c r="C178" i="11"/>
  <c r="C153" i="11"/>
  <c r="C161" i="11"/>
  <c r="C168" i="11"/>
  <c r="C151" i="11"/>
  <c r="C167" i="11"/>
  <c r="C163" i="11"/>
  <c r="C190" i="11"/>
  <c r="C176" i="11"/>
  <c r="C175" i="11"/>
  <c r="C154" i="11"/>
  <c r="C187" i="11"/>
  <c r="C189" i="11"/>
  <c r="C162" i="11"/>
  <c r="C188" i="11"/>
  <c r="C194" i="11"/>
  <c r="C181" i="11"/>
  <c r="C150" i="11"/>
  <c r="D55" i="9"/>
  <c r="D39" i="9"/>
  <c r="D30" i="9"/>
  <c r="D26" i="9"/>
  <c r="D17" i="9"/>
  <c r="D13" i="9"/>
  <c r="D5" i="9"/>
  <c r="D40" i="8"/>
  <c r="D31" i="8"/>
  <c r="D27" i="8"/>
  <c r="D20" i="8"/>
  <c r="D15" i="8"/>
  <c r="D10" i="8"/>
  <c r="C122" i="7"/>
  <c r="D54" i="9"/>
  <c r="D38" i="9"/>
  <c r="D29" i="9"/>
  <c r="D25" i="9"/>
  <c r="D16" i="9"/>
  <c r="D12" i="9"/>
  <c r="D4" i="9"/>
  <c r="D30" i="8"/>
  <c r="D26" i="8"/>
  <c r="D18" i="8"/>
  <c r="D13" i="8"/>
  <c r="D9" i="8"/>
  <c r="C33" i="7"/>
  <c r="D57" i="9"/>
  <c r="D50" i="9"/>
  <c r="D37" i="9"/>
  <c r="D28" i="9"/>
  <c r="D24" i="9"/>
  <c r="D15" i="9"/>
  <c r="D8" i="9"/>
  <c r="D38" i="8"/>
  <c r="D29" i="8"/>
  <c r="D25" i="8"/>
  <c r="D17" i="8"/>
  <c r="D12" i="8"/>
  <c r="D5" i="8"/>
  <c r="C183" i="11"/>
  <c r="C152" i="11"/>
  <c r="D56" i="9"/>
  <c r="D46" i="9"/>
  <c r="D27" i="9"/>
  <c r="D18" i="9"/>
  <c r="D14" i="9"/>
  <c r="D7" i="9"/>
  <c r="D46" i="8"/>
  <c r="D32" i="8"/>
  <c r="D21" i="8"/>
  <c r="D16" i="8"/>
  <c r="D11" i="8"/>
  <c r="D4" i="8"/>
  <c r="C155" i="11"/>
  <c r="F3" i="10"/>
  <c r="F27" i="7" s="1"/>
  <c r="F10" i="10" s="1"/>
  <c r="F110" i="11"/>
  <c r="F141" i="11"/>
  <c r="F116" i="11"/>
  <c r="F130" i="11"/>
  <c r="F79" i="11"/>
  <c r="F81" i="11"/>
  <c r="F97" i="11"/>
  <c r="F83" i="11"/>
  <c r="F100" i="11"/>
  <c r="F111" i="11"/>
  <c r="F82" i="11"/>
  <c r="F128" i="11"/>
  <c r="F127" i="11"/>
  <c r="F80" i="11"/>
  <c r="F115" i="11"/>
  <c r="F112" i="11"/>
  <c r="F113" i="11"/>
  <c r="F129" i="11"/>
  <c r="F98" i="11"/>
  <c r="F95" i="11"/>
  <c r="F126" i="11"/>
  <c r="F96" i="11"/>
  <c r="F131" i="11"/>
  <c r="F101" i="11"/>
  <c r="F109" i="11"/>
  <c r="F88" i="11"/>
  <c r="F99" i="11"/>
  <c r="F78" i="11"/>
  <c r="F102" i="11"/>
  <c r="F117" i="11"/>
  <c r="F92" i="11"/>
  <c r="F89" i="11"/>
  <c r="F114" i="11"/>
  <c r="F121" i="11"/>
  <c r="F106" i="11"/>
  <c r="F135" i="11"/>
  <c r="F87" i="11"/>
  <c r="F123" i="11"/>
  <c r="F90" i="11"/>
  <c r="F137" i="11"/>
  <c r="C73" i="10"/>
  <c r="C78" i="10"/>
  <c r="G27" i="10"/>
  <c r="C79" i="10" s="1"/>
  <c r="G1208" i="5"/>
  <c r="G1226" i="5" s="1"/>
  <c r="E1208" i="5"/>
  <c r="E1226" i="5" s="1"/>
  <c r="G33" i="9"/>
  <c r="G20" i="9"/>
  <c r="G41" i="9"/>
  <c r="G58" i="9"/>
  <c r="G34" i="8"/>
  <c r="F19" i="7"/>
  <c r="E926" i="5"/>
  <c r="E924" i="5"/>
  <c r="G27" i="7"/>
  <c r="G10" i="10" s="1"/>
  <c r="F1208" i="5"/>
  <c r="C27" i="7"/>
  <c r="C10" i="10" s="1"/>
  <c r="C924" i="5"/>
  <c r="C926" i="5"/>
  <c r="G1201" i="5"/>
  <c r="C1201" i="5"/>
  <c r="D1208" i="5"/>
  <c r="E1067" i="5"/>
  <c r="G1059" i="5"/>
  <c r="E1068" i="5" s="1"/>
  <c r="C1067" i="5"/>
  <c r="E1059" i="5"/>
  <c r="C1068" i="5" s="1"/>
  <c r="D926" i="5"/>
  <c r="D924" i="5"/>
  <c r="F1201" i="5"/>
  <c r="C1227" i="5"/>
  <c r="C1226" i="5"/>
  <c r="E27" i="7"/>
  <c r="E10" i="10" s="1"/>
  <c r="D27" i="7"/>
  <c r="D10" i="10" s="1"/>
  <c r="D39" i="8" l="1"/>
  <c r="D42" i="8" s="1"/>
  <c r="E10" i="7"/>
  <c r="E12" i="7" s="1"/>
  <c r="F10" i="7"/>
  <c r="D35" i="11"/>
  <c r="G10" i="7"/>
  <c r="D19" i="7"/>
  <c r="F39" i="8"/>
  <c r="F42" i="8" s="1"/>
  <c r="C44" i="10"/>
  <c r="C42" i="10"/>
  <c r="F35" i="11"/>
  <c r="G44" i="6"/>
  <c r="G61" i="6" s="1"/>
  <c r="C44" i="6"/>
  <c r="C61" i="6" s="1"/>
  <c r="C15" i="10" s="1"/>
  <c r="F34" i="8"/>
  <c r="F41" i="9"/>
  <c r="F20" i="9"/>
  <c r="E85" i="7"/>
  <c r="E1227" i="5"/>
  <c r="D10" i="7"/>
  <c r="F58" i="9"/>
  <c r="G1227" i="5"/>
  <c r="D34" i="8"/>
  <c r="D41" i="9"/>
  <c r="F33" i="9"/>
  <c r="D58" i="9"/>
  <c r="C928" i="5"/>
  <c r="F9" i="10"/>
  <c r="F12" i="10"/>
  <c r="D47" i="10" s="1"/>
  <c r="F11" i="10"/>
  <c r="D46" i="10" s="1"/>
  <c r="F8" i="10"/>
  <c r="D43" i="10" s="1"/>
  <c r="F17" i="10"/>
  <c r="D52" i="10" s="1"/>
  <c r="F7" i="10"/>
  <c r="F14" i="10"/>
  <c r="D49" i="10" s="1"/>
  <c r="F16" i="10"/>
  <c r="D51" i="10" s="1"/>
  <c r="D33" i="9"/>
  <c r="F61" i="6"/>
  <c r="F3" i="8" s="1"/>
  <c r="F7" i="8" s="1"/>
  <c r="F23" i="8" s="1"/>
  <c r="F44" i="11"/>
  <c r="D61" i="6"/>
  <c r="D44" i="11"/>
  <c r="C45" i="10"/>
  <c r="D20" i="9"/>
  <c r="E61" i="6"/>
  <c r="E44" i="11"/>
  <c r="E45" i="10"/>
  <c r="C62" i="10" s="1"/>
  <c r="D45" i="10"/>
  <c r="D145" i="7"/>
  <c r="F85" i="7"/>
  <c r="C85" i="7"/>
  <c r="C145" i="7"/>
  <c r="F145" i="7"/>
  <c r="E145" i="7"/>
  <c r="G145" i="7"/>
  <c r="D928" i="5"/>
  <c r="E928" i="5"/>
  <c r="F1226" i="5"/>
  <c r="F1227" i="5"/>
  <c r="D1226" i="5"/>
  <c r="D1227" i="5"/>
  <c r="E35" i="10" l="1"/>
  <c r="E1203" i="5"/>
  <c r="F35" i="10"/>
  <c r="F1203" i="5"/>
  <c r="F12" i="7"/>
  <c r="G35" i="10"/>
  <c r="C87" i="10" s="1"/>
  <c r="F15" i="10"/>
  <c r="G12" i="7"/>
  <c r="G3" i="8"/>
  <c r="G7" i="8" s="1"/>
  <c r="G23" i="8" s="1"/>
  <c r="G36" i="8" s="1"/>
  <c r="G44" i="8" s="1"/>
  <c r="G15" i="10"/>
  <c r="C50" i="10" s="1"/>
  <c r="G44" i="11"/>
  <c r="E3" i="8"/>
  <c r="E7" i="8" s="1"/>
  <c r="E23" i="8" s="1"/>
  <c r="E36" i="8" s="1"/>
  <c r="E44" i="8" s="1"/>
  <c r="E15" i="10"/>
  <c r="D15" i="10"/>
  <c r="D3" i="8"/>
  <c r="D7" i="8" s="1"/>
  <c r="D23" i="8" s="1"/>
  <c r="D36" i="8" s="1"/>
  <c r="D44" i="8" s="1"/>
  <c r="C44" i="11"/>
  <c r="D35" i="10"/>
  <c r="D12" i="7"/>
  <c r="F36" i="8"/>
  <c r="F44" i="8" s="1"/>
  <c r="F61" i="11"/>
  <c r="F14" i="7"/>
  <c r="F11" i="7"/>
  <c r="F36" i="7" s="1"/>
  <c r="F111" i="7"/>
  <c r="F112" i="7" s="1"/>
  <c r="F71" i="6"/>
  <c r="F77" i="7"/>
  <c r="E61" i="11"/>
  <c r="E71" i="6"/>
  <c r="E111" i="7"/>
  <c r="E112" i="7" s="1"/>
  <c r="E77" i="7"/>
  <c r="E11" i="7"/>
  <c r="E36" i="7" s="1"/>
  <c r="E14" i="7"/>
  <c r="D61" i="11"/>
  <c r="D11" i="7"/>
  <c r="D36" i="7" s="1"/>
  <c r="D71" i="6"/>
  <c r="D111" i="7"/>
  <c r="D112" i="7" s="1"/>
  <c r="D77" i="7"/>
  <c r="D14" i="7"/>
  <c r="D42" i="10"/>
  <c r="E42" i="10"/>
  <c r="C59" i="10" s="1"/>
  <c r="G61" i="11"/>
  <c r="G14" i="7"/>
  <c r="G20" i="7" s="1"/>
  <c r="G77" i="7"/>
  <c r="G11" i="7"/>
  <c r="G36" i="7" s="1"/>
  <c r="G111" i="7"/>
  <c r="G112" i="7" s="1"/>
  <c r="G71" i="6"/>
  <c r="C61" i="11"/>
  <c r="C14" i="7"/>
  <c r="C111" i="7"/>
  <c r="C112" i="7" s="1"/>
  <c r="C71" i="6"/>
  <c r="C77" i="7"/>
  <c r="C11" i="7"/>
  <c r="C36" i="7" s="1"/>
  <c r="E44" i="10"/>
  <c r="C61" i="10" s="1"/>
  <c r="D44" i="10"/>
  <c r="D1203" i="5"/>
  <c r="G1205" i="5"/>
  <c r="D1205" i="5"/>
  <c r="G1203" i="5"/>
  <c r="E1205" i="5"/>
  <c r="G3" i="9" l="1"/>
  <c r="G6" i="9" s="1"/>
  <c r="G9" i="9" s="1"/>
  <c r="G35" i="9" s="1"/>
  <c r="G43" i="9" s="1"/>
  <c r="C57" i="10"/>
  <c r="G6" i="10"/>
  <c r="E41" i="10" s="1"/>
  <c r="C58" i="10" s="1"/>
  <c r="G13" i="10"/>
  <c r="C48" i="10" s="1"/>
  <c r="E50" i="10"/>
  <c r="D50" i="10"/>
  <c r="F3" i="9"/>
  <c r="F6" i="9" s="1"/>
  <c r="F9" i="9" s="1"/>
  <c r="F35" i="9" s="1"/>
  <c r="F43" i="9" s="1"/>
  <c r="F6" i="10"/>
  <c r="D41" i="10" s="1"/>
  <c r="F13" i="10"/>
  <c r="E3" i="9"/>
  <c r="E6" i="9" s="1"/>
  <c r="E9" i="9" s="1"/>
  <c r="E35" i="9" s="1"/>
  <c r="E43" i="9" s="1"/>
  <c r="E13" i="10"/>
  <c r="E6" i="10"/>
  <c r="C41" i="10" s="1"/>
  <c r="D13" i="10"/>
  <c r="D6" i="10"/>
  <c r="D3" i="9"/>
  <c r="D6" i="9" s="1"/>
  <c r="D9" i="9" s="1"/>
  <c r="D35" i="9" s="1"/>
  <c r="D43" i="9" s="1"/>
  <c r="C13" i="10"/>
  <c r="C6" i="10"/>
  <c r="F146" i="7"/>
  <c r="F149" i="7"/>
  <c r="C146" i="7"/>
  <c r="C149" i="7"/>
  <c r="C69" i="11"/>
  <c r="C25" i="10"/>
  <c r="C16" i="7"/>
  <c r="C69" i="7"/>
  <c r="C22" i="10"/>
  <c r="C24" i="10"/>
  <c r="C24" i="7"/>
  <c r="C17" i="7"/>
  <c r="C18" i="10"/>
  <c r="C20" i="10"/>
  <c r="C13" i="7"/>
  <c r="C97" i="7"/>
  <c r="C28" i="10"/>
  <c r="C31" i="10"/>
  <c r="C76" i="6"/>
  <c r="C37" i="7"/>
  <c r="G69" i="11"/>
  <c r="G25" i="10"/>
  <c r="G31" i="10"/>
  <c r="G76" i="6"/>
  <c r="G17" i="7"/>
  <c r="G24" i="10"/>
  <c r="C76" i="10" s="1"/>
  <c r="G24" i="7"/>
  <c r="G16" i="7"/>
  <c r="G22" i="10"/>
  <c r="G28" i="10"/>
  <c r="C80" i="10" s="1"/>
  <c r="G69" i="7"/>
  <c r="G13" i="7"/>
  <c r="G18" i="10"/>
  <c r="C70" i="10" s="1"/>
  <c r="G20" i="10"/>
  <c r="C72" i="10" s="1"/>
  <c r="G37" i="7"/>
  <c r="G97" i="7"/>
  <c r="D20" i="7"/>
  <c r="D1044" i="5" s="1"/>
  <c r="E15" i="7"/>
  <c r="E146" i="7"/>
  <c r="E149" i="7"/>
  <c r="G146" i="7"/>
  <c r="G149" i="7"/>
  <c r="F15" i="7"/>
  <c r="E20" i="7"/>
  <c r="E1044" i="5" s="1"/>
  <c r="E69" i="11"/>
  <c r="E18" i="10"/>
  <c r="E31" i="10"/>
  <c r="E69" i="7"/>
  <c r="E37" i="7"/>
  <c r="E22" i="10"/>
  <c r="E24" i="7"/>
  <c r="E97" i="7"/>
  <c r="E28" i="10"/>
  <c r="E25" i="10"/>
  <c r="E16" i="7"/>
  <c r="E24" i="10"/>
  <c r="E20" i="10"/>
  <c r="E17" i="7"/>
  <c r="E13" i="7"/>
  <c r="E76" i="6"/>
  <c r="G15" i="7"/>
  <c r="F20" i="7"/>
  <c r="C20" i="7"/>
  <c r="D15" i="7"/>
  <c r="D146" i="7"/>
  <c r="D149" i="7"/>
  <c r="F69" i="11"/>
  <c r="F22" i="10"/>
  <c r="F18" i="10"/>
  <c r="F16" i="7"/>
  <c r="F17" i="7"/>
  <c r="F25" i="10"/>
  <c r="F20" i="10"/>
  <c r="F13" i="7"/>
  <c r="F69" i="7"/>
  <c r="F24" i="10"/>
  <c r="F31" i="10"/>
  <c r="F76" i="6"/>
  <c r="F72" i="11" s="1"/>
  <c r="F97" i="7"/>
  <c r="F28" i="10"/>
  <c r="F37" i="7"/>
  <c r="F24" i="7"/>
  <c r="D69" i="11"/>
  <c r="D28" i="10"/>
  <c r="D20" i="10"/>
  <c r="D76" i="6"/>
  <c r="D16" i="7"/>
  <c r="D18" i="10"/>
  <c r="D31" i="10"/>
  <c r="D69" i="7"/>
  <c r="D17" i="7"/>
  <c r="D24" i="10"/>
  <c r="D13" i="7"/>
  <c r="D37" i="7"/>
  <c r="D25" i="10"/>
  <c r="D22" i="10"/>
  <c r="D24" i="7"/>
  <c r="D97" i="7"/>
  <c r="E1206" i="5"/>
  <c r="E1042" i="5"/>
  <c r="D1060" i="5"/>
  <c r="D1056" i="5"/>
  <c r="D1055" i="5"/>
  <c r="D1043" i="5"/>
  <c r="D1057" i="5"/>
  <c r="D1053" i="5"/>
  <c r="G1042" i="5"/>
  <c r="G1206" i="5"/>
  <c r="G1044" i="5"/>
  <c r="F1205" i="5"/>
  <c r="E1055" i="5"/>
  <c r="C1064" i="5" s="1"/>
  <c r="E1043" i="5"/>
  <c r="E1057" i="5"/>
  <c r="E1053" i="5"/>
  <c r="E1060" i="5"/>
  <c r="C1069" i="5" s="1"/>
  <c r="E1056" i="5"/>
  <c r="C1065" i="5" s="1"/>
  <c r="D1206" i="5"/>
  <c r="D1042" i="5"/>
  <c r="C1205" i="5"/>
  <c r="G1057" i="5"/>
  <c r="C1066" i="5" s="1"/>
  <c r="G1053" i="5"/>
  <c r="C1062" i="5" s="1"/>
  <c r="G1060" i="5"/>
  <c r="E1069" i="5" s="1"/>
  <c r="G1056" i="5"/>
  <c r="E1065" i="5" s="1"/>
  <c r="G1055" i="5"/>
  <c r="E1064" i="5" s="1"/>
  <c r="G1043" i="5"/>
  <c r="E48" i="10" l="1"/>
  <c r="C67" i="10"/>
  <c r="D48" i="10"/>
  <c r="C77" i="10"/>
  <c r="C74" i="10"/>
  <c r="C83" i="10"/>
  <c r="F78" i="7"/>
  <c r="D133" i="7"/>
  <c r="D134" i="7"/>
  <c r="D135" i="7"/>
  <c r="D147" i="7"/>
  <c r="D132" i="7"/>
  <c r="D144" i="7"/>
  <c r="D93" i="7"/>
  <c r="D130" i="7"/>
  <c r="D148" i="7"/>
  <c r="D78" i="7"/>
  <c r="D72" i="11"/>
  <c r="D70" i="7"/>
  <c r="D38" i="7"/>
  <c r="F70" i="7"/>
  <c r="F38" i="7"/>
  <c r="F21" i="7"/>
  <c r="F22" i="7"/>
  <c r="F23" i="7"/>
  <c r="D21" i="7"/>
  <c r="D23" i="7"/>
  <c r="D22" i="7"/>
  <c r="F130" i="7"/>
  <c r="F132" i="7"/>
  <c r="F147" i="7"/>
  <c r="F148" i="7"/>
  <c r="F133" i="7"/>
  <c r="F135" i="7"/>
  <c r="F93" i="7"/>
  <c r="F144" i="7"/>
  <c r="F134" i="7"/>
  <c r="E78" i="7"/>
  <c r="E72" i="11"/>
  <c r="E134" i="7"/>
  <c r="E135" i="7"/>
  <c r="E148" i="7"/>
  <c r="E147" i="7"/>
  <c r="E93" i="7"/>
  <c r="E144" i="7"/>
  <c r="E130" i="7"/>
  <c r="E132" i="7"/>
  <c r="E133" i="7"/>
  <c r="G148" i="7"/>
  <c r="G93" i="7"/>
  <c r="G147" i="7"/>
  <c r="G135" i="7"/>
  <c r="G134" i="7"/>
  <c r="G133" i="7"/>
  <c r="G144" i="7"/>
  <c r="G130" i="7"/>
  <c r="G132" i="7"/>
  <c r="G70" i="7"/>
  <c r="G38" i="7"/>
  <c r="G22" i="7"/>
  <c r="G23" i="7"/>
  <c r="G21" i="7"/>
  <c r="G78" i="7"/>
  <c r="G72" i="11"/>
  <c r="C148" i="7"/>
  <c r="C135" i="7"/>
  <c r="C133" i="7"/>
  <c r="C147" i="7"/>
  <c r="C130" i="7"/>
  <c r="C132" i="7"/>
  <c r="C144" i="7"/>
  <c r="C134" i="7"/>
  <c r="C93" i="7"/>
  <c r="E38" i="7"/>
  <c r="E70" i="7"/>
  <c r="E23" i="7"/>
  <c r="E21" i="7"/>
  <c r="E22" i="7"/>
  <c r="C78" i="7"/>
  <c r="C72" i="11"/>
  <c r="C38" i="7"/>
  <c r="C70" i="7"/>
  <c r="C21" i="7"/>
  <c r="C23" i="7"/>
  <c r="C22" i="7"/>
  <c r="G1202" i="5"/>
  <c r="C1042" i="5"/>
  <c r="C1206" i="5"/>
  <c r="C1044" i="5"/>
  <c r="E1202" i="5"/>
  <c r="F1042" i="5"/>
  <c r="F1206" i="5"/>
  <c r="F1044" i="5"/>
  <c r="D1202" i="5"/>
  <c r="C1057" i="5"/>
  <c r="C1053" i="5"/>
  <c r="C1060" i="5"/>
  <c r="C1056" i="5"/>
  <c r="C1055" i="5"/>
  <c r="C1043" i="5"/>
  <c r="F1043" i="5"/>
  <c r="F1057" i="5"/>
  <c r="F1053" i="5"/>
  <c r="F1060" i="5"/>
  <c r="D1069" i="5" s="1"/>
  <c r="F1056" i="5"/>
  <c r="D1065" i="5" s="1"/>
  <c r="F1055" i="5"/>
  <c r="D1064" i="5" s="1"/>
  <c r="C65" i="10" l="1"/>
  <c r="F131" i="7"/>
  <c r="F94" i="7"/>
  <c r="F143" i="7"/>
  <c r="G131" i="7"/>
  <c r="G94" i="7"/>
  <c r="G143" i="7"/>
  <c r="D131" i="7"/>
  <c r="D94" i="7"/>
  <c r="D143" i="7"/>
  <c r="C143" i="7"/>
  <c r="C131" i="7"/>
  <c r="C94" i="7"/>
  <c r="E143" i="7"/>
  <c r="E131" i="7"/>
  <c r="E94" i="7"/>
  <c r="E1062" i="5"/>
  <c r="D1062" i="5"/>
  <c r="E1066" i="5"/>
  <c r="D1066" i="5"/>
  <c r="C1202" i="5"/>
  <c r="F1202" i="5"/>
  <c r="C151" i="7" l="1"/>
  <c r="C128" i="7"/>
  <c r="D151" i="7"/>
  <c r="D128" i="7"/>
  <c r="E128" i="7"/>
  <c r="E151" i="7"/>
  <c r="F128" i="7"/>
  <c r="F151" i="7"/>
  <c r="G128" i="7"/>
  <c r="G151" i="7"/>
</calcChain>
</file>

<file path=xl/comments1.xml><?xml version="1.0" encoding="utf-8"?>
<comments xmlns="http://schemas.openxmlformats.org/spreadsheetml/2006/main">
  <authors>
    <author>Himanshi Chauhan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Himanshi Chauhan:
Absolute Value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<sst xmlns="http://schemas.openxmlformats.org/spreadsheetml/2006/main" count="1138" uniqueCount="825">
  <si>
    <t>GROSS SALES - MANUFACTURING</t>
  </si>
  <si>
    <t>GROSS SALES - TRADING</t>
  </si>
  <si>
    <t>(OF GROSS SALES) EXPORTS</t>
  </si>
  <si>
    <t>NET SALES</t>
  </si>
  <si>
    <t>OTHER OPERATING INCOME</t>
  </si>
  <si>
    <t>TOTAL REVENUE FROM OPERATIONS</t>
  </si>
  <si>
    <t>RAW MATERIALS, STORES AND SPARES CONSUMED</t>
  </si>
  <si>
    <t>POWER AND FUEL</t>
  </si>
  <si>
    <t>DIRECT LABOUR</t>
  </si>
  <si>
    <t>OTHER MANUFACTURING EXPENSES</t>
  </si>
  <si>
    <t>(INCREASE) / DECREASE IN WIP</t>
  </si>
  <si>
    <t>EXPENSES CAPITALISED</t>
  </si>
  <si>
    <t>COST OF PRODUCTION BEFORE DEPRECIATION</t>
  </si>
  <si>
    <t>PURCHASE OF TRADED GOODS</t>
  </si>
  <si>
    <t>(INCREASE) / DECREASE IN FINISHED GOODS</t>
  </si>
  <si>
    <t>COST OF GOODS SOLD  BEFORE DEPRECIATION</t>
  </si>
  <si>
    <t>GENERAL AND ADMINISTRATION EXPENSES</t>
  </si>
  <si>
    <t>SELLING AND DISTRIBUTION EXPENSES</t>
  </si>
  <si>
    <t>EMPLOYEE EXPENSES</t>
  </si>
  <si>
    <t>COST OF SALES BEFORE DEPRECIATION</t>
  </si>
  <si>
    <t>OPBDIT</t>
  </si>
  <si>
    <t>DEPRECIATION (NET)</t>
  </si>
  <si>
    <t>OPBIT</t>
  </si>
  <si>
    <t>INTEREST EXPENSE</t>
  </si>
  <si>
    <t>LEASE RENTALS</t>
  </si>
  <si>
    <t>OTHER FINANCE CHARGES</t>
  </si>
  <si>
    <t>TOTAL FINANCE COST</t>
  </si>
  <si>
    <t>OPBT</t>
  </si>
  <si>
    <t>INTEREST INCOME</t>
  </si>
  <si>
    <t>DIVIDEND INCOME</t>
  </si>
  <si>
    <t>GAIN ON SALE OF ASSETS</t>
  </si>
  <si>
    <t>OTHER NON OPERATING INCOME</t>
  </si>
  <si>
    <t>TOTAL NON OPERATING INCOME</t>
  </si>
  <si>
    <t>INTANGIBLES WRITTEN OFF</t>
  </si>
  <si>
    <t>LOSS ON SALE OF ASSETS</t>
  </si>
  <si>
    <t>OTHER NON OPERATING EXPENSE</t>
  </si>
  <si>
    <t>NON OPERATING EXPENSE</t>
  </si>
  <si>
    <t>PROFIT BEFORE TAX</t>
  </si>
  <si>
    <t>EXTRAORDINARY INCOME</t>
  </si>
  <si>
    <t>EXTRAORDINARY EXPENSE</t>
  </si>
  <si>
    <t>TAX PROVISION CURRENT</t>
  </si>
  <si>
    <t>TAX PROVISION DEFERRED</t>
  </si>
  <si>
    <t>PROFIT AFTER TAX</t>
  </si>
  <si>
    <t>DIVIDENDS</t>
  </si>
  <si>
    <t>TRANSFERRED TO RESERVES</t>
  </si>
  <si>
    <t>NET WORTH</t>
  </si>
  <si>
    <t>EQUITY CAPITAL</t>
  </si>
  <si>
    <t>PREFERENCE CAPITAL &gt; 12 YEARS</t>
  </si>
  <si>
    <t>SHARE PREMIUM</t>
  </si>
  <si>
    <t>REVALUATION RESERVE</t>
  </si>
  <si>
    <t>GENERAL RESERVES</t>
  </si>
  <si>
    <t>OTHER RESERVES &amp; SURPLUS</t>
  </si>
  <si>
    <t>TOTAL NET WORTH</t>
  </si>
  <si>
    <t>LESS: REVALUATION RESERVE</t>
  </si>
  <si>
    <t xml:space="preserve">            INTANGIBLES</t>
  </si>
  <si>
    <t>TANGIBLE  NET WORTH</t>
  </si>
  <si>
    <t>DEFERRED TAX LIABILITY (NET)</t>
  </si>
  <si>
    <t>DEBT (LONG TERM PORTION)</t>
  </si>
  <si>
    <t>PREFERENCE CAPITAL &lt; 12 YEARS</t>
  </si>
  <si>
    <t>CONVERTIBLE DEBENTURES</t>
  </si>
  <si>
    <t>NON CONVERTIBLE DEBENTURES</t>
  </si>
  <si>
    <t>LOANS FROM FINANCIAL INSTITUTIONS</t>
  </si>
  <si>
    <t>LOANS FROM BANKS</t>
  </si>
  <si>
    <t>FIXED DEPOSIT</t>
  </si>
  <si>
    <t>BORROWINGS FROM AFFILIATES AND ASSOCIATES</t>
  </si>
  <si>
    <t>OTHER TERM DEBT</t>
  </si>
  <si>
    <t>TOTAL LONG TERM DEBT (LTD)</t>
  </si>
  <si>
    <t>DEBT (SHORT TERM PORTION)</t>
  </si>
  <si>
    <t>CASH CREDIT LOANS FROM BANKS</t>
  </si>
  <si>
    <t>BILLS DISCOUNTED</t>
  </si>
  <si>
    <t>OTHER SHORT TERM LOANS FROM BANKS</t>
  </si>
  <si>
    <t>CURRENT PORTION OF LTD (INCL OF FD)</t>
  </si>
  <si>
    <t>INTER CORPORATE DEPOSITS</t>
  </si>
  <si>
    <t>COMMERCIAL PAPER</t>
  </si>
  <si>
    <t xml:space="preserve">OTHER SHORT TERM BORROWINGS </t>
  </si>
  <si>
    <t>ACCRUED INTEREST</t>
  </si>
  <si>
    <t>TOTAL SHORT TERM DEBT (STD)</t>
  </si>
  <si>
    <t xml:space="preserve">TOTAL DEBT </t>
  </si>
  <si>
    <t>OTHER CURRENT LIABILITIES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</si>
  <si>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</si>
  <si>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</si>
  <si>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</si>
  <si>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</si>
  <si>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</si>
  <si>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 xml:space="preserve">OTHERS </t>
  </si>
  <si>
    <t xml:space="preserve">TOTAL OTHER CURRENT LIABILITIES </t>
  </si>
  <si>
    <t>TOTAL CURRENT LIABILITIES</t>
  </si>
  <si>
    <t xml:space="preserve">TOTAL OUTSIDE LIABILITIES </t>
  </si>
  <si>
    <t>TOTAL LIABILITIES</t>
  </si>
  <si>
    <t>FIXED ASSETS</t>
  </si>
  <si>
    <t>LAND</t>
  </si>
  <si>
    <t>PLANT AND MACHINERY</t>
  </si>
  <si>
    <t>OTHER FIXED ASSETS</t>
  </si>
  <si>
    <t>GROSS BLOCK</t>
  </si>
  <si>
    <t>LESS: ACCUMULATED DEPRECIATION</t>
  </si>
  <si>
    <t>NET BLOCK</t>
  </si>
  <si>
    <t>ADD: CAPITAL W I P</t>
  </si>
  <si>
    <t>NET FIXED ASSETS</t>
  </si>
  <si>
    <t>DEFERRED TAX ASSET (NET)</t>
  </si>
  <si>
    <t>CURRENT ASSETS</t>
  </si>
  <si>
    <t>RAW MATERIALS</t>
  </si>
  <si>
    <t>WORK IN PROGRESS</t>
  </si>
  <si>
    <t>FINISHED GOODS</t>
  </si>
  <si>
    <t>OTHERS (GOODS IN TRANSIT, STORES &amp; SPARES)</t>
  </si>
  <si>
    <t>TOTAL INVENTORY</t>
  </si>
  <si>
    <t>RECEIVABLES UPTO 6 MONTHS</t>
  </si>
  <si>
    <t>RECEIVABLES GREATER THAN 6 MONTHS</t>
  </si>
  <si>
    <t>LESS: PROVISION FOR DOUBTFUL DEBTS</t>
  </si>
  <si>
    <t>TOTAL  RECEIVABLES</t>
  </si>
  <si>
    <t>CASH / BANK</t>
  </si>
  <si>
    <t>ADVANCES TO SUPPLIERS (EXCL. ON CAPITAL A/C)</t>
  </si>
  <si>
    <t>INVESTMENTS IN GOVERNMENT SECURITIES</t>
  </si>
  <si>
    <t>MARKETABLE SECURITIES</t>
  </si>
  <si>
    <t>TOTAL OTHER CURRENT ASSETS</t>
  </si>
  <si>
    <t>TOTAL CURRENT ASSETS</t>
  </si>
  <si>
    <t>NON CURRENT ASSETS</t>
  </si>
  <si>
    <t>LOANS &amp; ADVANCES TO SUBSIDIARIES/AFFILIATES</t>
  </si>
  <si>
    <t>OTHER LOANS &amp; ADVANCES</t>
  </si>
  <si>
    <t>INVESTMENTS IN SUBSIDIARIES / AFFILIATES</t>
  </si>
  <si>
    <t>OTHER NON CURRENT INVESTMENTS</t>
  </si>
  <si>
    <t>TOTAL NON CURRENT ASSETS</t>
  </si>
  <si>
    <t>TOTAL ASSETS</t>
  </si>
  <si>
    <t>Value in Million</t>
  </si>
  <si>
    <t>Last year of audited / provisional results</t>
  </si>
  <si>
    <t>Name of the Company</t>
  </si>
  <si>
    <t>Currency</t>
  </si>
  <si>
    <t>INR</t>
  </si>
  <si>
    <t>Audited</t>
  </si>
  <si>
    <t>No. Of  Months</t>
  </si>
  <si>
    <t>Operating Income</t>
  </si>
  <si>
    <t>Gross Sales - Manufacturing</t>
  </si>
  <si>
    <t>Gross Sales - Trading</t>
  </si>
  <si>
    <t>(Of Gross Sales) Exports</t>
  </si>
  <si>
    <t>Other Operating Income</t>
  </si>
  <si>
    <t>Non-Operating Income</t>
  </si>
  <si>
    <t>Interest Income</t>
  </si>
  <si>
    <t xml:space="preserve">Dividend Income </t>
  </si>
  <si>
    <t>Gain on Sale of Assets</t>
  </si>
  <si>
    <t>Other Non-Operating Income</t>
  </si>
  <si>
    <t>Operating Expenses</t>
  </si>
  <si>
    <t>Raw Materials, Stocks &amp; Stores Consumed</t>
  </si>
  <si>
    <t>Power  &amp; Fuel</t>
  </si>
  <si>
    <t xml:space="preserve">Direct Labour </t>
  </si>
  <si>
    <t>Other Mfg. Expenses</t>
  </si>
  <si>
    <t>Depreciation (Gross)</t>
  </si>
  <si>
    <t xml:space="preserve">Less: Depn. On  Revaluation </t>
  </si>
  <si>
    <t>(Inc) / Dec in WIP</t>
  </si>
  <si>
    <t>Purchase  of Traded Goods</t>
  </si>
  <si>
    <t>(Inc) / Dec in FG</t>
  </si>
  <si>
    <t>Employee Expenses</t>
  </si>
  <si>
    <t>General &amp; Administrative Expenses</t>
  </si>
  <si>
    <t>Selling &amp; Distributing Expenses</t>
  </si>
  <si>
    <t xml:space="preserve">Interest </t>
  </si>
  <si>
    <t>Lease  Rentals</t>
  </si>
  <si>
    <t>Other Finance Charges</t>
  </si>
  <si>
    <t>Non-Operating Expenses</t>
  </si>
  <si>
    <t>Intangibles written off</t>
  </si>
  <si>
    <t>Loss on Sale of Assets</t>
  </si>
  <si>
    <t>Other Non-Operating Expenses</t>
  </si>
  <si>
    <t>Extraordinary Items</t>
  </si>
  <si>
    <t xml:space="preserve">Extraordinary Income </t>
  </si>
  <si>
    <t xml:space="preserve">Extraordinary Expense </t>
  </si>
  <si>
    <t>Tax Provision Current</t>
  </si>
  <si>
    <t>Tax Provision Deferred</t>
  </si>
  <si>
    <t>Transfer to Reserves</t>
  </si>
  <si>
    <t>Net Worth</t>
  </si>
  <si>
    <t>Equity Capital</t>
  </si>
  <si>
    <t>Preference Capital (redemption &gt; 12 years)</t>
  </si>
  <si>
    <t>Share Premium</t>
  </si>
  <si>
    <t>General Reserve</t>
  </si>
  <si>
    <t>Revaluation Reserve</t>
  </si>
  <si>
    <t>Other Reserves &amp; Surplus</t>
  </si>
  <si>
    <t>Intangibles ( Enter as + ve)</t>
  </si>
  <si>
    <t>Deferred Tax Liability (net)</t>
  </si>
  <si>
    <t>Debt (Repayable &gt; 1 year)</t>
  </si>
  <si>
    <t>Preference Capital (redemption &lt; 12 years)</t>
  </si>
  <si>
    <t>Convertible Debentures</t>
  </si>
  <si>
    <t>Non-Convertible Debentures</t>
  </si>
  <si>
    <t>Loans from Financial Institutions</t>
  </si>
  <si>
    <t>Loans from Banks</t>
  </si>
  <si>
    <t>Fixed Deposits</t>
  </si>
  <si>
    <t>Borrowing from Affiliates &amp; Associates</t>
  </si>
  <si>
    <t>Other Term Debt</t>
  </si>
  <si>
    <t>Debt (Repayable &lt;= 1 year)</t>
  </si>
  <si>
    <t>Cash Credit Loans from Banks</t>
  </si>
  <si>
    <t>Other Short Term Borrowings from Banks</t>
  </si>
  <si>
    <t>Current portion of LTD</t>
  </si>
  <si>
    <t>Intercorporate Deposits</t>
  </si>
  <si>
    <t>Commercial Paper</t>
  </si>
  <si>
    <t>Other Short Term Borrowings</t>
  </si>
  <si>
    <t>Accrued Interest</t>
  </si>
  <si>
    <t xml:space="preserve">Non Debt Current Liabilities 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</si>
  <si>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</si>
  <si>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</si>
  <si>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</si>
  <si>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</si>
  <si>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</si>
  <si>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>Other Current Liabilities &amp; Provisions</t>
  </si>
  <si>
    <t>Total Liabilities</t>
  </si>
  <si>
    <t>Fixed Assets</t>
  </si>
  <si>
    <t>Land</t>
  </si>
  <si>
    <t>Plant  &amp; Machinery</t>
  </si>
  <si>
    <t>Other Fixed Assets</t>
  </si>
  <si>
    <t>Accumulated Depreciation</t>
  </si>
  <si>
    <t>Capital W-I-P</t>
  </si>
  <si>
    <t>Deferred Tax Asset (net)</t>
  </si>
  <si>
    <t>Investments</t>
  </si>
  <si>
    <t>Investments in Government Securities</t>
  </si>
  <si>
    <t>Investments in Subsidiaries &amp; Affiliates</t>
  </si>
  <si>
    <t>Investment in Others</t>
  </si>
  <si>
    <t>Market Value of Quoted Investment</t>
  </si>
  <si>
    <t>Debtors</t>
  </si>
  <si>
    <t>Receivable greater than 6 months</t>
  </si>
  <si>
    <t>Other Receivables</t>
  </si>
  <si>
    <t>Provision for Doubtful Debts</t>
  </si>
  <si>
    <t>Inventory</t>
  </si>
  <si>
    <t>Raw Materials</t>
  </si>
  <si>
    <t>Work  in Progress</t>
  </si>
  <si>
    <t>Finished Goods</t>
  </si>
  <si>
    <t>Others ( Stores &amp; Spaces, Goods in Transit)</t>
  </si>
  <si>
    <t>Other Current Assets</t>
  </si>
  <si>
    <t>Cash/ Bank</t>
  </si>
  <si>
    <t>Advances to Suppliers (Excluding on Capital a/c)</t>
  </si>
  <si>
    <t>Miscellaneous Current Assets</t>
  </si>
  <si>
    <t>Marketable Securities</t>
  </si>
  <si>
    <t>Non Current Assets</t>
  </si>
  <si>
    <t>Loans &amp; Advances to Subsidiaries / Affiliates</t>
  </si>
  <si>
    <t>Other Loans &amp; Advances</t>
  </si>
  <si>
    <t>Other Non-Current Assets</t>
  </si>
  <si>
    <t>Total  Assets</t>
  </si>
  <si>
    <t>Balance Sheet Tallied</t>
  </si>
  <si>
    <t>Guarantees issued by bankers</t>
  </si>
  <si>
    <t>Guarantees issued by Company</t>
  </si>
  <si>
    <t>Letter of Credit</t>
  </si>
  <si>
    <t>Excise/ Sales Tax Claims</t>
  </si>
  <si>
    <t>Tax/Statutory Liabilities</t>
  </si>
  <si>
    <t>Bills Discounted</t>
  </si>
  <si>
    <t>Other Contingent Liabilities</t>
  </si>
  <si>
    <t>Sales of Fixed Assets</t>
  </si>
  <si>
    <t>Addition to Fixed Assets</t>
  </si>
  <si>
    <t>Sales of Equity/ Pref. Capital</t>
  </si>
  <si>
    <t>Other Additions to Net Worth</t>
  </si>
  <si>
    <t>Other deductions from Net Worth</t>
  </si>
  <si>
    <t>Deb Conv. During The Period</t>
  </si>
  <si>
    <t>Face Value Per Share</t>
  </si>
  <si>
    <t>Audit Qualification (Y/N/UA/NA)</t>
  </si>
  <si>
    <t>PRODUCT PROFILE</t>
  </si>
  <si>
    <t>PRODUCT 1:</t>
  </si>
  <si>
    <t>SALES VALUE Product 1</t>
  </si>
  <si>
    <t>UNITS of Product 1</t>
  </si>
  <si>
    <t>AVERAGE REALISATION ( RS. / UNITS ) of Product 1</t>
  </si>
  <si>
    <t>AVERAGE COST OF CLOSING STOCK(Input) of Product 1</t>
  </si>
  <si>
    <t>PRODUCT 2:</t>
  </si>
  <si>
    <t>SALES VALUE Product 2</t>
  </si>
  <si>
    <t>UNITS of Product 2</t>
  </si>
  <si>
    <t>AVERAGE REALISATION ( RS. / UNITS ) of Product 2</t>
  </si>
  <si>
    <t>AVERAGE COST OF CLOSING STOCK(Input) of Product 2</t>
  </si>
  <si>
    <t>PRODUCT 3:</t>
  </si>
  <si>
    <t>SALES VALUE of Product 3</t>
  </si>
  <si>
    <t>UNITS of Product 3</t>
  </si>
  <si>
    <t>AVERAGE REALISATION ( RS. / UNITS ) of Product 3</t>
  </si>
  <si>
    <t>AVERAGE COST OF CLOSING STOCK(Input) of Product 3</t>
  </si>
  <si>
    <t>RAW MATERIAL PROFILE INPUT</t>
  </si>
  <si>
    <t>R.M.1</t>
  </si>
  <si>
    <t>VALUE 1</t>
  </si>
  <si>
    <t>UNITS 1</t>
  </si>
  <si>
    <t>AVERAGE COST ( RS. PER UNITS) 1</t>
  </si>
  <si>
    <t>R.M.2</t>
  </si>
  <si>
    <t>VALUE 2</t>
  </si>
  <si>
    <t>UNITS 2</t>
  </si>
  <si>
    <t>AVERAGE COST ( RS. PER UNITS) 2</t>
  </si>
  <si>
    <t>R.M.3</t>
  </si>
  <si>
    <t>VALUE 3</t>
  </si>
  <si>
    <t>UNITS 3</t>
  </si>
  <si>
    <t>AVERAGE COST ( RS. PER UNITS) 3</t>
  </si>
  <si>
    <t>IMPORTED RM- VALUE</t>
  </si>
  <si>
    <t>%</t>
  </si>
  <si>
    <t>FOREIGN EXCHANGE EXPOSURE</t>
  </si>
  <si>
    <t>RAW MATERIALS, STORE &amp; SPARE</t>
  </si>
  <si>
    <t>CAPITAL GOODS</t>
  </si>
  <si>
    <t>OTHER FOREX OUTFLOWS</t>
  </si>
  <si>
    <t>EXPORTS + FOREX EARNING</t>
  </si>
  <si>
    <t>FOREX LOANS (AS OF YEAR END )</t>
  </si>
  <si>
    <t>SUBSIDIARY COMPANIES PROFIT/ (LOSS)</t>
  </si>
  <si>
    <t>S-1</t>
  </si>
  <si>
    <t>SHARE HOLDING (%) 1</t>
  </si>
  <si>
    <t>S-2</t>
  </si>
  <si>
    <t>SHARE HOLDING (%) 2</t>
  </si>
  <si>
    <t>S-3</t>
  </si>
  <si>
    <t>SHARE HOLDING (%) 3</t>
  </si>
  <si>
    <t>PERFORMANCE GROWTH</t>
  </si>
  <si>
    <t>NET SALES GROWTH (%)</t>
  </si>
  <si>
    <t>EXPORTS / GROSS SALES %</t>
  </si>
  <si>
    <t>TRADING SALES / GROSS SALES %</t>
  </si>
  <si>
    <t>OPBDIT GROWTH (%)</t>
  </si>
  <si>
    <t>PBDIT</t>
  </si>
  <si>
    <t>PBIT</t>
  </si>
  <si>
    <t>CASH PROFIT</t>
  </si>
  <si>
    <t>PROFIT BEFORE TAX (PBT)</t>
  </si>
  <si>
    <t>PBT GROWTH (%)</t>
  </si>
  <si>
    <t>PROFIT AFTER TAX (PAT)</t>
  </si>
  <si>
    <t>PROFITABILITY</t>
  </si>
  <si>
    <t>OPBDIT / NET SALES %</t>
  </si>
  <si>
    <t>PBT / NET SALES (%)</t>
  </si>
  <si>
    <t>PAT / NET SALES(%)</t>
  </si>
  <si>
    <t>PAT / TOTAL ASSETS (ROA) %</t>
  </si>
  <si>
    <t>PAT / TANGIBLE NET WORTH (RONW) %</t>
  </si>
  <si>
    <t>ROCE %</t>
  </si>
  <si>
    <t>ACTIVITY</t>
  </si>
  <si>
    <t>ASSET CONVERSION CYCLE (DAYS)</t>
  </si>
  <si>
    <t>- DAYS INVENTORY (ON COP)</t>
  </si>
  <si>
    <t>- DAYS RECEIVABLE (ON GROSS SALES)</t>
  </si>
  <si>
    <t>- DAYS PAYABLE (ON MATERIALS)</t>
  </si>
  <si>
    <t>WORKING CAPITAL TURNOVER</t>
  </si>
  <si>
    <t xml:space="preserve">GROSS BLOCK TURNOVER </t>
  </si>
  <si>
    <t xml:space="preserve">TOTAL ASSET TURNOVER </t>
  </si>
  <si>
    <t>COVERAGE</t>
  </si>
  <si>
    <t>INTEREST COVER</t>
  </si>
  <si>
    <t>DIVIDEND COVER</t>
  </si>
  <si>
    <t xml:space="preserve">DEBT COVER </t>
  </si>
  <si>
    <t>BALANCE SHEET STRUCTURE</t>
  </si>
  <si>
    <t>WORKING CAPITAL</t>
  </si>
  <si>
    <t>NET WORKING CAPITAL</t>
  </si>
  <si>
    <t>CURRENT RATIO</t>
  </si>
  <si>
    <t>QUICK RATIO</t>
  </si>
  <si>
    <t>TANGIBLE NET WORTH (TNW)</t>
  </si>
  <si>
    <t>ADJUSTED TNW (NET OF INV IN / LOANS TO ASSOCS)</t>
  </si>
  <si>
    <t>TOTAL DEBT</t>
  </si>
  <si>
    <t>LONG TERM LEVERAGE</t>
  </si>
  <si>
    <t>TOTAL DEBT/EQUITY RATIO</t>
  </si>
  <si>
    <t>TOTAL LEVERAGE (TOL/TNW)</t>
  </si>
  <si>
    <t>TNW ADJUSTED LEVERAGE (TOL /TNW ADJUSTED)</t>
  </si>
  <si>
    <t xml:space="preserve">CONTINGENT LIABILITIES </t>
  </si>
  <si>
    <t>GUARANTEES</t>
  </si>
  <si>
    <t xml:space="preserve">LETTER OF CREDIT </t>
  </si>
  <si>
    <t>EXCISE / SALES TAX CLAIMS</t>
  </si>
  <si>
    <t>TAX / STATUTORY CLAIMS</t>
  </si>
  <si>
    <t>OTHER CONTINGENT LIABILITIES</t>
  </si>
  <si>
    <t>INTER COMPANY BALANCES</t>
  </si>
  <si>
    <t>INVESTMENT IN ASSOC. &amp; AFFILS</t>
  </si>
  <si>
    <t>LOANS &amp; ADVANCES RECEIVED FROM ASSOC &amp; AFFILS</t>
  </si>
  <si>
    <t>LOANS &amp; ADVANCES GIVEN TO ASSOC &amp; AFFILS</t>
  </si>
  <si>
    <t>PER SHARE</t>
  </si>
  <si>
    <t>EARNINGS</t>
  </si>
  <si>
    <t>CASH EARNINGS</t>
  </si>
  <si>
    <t>BOOK VALUE</t>
  </si>
  <si>
    <t>OTHERS</t>
  </si>
  <si>
    <t>DEPRECIATION / GROSS BLOCK %</t>
  </si>
  <si>
    <t>NET BLOCK / GROSS BLOCK %</t>
  </si>
  <si>
    <t>TAX / PBT %</t>
  </si>
  <si>
    <t>RETENTION RATIO %</t>
  </si>
  <si>
    <t>AUDIT QUALIFICATION</t>
  </si>
  <si>
    <t>CHANGE IN ACCOUNTING POLICY</t>
  </si>
  <si>
    <t>ADD: DEPRECIATION</t>
  </si>
  <si>
    <t xml:space="preserve">          INTANGIBLES WRITTEN OFF</t>
  </si>
  <si>
    <t>CASH PROFITS</t>
  </si>
  <si>
    <t>(INC)/DEC IN RECEIVABLES</t>
  </si>
  <si>
    <t>(INC)/DEC IN INVENTORY</t>
  </si>
  <si>
    <t>(INC)/DEC IN ADVANCES TO SUPPLIERS</t>
  </si>
  <si>
    <t>(INC)/DEC IN OTHER CURRENT ASSETS</t>
  </si>
  <si>
    <t>(INC)/DEC IN OTHER NON CURRENT ASSETS</t>
  </si>
  <si>
    <t>INC/(DEC) IN PAYABLES</t>
  </si>
  <si>
    <t>INC/(DEC) IN ADVANCE FROM AFFILIATES</t>
  </si>
  <si>
    <t>INC/(DEC) IN ADVANCE FROM CUSTOMERS</t>
  </si>
  <si>
    <t>INC/(DEC) IN OTHER CURRENT LIABILITIES</t>
  </si>
  <si>
    <t>TAXES PAID</t>
  </si>
  <si>
    <t>EXTRAORDINARY INCOME/(EXPENSE)</t>
  </si>
  <si>
    <t>CASH FLOW FROM OPERATIONS</t>
  </si>
  <si>
    <t>INC/(DEC) IN LONG TERM DEBT</t>
  </si>
  <si>
    <t>INC/(DEC) IN SHORT TERM DEBT</t>
  </si>
  <si>
    <t>SALE OF EQUITY</t>
  </si>
  <si>
    <t>INC/(DEC) IN ITEMS CONCERNING NET WORTH</t>
  </si>
  <si>
    <t>SALE OF FIXED ASSETS</t>
  </si>
  <si>
    <t>INC /(DEC) IN DEFERRED TAX LIABILITY</t>
  </si>
  <si>
    <t>(INC) /DEC IN DEFERRED TAX ASSET</t>
  </si>
  <si>
    <t>(INC)/DEC IN INTANGIBLES</t>
  </si>
  <si>
    <t>CASH FLOW FROM FINANCING AND OTHER SOURCES</t>
  </si>
  <si>
    <t>TOTAL CASH FLOW</t>
  </si>
  <si>
    <t>DIVIDENDS PAID</t>
  </si>
  <si>
    <t>CAPITAL EXPENDITURE</t>
  </si>
  <si>
    <t>INVESTMENTS PURCHASED/(SOLD)</t>
  </si>
  <si>
    <t>TOTAL CASH FLOW NEEDS</t>
  </si>
  <si>
    <t>CHANGE IN CASH / MARKETABLE SECURITIES</t>
  </si>
  <si>
    <t>CHANGE IN CASH / MARKETABLE SECURITIES AS PER B/S</t>
  </si>
  <si>
    <t>DEPRECIATION</t>
  </si>
  <si>
    <t>INTANGIBLES WRITE OFF</t>
  </si>
  <si>
    <t>ADJUSTED NET INCOME</t>
  </si>
  <si>
    <t xml:space="preserve">LESS: DIVIDENDS PAID </t>
  </si>
  <si>
    <t>NET INCOME AVAILABLE FOR INVESTMENT (A)</t>
  </si>
  <si>
    <t>LONG TERM SOURCES</t>
  </si>
  <si>
    <t>INCREASE IN CAPITAL</t>
  </si>
  <si>
    <t>INCREASE IN TERM LIABILITIES</t>
  </si>
  <si>
    <t>DECREASE IN FIXED ASSETS</t>
  </si>
  <si>
    <t>DECREASE IN NON CURRENT ASSETS</t>
  </si>
  <si>
    <t>INCREASE IN DEFERRED TAX LIABILITY</t>
  </si>
  <si>
    <t>DECREASE IN DEFERRED TAX ASSET</t>
  </si>
  <si>
    <t>OTHER ADDITIONS TO NET WORTH</t>
  </si>
  <si>
    <t>TOTAL LONG TERM SOURCES (B)</t>
  </si>
  <si>
    <t>LONG TERM APPLICATIONS</t>
  </si>
  <si>
    <t>DECREASE IN TERM LIABILITIES</t>
  </si>
  <si>
    <t>INCREASE IN FIXED ASSETS</t>
  </si>
  <si>
    <t>INCREASE IN NON CURRENT ASSETS</t>
  </si>
  <si>
    <t>INCREASE IN INVESTMENTS</t>
  </si>
  <si>
    <t>INCREASE/DECREASE IN INTANGIBLES</t>
  </si>
  <si>
    <t>DECREASE IN DEFERRED TAX LIABILITY</t>
  </si>
  <si>
    <t>INCREASE IN DEFERRED TAX ASSET</t>
  </si>
  <si>
    <t>OTHER DEDUCTIONS TO NET WORTH</t>
  </si>
  <si>
    <t>TOTAL LONG TERM APPLICATIONS (C)</t>
  </si>
  <si>
    <t>LONG TERM SURPLUS / (DEFICIT) (D) =(A) +((B)-(C))</t>
  </si>
  <si>
    <t>(INC)/DEC IN NON CASH CURRENT ASSETS</t>
  </si>
  <si>
    <t>INC / DEC IN WORKING CAPITAL GAP (E)</t>
  </si>
  <si>
    <t>NET SURPLUS / (DEFICIT) (D)+(E)</t>
  </si>
  <si>
    <t>(INCREASE)/DECREASE IN SHORT TERM DEBT AS PER B/S</t>
  </si>
  <si>
    <t>CHANGE IN CASH / MARKETABLE SECURITIES PER B/S</t>
  </si>
  <si>
    <t>MEMO AREA</t>
  </si>
  <si>
    <t>INCREASE/(DECREASE) IN NET SALES</t>
  </si>
  <si>
    <t>CHANGE IN NON CASH CURRENT ASSETS</t>
  </si>
  <si>
    <t>INCREASE/(DECREASE) IN INVENTORY</t>
  </si>
  <si>
    <t>INCREASE/(DECREASE) IN RECEIVABLES</t>
  </si>
  <si>
    <t>INCREASE/(DECREASE) IN ADVANCE TO SUPPLIERS</t>
  </si>
  <si>
    <t>INCREASE/(DECREASE) IN OTHER CURRENT ASSETS</t>
  </si>
  <si>
    <t>TOTAL</t>
  </si>
  <si>
    <t>COMPARATIVE STATEMENT OF CURRENT ASSETS &amp; CURRENT LIABILITIES AND MPBF CALCULATION</t>
  </si>
  <si>
    <t xml:space="preserve">Raw Materials  &amp; Other Consumable Spares             </t>
  </si>
  <si>
    <t xml:space="preserve">    Months </t>
  </si>
  <si>
    <t>Stock in process</t>
  </si>
  <si>
    <t xml:space="preserve">Receivables </t>
  </si>
  <si>
    <t xml:space="preserve">Advance to suppliers </t>
  </si>
  <si>
    <t xml:space="preserve">Other current assets </t>
  </si>
  <si>
    <t xml:space="preserve">TOTAL CURRENT ASSETS </t>
  </si>
  <si>
    <t xml:space="preserve">OTHER CURRENT LIABILITIES </t>
  </si>
  <si>
    <t xml:space="preserve">Creditors for purchase </t>
  </si>
  <si>
    <t>Advance from customers</t>
  </si>
  <si>
    <t>Statutory Liabilities</t>
  </si>
  <si>
    <t>Others</t>
  </si>
  <si>
    <t>WORKING CAPITAL GAP (WCG)</t>
  </si>
  <si>
    <t>MINIMUM STIPULATED NET WORKING CAPITAL</t>
  </si>
  <si>
    <t>ACTUAL / ESTIMATED NET WORKING CAPITAL</t>
  </si>
  <si>
    <t>WCG - MIN NWC</t>
  </si>
  <si>
    <t>WCG - ACTUAL / EST NWC</t>
  </si>
  <si>
    <t>MAXIMUM PERMISSIBLE BANK FINANCE</t>
  </si>
  <si>
    <t>Current Ratio</t>
  </si>
  <si>
    <t>DSCR</t>
  </si>
  <si>
    <t>Interest Coverage</t>
  </si>
  <si>
    <t>Ratios Calculated for RAM</t>
  </si>
  <si>
    <t>Internal Generation/Total Debt</t>
  </si>
  <si>
    <t>PBT/Net Sales (%)</t>
  </si>
  <si>
    <t>Leverage</t>
  </si>
  <si>
    <t>Gross Operating Cycle</t>
  </si>
  <si>
    <t>PBDIT/ Interest Paid (Interest Coverage)</t>
  </si>
  <si>
    <t>Ratios Calculated for CGM Benchmarks</t>
  </si>
  <si>
    <t>Addl Ratios  for Virtualyst</t>
  </si>
  <si>
    <t>Total Assets / Net Sales</t>
  </si>
  <si>
    <t>TL / Cash Profits</t>
  </si>
  <si>
    <t>PBDIT Margin (%)</t>
  </si>
  <si>
    <t>Diff in CR and QR</t>
  </si>
  <si>
    <t>PBDT Margin (%)</t>
  </si>
  <si>
    <t>Operating Profit Margin (%)</t>
  </si>
  <si>
    <t>Capital Expenditure</t>
  </si>
  <si>
    <t>Increase in TOL/TNW</t>
  </si>
  <si>
    <t>Inventory Turnover Ratio (Times)</t>
  </si>
  <si>
    <t>Bank Borrowings</t>
  </si>
  <si>
    <t>Increase/Decrease in Bank Borrowings</t>
  </si>
  <si>
    <t>Increase/Decrease in Current Assets</t>
  </si>
  <si>
    <t>Increase/Decrease in Current Liabilities</t>
  </si>
  <si>
    <t>Shortfall in Projections ( Net Sales)</t>
  </si>
  <si>
    <t>Shortfall in Projections ( Net Profit Margin)</t>
  </si>
  <si>
    <t>Increase in Current Assets</t>
  </si>
  <si>
    <t>Increase in Current Assets (%)</t>
  </si>
  <si>
    <t>Increase in Current Liabilities (%)</t>
  </si>
  <si>
    <t>Decrease in Current Liabilities (%)</t>
  </si>
  <si>
    <t>Decrease in Current Assets (%)</t>
  </si>
  <si>
    <t>Increase in Bank Borrowings (%)</t>
  </si>
  <si>
    <t>Decrease in Bank Borrowings (%)</t>
  </si>
  <si>
    <t>Increase/Decrease in TOL/TNW</t>
  </si>
  <si>
    <t>Increase in Bank Borrowings</t>
  </si>
  <si>
    <t>Decrease in Bank Borrowings</t>
  </si>
  <si>
    <t>Decrease in Current Assets</t>
  </si>
  <si>
    <t xml:space="preserve">Increase in Current Liabilities </t>
  </si>
  <si>
    <t>Decrease in Current Liabilities</t>
  </si>
  <si>
    <t>Decrease in TOL/TNW</t>
  </si>
  <si>
    <t>Rate of increase in non operating Income</t>
  </si>
  <si>
    <t>Rate of decrease in non operating Income</t>
  </si>
  <si>
    <t>Increase/Decrease in Non Operating Income</t>
  </si>
  <si>
    <t>IndustrySalesGrowth</t>
  </si>
  <si>
    <t>Gross Sales - Services</t>
  </si>
  <si>
    <t>Gross Sales</t>
  </si>
  <si>
    <t>GROSS SALES - SERVICES</t>
  </si>
  <si>
    <t>Depreciation (Net)</t>
  </si>
  <si>
    <t>Total Tax</t>
  </si>
  <si>
    <t>Expected Balance Project Duration</t>
  </si>
  <si>
    <t>Expected Time Overrun</t>
  </si>
  <si>
    <t>Ability to meet Profit Projections (Project)</t>
  </si>
  <si>
    <t>Abilityto meet Sales Projections (Project)</t>
  </si>
  <si>
    <t>Price per unit of manufacturing (local) sales</t>
  </si>
  <si>
    <t>Price per unit of manufacturing (export) sales</t>
  </si>
  <si>
    <t>Price per unit of trading (export) sales</t>
  </si>
  <si>
    <t>Price per unit of trading (local) sales</t>
  </si>
  <si>
    <t>Sales Volume (units)</t>
  </si>
  <si>
    <t>Dividend - Preference Shares</t>
  </si>
  <si>
    <t>Dividend - Equity Shares</t>
  </si>
  <si>
    <t>Common Size Income Statement</t>
  </si>
  <si>
    <t>Common Size Financial Statement</t>
  </si>
  <si>
    <t>LIABILITIES</t>
  </si>
  <si>
    <t>ASSETS</t>
  </si>
  <si>
    <t>Expenses Capitalized (Enter as -ve)</t>
  </si>
  <si>
    <t xml:space="preserve">TNW DTA ADJUSTED </t>
  </si>
  <si>
    <t>TNW/TOL DTA ADJUSTED</t>
  </si>
  <si>
    <t>GOFG (PAT+Deprn)</t>
  </si>
  <si>
    <t>(TOL + DTL) / TNW</t>
  </si>
  <si>
    <t>Add: Diff IN TAX PROVISION</t>
  </si>
  <si>
    <t>Adjustment To Reserves</t>
  </si>
  <si>
    <t>Other temporary borrowings</t>
  </si>
  <si>
    <t>Investment of SurplusFunds</t>
  </si>
  <si>
    <t>TD/TNW</t>
  </si>
  <si>
    <t>ROCE (with PBDIT)</t>
  </si>
  <si>
    <t>Quick Ratio</t>
  </si>
  <si>
    <t>Debt / OPBDIT</t>
  </si>
  <si>
    <t>Promoter's Contribution in Working Capital</t>
  </si>
  <si>
    <t>Asset Conversion Cycle</t>
  </si>
  <si>
    <t>TOL adjusted / Adjusted Networth</t>
  </si>
  <si>
    <t>Ratios for Benchmarks (Projected)  - SME</t>
  </si>
  <si>
    <t>ROCE</t>
  </si>
  <si>
    <t>PAT / Net Sales</t>
  </si>
  <si>
    <t>Networth</t>
  </si>
  <si>
    <t>Total Outside Liabilities/ Tangible Networth</t>
  </si>
  <si>
    <t>Net cash accruals / Total debt</t>
  </si>
  <si>
    <t>Inventory &amp; Receivables Days</t>
  </si>
  <si>
    <t>Total Outside Liabilities / Networth</t>
  </si>
  <si>
    <t xml:space="preserve">Financials Available </t>
  </si>
  <si>
    <t>Additional Ratio 6</t>
  </si>
  <si>
    <t>Net Sales</t>
  </si>
  <si>
    <t xml:space="preserve">Net Worth </t>
  </si>
  <si>
    <t>Net Cash Accruals</t>
  </si>
  <si>
    <t>Current ratio adjusted for stock</t>
  </si>
  <si>
    <t>TOL adjusted / Adjusted Networth (without USL)</t>
  </si>
  <si>
    <t>Current ratio</t>
  </si>
  <si>
    <t>PBT / Net Sales</t>
  </si>
  <si>
    <t>NA</t>
  </si>
  <si>
    <t>Borrower ID</t>
  </si>
  <si>
    <t>Excise  Duty / GST</t>
  </si>
  <si>
    <t>Debt / Ebitda</t>
  </si>
  <si>
    <t>Total Outside Liabilities/Adj. Tangible Networth</t>
  </si>
  <si>
    <t>Used in Model</t>
  </si>
  <si>
    <t>LCM New</t>
  </si>
  <si>
    <t>SME</t>
  </si>
  <si>
    <t>Trader</t>
  </si>
  <si>
    <t>SME +LCM New</t>
  </si>
  <si>
    <t>Receivables Days</t>
  </si>
  <si>
    <t>LCM Old+ SME Old+SME Services</t>
  </si>
  <si>
    <t>LCM New+ LCM Old+SME Old+SME Services</t>
  </si>
  <si>
    <t>LCM Old+SME Old+SME Services</t>
  </si>
  <si>
    <t>LCM  Old+SME Old+SME Services</t>
  </si>
  <si>
    <t>SME Services</t>
  </si>
  <si>
    <t>Growth Rate of Net Sales</t>
  </si>
  <si>
    <t>Growth Rate of PBDIT</t>
  </si>
  <si>
    <t>Small Trader</t>
  </si>
  <si>
    <t>LCM Old+ SME Old+SME services+Small Trader</t>
  </si>
  <si>
    <t>LCM Old+SME Old+SME Services+Small Trader</t>
  </si>
  <si>
    <t>SME Old+SME Services</t>
  </si>
  <si>
    <t>Net_Sales</t>
  </si>
  <si>
    <t>Total_Revenue_from_Operaitons</t>
  </si>
  <si>
    <t>Non_Operating_Income</t>
  </si>
  <si>
    <t>IncDec_in_Parameters</t>
  </si>
  <si>
    <t>Cost_of_Production_v1</t>
  </si>
  <si>
    <t>Cost_of_Goods_Sold</t>
  </si>
  <si>
    <t>Cost_of_Production</t>
  </si>
  <si>
    <t>Total_Finance_Cost</t>
  </si>
  <si>
    <t>EBIT</t>
  </si>
  <si>
    <t>EBITDA</t>
  </si>
  <si>
    <t>PBT</t>
  </si>
  <si>
    <t>Total_Tax_Expense</t>
  </si>
  <si>
    <t>PAT</t>
  </si>
  <si>
    <t>Tangible_Net_Worth</t>
  </si>
  <si>
    <t>Total_Equity</t>
  </si>
  <si>
    <t>Total_Debt_lessthan_1Year</t>
  </si>
  <si>
    <t>Total_Debt_greaterthan_1Year</t>
  </si>
  <si>
    <t>Unsecured_Loans</t>
  </si>
  <si>
    <t>Total_Debt</t>
  </si>
  <si>
    <t>Other_Current_Liabilities</t>
  </si>
  <si>
    <t>Current_Liabilities</t>
  </si>
  <si>
    <t>Total_Receivables</t>
  </si>
  <si>
    <t>Other_Current_Assets</t>
  </si>
  <si>
    <t>Current_Assets</t>
  </si>
  <si>
    <t>Contingent_Liabilities</t>
  </si>
  <si>
    <t>Cash_Profit</t>
  </si>
  <si>
    <t>CFO</t>
  </si>
  <si>
    <t>NW_v1</t>
  </si>
  <si>
    <t>NW_v2</t>
  </si>
  <si>
    <t>NW_v3</t>
  </si>
  <si>
    <t>NW_v4</t>
  </si>
  <si>
    <t>NW_v5</t>
  </si>
  <si>
    <t>NW_v6</t>
  </si>
  <si>
    <t>Size_NetSales</t>
  </si>
  <si>
    <t>Size_TotalAssets</t>
  </si>
  <si>
    <t>Size_NetWorth</t>
  </si>
  <si>
    <t>OPBDIT_by_NetSales</t>
  </si>
  <si>
    <t>EBITDA_by_NetSales</t>
  </si>
  <si>
    <t>PBT_by_NetSales</t>
  </si>
  <si>
    <t>PAT_by_NetSales</t>
  </si>
  <si>
    <t>ROA</t>
  </si>
  <si>
    <t>ROCE_v1</t>
  </si>
  <si>
    <t>ROCE_v2</t>
  </si>
  <si>
    <t>ROCE_v3</t>
  </si>
  <si>
    <t>ROCE_v4</t>
  </si>
  <si>
    <t>CurrentRatio</t>
  </si>
  <si>
    <t>CurrentRatio_v1</t>
  </si>
  <si>
    <t>CurrentRatio_v2</t>
  </si>
  <si>
    <t>QuickRatio</t>
  </si>
  <si>
    <t>CashRatio</t>
  </si>
  <si>
    <t>ICR</t>
  </si>
  <si>
    <t>ICR_v1</t>
  </si>
  <si>
    <t>ICR_v2</t>
  </si>
  <si>
    <t>DSCR_v1</t>
  </si>
  <si>
    <t>DSCR_v2</t>
  </si>
  <si>
    <t>NetCashAccruals_by_TotalDebt</t>
  </si>
  <si>
    <t>NetCashAccruals_by_CPLTD</t>
  </si>
  <si>
    <t>ImmediateRepaymentObligation_by_NetCashFlow</t>
  </si>
  <si>
    <t>Debt_by_OPBDIT</t>
  </si>
  <si>
    <t>Debt_by_EBITDA</t>
  </si>
  <si>
    <t>TOL_by_TNW</t>
  </si>
  <si>
    <t>TOL_by_TNW_v1</t>
  </si>
  <si>
    <t>TOL_by_TNW_v2</t>
  </si>
  <si>
    <t>TOL_by_TNW_v3</t>
  </si>
  <si>
    <t>TotalDebt_by_TNW</t>
  </si>
  <si>
    <t>Receivables_by_NetSales</t>
  </si>
  <si>
    <t>CurrentAssets_by_NetSales</t>
  </si>
  <si>
    <t>ReceivableDays</t>
  </si>
  <si>
    <t>WorkingCapital_Days</t>
  </si>
  <si>
    <t>Asset_Conversion_Cycle</t>
  </si>
  <si>
    <t>DebtorsGreaterthan6months_by_TotalReceivables</t>
  </si>
  <si>
    <t>NWC_by_WCGap</t>
  </si>
  <si>
    <t>NWC_by_WCGap_v1</t>
  </si>
  <si>
    <t>InventoryDays</t>
  </si>
  <si>
    <t>ReceivableDays_v1</t>
  </si>
  <si>
    <t>PayableDays</t>
  </si>
  <si>
    <t>Asset_Conversion_Cycle_v1</t>
  </si>
  <si>
    <t>WC_Cycle</t>
  </si>
  <si>
    <t>InvGroupCos_by_NW</t>
  </si>
  <si>
    <t>ContingentLiabilities_by_NW</t>
  </si>
  <si>
    <t>WCBankBorrowing_NetOffCash</t>
  </si>
  <si>
    <t>NetSales_CAGR</t>
  </si>
  <si>
    <t>PAT_CAGR</t>
  </si>
  <si>
    <t>Gearing</t>
  </si>
  <si>
    <t>Base Year of the Project</t>
  </si>
  <si>
    <t>BREAKEVEN SALES  (YEAR)</t>
  </si>
  <si>
    <t>Years</t>
  </si>
  <si>
    <t>Breakeven Sales Time logic</t>
  </si>
  <si>
    <t>Stress Testing for DSCR</t>
  </si>
  <si>
    <t>% by which the cash revenues are shocked downwards</t>
  </si>
  <si>
    <t>Gearing:</t>
  </si>
  <si>
    <t>Total Debt required for the entire Project (from start to end)</t>
  </si>
  <si>
    <t>Total Equity required for the entire Project (from start to end)</t>
  </si>
  <si>
    <t>Total Project Cost</t>
  </si>
  <si>
    <t>CASH FLOWS</t>
  </si>
  <si>
    <t>Incremental Equity (Incremental)</t>
  </si>
  <si>
    <t>Incremental Debt (Incremental)</t>
  </si>
  <si>
    <t xml:space="preserve">Incremental investment in Fixed Assets/ Capital Investments </t>
  </si>
  <si>
    <t>Gross Fixed Assets</t>
  </si>
  <si>
    <t>Depreciation charged for the year</t>
  </si>
  <si>
    <t>Accumalated Depreciation</t>
  </si>
  <si>
    <t>Net fixed Assets</t>
  </si>
  <si>
    <t xml:space="preserve"> Net Working Capital</t>
  </si>
  <si>
    <t>Net Fixed Assets + Net Working Capital</t>
  </si>
  <si>
    <t>Revenue from the project</t>
  </si>
  <si>
    <t>Expenses incurred due to the functioning of the project other than capital expenditure, depreciation and interest</t>
  </si>
  <si>
    <t>All Non cash revenue such as profit on sale of fixed assets, appreciation in the value of assets, forex gains etc.</t>
  </si>
  <si>
    <t>Loss on sale of fixed Assets</t>
  </si>
  <si>
    <t xml:space="preserve">Depreciation </t>
  </si>
  <si>
    <t>Interest and finance charges</t>
  </si>
  <si>
    <t>Profit before tax</t>
  </si>
  <si>
    <t>Profit Before Tax if Revenues are shocked downwards</t>
  </si>
  <si>
    <t>Tax</t>
  </si>
  <si>
    <t>PAT if Revenues are shocked downwards</t>
  </si>
  <si>
    <t>Cash generated from sale of fixed assets</t>
  </si>
  <si>
    <t>Cash Accrual from operations</t>
  </si>
  <si>
    <t>Cash Accrual from operations if cash evenues are shocked downwards</t>
  </si>
  <si>
    <t>Change in net working capital</t>
  </si>
  <si>
    <t>Net Investment in Fixed Assets</t>
  </si>
  <si>
    <t>Net Cash Flows</t>
  </si>
  <si>
    <t>Enter year from which the cash flows stabalize and are presumed to be the same in every period after this year</t>
  </si>
  <si>
    <t>Time Line Logic 1:</t>
  </si>
  <si>
    <t>Cash Flows for the purpose of IRR</t>
  </si>
  <si>
    <t>Discounting Rate based on Project Risk</t>
  </si>
  <si>
    <t>Net Present Value</t>
  </si>
  <si>
    <t>IRR</t>
  </si>
  <si>
    <t>Debt Schedule</t>
  </si>
  <si>
    <t>Starting year of the loan sanctioned/ to be sanctioned by our bank</t>
  </si>
  <si>
    <t>Ending year of the loan santioned/ to be sanctioned by our bank</t>
  </si>
  <si>
    <t>Time Line Logic 2 :</t>
  </si>
  <si>
    <t>Total Debt payable within one year (Principal component)</t>
  </si>
  <si>
    <t>Total Interest &amp; Finance Charges</t>
  </si>
  <si>
    <t>Total Debt payable within one year including Interest &amp; Finance Charges</t>
  </si>
  <si>
    <t>PAT + Depreciation + Interest &amp; Finance Charges</t>
  </si>
  <si>
    <t>PAT if revenues shocked downwards + Depreciation + Interest and Finance Charges</t>
  </si>
  <si>
    <t>DSCR for a 10% fall in revenue</t>
  </si>
  <si>
    <t>Filtering for Computation (We want to look only at the years during which the bank is exposed).</t>
  </si>
  <si>
    <t>DSCR for the years during which the loan is outstanding</t>
  </si>
  <si>
    <t xml:space="preserve">DSCR for a 10% fall in revenue for the years during which the loan is outstanding </t>
  </si>
  <si>
    <t>Average of annual DSCRs (for the period exposed)</t>
  </si>
  <si>
    <t>Average of annual DSCRs for a 10% fall in revenue (for the period exposed)</t>
  </si>
  <si>
    <t>BREAKEVEN CALCULATIONS</t>
  </si>
  <si>
    <t>Fixed Cost</t>
  </si>
  <si>
    <t>Variable Cost</t>
  </si>
  <si>
    <t>Contribution</t>
  </si>
  <si>
    <t>Breakeven Sales</t>
  </si>
  <si>
    <t xml:space="preserve">Margin of Safety </t>
  </si>
  <si>
    <t>Breakeven %</t>
  </si>
  <si>
    <t>PROJECT RATIOS</t>
  </si>
  <si>
    <t xml:space="preserve">IRR </t>
  </si>
  <si>
    <t>BreakEven Sales</t>
  </si>
  <si>
    <t>Senstivity to Revenue</t>
  </si>
  <si>
    <t>Cash Flow Statement</t>
  </si>
  <si>
    <t>Profit and Loss Input</t>
  </si>
  <si>
    <t>Basic Information</t>
  </si>
  <si>
    <t>New line</t>
  </si>
  <si>
    <t>Spread Version</t>
  </si>
  <si>
    <t>CorporateSpread_2019_v1.0</t>
  </si>
  <si>
    <t>Balance Sheet (Liabilities) Input</t>
  </si>
  <si>
    <t>Balance Sheet (Assets) Input</t>
  </si>
  <si>
    <t>Contingent Liabilities Input</t>
  </si>
  <si>
    <t>Other Information Input</t>
  </si>
  <si>
    <t>Quantitative Information Input</t>
  </si>
  <si>
    <t>Change in Accounting Policy (Y/N/UA/NA)</t>
  </si>
  <si>
    <t>N</t>
  </si>
  <si>
    <t>EXCISE DUTY / GST</t>
  </si>
  <si>
    <t>Funds Flow Statement</t>
  </si>
  <si>
    <t>Profit &amp; Loss Statement</t>
  </si>
  <si>
    <t>Balance Sheet (Liabilities)</t>
  </si>
  <si>
    <t>Balance Sheet (Assets)</t>
  </si>
  <si>
    <t>Key Financials 1</t>
  </si>
  <si>
    <t>Key Financials 2</t>
  </si>
  <si>
    <t>Model Ratios</t>
  </si>
  <si>
    <t>Corporate Financial Template</t>
  </si>
  <si>
    <t>Type</t>
  </si>
  <si>
    <t>Annual</t>
  </si>
  <si>
    <t>H2</t>
  </si>
  <si>
    <t>H1</t>
  </si>
  <si>
    <t>9M</t>
  </si>
  <si>
    <t>Q1</t>
  </si>
  <si>
    <t>Q2</t>
  </si>
  <si>
    <t>Q3</t>
  </si>
  <si>
    <t>Q4</t>
  </si>
  <si>
    <t>March</t>
  </si>
  <si>
    <t>December</t>
  </si>
  <si>
    <t>September</t>
  </si>
  <si>
    <t>June</t>
  </si>
  <si>
    <t>Type of Financial</t>
  </si>
  <si>
    <t>Provisional</t>
  </si>
  <si>
    <t>Projected</t>
  </si>
  <si>
    <t>Financial Year End Quarter</t>
  </si>
  <si>
    <t>Currency List</t>
  </si>
  <si>
    <t>AED</t>
  </si>
  <si>
    <t>AUD</t>
  </si>
  <si>
    <t>BDT</t>
  </si>
  <si>
    <t>BHD</t>
  </si>
  <si>
    <t>CAD</t>
  </si>
  <si>
    <t>CHF</t>
  </si>
  <si>
    <t>CNY</t>
  </si>
  <si>
    <t>CNH</t>
  </si>
  <si>
    <t>DKK</t>
  </si>
  <si>
    <t>EGP</t>
  </si>
  <si>
    <t>EUR</t>
  </si>
  <si>
    <t>GBP</t>
  </si>
  <si>
    <t>HKD</t>
  </si>
  <si>
    <t>JPY</t>
  </si>
  <si>
    <t>KRW</t>
  </si>
  <si>
    <t>KWD</t>
  </si>
  <si>
    <t>LKR</t>
  </si>
  <si>
    <t>MUR</t>
  </si>
  <si>
    <t>MYR</t>
  </si>
  <si>
    <t>NOK</t>
  </si>
  <si>
    <t>NZD</t>
  </si>
  <si>
    <t>OMR</t>
  </si>
  <si>
    <t>QAR</t>
  </si>
  <si>
    <t>RUB</t>
  </si>
  <si>
    <t>SAR</t>
  </si>
  <si>
    <t>SEK</t>
  </si>
  <si>
    <t>SGD</t>
  </si>
  <si>
    <t>THB</t>
  </si>
  <si>
    <t>TRY</t>
  </si>
  <si>
    <t>TWD</t>
  </si>
  <si>
    <t>USD</t>
  </si>
  <si>
    <t>ZAR</t>
  </si>
  <si>
    <t>Latest Financial Year End Date</t>
  </si>
  <si>
    <t>Period ended (DD-Mon-YYYY)</t>
  </si>
  <si>
    <t>Financials to be Updated</t>
  </si>
  <si>
    <t>Y</t>
  </si>
  <si>
    <t>Financials to be updated</t>
  </si>
  <si>
    <t>Year</t>
  </si>
  <si>
    <t>&lt;- Should match with Borrower ID against which financials are being uploaded</t>
  </si>
  <si>
    <t>&lt;- Should match with Borrower Name against which financials are being uploaded</t>
  </si>
  <si>
    <t>&lt;- Latest Financial year</t>
  </si>
  <si>
    <t>&lt;- Quarter end of financial year closure</t>
  </si>
  <si>
    <t>Currency Year Lookup</t>
  </si>
  <si>
    <t>&lt;- Currency of financials</t>
  </si>
  <si>
    <t>&lt;- Select 'Y' to upload data for selected year in system</t>
  </si>
  <si>
    <t>&lt;- No of months for which financials are available for the year</t>
  </si>
  <si>
    <t>Ratios for Benchmarks</t>
  </si>
  <si>
    <t>Standalone Ratios</t>
  </si>
  <si>
    <t>DEM</t>
  </si>
  <si>
    <t>VND</t>
  </si>
  <si>
    <t>CZK</t>
  </si>
  <si>
    <t>MXN</t>
  </si>
  <si>
    <t>00332194</t>
  </si>
  <si>
    <t>00332195</t>
  </si>
  <si>
    <t>00332202</t>
  </si>
  <si>
    <t>00332203</t>
  </si>
  <si>
    <t>00332208</t>
  </si>
  <si>
    <t>00332210</t>
  </si>
  <si>
    <t>00332211</t>
  </si>
  <si>
    <t>00332232</t>
  </si>
  <si>
    <t>00332238</t>
  </si>
  <si>
    <t>00332239</t>
  </si>
  <si>
    <t>00332240</t>
  </si>
  <si>
    <t>00332242</t>
  </si>
  <si>
    <t>00332243</t>
  </si>
  <si>
    <t>00332244</t>
  </si>
  <si>
    <t>00332245</t>
  </si>
  <si>
    <t>00332247</t>
  </si>
  <si>
    <t>00332248</t>
  </si>
  <si>
    <t>00332250</t>
  </si>
  <si>
    <t>00332252</t>
  </si>
  <si>
    <t>00332253</t>
  </si>
  <si>
    <t>00332254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</si>
</sst>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#,##0.0"/>
    <numFmt numFmtId="167" formatCode="0.0000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4C8F"/>
      <name val="Calibri"/>
      <family val="2"/>
      <scheme val="minor"/>
    </font>
    <font>
      <b/>
      <sz val="10"/>
      <color rgb="FFED232A"/>
      <name val="Calibri"/>
      <family val="2"/>
      <scheme val="minor"/>
    </font>
    <font>
      <b/>
      <sz val="10"/>
      <color rgb="FF004C8F"/>
      <name val="Calibri"/>
      <family val="2"/>
      <scheme val="minor"/>
    </font>
    <font>
      <b/>
      <u val="singleAccounting"/>
      <sz val="10"/>
      <color rgb="FFED232A"/>
      <name val="Calibri"/>
      <family val="2"/>
      <scheme val="minor"/>
    </font>
    <font>
      <i/>
      <sz val="10"/>
      <color rgb="FF004C8F"/>
      <name val="Calibri"/>
      <family val="2"/>
      <scheme val="minor"/>
    </font>
    <font>
      <b/>
      <sz val="11"/>
      <color rgb="FFED232A"/>
      <name val="Calibri"/>
      <family val="2"/>
      <scheme val="minor"/>
    </font>
    <font>
      <b/>
      <u/>
      <sz val="10"/>
      <color rgb="FFED232A"/>
      <name val="Calibri"/>
      <family val="2"/>
      <scheme val="minor"/>
    </font>
    <font>
      <b/>
      <u/>
      <sz val="10"/>
      <color rgb="FF004C8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232A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C5D9F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D232A"/>
      </left>
      <right/>
      <top style="medium">
        <color rgb="FFED232A"/>
      </top>
      <bottom/>
      <diagonal/>
    </border>
    <border>
      <left/>
      <right/>
      <top style="medium">
        <color rgb="FFED232A"/>
      </top>
      <bottom/>
      <diagonal/>
    </border>
    <border>
      <left/>
      <right style="medium">
        <color rgb="FFED232A"/>
      </right>
      <top style="medium">
        <color rgb="FFED232A"/>
      </top>
      <bottom/>
      <diagonal/>
    </border>
    <border>
      <left style="medium">
        <color rgb="FFED232A"/>
      </left>
      <right/>
      <top/>
      <bottom/>
      <diagonal/>
    </border>
    <border>
      <left/>
      <right style="medium">
        <color rgb="FFED232A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/>
      <diagonal/>
    </border>
    <border>
      <left style="medium">
        <color rgb="FFED232A"/>
      </left>
      <right/>
      <top/>
      <bottom style="medium">
        <color rgb="FFED232A"/>
      </bottom>
      <diagonal/>
    </border>
    <border>
      <left/>
      <right/>
      <top/>
      <bottom style="medium">
        <color rgb="FFED232A"/>
      </bottom>
      <diagonal/>
    </border>
    <border>
      <left/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 style="medium">
        <color rgb="FFED232A"/>
      </right>
      <top/>
      <bottom/>
      <diagonal/>
    </border>
    <border>
      <left style="medium">
        <color indexed="64"/>
      </left>
      <right/>
      <top style="medium">
        <color rgb="FFED232A"/>
      </top>
      <bottom/>
      <diagonal/>
    </border>
    <border>
      <left/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ED232A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rgb="FFED232A"/>
      </left>
      <right/>
      <top style="medium">
        <color theme="0"/>
      </top>
      <bottom/>
      <diagonal/>
    </border>
    <border>
      <left style="medium">
        <color rgb="FFED232A"/>
      </left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/>
      <top/>
      <bottom style="double">
        <color rgb="FF004C8F"/>
      </bottom>
      <diagonal/>
    </border>
    <border>
      <left/>
      <right/>
      <top/>
      <bottom style="double">
        <color rgb="FF004C8F"/>
      </bottom>
      <diagonal/>
    </border>
    <border>
      <left/>
      <right style="medium">
        <color rgb="FFED232A"/>
      </right>
      <top/>
      <bottom style="double">
        <color rgb="FF004C8F"/>
      </bottom>
      <diagonal/>
    </border>
    <border>
      <left style="medium">
        <color rgb="FFED232A"/>
      </left>
      <right/>
      <top style="double">
        <color rgb="FF004C8F"/>
      </top>
      <bottom style="double">
        <color rgb="FF004C8F"/>
      </bottom>
      <diagonal/>
    </border>
    <border>
      <left/>
      <right/>
      <top style="double">
        <color rgb="FF004C8F"/>
      </top>
      <bottom style="double">
        <color rgb="FF004C8F"/>
      </bottom>
      <diagonal/>
    </border>
    <border>
      <left/>
      <right style="medium">
        <color rgb="FFED232A"/>
      </right>
      <top style="double">
        <color rgb="FF004C8F"/>
      </top>
      <bottom style="double">
        <color rgb="FF004C8F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/>
      <diagonal/>
    </border>
    <border>
      <left/>
      <right/>
      <top style="medium">
        <color rgb="FF004C8F"/>
      </top>
      <bottom/>
      <diagonal/>
    </border>
    <border>
      <left style="medium">
        <color rgb="FF004C8F"/>
      </left>
      <right/>
      <top/>
      <bottom/>
      <diagonal/>
    </border>
    <border>
      <left/>
      <right style="medium">
        <color rgb="FF004C8F"/>
      </right>
      <top/>
      <bottom/>
      <diagonal/>
    </border>
    <border>
      <left style="medium">
        <color rgb="FF004C8F"/>
      </left>
      <right/>
      <top/>
      <bottom style="medium">
        <color rgb="FF004C8F"/>
      </bottom>
      <diagonal/>
    </border>
    <border>
      <left/>
      <right style="medium">
        <color rgb="FF004C8F"/>
      </right>
      <top/>
      <bottom style="medium">
        <color rgb="FF004C8F"/>
      </bottom>
      <diagonal/>
    </border>
    <border>
      <left/>
      <right style="medium">
        <color rgb="FFED232A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rgb="FF004C8F"/>
      </top>
      <bottom/>
      <diagonal/>
    </border>
    <border>
      <left/>
      <right/>
      <top style="thin">
        <color indexed="64"/>
      </top>
      <bottom style="medium">
        <color rgb="FFED232A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21" applyNumberFormat="0" applyFill="0" applyAlignment="0" applyProtection="0"/>
    <xf numFmtId="0" fontId="3" fillId="0" borderId="0"/>
    <xf numFmtId="0" fontId="5" fillId="0" borderId="0"/>
    <xf numFmtId="0" fontId="1" fillId="0" borderId="0"/>
  </cellStyleXfs>
  <cellXfs count="353">
    <xf numFmtId="0" fontId="0" fillId="0" borderId="0" xfId="0"/>
    <xf numFmtId="165" fontId="8" fillId="0" borderId="0" xfId="0" applyNumberFormat="1" applyFont="1" applyAlignment="1" applyProtection="1">
      <alignment vertical="center" wrapText="1"/>
    </xf>
    <xf numFmtId="1" fontId="8" fillId="0" borderId="0" xfId="0" applyNumberFormat="1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1" fontId="8" fillId="0" borderId="0" xfId="0" applyNumberFormat="1" applyFont="1" applyBorder="1" applyAlignment="1" applyProtection="1">
      <alignment horizontal="center" vertical="center" wrapText="1"/>
    </xf>
    <xf numFmtId="1" fontId="9" fillId="6" borderId="0" xfId="0" applyNumberFormat="1" applyFont="1" applyFill="1" applyBorder="1" applyAlignment="1" applyProtection="1">
      <alignment vertical="center" wrapText="1"/>
    </xf>
    <xf numFmtId="1" fontId="9" fillId="6" borderId="0" xfId="0" applyNumberFormat="1" applyFont="1" applyFill="1" applyBorder="1" applyAlignment="1" applyProtection="1">
      <alignment horizontal="center" vertical="center" wrapText="1"/>
    </xf>
    <xf numFmtId="1" fontId="8" fillId="6" borderId="0" xfId="0" applyNumberFormat="1" applyFont="1" applyFill="1" applyBorder="1" applyAlignment="1" applyProtection="1">
      <alignment vertical="center" wrapText="1"/>
    </xf>
    <xf numFmtId="0" fontId="9" fillId="0" borderId="0" xfId="0" applyFont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left" vertical="center" wrapText="1"/>
    </xf>
    <xf numFmtId="165" fontId="10" fillId="0" borderId="0" xfId="0" applyNumberFormat="1" applyFont="1" applyAlignment="1" applyProtection="1">
      <alignment vertical="center" wrapText="1"/>
    </xf>
    <xf numFmtId="165" fontId="8" fillId="6" borderId="0" xfId="0" applyNumberFormat="1" applyFont="1" applyFill="1" applyBorder="1" applyAlignment="1" applyProtection="1">
      <alignment vertical="center" wrapText="1"/>
    </xf>
    <xf numFmtId="166" fontId="8" fillId="6" borderId="0" xfId="0" applyNumberFormat="1" applyFont="1" applyFill="1" applyBorder="1" applyAlignment="1" applyProtection="1">
      <alignment horizontal="center" vertical="center" wrapText="1"/>
    </xf>
    <xf numFmtId="166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Border="1" applyAlignment="1" applyProtection="1">
      <alignment vertical="center" wrapText="1"/>
    </xf>
    <xf numFmtId="166" fontId="23" fillId="7" borderId="2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6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7" xfId="0" applyNumberFormat="1" applyFont="1" applyFill="1" applyBorder="1" applyAlignment="1" applyProtection="1">
      <alignment horizontal="center" vertical="center" wrapText="1"/>
      <protection locked="0"/>
    </xf>
    <xf numFmtId="165" fontId="23" fillId="6" borderId="0" xfId="0" applyNumberFormat="1" applyFont="1" applyFill="1" applyBorder="1" applyAlignment="1" applyProtection="1">
      <alignment vertical="center" wrapText="1"/>
    </xf>
    <xf numFmtId="165" fontId="9" fillId="6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Alignment="1" applyProtection="1">
      <alignment vertical="center" wrapText="1"/>
    </xf>
    <xf numFmtId="165" fontId="8" fillId="0" borderId="0" xfId="0" applyNumberFormat="1" applyFont="1" applyBorder="1" applyAlignment="1" applyProtection="1">
      <alignment horizontal="center" vertical="center" wrapText="1"/>
    </xf>
    <xf numFmtId="165" fontId="9" fillId="0" borderId="0" xfId="0" applyNumberFormat="1" applyFont="1" applyBorder="1" applyAlignment="1" applyProtection="1">
      <alignment vertical="center" wrapText="1"/>
    </xf>
    <xf numFmtId="165" fontId="9" fillId="0" borderId="0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vertical="center" wrapText="1"/>
    </xf>
    <xf numFmtId="166" fontId="8" fillId="0" borderId="0" xfId="0" applyNumberFormat="1" applyFont="1" applyBorder="1" applyAlignment="1" applyProtection="1">
      <alignment horizontal="center" vertical="center" wrapText="1"/>
    </xf>
    <xf numFmtId="165" fontId="8" fillId="0" borderId="0" xfId="0" applyNumberFormat="1" applyFont="1" applyAlignment="1" applyProtection="1">
      <alignment horizontal="center" vertical="center" wrapText="1"/>
    </xf>
    <xf numFmtId="165" fontId="11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horizontal="left" vertical="center" wrapText="1"/>
    </xf>
    <xf numFmtId="166" fontId="8" fillId="0" borderId="1" xfId="0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Border="1" applyAlignment="1" applyProtection="1">
      <alignment vertical="center" wrapText="1"/>
    </xf>
    <xf numFmtId="166" fontId="9" fillId="0" borderId="16" xfId="0" applyNumberFormat="1" applyFont="1" applyFill="1" applyBorder="1" applyAlignment="1" applyProtection="1">
      <alignment vertical="center" wrapText="1"/>
    </xf>
    <xf numFmtId="166" fontId="9" fillId="0" borderId="17" xfId="0" applyNumberFormat="1" applyFont="1" applyFill="1" applyBorder="1" applyAlignment="1" applyProtection="1">
      <alignment vertical="center" wrapText="1"/>
    </xf>
    <xf numFmtId="166" fontId="9" fillId="0" borderId="20" xfId="0" applyNumberFormat="1" applyFont="1" applyBorder="1" applyAlignment="1" applyProtection="1">
      <alignment vertical="center" wrapText="1"/>
    </xf>
    <xf numFmtId="166" fontId="9" fillId="0" borderId="4" xfId="0" applyNumberFormat="1" applyFont="1" applyBorder="1" applyAlignment="1" applyProtection="1">
      <alignment horizontal="center" vertical="center" wrapText="1"/>
    </xf>
    <xf numFmtId="166" fontId="9" fillId="0" borderId="8" xfId="0" applyNumberFormat="1" applyFont="1" applyBorder="1" applyAlignment="1" applyProtection="1">
      <alignment horizontal="center" vertical="center" wrapText="1"/>
    </xf>
    <xf numFmtId="166" fontId="8" fillId="0" borderId="16" xfId="0" applyNumberFormat="1" applyFont="1" applyBorder="1" applyAlignment="1" applyProtection="1">
      <alignment vertical="center" wrapText="1"/>
    </xf>
    <xf numFmtId="166" fontId="8" fillId="0" borderId="1" xfId="0" applyNumberFormat="1" applyFont="1" applyBorder="1" applyAlignment="1" applyProtection="1">
      <alignment horizontal="center" vertical="center" wrapText="1"/>
    </xf>
    <xf numFmtId="166" fontId="8" fillId="0" borderId="5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 applyProtection="1">
      <alignment vertical="center" wrapText="1"/>
    </xf>
    <xf numFmtId="166" fontId="8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Fill="1" applyBorder="1" applyAlignment="1" applyProtection="1">
      <alignment horizontal="center" vertical="center" wrapText="1"/>
    </xf>
    <xf numFmtId="166" fontId="8" fillId="0" borderId="3" xfId="0" applyNumberFormat="1" applyFont="1" applyFill="1" applyBorder="1" applyAlignment="1" applyProtection="1">
      <alignment horizontal="center" vertical="center" wrapText="1"/>
    </xf>
    <xf numFmtId="166" fontId="9" fillId="0" borderId="16" xfId="0" applyNumberFormat="1" applyFont="1" applyBorder="1" applyAlignment="1" applyProtection="1">
      <alignment vertical="center" wrapText="1"/>
    </xf>
    <xf numFmtId="166" fontId="8" fillId="0" borderId="3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>
      <alignment vertical="center" wrapText="1"/>
    </xf>
    <xf numFmtId="1" fontId="8" fillId="0" borderId="0" xfId="0" applyNumberFormat="1" applyFont="1" applyFill="1" applyBorder="1" applyAlignment="1" applyProtection="1">
      <alignment vertical="center" wrapText="1"/>
    </xf>
    <xf numFmtId="166" fontId="8" fillId="0" borderId="4" xfId="0" applyNumberFormat="1" applyFont="1" applyBorder="1" applyAlignment="1" applyProtection="1">
      <alignment horizontal="center" vertical="center" wrapText="1"/>
    </xf>
    <xf numFmtId="166" fontId="9" fillId="0" borderId="1" xfId="0" applyNumberFormat="1" applyFont="1" applyBorder="1" applyAlignment="1" applyProtection="1">
      <alignment horizontal="center" vertical="center" wrapText="1"/>
    </xf>
    <xf numFmtId="166" fontId="9" fillId="0" borderId="5" xfId="0" applyNumberFormat="1" applyFont="1" applyBorder="1" applyAlignment="1" applyProtection="1">
      <alignment horizontal="center" vertical="center" wrapText="1"/>
    </xf>
    <xf numFmtId="166" fontId="9" fillId="0" borderId="17" xfId="0" applyNumberFormat="1" applyFont="1" applyBorder="1" applyAlignment="1" applyProtection="1">
      <alignment vertical="center" wrapText="1"/>
    </xf>
    <xf numFmtId="166" fontId="9" fillId="0" borderId="3" xfId="0" applyNumberFormat="1" applyFont="1" applyBorder="1" applyAlignment="1" applyProtection="1">
      <alignment horizontal="center" vertical="center" wrapText="1"/>
    </xf>
    <xf numFmtId="166" fontId="9" fillId="0" borderId="10" xfId="0" applyNumberFormat="1" applyFont="1" applyBorder="1" applyAlignment="1" applyProtection="1">
      <alignment horizontal="center" vertical="center" wrapText="1"/>
    </xf>
    <xf numFmtId="166" fontId="8" fillId="0" borderId="12" xfId="0" applyNumberFormat="1" applyFont="1" applyBorder="1" applyAlignment="1" applyProtection="1">
      <alignment horizontal="center" vertical="center" wrapText="1"/>
    </xf>
    <xf numFmtId="1" fontId="8" fillId="5" borderId="0" xfId="0" applyNumberFormat="1" applyFont="1" applyFill="1" applyBorder="1" applyAlignment="1" applyProtection="1">
      <alignment vertical="center" wrapText="1"/>
    </xf>
    <xf numFmtId="166" fontId="8" fillId="0" borderId="0" xfId="0" applyNumberFormat="1" applyFont="1" applyFill="1" applyBorder="1" applyAlignment="1" applyProtection="1">
      <alignment vertical="center" wrapText="1"/>
    </xf>
    <xf numFmtId="166" fontId="12" fillId="0" borderId="16" xfId="0" applyNumberFormat="1" applyFont="1" applyFill="1" applyBorder="1" applyAlignment="1" applyProtection="1">
      <alignment horizontal="left" vertical="center" wrapText="1"/>
    </xf>
    <xf numFmtId="166" fontId="13" fillId="0" borderId="0" xfId="0" applyNumberFormat="1" applyFont="1" applyFill="1" applyBorder="1" applyAlignment="1" applyProtection="1">
      <alignment vertical="center" wrapText="1"/>
    </xf>
    <xf numFmtId="166" fontId="13" fillId="0" borderId="16" xfId="0" applyNumberFormat="1" applyFont="1" applyFill="1" applyBorder="1" applyAlignment="1" applyProtection="1">
      <alignment vertical="center" wrapText="1"/>
    </xf>
    <xf numFmtId="166" fontId="8" fillId="0" borderId="11" xfId="0" applyNumberFormat="1" applyFont="1" applyFill="1" applyBorder="1" applyAlignment="1" applyProtection="1">
      <alignment horizontal="center" vertical="center" wrapText="1"/>
    </xf>
    <xf numFmtId="166" fontId="9" fillId="0" borderId="0" xfId="0" applyNumberFormat="1" applyFont="1" applyBorder="1" applyAlignment="1" applyProtection="1">
      <alignment vertical="center" wrapText="1"/>
    </xf>
    <xf numFmtId="166" fontId="9" fillId="0" borderId="0" xfId="0" applyNumberFormat="1" applyFont="1" applyBorder="1" applyAlignment="1" applyProtection="1">
      <alignment horizontal="center" vertical="center" wrapText="1"/>
    </xf>
    <xf numFmtId="166" fontId="12" fillId="0" borderId="20" xfId="0" applyNumberFormat="1" applyFont="1" applyFill="1" applyBorder="1" applyAlignment="1" applyProtection="1">
      <alignment horizontal="left" vertical="center" wrapText="1"/>
    </xf>
    <xf numFmtId="166" fontId="9" fillId="0" borderId="16" xfId="0" applyNumberFormat="1" applyFont="1" applyBorder="1" applyAlignment="1" applyProtection="1">
      <alignment horizontal="left" vertical="center" wrapText="1"/>
    </xf>
    <xf numFmtId="1" fontId="9" fillId="0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>
      <alignment vertical="center" wrapText="1"/>
    </xf>
    <xf numFmtId="166" fontId="9" fillId="0" borderId="19" xfId="0" applyNumberFormat="1" applyFont="1" applyBorder="1" applyAlignment="1" applyProtection="1">
      <alignment horizontal="left" vertical="center" wrapText="1"/>
    </xf>
    <xf numFmtId="165" fontId="8" fillId="0" borderId="0" xfId="0" applyNumberFormat="1" applyFont="1" applyFill="1" applyBorder="1" applyAlignment="1" applyProtection="1">
      <alignment vertical="center" wrapText="1"/>
    </xf>
    <xf numFmtId="166" fontId="9" fillId="0" borderId="18" xfId="0" applyNumberFormat="1" applyFont="1" applyBorder="1" applyAlignment="1" applyProtection="1">
      <alignment vertical="center" wrapText="1"/>
    </xf>
    <xf numFmtId="166" fontId="8" fillId="0" borderId="2" xfId="0" applyNumberFormat="1" applyFont="1" applyBorder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Alignment="1">
      <alignment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4" fillId="2" borderId="0" xfId="0" applyNumberFormat="1" applyFont="1" applyFill="1" applyAlignment="1">
      <alignment vertical="center" wrapText="1"/>
    </xf>
    <xf numFmtId="166" fontId="14" fillId="2" borderId="0" xfId="0" applyNumberFormat="1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6" fontId="8" fillId="3" borderId="6" xfId="1" applyNumberFormat="1" applyFont="1" applyFill="1" applyBorder="1" applyAlignment="1" applyProtection="1">
      <alignment horizontal="center" vertical="center" wrapText="1"/>
      <protection locked="0"/>
    </xf>
    <xf numFmtId="166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Fill="1" applyAlignment="1">
      <alignment vertical="center" wrapText="1"/>
    </xf>
    <xf numFmtId="166" fontId="9" fillId="0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Border="1" applyAlignment="1">
      <alignment vertical="center" wrapText="1"/>
    </xf>
    <xf numFmtId="165" fontId="8" fillId="0" borderId="1" xfId="0" applyNumberFormat="1" applyFont="1" applyFill="1" applyBorder="1" applyAlignment="1">
      <alignment vertical="center" wrapText="1"/>
    </xf>
    <xf numFmtId="165" fontId="8" fillId="0" borderId="7" xfId="0" applyNumberFormat="1" applyFont="1" applyFill="1" applyBorder="1" applyAlignment="1">
      <alignment vertical="center" wrapText="1"/>
    </xf>
    <xf numFmtId="165" fontId="8" fillId="0" borderId="0" xfId="0" applyNumberFormat="1" applyFont="1" applyFill="1" applyBorder="1" applyAlignment="1">
      <alignment vertical="center" wrapText="1"/>
    </xf>
    <xf numFmtId="165" fontId="9" fillId="0" borderId="0" xfId="0" applyNumberFormat="1" applyFont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8" fillId="0" borderId="0" xfId="0" applyNumberFormat="1" applyFont="1" applyFill="1" applyAlignment="1" applyProtection="1">
      <alignment vertical="center" wrapText="1"/>
    </xf>
    <xf numFmtId="166" fontId="8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vertical="center" wrapText="1"/>
    </xf>
    <xf numFmtId="166" fontId="8" fillId="0" borderId="0" xfId="0" applyNumberFormat="1" applyFont="1" applyFill="1" applyAlignment="1">
      <alignment vertical="center" wrapText="1"/>
    </xf>
    <xf numFmtId="165" fontId="9" fillId="0" borderId="0" xfId="0" applyNumberFormat="1" applyFont="1" applyFill="1" applyAlignment="1">
      <alignment vertical="center" wrapText="1"/>
    </xf>
    <xf numFmtId="166" fontId="16" fillId="4" borderId="16" xfId="0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vertical="center" wrapText="1"/>
    </xf>
    <xf numFmtId="166" fontId="9" fillId="0" borderId="20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center" vertical="center" wrapText="1"/>
    </xf>
    <xf numFmtId="166" fontId="9" fillId="0" borderId="16" xfId="0" applyNumberFormat="1" applyFont="1" applyBorder="1" applyAlignment="1">
      <alignment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12" fillId="0" borderId="0" xfId="0" applyNumberFormat="1" applyFont="1" applyFill="1" applyBorder="1" applyAlignment="1" applyProtection="1">
      <alignment horizontal="left" vertical="center" wrapText="1"/>
    </xf>
    <xf numFmtId="166" fontId="9" fillId="0" borderId="0" xfId="0" applyNumberFormat="1" applyFont="1" applyFill="1" applyBorder="1" applyAlignment="1" applyProtection="1">
      <alignment vertical="center" wrapText="1"/>
    </xf>
    <xf numFmtId="166" fontId="8" fillId="0" borderId="0" xfId="2" applyNumberFormat="1" applyFont="1" applyFill="1" applyBorder="1" applyAlignment="1" applyProtection="1">
      <alignment horizontal="center" vertical="center" wrapText="1"/>
    </xf>
    <xf numFmtId="166" fontId="8" fillId="0" borderId="0" xfId="2" applyNumberFormat="1" applyFont="1" applyBorder="1" applyAlignment="1" applyProtection="1">
      <alignment horizontal="center" vertical="center" wrapText="1"/>
    </xf>
    <xf numFmtId="166" fontId="8" fillId="0" borderId="0" xfId="2" applyNumberFormat="1" applyFont="1" applyAlignment="1" applyProtection="1">
      <alignment horizontal="center" vertical="center" wrapText="1"/>
    </xf>
    <xf numFmtId="166" fontId="17" fillId="0" borderId="0" xfId="0" applyNumberFormat="1" applyFont="1" applyBorder="1" applyAlignment="1" applyProtection="1">
      <alignment vertical="center" wrapText="1"/>
    </xf>
    <xf numFmtId="166" fontId="11" fillId="0" borderId="0" xfId="0" applyNumberFormat="1" applyFont="1" applyAlignment="1" applyProtection="1">
      <alignment horizontal="center" vertical="center" wrapText="1"/>
    </xf>
    <xf numFmtId="1" fontId="11" fillId="5" borderId="0" xfId="0" applyNumberFormat="1" applyFont="1" applyFill="1" applyBorder="1" applyAlignment="1" applyProtection="1">
      <alignment vertical="center" wrapText="1"/>
    </xf>
    <xf numFmtId="165" fontId="11" fillId="0" borderId="0" xfId="0" applyNumberFormat="1" applyFont="1" applyAlignment="1" applyProtection="1">
      <alignment vertical="center" wrapText="1"/>
    </xf>
    <xf numFmtId="166" fontId="11" fillId="0" borderId="0" xfId="0" applyNumberFormat="1" applyFont="1" applyAlignment="1" applyProtection="1">
      <alignment vertical="center" wrapText="1"/>
    </xf>
    <xf numFmtId="165" fontId="19" fillId="7" borderId="0" xfId="0" applyNumberFormat="1" applyFont="1" applyFill="1" applyBorder="1" applyAlignment="1" applyProtection="1">
      <alignment vertical="center" wrapText="1"/>
    </xf>
    <xf numFmtId="166" fontId="23" fillId="0" borderId="23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7" xfId="0" applyNumberFormat="1" applyFont="1" applyFill="1" applyBorder="1" applyAlignment="1" applyProtection="1">
      <alignment horizontal="center" vertical="center" wrapText="1"/>
      <protection locked="0"/>
    </xf>
    <xf numFmtId="165" fontId="26" fillId="6" borderId="0" xfId="0" applyNumberFormat="1" applyFont="1" applyFill="1" applyBorder="1" applyAlignment="1" applyProtection="1">
      <alignment vertical="center" wrapText="1"/>
    </xf>
    <xf numFmtId="1" fontId="8" fillId="10" borderId="29" xfId="0" applyNumberFormat="1" applyFont="1" applyFill="1" applyBorder="1" applyAlignment="1" applyProtection="1">
      <alignment horizontal="center" vertical="center" wrapText="1"/>
    </xf>
    <xf numFmtId="165" fontId="9" fillId="6" borderId="30" xfId="0" applyNumberFormat="1" applyFont="1" applyFill="1" applyBorder="1" applyAlignment="1" applyProtection="1">
      <alignment vertical="center" wrapText="1"/>
    </xf>
    <xf numFmtId="165" fontId="9" fillId="6" borderId="31" xfId="0" applyNumberFormat="1" applyFont="1" applyFill="1" applyBorder="1" applyAlignment="1" applyProtection="1">
      <alignment vertical="center" wrapText="1"/>
    </xf>
    <xf numFmtId="1" fontId="10" fillId="10" borderId="32" xfId="0" applyNumberFormat="1" applyFont="1" applyFill="1" applyBorder="1" applyAlignment="1" applyProtection="1">
      <alignment horizontal="center" vertical="center" wrapText="1"/>
    </xf>
    <xf numFmtId="1" fontId="8" fillId="10" borderId="32" xfId="0" applyNumberFormat="1" applyFont="1" applyFill="1" applyBorder="1" applyAlignment="1" applyProtection="1">
      <alignment horizontal="center" vertical="center" wrapText="1"/>
    </xf>
    <xf numFmtId="166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6" xfId="0" applyNumberFormat="1" applyFont="1" applyFill="1" applyBorder="1" applyAlignment="1" applyProtection="1">
      <alignment horizontal="center" vertical="center" wrapText="1"/>
      <protection locked="0"/>
    </xf>
    <xf numFmtId="166" fontId="8" fillId="6" borderId="33" xfId="0" applyNumberFormat="1" applyFont="1" applyFill="1" applyBorder="1" applyAlignment="1" applyProtection="1">
      <alignment horizontal="center" vertical="center" wrapText="1"/>
    </xf>
    <xf numFmtId="1" fontId="9" fillId="10" borderId="32" xfId="0" applyNumberFormat="1" applyFont="1" applyFill="1" applyBorder="1" applyAlignment="1" applyProtection="1">
      <alignment horizontal="center" vertical="center" wrapText="1"/>
    </xf>
    <xf numFmtId="1" fontId="8" fillId="10" borderId="37" xfId="0" applyNumberFormat="1" applyFont="1" applyFill="1" applyBorder="1" applyAlignment="1" applyProtection="1">
      <alignment horizontal="center" vertical="center" wrapText="1"/>
    </xf>
    <xf numFmtId="165" fontId="23" fillId="6" borderId="32" xfId="0" applyNumberFormat="1" applyFont="1" applyFill="1" applyBorder="1" applyAlignment="1" applyProtection="1">
      <alignment vertical="center" wrapText="1"/>
    </xf>
    <xf numFmtId="165" fontId="8" fillId="6" borderId="32" xfId="0" applyNumberFormat="1" applyFont="1" applyFill="1" applyBorder="1" applyAlignment="1" applyProtection="1">
      <alignment vertical="center" wrapText="1"/>
    </xf>
    <xf numFmtId="1" fontId="8" fillId="10" borderId="41" xfId="0" applyNumberFormat="1" applyFont="1" applyFill="1" applyBorder="1" applyAlignment="1" applyProtection="1">
      <alignment horizontal="center" vertical="center" wrapText="1"/>
    </xf>
    <xf numFmtId="1" fontId="8" fillId="10" borderId="40" xfId="0" applyNumberFormat="1" applyFont="1" applyFill="1" applyBorder="1" applyAlignment="1" applyProtection="1">
      <alignment horizontal="center" vertical="center" wrapText="1"/>
    </xf>
    <xf numFmtId="165" fontId="9" fillId="6" borderId="32" xfId="0" applyNumberFormat="1" applyFont="1" applyFill="1" applyBorder="1" applyAlignment="1" applyProtection="1">
      <alignment vertical="center" wrapText="1"/>
    </xf>
    <xf numFmtId="0" fontId="24" fillId="10" borderId="31" xfId="3" applyFont="1" applyFill="1" applyBorder="1" applyAlignment="1">
      <alignment vertical="center"/>
    </xf>
    <xf numFmtId="1" fontId="9" fillId="6" borderId="33" xfId="0" applyNumberFormat="1" applyFont="1" applyFill="1" applyBorder="1" applyAlignment="1" applyProtection="1">
      <alignment horizontal="center" vertical="center" wrapText="1"/>
    </xf>
    <xf numFmtId="1" fontId="25" fillId="9" borderId="45" xfId="0" applyNumberFormat="1" applyFont="1" applyFill="1" applyBorder="1" applyAlignment="1" applyProtection="1">
      <alignment horizontal="center" vertical="center" wrapText="1"/>
    </xf>
    <xf numFmtId="1" fontId="27" fillId="10" borderId="0" xfId="0" applyNumberFormat="1" applyFont="1" applyFill="1" applyBorder="1" applyAlignment="1" applyProtection="1">
      <alignment horizontal="center" vertical="center" wrapText="1"/>
    </xf>
    <xf numFmtId="1" fontId="27" fillId="10" borderId="33" xfId="0" applyNumberFormat="1" applyFont="1" applyFill="1" applyBorder="1" applyAlignment="1" applyProtection="1">
      <alignment horizontal="center" vertical="center" wrapText="1"/>
    </xf>
    <xf numFmtId="1" fontId="18" fillId="10" borderId="0" xfId="0" applyNumberFormat="1" applyFont="1" applyFill="1" applyBorder="1" applyAlignment="1" applyProtection="1">
      <alignment horizontal="left" vertical="center"/>
    </xf>
    <xf numFmtId="165" fontId="19" fillId="7" borderId="37" xfId="0" applyNumberFormat="1" applyFont="1" applyFill="1" applyBorder="1" applyAlignment="1" applyProtection="1">
      <alignment vertical="center" wrapText="1"/>
    </xf>
    <xf numFmtId="165" fontId="19" fillId="7" borderId="38" xfId="0" applyNumberFormat="1" applyFont="1" applyFill="1" applyBorder="1" applyAlignment="1" applyProtection="1">
      <alignment vertical="center" wrapText="1"/>
    </xf>
    <xf numFmtId="15" fontId="28" fillId="6" borderId="0" xfId="0" applyNumberFormat="1" applyFont="1" applyFill="1" applyBorder="1" applyAlignment="1" applyProtection="1">
      <alignment horizontal="center" vertical="center" wrapText="1"/>
    </xf>
    <xf numFmtId="1" fontId="28" fillId="6" borderId="0" xfId="0" applyNumberFormat="1" applyFont="1" applyFill="1" applyBorder="1" applyAlignment="1" applyProtection="1">
      <alignment horizontal="center" vertical="center" wrapText="1"/>
    </xf>
    <xf numFmtId="1" fontId="30" fillId="6" borderId="0" xfId="0" applyNumberFormat="1" applyFont="1" applyFill="1" applyBorder="1" applyAlignment="1" applyProtection="1">
      <alignment vertical="center" wrapText="1"/>
    </xf>
    <xf numFmtId="165" fontId="31" fillId="6" borderId="0" xfId="0" applyNumberFormat="1" applyFont="1" applyFill="1" applyBorder="1" applyAlignment="1" applyProtection="1">
      <alignment vertical="center" wrapText="1"/>
    </xf>
    <xf numFmtId="165" fontId="8" fillId="0" borderId="30" xfId="0" applyNumberFormat="1" applyFont="1" applyBorder="1" applyAlignment="1" applyProtection="1">
      <alignment vertical="center" wrapText="1"/>
    </xf>
    <xf numFmtId="1" fontId="10" fillId="10" borderId="40" xfId="0" applyNumberFormat="1" applyFont="1" applyFill="1" applyBorder="1" applyAlignment="1" applyProtection="1">
      <alignment horizontal="center" vertical="center" wrapText="1"/>
    </xf>
    <xf numFmtId="1" fontId="9" fillId="10" borderId="40" xfId="0" applyNumberFormat="1" applyFont="1" applyFill="1" applyBorder="1" applyAlignment="1" applyProtection="1">
      <alignment horizontal="center" vertical="center" wrapText="1"/>
    </xf>
    <xf numFmtId="1" fontId="8" fillId="10" borderId="46" xfId="0" applyNumberFormat="1" applyFont="1" applyFill="1" applyBorder="1" applyAlignment="1" applyProtection="1">
      <alignment horizontal="center" vertical="center" wrapText="1"/>
    </xf>
    <xf numFmtId="166" fontId="9" fillId="6" borderId="38" xfId="0" applyNumberFormat="1" applyFont="1" applyFill="1" applyBorder="1" applyAlignment="1" applyProtection="1">
      <alignment horizontal="center" vertical="center" wrapText="1"/>
    </xf>
    <xf numFmtId="166" fontId="30" fillId="6" borderId="38" xfId="0" applyNumberFormat="1" applyFont="1" applyFill="1" applyBorder="1" applyAlignment="1" applyProtection="1">
      <alignment horizontal="center" vertical="center" wrapText="1"/>
    </xf>
    <xf numFmtId="166" fontId="30" fillId="6" borderId="0" xfId="0" applyNumberFormat="1" applyFont="1" applyFill="1" applyBorder="1" applyAlignment="1" applyProtection="1">
      <alignment horizontal="center" vertical="center" wrapText="1"/>
    </xf>
    <xf numFmtId="166" fontId="30" fillId="6" borderId="33" xfId="0" applyNumberFormat="1" applyFont="1" applyFill="1" applyBorder="1" applyAlignment="1" applyProtection="1">
      <alignment horizontal="center" vertical="center" wrapText="1"/>
    </xf>
    <xf numFmtId="165" fontId="29" fillId="6" borderId="38" xfId="0" applyNumberFormat="1" applyFont="1" applyFill="1" applyBorder="1" applyAlignment="1" applyProtection="1">
      <alignment vertical="center" wrapText="1"/>
    </xf>
    <xf numFmtId="166" fontId="32" fillId="6" borderId="0" xfId="0" applyNumberFormat="1" applyFont="1" applyFill="1" applyBorder="1" applyAlignment="1" applyProtection="1">
      <alignment horizontal="center" vertical="center" wrapText="1"/>
    </xf>
    <xf numFmtId="166" fontId="32" fillId="6" borderId="33" xfId="0" applyNumberFormat="1" applyFont="1" applyFill="1" applyBorder="1" applyAlignment="1" applyProtection="1">
      <alignment horizontal="center" vertical="center" wrapText="1"/>
    </xf>
    <xf numFmtId="1" fontId="9" fillId="10" borderId="37" xfId="0" applyNumberFormat="1" applyFont="1" applyFill="1" applyBorder="1" applyAlignment="1" applyProtection="1">
      <alignment horizontal="center" vertical="center" wrapText="1"/>
    </xf>
    <xf numFmtId="166" fontId="9" fillId="6" borderId="39" xfId="0" applyNumberFormat="1" applyFont="1" applyFill="1" applyBorder="1" applyAlignment="1" applyProtection="1">
      <alignment horizontal="center" vertical="center" wrapText="1"/>
    </xf>
    <xf numFmtId="165" fontId="31" fillId="6" borderId="32" xfId="0" applyNumberFormat="1" applyFont="1" applyFill="1" applyBorder="1" applyAlignment="1" applyProtection="1">
      <alignment vertical="center" wrapText="1"/>
    </xf>
    <xf numFmtId="165" fontId="21" fillId="6" borderId="37" xfId="0" applyNumberFormat="1" applyFont="1" applyFill="1" applyBorder="1" applyAlignment="1" applyProtection="1">
      <alignment vertical="center" wrapText="1"/>
    </xf>
    <xf numFmtId="165" fontId="8" fillId="6" borderId="47" xfId="0" applyNumberFormat="1" applyFont="1" applyFill="1" applyBorder="1" applyAlignment="1" applyProtection="1">
      <alignment vertical="center" wrapText="1"/>
    </xf>
    <xf numFmtId="166" fontId="8" fillId="6" borderId="48" xfId="0" applyNumberFormat="1" applyFont="1" applyFill="1" applyBorder="1" applyAlignment="1" applyProtection="1">
      <alignment horizontal="center" vertical="center" wrapText="1"/>
    </xf>
    <xf numFmtId="166" fontId="8" fillId="6" borderId="49" xfId="0" applyNumberFormat="1" applyFont="1" applyFill="1" applyBorder="1" applyAlignment="1" applyProtection="1">
      <alignment horizontal="center" vertical="center" wrapText="1"/>
    </xf>
    <xf numFmtId="166" fontId="30" fillId="6" borderId="51" xfId="0" applyNumberFormat="1" applyFont="1" applyFill="1" applyBorder="1" applyAlignment="1" applyProtection="1">
      <alignment horizontal="center" vertical="center" wrapText="1"/>
    </xf>
    <xf numFmtId="166" fontId="30" fillId="6" borderId="52" xfId="0" applyNumberFormat="1" applyFont="1" applyFill="1" applyBorder="1" applyAlignment="1" applyProtection="1">
      <alignment horizontal="center" vertical="center" wrapText="1"/>
    </xf>
    <xf numFmtId="165" fontId="33" fillId="6" borderId="50" xfId="0" applyNumberFormat="1" applyFont="1" applyFill="1" applyBorder="1" applyAlignment="1" applyProtection="1">
      <alignment vertical="center" wrapText="1"/>
    </xf>
    <xf numFmtId="165" fontId="33" fillId="6" borderId="37" xfId="0" applyNumberFormat="1" applyFont="1" applyFill="1" applyBorder="1" applyAlignment="1" applyProtection="1">
      <alignment vertical="center" wrapText="1"/>
    </xf>
    <xf numFmtId="166" fontId="30" fillId="6" borderId="39" xfId="0" applyNumberFormat="1" applyFont="1" applyFill="1" applyBorder="1" applyAlignment="1" applyProtection="1">
      <alignment horizontal="center" vertical="center" wrapText="1"/>
    </xf>
    <xf numFmtId="165" fontId="19" fillId="7" borderId="32" xfId="0" applyNumberFormat="1" applyFont="1" applyFill="1" applyBorder="1" applyAlignment="1" applyProtection="1">
      <alignment vertical="center" wrapText="1"/>
    </xf>
    <xf numFmtId="165" fontId="34" fillId="6" borderId="32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horizontal="center" vertical="center" wrapText="1"/>
    </xf>
    <xf numFmtId="166" fontId="9" fillId="6" borderId="31" xfId="0" applyNumberFormat="1" applyFont="1" applyFill="1" applyBorder="1" applyAlignment="1" applyProtection="1">
      <alignment horizontal="center" vertical="center" wrapText="1"/>
    </xf>
    <xf numFmtId="166" fontId="8" fillId="6" borderId="32" xfId="0" applyNumberFormat="1" applyFont="1" applyFill="1" applyBorder="1" applyAlignment="1" applyProtection="1">
      <alignment vertical="center" wrapText="1"/>
    </xf>
    <xf numFmtId="166" fontId="8" fillId="6" borderId="37" xfId="0" applyNumberFormat="1" applyFont="1" applyFill="1" applyBorder="1" applyAlignment="1" applyProtection="1">
      <alignment vertical="center" wrapText="1"/>
    </xf>
    <xf numFmtId="166" fontId="8" fillId="6" borderId="38" xfId="0" applyNumberFormat="1" applyFont="1" applyFill="1" applyBorder="1" applyAlignment="1" applyProtection="1">
      <alignment horizontal="center" vertical="center" wrapText="1"/>
    </xf>
    <xf numFmtId="166" fontId="8" fillId="6" borderId="39" xfId="0" applyNumberFormat="1" applyFont="1" applyFill="1" applyBorder="1" applyAlignment="1" applyProtection="1">
      <alignment horizontal="center" vertical="center" wrapText="1"/>
    </xf>
    <xf numFmtId="166" fontId="23" fillId="7" borderId="53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5" xfId="0" applyNumberFormat="1" applyFont="1" applyFill="1" applyBorder="1" applyAlignment="1" applyProtection="1">
      <alignment horizontal="center" vertical="center" wrapText="1"/>
      <protection locked="0"/>
    </xf>
    <xf numFmtId="166" fontId="9" fillId="6" borderId="32" xfId="0" applyNumberFormat="1" applyFont="1" applyFill="1" applyBorder="1" applyAlignment="1" applyProtection="1">
      <alignment horizontal="left" vertical="center" wrapText="1"/>
    </xf>
    <xf numFmtId="1" fontId="11" fillId="10" borderId="37" xfId="0" applyNumberFormat="1" applyFont="1" applyFill="1" applyBorder="1" applyAlignment="1" applyProtection="1">
      <alignment horizontal="center" vertical="center" wrapText="1"/>
    </xf>
    <xf numFmtId="166" fontId="20" fillId="6" borderId="38" xfId="0" applyNumberFormat="1" applyFont="1" applyFill="1" applyBorder="1" applyAlignment="1" applyProtection="1">
      <alignment horizontal="center" vertical="center" wrapText="1"/>
    </xf>
    <xf numFmtId="166" fontId="20" fillId="6" borderId="39" xfId="0" applyNumberFormat="1" applyFont="1" applyFill="1" applyBorder="1" applyAlignment="1" applyProtection="1">
      <alignment horizontal="center" vertical="center" wrapText="1"/>
    </xf>
    <xf numFmtId="166" fontId="11" fillId="6" borderId="37" xfId="0" applyNumberFormat="1" applyFont="1" applyFill="1" applyBorder="1" applyAlignment="1" applyProtection="1">
      <alignment horizontal="left" vertical="center" wrapText="1"/>
    </xf>
    <xf numFmtId="166" fontId="9" fillId="6" borderId="32" xfId="0" applyNumberFormat="1" applyFont="1" applyFill="1" applyBorder="1" applyAlignment="1" applyProtection="1">
      <alignment vertical="center" wrapText="1"/>
    </xf>
    <xf numFmtId="165" fontId="8" fillId="6" borderId="33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vertical="center" wrapText="1"/>
    </xf>
    <xf numFmtId="166" fontId="9" fillId="6" borderId="31" xfId="0" applyNumberFormat="1" applyFont="1" applyFill="1" applyBorder="1" applyAlignment="1" applyProtection="1">
      <alignment vertical="center" wrapText="1"/>
    </xf>
    <xf numFmtId="1" fontId="4" fillId="9" borderId="44" xfId="0" applyNumberFormat="1" applyFont="1" applyFill="1" applyBorder="1" applyAlignment="1" applyProtection="1">
      <alignment vertical="center" wrapText="1"/>
    </xf>
    <xf numFmtId="165" fontId="8" fillId="6" borderId="29" xfId="0" applyNumberFormat="1" applyFont="1" applyFill="1" applyBorder="1" applyAlignment="1" applyProtection="1">
      <alignment vertical="center" wrapText="1"/>
    </xf>
    <xf numFmtId="165" fontId="8" fillId="6" borderId="30" xfId="0" applyNumberFormat="1" applyFont="1" applyFill="1" applyBorder="1" applyAlignment="1" applyProtection="1">
      <alignment vertical="center" wrapText="1"/>
    </xf>
    <xf numFmtId="165" fontId="8" fillId="6" borderId="31" xfId="0" applyNumberFormat="1" applyFont="1" applyFill="1" applyBorder="1" applyAlignment="1" applyProtection="1">
      <alignment vertical="center" wrapText="1"/>
    </xf>
    <xf numFmtId="166" fontId="9" fillId="4" borderId="14" xfId="1" applyNumberFormat="1" applyFont="1" applyFill="1" applyBorder="1" applyAlignment="1" applyProtection="1">
      <alignment vertical="center" wrapText="1"/>
    </xf>
    <xf numFmtId="166" fontId="8" fillId="4" borderId="14" xfId="0" applyNumberFormat="1" applyFont="1" applyFill="1" applyBorder="1" applyAlignment="1" applyProtection="1">
      <alignment vertical="center" wrapText="1"/>
    </xf>
    <xf numFmtId="166" fontId="8" fillId="4" borderId="15" xfId="0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>
      <alignment vertical="center" wrapText="1"/>
    </xf>
    <xf numFmtId="166" fontId="9" fillId="4" borderId="14" xfId="1" applyNumberFormat="1" applyFont="1" applyFill="1" applyBorder="1" applyAlignment="1">
      <alignment vertical="center" wrapText="1"/>
    </xf>
    <xf numFmtId="3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3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0" xfId="0" applyNumberFormat="1" applyFont="1" applyFill="1" applyBorder="1" applyAlignment="1" applyProtection="1">
      <alignment horizontal="left" vertical="center" wrapText="1"/>
    </xf>
    <xf numFmtId="1" fontId="36" fillId="9" borderId="44" xfId="0" applyNumberFormat="1" applyFont="1" applyFill="1" applyBorder="1" applyAlignment="1" applyProtection="1">
      <alignment horizontal="right" vertical="center"/>
    </xf>
    <xf numFmtId="1" fontId="8" fillId="10" borderId="41" xfId="0" applyNumberFormat="1" applyFont="1" applyFill="1" applyBorder="1" applyAlignment="1" applyProtection="1">
      <alignment horizontal="center" vertical="center"/>
    </xf>
    <xf numFmtId="165" fontId="19" fillId="7" borderId="0" xfId="0" applyNumberFormat="1" applyFont="1" applyFill="1" applyBorder="1" applyAlignment="1" applyProtection="1">
      <alignment vertical="center"/>
    </xf>
    <xf numFmtId="1" fontId="8" fillId="10" borderId="40" xfId="0" applyNumberFormat="1" applyFont="1" applyFill="1" applyBorder="1" applyAlignment="1" applyProtection="1">
      <alignment horizontal="center" vertical="center"/>
    </xf>
    <xf numFmtId="165" fontId="9" fillId="8" borderId="32" xfId="0" applyNumberFormat="1" applyFont="1" applyFill="1" applyBorder="1" applyAlignment="1" applyProtection="1">
      <alignment vertical="center"/>
    </xf>
    <xf numFmtId="165" fontId="9" fillId="8" borderId="30" xfId="0" applyNumberFormat="1" applyFont="1" applyFill="1" applyBorder="1" applyAlignment="1" applyProtection="1">
      <alignment vertical="center"/>
    </xf>
    <xf numFmtId="165" fontId="9" fillId="8" borderId="31" xfId="0" applyNumberFormat="1" applyFont="1" applyFill="1" applyBorder="1" applyAlignment="1" applyProtection="1">
      <alignment vertical="center"/>
    </xf>
    <xf numFmtId="1" fontId="10" fillId="10" borderId="32" xfId="0" applyNumberFormat="1" applyFont="1" applyFill="1" applyBorder="1" applyAlignment="1" applyProtection="1">
      <alignment horizontal="center" vertical="center"/>
    </xf>
    <xf numFmtId="165" fontId="23" fillId="8" borderId="32" xfId="0" applyNumberFormat="1" applyFont="1" applyFill="1" applyBorder="1" applyAlignment="1" applyProtection="1">
      <alignment vertical="center"/>
    </xf>
    <xf numFmtId="1" fontId="8" fillId="10" borderId="32" xfId="0" applyNumberFormat="1" applyFont="1" applyFill="1" applyBorder="1" applyAlignment="1" applyProtection="1">
      <alignment horizontal="center" vertical="center"/>
    </xf>
    <xf numFmtId="165" fontId="26" fillId="8" borderId="32" xfId="0" applyNumberFormat="1" applyFont="1" applyFill="1" applyBorder="1" applyAlignment="1" applyProtection="1">
      <alignment vertical="center"/>
    </xf>
    <xf numFmtId="166" fontId="23" fillId="8" borderId="0" xfId="0" applyNumberFormat="1" applyFont="1" applyFill="1" applyBorder="1" applyAlignment="1" applyProtection="1">
      <alignment horizontal="center" vertical="center"/>
    </xf>
    <xf numFmtId="166" fontId="23" fillId="8" borderId="33" xfId="0" applyNumberFormat="1" applyFont="1" applyFill="1" applyBorder="1" applyAlignment="1" applyProtection="1">
      <alignment horizontal="center" vertical="center"/>
    </xf>
    <xf numFmtId="165" fontId="29" fillId="6" borderId="32" xfId="0" applyNumberFormat="1" applyFont="1" applyFill="1" applyBorder="1" applyAlignment="1" applyProtection="1">
      <alignment vertical="center"/>
    </xf>
    <xf numFmtId="166" fontId="30" fillId="6" borderId="0" xfId="0" applyNumberFormat="1" applyFont="1" applyFill="1" applyBorder="1" applyAlignment="1" applyProtection="1">
      <alignment horizontal="center" vertical="center"/>
    </xf>
    <xf numFmtId="166" fontId="30" fillId="6" borderId="33" xfId="0" applyNumberFormat="1" applyFont="1" applyFill="1" applyBorder="1" applyAlignment="1" applyProtection="1">
      <alignment horizontal="center" vertical="center"/>
    </xf>
    <xf numFmtId="165" fontId="8" fillId="8" borderId="32" xfId="0" applyNumberFormat="1" applyFont="1" applyFill="1" applyBorder="1" applyAlignment="1" applyProtection="1">
      <alignment vertical="center"/>
    </xf>
    <xf numFmtId="166" fontId="8" fillId="8" borderId="0" xfId="0" applyNumberFormat="1" applyFont="1" applyFill="1" applyBorder="1" applyAlignment="1" applyProtection="1">
      <alignment horizontal="center" vertical="center"/>
    </xf>
    <xf numFmtId="166" fontId="8" fillId="8" borderId="33" xfId="0" applyNumberFormat="1" applyFont="1" applyFill="1" applyBorder="1" applyAlignment="1" applyProtection="1">
      <alignment horizontal="center" vertical="center"/>
    </xf>
    <xf numFmtId="166" fontId="26" fillId="8" borderId="0" xfId="0" applyNumberFormat="1" applyFont="1" applyFill="1" applyBorder="1" applyAlignment="1" applyProtection="1">
      <alignment horizontal="center" vertical="center"/>
    </xf>
    <xf numFmtId="166" fontId="26" fillId="8" borderId="33" xfId="0" applyNumberFormat="1" applyFont="1" applyFill="1" applyBorder="1" applyAlignment="1" applyProtection="1">
      <alignment horizontal="center" vertical="center"/>
    </xf>
    <xf numFmtId="1" fontId="9" fillId="10" borderId="32" xfId="0" applyNumberFormat="1" applyFont="1" applyFill="1" applyBorder="1" applyAlignment="1" applyProtection="1">
      <alignment horizontal="center" vertical="center"/>
    </xf>
    <xf numFmtId="1" fontId="8" fillId="10" borderId="32" xfId="0" applyNumberFormat="1" applyFont="1" applyFill="1" applyBorder="1" applyAlignment="1" applyProtection="1">
      <alignment vertical="center"/>
    </xf>
    <xf numFmtId="1" fontId="9" fillId="10" borderId="32" xfId="0" applyNumberFormat="1" applyFont="1" applyFill="1" applyBorder="1" applyAlignment="1" applyProtection="1">
      <alignment vertical="center"/>
    </xf>
    <xf numFmtId="1" fontId="9" fillId="10" borderId="37" xfId="0" applyNumberFormat="1" applyFont="1" applyFill="1" applyBorder="1" applyAlignment="1" applyProtection="1">
      <alignment vertical="center"/>
    </xf>
    <xf numFmtId="165" fontId="29" fillId="6" borderId="37" xfId="0" applyNumberFormat="1" applyFont="1" applyFill="1" applyBorder="1" applyAlignment="1" applyProtection="1">
      <alignment vertical="center"/>
    </xf>
    <xf numFmtId="166" fontId="30" fillId="6" borderId="38" xfId="0" applyNumberFormat="1" applyFont="1" applyFill="1" applyBorder="1" applyAlignment="1" applyProtection="1">
      <alignment horizontal="center" vertical="center"/>
    </xf>
    <xf numFmtId="166" fontId="30" fillId="6" borderId="39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horizontal="center" vertical="center"/>
    </xf>
    <xf numFmtId="165" fontId="34" fillId="8" borderId="32" xfId="0" applyNumberFormat="1" applyFont="1" applyFill="1" applyBorder="1" applyAlignment="1" applyProtection="1">
      <alignment vertical="center"/>
    </xf>
    <xf numFmtId="166" fontId="8" fillId="0" borderId="0" xfId="0" applyNumberFormat="1" applyFont="1" applyAlignment="1" applyProtection="1">
      <alignment vertical="center"/>
    </xf>
    <xf numFmtId="166" fontId="8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vertical="center"/>
    </xf>
    <xf numFmtId="165" fontId="9" fillId="7" borderId="32" xfId="0" applyNumberFormat="1" applyFont="1" applyFill="1" applyBorder="1" applyAlignment="1" applyProtection="1">
      <alignment vertical="center"/>
    </xf>
    <xf numFmtId="165" fontId="9" fillId="7" borderId="30" xfId="0" applyNumberFormat="1" applyFont="1" applyFill="1" applyBorder="1" applyAlignment="1" applyProtection="1">
      <alignment vertical="center"/>
    </xf>
    <xf numFmtId="165" fontId="9" fillId="7" borderId="31" xfId="0" applyNumberFormat="1" applyFont="1" applyFill="1" applyBorder="1" applyAlignment="1" applyProtection="1">
      <alignment vertical="center"/>
    </xf>
    <xf numFmtId="165" fontId="34" fillId="6" borderId="32" xfId="0" applyNumberFormat="1" applyFont="1" applyFill="1" applyBorder="1" applyAlignment="1" applyProtection="1">
      <alignment vertical="center"/>
    </xf>
    <xf numFmtId="165" fontId="23" fillId="7" borderId="32" xfId="0" applyNumberFormat="1" applyFont="1" applyFill="1" applyBorder="1" applyAlignment="1" applyProtection="1">
      <alignment vertical="center"/>
    </xf>
    <xf numFmtId="166" fontId="23" fillId="7" borderId="0" xfId="0" applyNumberFormat="1" applyFont="1" applyFill="1" applyBorder="1" applyAlignment="1" applyProtection="1">
      <alignment horizontal="center" vertical="center"/>
    </xf>
    <xf numFmtId="166" fontId="23" fillId="7" borderId="33" xfId="0" applyNumberFormat="1" applyFont="1" applyFill="1" applyBorder="1" applyAlignment="1" applyProtection="1">
      <alignment horizontal="center" vertical="center"/>
    </xf>
    <xf numFmtId="1" fontId="8" fillId="10" borderId="37" xfId="0" applyNumberFormat="1" applyFont="1" applyFill="1" applyBorder="1" applyAlignment="1" applyProtection="1">
      <alignment horizontal="center" vertical="center"/>
    </xf>
    <xf numFmtId="165" fontId="23" fillId="7" borderId="37" xfId="0" applyNumberFormat="1" applyFont="1" applyFill="1" applyBorder="1" applyAlignment="1" applyProtection="1">
      <alignment vertical="center"/>
    </xf>
    <xf numFmtId="165" fontId="9" fillId="6" borderId="30" xfId="0" applyNumberFormat="1" applyFont="1" applyFill="1" applyBorder="1" applyAlignment="1" applyProtection="1">
      <alignment vertical="center"/>
    </xf>
    <xf numFmtId="165" fontId="9" fillId="6" borderId="31" xfId="0" applyNumberFormat="1" applyFont="1" applyFill="1" applyBorder="1" applyAlignment="1" applyProtection="1">
      <alignment vertical="center"/>
    </xf>
    <xf numFmtId="165" fontId="34" fillId="6" borderId="37" xfId="0" applyNumberFormat="1" applyFont="1" applyFill="1" applyBorder="1" applyAlignment="1" applyProtection="1">
      <alignment vertical="center"/>
    </xf>
    <xf numFmtId="165" fontId="34" fillId="7" borderId="32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8" fillId="0" borderId="0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Border="1" applyAlignment="1" applyProtection="1">
      <alignment vertical="center"/>
    </xf>
    <xf numFmtId="1" fontId="8" fillId="10" borderId="29" xfId="0" applyNumberFormat="1" applyFont="1" applyFill="1" applyBorder="1" applyAlignment="1" applyProtection="1">
      <alignment horizontal="center" vertical="center"/>
    </xf>
    <xf numFmtId="165" fontId="23" fillId="7" borderId="29" xfId="0" applyNumberFormat="1" applyFont="1" applyFill="1" applyBorder="1" applyAlignment="1" applyProtection="1">
      <alignment vertical="center"/>
    </xf>
    <xf numFmtId="1" fontId="8" fillId="9" borderId="57" xfId="0" applyNumberFormat="1" applyFont="1" applyFill="1" applyBorder="1" applyAlignment="1" applyProtection="1">
      <alignment horizontal="center" vertical="center"/>
    </xf>
    <xf numFmtId="165" fontId="23" fillId="7" borderId="57" xfId="0" applyNumberFormat="1" applyFont="1" applyFill="1" applyBorder="1" applyAlignment="1" applyProtection="1">
      <alignment vertical="center"/>
    </xf>
    <xf numFmtId="1" fontId="8" fillId="9" borderId="59" xfId="0" applyNumberFormat="1" applyFont="1" applyFill="1" applyBorder="1" applyAlignment="1" applyProtection="1">
      <alignment horizontal="center" vertical="center"/>
    </xf>
    <xf numFmtId="165" fontId="23" fillId="7" borderId="59" xfId="0" applyNumberFormat="1" applyFont="1" applyFill="1" applyBorder="1" applyAlignment="1" applyProtection="1">
      <alignment vertical="center"/>
    </xf>
    <xf numFmtId="165" fontId="26" fillId="7" borderId="32" xfId="0" applyNumberFormat="1" applyFont="1" applyFill="1" applyBorder="1" applyAlignment="1" applyProtection="1">
      <alignment vertical="center"/>
    </xf>
    <xf numFmtId="165" fontId="38" fillId="10" borderId="32" xfId="0" applyNumberFormat="1" applyFont="1" applyFill="1" applyBorder="1" applyAlignment="1" applyProtection="1">
      <alignment vertical="center"/>
    </xf>
    <xf numFmtId="1" fontId="8" fillId="10" borderId="0" xfId="0" applyNumberFormat="1" applyFont="1" applyFill="1" applyBorder="1" applyAlignment="1" applyProtection="1">
      <alignment vertical="center"/>
    </xf>
    <xf numFmtId="1" fontId="8" fillId="10" borderId="38" xfId="0" applyNumberFormat="1" applyFont="1" applyFill="1" applyBorder="1" applyAlignment="1" applyProtection="1">
      <alignment vertical="center"/>
    </xf>
    <xf numFmtId="166" fontId="8" fillId="0" borderId="30" xfId="0" applyNumberFormat="1" applyFont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vertical="center"/>
    </xf>
    <xf numFmtId="1" fontId="23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23" fillId="7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4"/>
    <xf numFmtId="165" fontId="31" fillId="11" borderId="0" xfId="0" applyNumberFormat="1" applyFont="1" applyFill="1" applyBorder="1" applyAlignment="1" applyProtection="1">
      <alignment vertical="center" wrapText="1"/>
    </xf>
    <xf numFmtId="1" fontId="35" fillId="6" borderId="63" xfId="0" applyNumberFormat="1" applyFont="1" applyFill="1" applyBorder="1" applyAlignment="1" applyProtection="1">
      <alignment horizontal="center" vertical="center" wrapText="1"/>
    </xf>
    <xf numFmtId="1" fontId="35" fillId="6" borderId="61" xfId="0" applyNumberFormat="1" applyFont="1" applyFill="1" applyBorder="1" applyAlignment="1" applyProtection="1">
      <alignment horizontal="center" vertical="center" wrapText="1"/>
    </xf>
    <xf numFmtId="0" fontId="3" fillId="0" borderId="64" xfId="4" applyBorder="1"/>
    <xf numFmtId="1" fontId="8" fillId="9" borderId="65" xfId="0" applyNumberFormat="1" applyFont="1" applyFill="1" applyBorder="1" applyAlignment="1" applyProtection="1">
      <alignment horizontal="center" vertical="center"/>
    </xf>
    <xf numFmtId="0" fontId="36" fillId="10" borderId="64" xfId="4" applyFont="1" applyFill="1" applyBorder="1"/>
    <xf numFmtId="0" fontId="3" fillId="0" borderId="64" xfId="4" applyBorder="1" applyAlignment="1">
      <alignment horizontal="center"/>
    </xf>
    <xf numFmtId="0" fontId="36" fillId="10" borderId="64" xfId="4" applyFont="1" applyFill="1" applyBorder="1" applyAlignment="1">
      <alignment horizontal="center"/>
    </xf>
    <xf numFmtId="0" fontId="2" fillId="0" borderId="64" xfId="4" applyFont="1" applyBorder="1" applyAlignment="1">
      <alignment horizontal="center"/>
    </xf>
    <xf numFmtId="0" fontId="3" fillId="0" borderId="0" xfId="4" applyAlignment="1">
      <alignment horizontal="center"/>
    </xf>
    <xf numFmtId="0" fontId="39" fillId="10" borderId="64" xfId="4" applyFont="1" applyFill="1" applyBorder="1"/>
    <xf numFmtId="15" fontId="28" fillId="6" borderId="33" xfId="0" applyNumberFormat="1" applyFont="1" applyFill="1" applyBorder="1" applyAlignment="1" applyProtection="1">
      <alignment horizontal="center" vertical="center" wrapText="1"/>
    </xf>
    <xf numFmtId="0" fontId="18" fillId="10" borderId="64" xfId="5" applyFont="1" applyFill="1" applyBorder="1" applyAlignment="1"/>
    <xf numFmtId="0" fontId="1" fillId="0" borderId="0" xfId="6"/>
    <xf numFmtId="0" fontId="1" fillId="0" borderId="0" xfId="6" applyAlignment="1">
      <alignment horizontal="center"/>
    </xf>
    <xf numFmtId="0" fontId="41" fillId="10" borderId="64" xfId="5" applyFont="1" applyFill="1" applyBorder="1" applyAlignment="1">
      <alignment horizontal="center"/>
    </xf>
    <xf numFmtId="167" fontId="25" fillId="0" borderId="62" xfId="5" applyNumberFormat="1" applyFont="1" applyBorder="1" applyAlignment="1">
      <alignment horizontal="center"/>
    </xf>
    <xf numFmtId="167" fontId="25" fillId="0" borderId="1" xfId="5" applyNumberFormat="1" applyFont="1" applyBorder="1" applyAlignment="1">
      <alignment horizontal="center"/>
    </xf>
    <xf numFmtId="0" fontId="25" fillId="0" borderId="1" xfId="5" applyFont="1" applyBorder="1" applyAlignment="1">
      <alignment horizontal="center"/>
    </xf>
    <xf numFmtId="0" fontId="24" fillId="10" borderId="31" xfId="3" applyFont="1" applyFill="1" applyBorder="1" applyAlignment="1" applyProtection="1">
      <alignment vertical="center"/>
    </xf>
    <xf numFmtId="0" fontId="0" fillId="0" borderId="0" xfId="0" applyAlignment="1" applyProtection="1"/>
    <xf numFmtId="166" fontId="23" fillId="6" borderId="0" xfId="0" applyNumberFormat="1" applyFont="1" applyFill="1" applyBorder="1" applyAlignment="1" applyProtection="1">
      <alignment horizontal="center" vertical="center"/>
    </xf>
    <xf numFmtId="166" fontId="23" fillId="6" borderId="33" xfId="0" applyNumberFormat="1" applyFont="1" applyFill="1" applyBorder="1" applyAlignment="1" applyProtection="1">
      <alignment horizontal="center" vertical="center"/>
    </xf>
    <xf numFmtId="166" fontId="23" fillId="7" borderId="38" xfId="0" applyNumberFormat="1" applyFont="1" applyFill="1" applyBorder="1" applyAlignment="1" applyProtection="1">
      <alignment horizontal="center" vertical="center"/>
    </xf>
    <xf numFmtId="166" fontId="23" fillId="7" borderId="39" xfId="0" applyNumberFormat="1" applyFont="1" applyFill="1" applyBorder="1" applyAlignment="1" applyProtection="1">
      <alignment horizontal="center" vertical="center"/>
    </xf>
    <xf numFmtId="166" fontId="37" fillId="6" borderId="0" xfId="0" applyNumberFormat="1" applyFont="1" applyFill="1" applyBorder="1" applyAlignment="1" applyProtection="1">
      <alignment horizontal="center" vertical="center"/>
    </xf>
    <xf numFmtId="166" fontId="37" fillId="6" borderId="33" xfId="0" applyNumberFormat="1" applyFont="1" applyFill="1" applyBorder="1" applyAlignment="1" applyProtection="1">
      <alignment horizontal="center" vertical="center"/>
    </xf>
    <xf numFmtId="166" fontId="23" fillId="7" borderId="30" xfId="0" applyNumberFormat="1" applyFont="1" applyFill="1" applyBorder="1" applyAlignment="1" applyProtection="1">
      <alignment horizontal="center" vertical="center"/>
    </xf>
    <xf numFmtId="166" fontId="23" fillId="7" borderId="31" xfId="0" applyNumberFormat="1" applyFont="1" applyFill="1" applyBorder="1" applyAlignment="1" applyProtection="1">
      <alignment horizontal="center" vertical="center"/>
    </xf>
    <xf numFmtId="0" fontId="24" fillId="9" borderId="56" xfId="3" applyFont="1" applyFill="1" applyBorder="1" applyAlignment="1" applyProtection="1">
      <alignment vertical="center"/>
    </xf>
    <xf numFmtId="0" fontId="8" fillId="0" borderId="59" xfId="0" applyFont="1" applyBorder="1" applyAlignment="1" applyProtection="1">
      <alignment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66" fontId="23" fillId="7" borderId="58" xfId="0" applyNumberFormat="1" applyFont="1" applyFill="1" applyBorder="1" applyAlignment="1" applyProtection="1">
      <alignment horizontal="center" vertical="center"/>
    </xf>
    <xf numFmtId="166" fontId="23" fillId="7" borderId="0" xfId="0" applyNumberFormat="1" applyFont="1" applyFill="1" applyBorder="1" applyAlignment="1" applyProtection="1">
      <alignment horizontal="left" vertical="center"/>
    </xf>
    <xf numFmtId="166" fontId="23" fillId="7" borderId="60" xfId="0" applyNumberFormat="1" applyFont="1" applyFill="1" applyBorder="1" applyAlignment="1" applyProtection="1">
      <alignment horizontal="center" vertical="center"/>
    </xf>
    <xf numFmtId="166" fontId="37" fillId="6" borderId="38" xfId="0" applyNumberFormat="1" applyFont="1" applyFill="1" applyBorder="1" applyAlignment="1" applyProtection="1">
      <alignment horizontal="center" vertical="center"/>
    </xf>
    <xf numFmtId="166" fontId="37" fillId="6" borderId="39" xfId="0" applyNumberFormat="1" applyFont="1" applyFill="1" applyBorder="1" applyAlignment="1" applyProtection="1">
      <alignment horizontal="center" vertical="center"/>
    </xf>
    <xf numFmtId="166" fontId="26" fillId="7" borderId="0" xfId="0" applyNumberFormat="1" applyFont="1" applyFill="1" applyBorder="1" applyAlignment="1" applyProtection="1">
      <alignment horizontal="center" vertical="center"/>
    </xf>
    <xf numFmtId="166" fontId="26" fillId="7" borderId="33" xfId="0" applyNumberFormat="1" applyFont="1" applyFill="1" applyBorder="1" applyAlignment="1" applyProtection="1">
      <alignment horizontal="center" vertical="center"/>
    </xf>
    <xf numFmtId="166" fontId="36" fillId="10" borderId="0" xfId="0" applyNumberFormat="1" applyFont="1" applyFill="1" applyBorder="1" applyAlignment="1" applyProtection="1">
      <alignment horizontal="center" vertical="center"/>
    </xf>
    <xf numFmtId="166" fontId="36" fillId="10" borderId="33" xfId="0" applyNumberFormat="1" applyFont="1" applyFill="1" applyBorder="1" applyAlignment="1" applyProtection="1">
      <alignment horizontal="center" vertical="center"/>
    </xf>
    <xf numFmtId="1" fontId="8" fillId="6" borderId="37" xfId="0" applyNumberFormat="1" applyFont="1" applyFill="1" applyBorder="1" applyAlignment="1" applyProtection="1">
      <alignment vertical="center" wrapText="1"/>
    </xf>
    <xf numFmtId="1" fontId="35" fillId="6" borderId="0" xfId="0" applyNumberFormat="1" applyFont="1" applyFill="1" applyBorder="1" applyAlignment="1" applyProtection="1">
      <alignment horizontal="center" vertical="center" wrapText="1"/>
    </xf>
    <xf numFmtId="1" fontId="35" fillId="6" borderId="3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8" fillId="0" borderId="3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165" fontId="8" fillId="0" borderId="0" xfId="0" applyNumberFormat="1" applyFont="1" applyAlignment="1" applyProtection="1">
      <alignment horizontal="center" vertical="center"/>
    </xf>
    <xf numFmtId="165" fontId="11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Alignment="1">
      <alignment vertical="center"/>
    </xf>
    <xf numFmtId="1" fontId="14" fillId="2" borderId="0" xfId="0" applyNumberFormat="1" applyFont="1" applyFill="1" applyAlignment="1">
      <alignment vertical="center"/>
    </xf>
    <xf numFmtId="1" fontId="8" fillId="0" borderId="0" xfId="0" applyNumberFormat="1" applyFont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65" fontId="8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8" fillId="0" borderId="0" xfId="0" applyNumberFormat="1" applyFont="1" applyFill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1" fontId="35" fillId="6" borderId="66" xfId="0" applyNumberFormat="1" applyFont="1" applyFill="1" applyBorder="1" applyAlignment="1" applyProtection="1">
      <alignment horizontal="center" vertical="center" wrapText="1"/>
    </xf>
    <xf numFmtId="15" fontId="28" fillId="6" borderId="0" xfId="0" applyNumberFormat="1" applyFont="1" applyFill="1" applyBorder="1" applyAlignment="1" applyProtection="1">
      <alignment horizontal="left" vertical="center" wrapText="1"/>
    </xf>
    <xf numFmtId="1" fontId="23" fillId="7" borderId="7" xfId="0" applyNumberFormat="1" applyFont="1" applyFill="1" applyBorder="1" applyAlignment="1" applyProtection="1">
      <alignment horizontal="left" vertical="top" wrapText="1"/>
      <protection locked="0"/>
    </xf>
    <xf numFmtId="1" fontId="23" fillId="7" borderId="28" xfId="0" applyNumberFormat="1" applyFont="1" applyFill="1" applyBorder="1" applyAlignment="1" applyProtection="1">
      <alignment horizontal="left" vertical="top" wrapText="1"/>
      <protection locked="0"/>
    </xf>
    <xf numFmtId="1" fontId="27" fillId="10" borderId="30" xfId="0" applyNumberFormat="1" applyFont="1" applyFill="1" applyBorder="1" applyAlignment="1" applyProtection="1">
      <alignment horizontal="center" vertical="center" wrapText="1"/>
    </xf>
    <xf numFmtId="1" fontId="27" fillId="10" borderId="31" xfId="0" applyNumberFormat="1" applyFont="1" applyFill="1" applyBorder="1" applyAlignment="1" applyProtection="1">
      <alignment horizontal="center" vertical="center" wrapText="1"/>
    </xf>
    <xf numFmtId="1" fontId="23" fillId="7" borderId="7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28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42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Comma" xfId="1" builtinId="3"/>
    <cellStyle name="Heading 3" xfId="3" builtinId="18"/>
    <cellStyle name="Normal" xfId="0" builtinId="0"/>
    <cellStyle name="Normal 2" xfId="4"/>
    <cellStyle name="Normal 2 2" xfId="6"/>
    <cellStyle name="Normal 3" xfId="5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232A"/>
      <color rgb="FF004C8F"/>
      <color rgb="FFC5D9F1"/>
      <color rgb="FF005677"/>
      <color rgb="FFC8F0FF"/>
      <color rgb="FF5F5F5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989"/>
  <sheetViews>
    <sheetView showGridLines="0" tabSelected="1" topLeftCell="A4" zoomScaleNormal="100" workbookViewId="0">
      <selection activeCell="C9" sqref="C9:G9"/>
    </sheetView>
  </sheetViews>
  <sheetFormatPr defaultRowHeight="12.75" x14ac:dyDescent="0.2"/>
  <cols>
    <col min="1" max="1" customWidth="true" style="2" width="4.42578125" collapsed="true"/>
    <col min="2" max="2" customWidth="true" style="3" width="50.7109375" collapsed="true"/>
    <col min="3" max="7" customWidth="true" style="4" width="15.85546875" collapsed="true"/>
    <col min="8" max="8" customWidth="true" style="322" width="24.7109375" collapsed="true"/>
    <col min="9" max="22" customWidth="true" style="3" width="24.7109375" collapsed="true"/>
    <col min="23" max="16384" style="3" width="9.140625" collapsed="true"/>
  </cols>
  <sheetData>
    <row r="1" spans="1:9" ht="13.5" thickBot="1" x14ac:dyDescent="0.25"/>
    <row r="2" spans="1:9" ht="23.25" customHeight="1" x14ac:dyDescent="0.2">
      <c r="A2" s="128"/>
      <c r="B2" s="348" t="s">
        <v>733</v>
      </c>
      <c r="C2" s="348"/>
      <c r="D2" s="348"/>
      <c r="E2" s="348"/>
      <c r="F2" s="348"/>
      <c r="G2" s="349"/>
    </row>
    <row r="3" spans="1:9" ht="24" thickBot="1" x14ac:dyDescent="0.25">
      <c r="A3" s="132"/>
      <c r="B3" s="211" t="s">
        <v>716</v>
      </c>
      <c r="C3" s="149" t="s">
        <v>717</v>
      </c>
      <c r="D3" s="147"/>
      <c r="E3" s="147"/>
      <c r="F3" s="147"/>
      <c r="G3" s="148"/>
    </row>
    <row r="4" spans="1:9" ht="15" x14ac:dyDescent="0.2">
      <c r="A4" s="146"/>
      <c r="B4" s="199"/>
      <c r="C4" s="199"/>
      <c r="D4" s="199"/>
      <c r="E4" s="199"/>
      <c r="F4" s="199"/>
      <c r="G4" s="212" t="s">
        <v>122</v>
      </c>
    </row>
    <row r="5" spans="1:9" ht="13.5" thickBot="1" x14ac:dyDescent="0.25">
      <c r="A5" s="3"/>
      <c r="C5" s="3"/>
      <c r="D5" s="3"/>
      <c r="E5" s="3"/>
      <c r="F5" s="3"/>
      <c r="G5" s="3"/>
    </row>
    <row r="6" spans="1:9" ht="19.5" thickBot="1" x14ac:dyDescent="0.25">
      <c r="A6" s="141"/>
      <c r="B6" s="144" t="s">
        <v>714</v>
      </c>
      <c r="C6" s="150"/>
      <c r="D6" s="151"/>
      <c r="E6" s="151"/>
      <c r="F6" s="151"/>
      <c r="G6" s="151"/>
    </row>
    <row r="7" spans="1:9" ht="12.75" customHeight="1" x14ac:dyDescent="0.2">
      <c r="A7" s="142"/>
      <c r="B7" s="6"/>
      <c r="C7" s="7"/>
      <c r="D7" s="7"/>
      <c r="E7" s="7"/>
      <c r="F7" s="7"/>
      <c r="G7" s="145"/>
    </row>
    <row r="8" spans="1:9" x14ac:dyDescent="0.2">
      <c r="A8" s="142"/>
      <c r="B8" s="8" t="s">
        <v>539</v>
      </c>
      <c r="C8" t="s">
        <v>824</v>
      </c>
      <c r="D8" s="351"/>
      <c r="E8" s="351"/>
      <c r="F8" s="351"/>
      <c r="G8" s="352"/>
      <c r="H8" s="323" t="s">
        <v>790</v>
      </c>
    </row>
    <row r="9" spans="1:9" x14ac:dyDescent="0.2">
      <c r="A9" s="142"/>
      <c r="B9" s="8" t="s">
        <v>124</v>
      </c>
      <c r="C9" s="350"/>
      <c r="D9" s="351"/>
      <c r="E9" s="351"/>
      <c r="F9" s="351"/>
      <c r="G9" s="352"/>
      <c r="H9" s="323" t="s">
        <v>791</v>
      </c>
    </row>
    <row r="10" spans="1:9" x14ac:dyDescent="0.2">
      <c r="A10" s="142"/>
      <c r="B10" s="8" t="s">
        <v>123</v>
      </c>
      <c r="C10" s="350">
        <v>2021</v>
      </c>
      <c r="D10" s="351"/>
      <c r="E10" s="351"/>
      <c r="F10" s="351"/>
      <c r="G10" s="352"/>
      <c r="H10" s="323" t="s">
        <v>792</v>
      </c>
    </row>
    <row r="11" spans="1:9" x14ac:dyDescent="0.2">
      <c r="A11" s="142"/>
      <c r="B11" s="8" t="s">
        <v>750</v>
      </c>
      <c r="C11" s="350" t="s">
        <v>743</v>
      </c>
      <c r="D11" s="351"/>
      <c r="E11" s="351"/>
      <c r="F11" s="351"/>
      <c r="G11" s="352"/>
      <c r="H11" s="323" t="s">
        <v>793</v>
      </c>
    </row>
    <row r="12" spans="1:9" x14ac:dyDescent="0.2">
      <c r="A12" s="142"/>
      <c r="B12" s="8" t="s">
        <v>784</v>
      </c>
      <c r="C12" s="345">
        <f>DATE(VLOOKUP($C$11,Lookup!$C$16:$E$19,3,FALSE)+$C$10,MONTH(DATEVALUE(C11&amp;" 1")),VLOOKUP(C11,Lookup!$A$11:$C$14,3,FALSE))</f>
        <v>44286</v>
      </c>
      <c r="D12" s="153"/>
      <c r="E12" s="153"/>
      <c r="F12" s="153"/>
      <c r="G12" s="153"/>
      <c r="H12" s="324"/>
    </row>
    <row r="13" spans="1:9" x14ac:dyDescent="0.2">
      <c r="A13" s="142"/>
      <c r="B13" s="8" t="s">
        <v>125</v>
      </c>
      <c r="C13" s="346" t="s">
        <v>126</v>
      </c>
      <c r="D13" s="347"/>
      <c r="E13" s="347"/>
      <c r="F13" s="347"/>
      <c r="G13" s="347"/>
      <c r="H13" s="323" t="s">
        <v>795</v>
      </c>
    </row>
    <row r="14" spans="1:9" s="9" customFormat="1" x14ac:dyDescent="0.2">
      <c r="A14" s="158"/>
      <c r="B14" s="8" t="s">
        <v>789</v>
      </c>
      <c r="C14" s="279">
        <f>D14-1</f>
        <v>2017</v>
      </c>
      <c r="D14" s="279">
        <f>E14-1</f>
        <v>2018</v>
      </c>
      <c r="E14" s="279">
        <f>F14-1</f>
        <v>2019</v>
      </c>
      <c r="F14" s="279">
        <f>G14-1</f>
        <v>2020</v>
      </c>
      <c r="G14" s="280">
        <f>$C$10</f>
        <v>2021</v>
      </c>
      <c r="H14" s="325"/>
    </row>
    <row r="15" spans="1:9" s="9" customFormat="1" x14ac:dyDescent="0.2">
      <c r="A15" s="158"/>
      <c r="B15" s="8" t="s">
        <v>786</v>
      </c>
      <c r="C15" s="320" t="s">
        <v>787</v>
      </c>
      <c r="D15" s="320" t="s">
        <v>787</v>
      </c>
      <c r="E15" s="320" t="str">
        <f t="shared" ref="E15:G15" si="0">IF(D15="Y","Y",E20)</f>
        <v>Y</v>
      </c>
      <c r="F15" s="320" t="str">
        <f t="shared" si="0"/>
        <v>Y</v>
      </c>
      <c r="G15" s="321" t="str">
        <f t="shared" si="0"/>
        <v>Y</v>
      </c>
      <c r="H15" s="323"/>
      <c r="I15" s="3"/>
    </row>
    <row r="16" spans="1:9" s="9" customFormat="1" x14ac:dyDescent="0.2">
      <c r="A16" s="158"/>
      <c r="B16" s="8" t="s">
        <v>747</v>
      </c>
      <c r="C16" s="275" t="s">
        <v>735</v>
      </c>
      <c r="D16" s="275" t="s">
        <v>735</v>
      </c>
      <c r="E16" s="275" t="s">
        <v>735</v>
      </c>
      <c r="F16" s="275" t="s">
        <v>735</v>
      </c>
      <c r="G16" s="276" t="s">
        <v>735</v>
      </c>
      <c r="H16" s="322"/>
      <c r="I16" s="3"/>
    </row>
    <row r="17" spans="1:8" x14ac:dyDescent="0.2">
      <c r="A17" s="142"/>
      <c r="B17" s="154" t="s">
        <v>785</v>
      </c>
      <c r="C17" s="152" t="str">
        <f>TEXT(DATE(VLOOKUP(MONTH($C$12)-VLOOKUP(C16,Lookup!$A$1:$C$8,2,FALSE),Lookup!$D$16:$E$19,2,FALSE)+C14,MONTH($C$12)-VLOOKUP(C16,Lookup!$A$1:$C$8,2,FALSE),VLOOKUP($C$11,Lookup!$A$11:$J$14,VLOOKUP(C16,Lookup!$F$1:$G$8,2,FALSE),FALSE)),"dd/mm/yyyy")</f>
        <v>31/03/2017</v>
      </c>
      <c r="D17" s="152" t="str">
        <f>TEXT(DATE(VLOOKUP(MONTH($C$12)-VLOOKUP(D16,Lookup!$A$1:$C$8,2,FALSE),Lookup!$D$16:$E$19,2,FALSE)+D14,MONTH($C$12)-VLOOKUP(D16,Lookup!$A$1:$C$8,2,FALSE),VLOOKUP($C$11,Lookup!$A$11:$J$14,VLOOKUP(D16,Lookup!$F$1:$G$8,2,FALSE),FALSE)),"dd/mm/yyyy")</f>
        <v>31/03/2018</v>
      </c>
      <c r="E17" s="152" t="str">
        <f>TEXT(DATE(VLOOKUP(MONTH($C$12)-VLOOKUP(E16,Lookup!$A$1:$C$8,2,FALSE),Lookup!$D$16:$E$19,2,FALSE)+E14,MONTH($C$12)-VLOOKUP(E16,Lookup!$A$1:$C$8,2,FALSE),VLOOKUP($C$11,Lookup!$A$11:$J$14,VLOOKUP(E16,Lookup!$F$1:$G$8,2,FALSE),FALSE)),"dd/mm/yyyy")</f>
        <v>31/03/2019</v>
      </c>
      <c r="F17" s="152" t="str">
        <f>TEXT(DATE(VLOOKUP(MONTH($C$12)-VLOOKUP(F16,Lookup!$A$1:$C$8,2,FALSE),Lookup!$D$16:$E$19,2,FALSE)+F14,MONTH($C$12)-VLOOKUP(F16,Lookup!$A$1:$C$8,2,FALSE),VLOOKUP($C$11,Lookup!$A$11:$J$14,VLOOKUP(F16,Lookup!$F$1:$G$8,2,FALSE),FALSE)),"dd/mm/yyyy")</f>
        <v>31/03/2020</v>
      </c>
      <c r="G17" s="289" t="str">
        <f>TEXT(DATE(VLOOKUP(MONTH($C$12)-VLOOKUP(G16,Lookup!$A$1:$C$8,2,FALSE),Lookup!$D$16:$E$19,2,FALSE)+G14,MONTH($C$12)-VLOOKUP(G16,Lookup!$A$1:$C$8,2,FALSE),VLOOKUP($C$11,Lookup!$A$11:$J$14,VLOOKUP(G16,Lookup!$F$1:$G$8,2,FALSE),FALSE)),"dd/mm/yyyy")</f>
        <v>31/03/2021</v>
      </c>
    </row>
    <row r="18" spans="1:8" x14ac:dyDescent="0.2">
      <c r="A18" s="142"/>
      <c r="B18" s="10" t="s">
        <v>734</v>
      </c>
      <c r="C18" s="275" t="s">
        <v>127</v>
      </c>
      <c r="D18" s="275" t="s">
        <v>127</v>
      </c>
      <c r="E18" s="275" t="s">
        <v>127</v>
      </c>
      <c r="F18" s="275" t="s">
        <v>127</v>
      </c>
      <c r="G18" s="276" t="s">
        <v>127</v>
      </c>
    </row>
    <row r="19" spans="1:8" x14ac:dyDescent="0.2">
      <c r="A19" s="142"/>
      <c r="B19" s="8" t="s">
        <v>128</v>
      </c>
      <c r="C19" s="275">
        <f>VLOOKUP(C16,Lookup!$A$1:$D$8,4,FALSE)</f>
        <v>12</v>
      </c>
      <c r="D19" s="275">
        <f>VLOOKUP(D16,Lookup!$A$1:$D$8,4,FALSE)</f>
        <v>12</v>
      </c>
      <c r="E19" s="275">
        <f>VLOOKUP(E16,Lookup!$A$1:$D$8,4,FALSE)</f>
        <v>12</v>
      </c>
      <c r="F19" s="275">
        <f>VLOOKUP(F16,Lookup!$A$1:$D$8,4,FALSE)</f>
        <v>12</v>
      </c>
      <c r="G19" s="276">
        <f>VLOOKUP(G16,Lookup!$A$1:$D$8,4,FALSE)</f>
        <v>12</v>
      </c>
      <c r="H19" s="323" t="s">
        <v>797</v>
      </c>
    </row>
    <row r="20" spans="1:8" x14ac:dyDescent="0.2">
      <c r="A20" s="158"/>
      <c r="B20" s="8" t="s">
        <v>786</v>
      </c>
      <c r="C20" s="275" t="s">
        <v>787</v>
      </c>
      <c r="D20" s="275" t="s">
        <v>787</v>
      </c>
      <c r="E20" s="275" t="s">
        <v>787</v>
      </c>
      <c r="F20" s="275" t="s">
        <v>787</v>
      </c>
      <c r="G20" s="276" t="s">
        <v>787</v>
      </c>
      <c r="H20" s="323" t="s">
        <v>796</v>
      </c>
    </row>
    <row r="21" spans="1:8" ht="13.5" thickBot="1" x14ac:dyDescent="0.25">
      <c r="A21" s="159"/>
      <c r="B21" s="319"/>
      <c r="C21" s="344"/>
      <c r="D21" s="344"/>
      <c r="E21" s="344"/>
      <c r="F21" s="344"/>
      <c r="G21" s="344"/>
      <c r="H21" s="324"/>
    </row>
    <row r="22" spans="1:8" s="1" customFormat="1" ht="13.5" thickBot="1" x14ac:dyDescent="0.25">
      <c r="A22" s="5"/>
      <c r="B22" s="25"/>
      <c r="C22" s="25"/>
      <c r="D22" s="25"/>
      <c r="E22" s="25"/>
      <c r="F22" s="25"/>
      <c r="G22" s="25"/>
      <c r="H22" s="246"/>
    </row>
    <row r="23" spans="1:8" s="1" customFormat="1" ht="19.5" thickBot="1" x14ac:dyDescent="0.25">
      <c r="A23" s="141"/>
      <c r="B23" s="144" t="s">
        <v>713</v>
      </c>
      <c r="C23" s="123"/>
      <c r="D23" s="123"/>
      <c r="E23" s="123"/>
      <c r="F23" s="123"/>
      <c r="G23" s="123"/>
      <c r="H23" s="246"/>
    </row>
    <row r="24" spans="1:8" s="1" customFormat="1" ht="13.5" customHeight="1" x14ac:dyDescent="0.2">
      <c r="A24" s="142"/>
      <c r="B24" s="22"/>
      <c r="C24" s="129"/>
      <c r="D24" s="129"/>
      <c r="E24" s="129"/>
      <c r="F24" s="129"/>
      <c r="G24" s="130"/>
      <c r="H24" s="246"/>
    </row>
    <row r="25" spans="1:8" s="11" customFormat="1" ht="13.5" customHeight="1" x14ac:dyDescent="0.2">
      <c r="A25" s="157"/>
      <c r="B25" s="278" t="s">
        <v>129</v>
      </c>
      <c r="C25" s="162">
        <f>C30-C32+C33</f>
        <v>250.9</v>
      </c>
      <c r="D25" s="162">
        <f>D30-D32+D33</f>
        <v>251</v>
      </c>
      <c r="E25" s="162">
        <f>E30-E32+E33</f>
        <v>251.1</v>
      </c>
      <c r="F25" s="162">
        <f>F30-F32+F33</f>
        <v>253.4</v>
      </c>
      <c r="G25" s="163">
        <f>G30-G32+G33</f>
        <v>255.059</v>
      </c>
      <c r="H25" s="326"/>
    </row>
    <row r="26" spans="1:8" s="1" customFormat="1" ht="13.5" customHeight="1" x14ac:dyDescent="0.2">
      <c r="A26" s="142"/>
      <c r="B26" s="21" t="s">
        <v>130</v>
      </c>
      <c r="C26" s="14">
        <v>250</v>
      </c>
      <c r="D26" s="14">
        <v>250</v>
      </c>
      <c r="E26" s="14">
        <v>250</v>
      </c>
      <c r="F26" s="14">
        <v>250</v>
      </c>
      <c r="G26" s="14">
        <v>250</v>
      </c>
      <c r="H26" s="246"/>
    </row>
    <row r="27" spans="1:8" s="1" customFormat="1" ht="13.5" customHeight="1" x14ac:dyDescent="0.2">
      <c r="A27" s="142"/>
      <c r="B27" s="21" t="s">
        <v>131</v>
      </c>
      <c r="C27" s="17">
        <v>0</v>
      </c>
      <c r="D27" s="18">
        <v>0</v>
      </c>
      <c r="E27" s="18">
        <v>0</v>
      </c>
      <c r="F27" s="18">
        <v>0</v>
      </c>
      <c r="G27" s="134">
        <v>0</v>
      </c>
      <c r="H27" s="246"/>
    </row>
    <row r="28" spans="1:8" s="1" customFormat="1" ht="13.5" customHeight="1" x14ac:dyDescent="0.2">
      <c r="A28" s="142"/>
      <c r="B28" s="21" t="s">
        <v>485</v>
      </c>
      <c r="C28" s="17">
        <v>0</v>
      </c>
      <c r="D28" s="18">
        <v>0</v>
      </c>
      <c r="E28" s="18">
        <v>0</v>
      </c>
      <c r="F28" s="18">
        <v>2.2999999999999998</v>
      </c>
      <c r="G28" s="134">
        <v>3.94</v>
      </c>
      <c r="H28" s="246"/>
    </row>
    <row r="29" spans="1:8" s="1" customFormat="1" ht="13.5" customHeight="1" x14ac:dyDescent="0.2">
      <c r="A29" s="142"/>
      <c r="B29" s="21" t="s">
        <v>132</v>
      </c>
      <c r="C29" s="19">
        <v>0</v>
      </c>
      <c r="D29" s="20">
        <v>0</v>
      </c>
      <c r="E29" s="20">
        <v>0</v>
      </c>
      <c r="F29" s="20">
        <v>0</v>
      </c>
      <c r="G29" s="135">
        <v>0</v>
      </c>
      <c r="H29" s="246"/>
    </row>
    <row r="30" spans="1:8" s="1" customFormat="1" ht="13.5" customHeight="1" x14ac:dyDescent="0.2">
      <c r="A30" s="142"/>
      <c r="B30" s="127" t="s">
        <v>486</v>
      </c>
      <c r="C30" s="165">
        <f>C26+C27+C28</f>
        <v>250</v>
      </c>
      <c r="D30" s="165">
        <f>D26+D27+D28</f>
        <v>250</v>
      </c>
      <c r="E30" s="165">
        <f>E26+E27+E28</f>
        <v>250</v>
      </c>
      <c r="F30" s="165">
        <f>F26+F27+F28</f>
        <v>252.3</v>
      </c>
      <c r="G30" s="166">
        <f>G26+G27+G28</f>
        <v>253.94</v>
      </c>
      <c r="H30" s="246"/>
    </row>
    <row r="31" spans="1:8" s="1" customFormat="1" ht="13.5" customHeight="1" x14ac:dyDescent="0.2">
      <c r="A31" s="142"/>
      <c r="B31" s="21"/>
      <c r="C31" s="13"/>
      <c r="D31" s="13"/>
      <c r="E31" s="13"/>
      <c r="F31" s="13"/>
      <c r="G31" s="136"/>
      <c r="H31" s="246"/>
    </row>
    <row r="32" spans="1:8" s="1" customFormat="1" ht="13.5" customHeight="1" x14ac:dyDescent="0.2">
      <c r="A32" s="142"/>
      <c r="B32" s="21" t="s">
        <v>540</v>
      </c>
      <c r="C32" s="14">
        <v>0</v>
      </c>
      <c r="D32" s="14">
        <v>0</v>
      </c>
      <c r="E32" s="14">
        <v>0</v>
      </c>
      <c r="F32" s="14">
        <v>0</v>
      </c>
      <c r="G32" s="133">
        <v>0</v>
      </c>
      <c r="H32" s="246"/>
    </row>
    <row r="33" spans="1:8" s="1" customFormat="1" ht="13.5" customHeight="1" x14ac:dyDescent="0.2">
      <c r="A33" s="142"/>
      <c r="B33" s="21" t="s">
        <v>133</v>
      </c>
      <c r="C33" s="19">
        <v>0.9</v>
      </c>
      <c r="D33" s="20">
        <v>1</v>
      </c>
      <c r="E33" s="20">
        <v>1.1000000000000001</v>
      </c>
      <c r="F33" s="20">
        <v>1.1000000000000001</v>
      </c>
      <c r="G33" s="135">
        <v>1.119</v>
      </c>
      <c r="H33" s="246"/>
    </row>
    <row r="34" spans="1:8" s="1" customFormat="1" ht="13.5" customHeight="1" x14ac:dyDescent="0.2">
      <c r="A34" s="142"/>
      <c r="B34" s="12"/>
      <c r="C34" s="13"/>
      <c r="D34" s="13"/>
      <c r="E34" s="13"/>
      <c r="F34" s="13"/>
      <c r="G34" s="136"/>
      <c r="H34" s="246"/>
    </row>
    <row r="35" spans="1:8" s="11" customFormat="1" ht="15" x14ac:dyDescent="0.2">
      <c r="A35" s="157"/>
      <c r="B35" s="155" t="s">
        <v>134</v>
      </c>
      <c r="C35" s="162">
        <f>+C36+C37+C38+C39</f>
        <v>1.6</v>
      </c>
      <c r="D35" s="162">
        <f>+D36+D37+D38+D39</f>
        <v>2.2999999999999998</v>
      </c>
      <c r="E35" s="162">
        <f>+E36+E37+E38+E39</f>
        <v>4.4000000000000004</v>
      </c>
      <c r="F35" s="162">
        <f>+F36+F37+F38+F39</f>
        <v>3.7</v>
      </c>
      <c r="G35" s="163">
        <f>+G36+G37+G38+G39</f>
        <v>3.8420000000000001</v>
      </c>
      <c r="H35" s="326"/>
    </row>
    <row r="36" spans="1:8" s="1" customFormat="1" ht="13.5" customHeight="1" x14ac:dyDescent="0.2">
      <c r="A36" s="142"/>
      <c r="B36" s="21" t="s">
        <v>135</v>
      </c>
      <c r="C36" s="14">
        <v>0</v>
      </c>
      <c r="D36" s="15">
        <v>0</v>
      </c>
      <c r="E36" s="15">
        <v>0</v>
      </c>
      <c r="F36" s="15">
        <v>0</v>
      </c>
      <c r="G36" s="133">
        <v>0</v>
      </c>
      <c r="H36" s="327"/>
    </row>
    <row r="37" spans="1:8" s="1" customFormat="1" ht="13.5" customHeight="1" x14ac:dyDescent="0.2">
      <c r="A37" s="142"/>
      <c r="B37" s="21" t="s">
        <v>136</v>
      </c>
      <c r="C37" s="17">
        <v>0</v>
      </c>
      <c r="D37" s="18">
        <v>0</v>
      </c>
      <c r="E37" s="18">
        <v>0</v>
      </c>
      <c r="F37" s="18">
        <v>0</v>
      </c>
      <c r="G37" s="134">
        <v>0</v>
      </c>
      <c r="H37" s="246"/>
    </row>
    <row r="38" spans="1:8" s="1" customFormat="1" ht="13.5" customHeight="1" x14ac:dyDescent="0.2">
      <c r="A38" s="142"/>
      <c r="B38" s="21" t="s">
        <v>137</v>
      </c>
      <c r="C38" s="17">
        <v>0</v>
      </c>
      <c r="D38" s="18">
        <v>0</v>
      </c>
      <c r="E38" s="18">
        <v>0</v>
      </c>
      <c r="F38" s="18">
        <v>0</v>
      </c>
      <c r="G38" s="134">
        <v>0</v>
      </c>
      <c r="H38" s="327"/>
    </row>
    <row r="39" spans="1:8" s="1" customFormat="1" ht="13.5" customHeight="1" x14ac:dyDescent="0.2">
      <c r="A39" s="142"/>
      <c r="B39" s="21" t="s">
        <v>138</v>
      </c>
      <c r="C39" s="19">
        <v>1.6</v>
      </c>
      <c r="D39" s="20">
        <v>2.2999999999999998</v>
      </c>
      <c r="E39" s="20">
        <v>4.4000000000000004</v>
      </c>
      <c r="F39" s="20">
        <v>3.7</v>
      </c>
      <c r="G39" s="135">
        <v>3.8420000000000001</v>
      </c>
      <c r="H39" s="327"/>
    </row>
    <row r="40" spans="1:8" s="1" customFormat="1" ht="13.5" customHeight="1" x14ac:dyDescent="0.2">
      <c r="A40" s="142"/>
      <c r="B40" s="12"/>
      <c r="C40" s="13"/>
      <c r="D40" s="13"/>
      <c r="E40" s="13"/>
      <c r="F40" s="13"/>
      <c r="G40" s="136"/>
      <c r="H40" s="246"/>
    </row>
    <row r="41" spans="1:8" s="1" customFormat="1" ht="13.5" customHeight="1" x14ac:dyDescent="0.2">
      <c r="A41" s="142"/>
      <c r="B41" s="12"/>
      <c r="C41" s="13"/>
      <c r="D41" s="13"/>
      <c r="E41" s="13"/>
      <c r="F41" s="13"/>
      <c r="G41" s="136"/>
      <c r="H41" s="246"/>
    </row>
    <row r="42" spans="1:8" s="1" customFormat="1" ht="13.5" customHeight="1" x14ac:dyDescent="0.2">
      <c r="A42" s="142"/>
      <c r="B42" s="12"/>
      <c r="C42" s="13"/>
      <c r="D42" s="13"/>
      <c r="E42" s="13"/>
      <c r="F42" s="13"/>
      <c r="G42" s="136"/>
      <c r="H42" s="246"/>
    </row>
    <row r="43" spans="1:8" s="1" customFormat="1" ht="13.5" customHeight="1" x14ac:dyDescent="0.2">
      <c r="A43" s="142"/>
      <c r="B43" s="12"/>
      <c r="C43" s="13"/>
      <c r="D43" s="13"/>
      <c r="E43" s="13"/>
      <c r="F43" s="13"/>
      <c r="G43" s="136"/>
      <c r="H43" s="246"/>
    </row>
    <row r="44" spans="1:8" s="11" customFormat="1" ht="15" x14ac:dyDescent="0.2">
      <c r="A44" s="157"/>
      <c r="B44" s="155" t="s">
        <v>139</v>
      </c>
      <c r="C44" s="162">
        <f>SUM(C45:C48)+C51+SUM(C52:C61)</f>
        <v>329.49999999999994</v>
      </c>
      <c r="D44" s="162">
        <f>SUM(D45:D48)+D51+SUM(D52:D61)</f>
        <v>399.50000000000006</v>
      </c>
      <c r="E44" s="162">
        <f>SUM(E45:E48)+E51+SUM(E52:E61)</f>
        <v>468</v>
      </c>
      <c r="F44" s="162">
        <f>SUM(F45:F48)+F51+SUM(F52:F61)</f>
        <v>541.20000000000005</v>
      </c>
      <c r="G44" s="163">
        <f>SUM(G45:G48)+G51+SUM(G52:G61)</f>
        <v>594.10299999999995</v>
      </c>
      <c r="H44" s="326"/>
    </row>
    <row r="45" spans="1:8" s="1" customFormat="1" ht="13.5" customHeight="1" x14ac:dyDescent="0.2">
      <c r="A45" s="142"/>
      <c r="B45" s="21" t="s">
        <v>140</v>
      </c>
      <c r="C45" s="14">
        <v>204.5</v>
      </c>
      <c r="D45" s="15">
        <v>233.7</v>
      </c>
      <c r="E45" s="15">
        <v>260.2</v>
      </c>
      <c r="F45" s="15">
        <v>321.3</v>
      </c>
      <c r="G45" s="133">
        <v>343.36700000000002</v>
      </c>
      <c r="H45" s="246"/>
    </row>
    <row r="46" spans="1:8" s="1" customFormat="1" ht="13.5" customHeight="1" x14ac:dyDescent="0.2">
      <c r="A46" s="142"/>
      <c r="B46" s="21" t="s">
        <v>141</v>
      </c>
      <c r="C46" s="17">
        <v>6.7</v>
      </c>
      <c r="D46" s="18">
        <v>10</v>
      </c>
      <c r="E46" s="18">
        <v>17.3</v>
      </c>
      <c r="F46" s="18">
        <v>19.600000000000001</v>
      </c>
      <c r="G46" s="134">
        <v>20.558</v>
      </c>
      <c r="H46" s="246"/>
    </row>
    <row r="47" spans="1:8" s="1" customFormat="1" ht="13.5" customHeight="1" x14ac:dyDescent="0.2">
      <c r="A47" s="142"/>
      <c r="B47" s="21" t="s">
        <v>142</v>
      </c>
      <c r="C47" s="17">
        <v>38.43</v>
      </c>
      <c r="D47" s="18">
        <v>45.36</v>
      </c>
      <c r="E47" s="18">
        <v>61.529999999999994</v>
      </c>
      <c r="F47" s="18">
        <v>65.03</v>
      </c>
      <c r="G47" s="134">
        <v>71.795000000000002</v>
      </c>
      <c r="H47" s="246"/>
    </row>
    <row r="48" spans="1:8" s="1" customFormat="1" ht="13.5" customHeight="1" x14ac:dyDescent="0.2">
      <c r="A48" s="142"/>
      <c r="B48" s="21" t="s">
        <v>143</v>
      </c>
      <c r="C48" s="17">
        <v>16.399999999999999</v>
      </c>
      <c r="D48" s="18">
        <v>28.6</v>
      </c>
      <c r="E48" s="18">
        <v>26.6</v>
      </c>
      <c r="F48" s="18">
        <v>18.600000000000001</v>
      </c>
      <c r="G48" s="134">
        <v>14.912000000000001</v>
      </c>
      <c r="H48" s="246"/>
    </row>
    <row r="49" spans="1:8" s="1" customFormat="1" ht="13.5" customHeight="1" x14ac:dyDescent="0.2">
      <c r="A49" s="142"/>
      <c r="B49" s="21" t="s">
        <v>144</v>
      </c>
      <c r="C49" s="17">
        <v>1.2</v>
      </c>
      <c r="D49" s="18">
        <v>4.5999999999999996</v>
      </c>
      <c r="E49" s="18">
        <v>7.8</v>
      </c>
      <c r="F49" s="18">
        <v>16.5</v>
      </c>
      <c r="G49" s="134">
        <v>20.565999999999999</v>
      </c>
      <c r="H49" s="246"/>
    </row>
    <row r="50" spans="1:8" s="1" customFormat="1" ht="13.5" customHeight="1" x14ac:dyDescent="0.2">
      <c r="A50" s="142"/>
      <c r="B50" s="21" t="s">
        <v>145</v>
      </c>
      <c r="C50" s="19">
        <v>0</v>
      </c>
      <c r="D50" s="20">
        <v>0</v>
      </c>
      <c r="E50" s="20">
        <v>0</v>
      </c>
      <c r="F50" s="20">
        <v>0</v>
      </c>
      <c r="G50" s="135">
        <v>0</v>
      </c>
      <c r="H50" s="246"/>
    </row>
    <row r="51" spans="1:8" s="1" customFormat="1" ht="13.5" customHeight="1" x14ac:dyDescent="0.2">
      <c r="A51" s="142"/>
      <c r="B51" s="127" t="s">
        <v>488</v>
      </c>
      <c r="C51" s="165">
        <f>C49-C50</f>
        <v>1.2</v>
      </c>
      <c r="D51" s="165">
        <f>D49-D50</f>
        <v>4.5999999999999996</v>
      </c>
      <c r="E51" s="165">
        <f>E49-E50</f>
        <v>7.8</v>
      </c>
      <c r="F51" s="165">
        <f>F49-F50</f>
        <v>16.5</v>
      </c>
      <c r="G51" s="166">
        <f>G49-G50</f>
        <v>20.565999999999999</v>
      </c>
      <c r="H51" s="246"/>
    </row>
    <row r="52" spans="1:8" s="1" customFormat="1" ht="13.5" customHeight="1" x14ac:dyDescent="0.2">
      <c r="A52" s="142"/>
      <c r="B52" s="21" t="s">
        <v>146</v>
      </c>
      <c r="C52" s="14">
        <v>0</v>
      </c>
      <c r="D52" s="15">
        <v>0</v>
      </c>
      <c r="E52" s="15">
        <v>0</v>
      </c>
      <c r="F52" s="15">
        <v>0</v>
      </c>
      <c r="G52" s="133">
        <v>0</v>
      </c>
      <c r="H52" s="246"/>
    </row>
    <row r="53" spans="1:8" s="1" customFormat="1" ht="13.5" customHeight="1" x14ac:dyDescent="0.2">
      <c r="A53" s="142"/>
      <c r="B53" s="21" t="s">
        <v>147</v>
      </c>
      <c r="C53" s="17">
        <v>0</v>
      </c>
      <c r="D53" s="18">
        <v>0</v>
      </c>
      <c r="E53" s="18">
        <v>0</v>
      </c>
      <c r="F53" s="18">
        <v>0</v>
      </c>
      <c r="G53" s="134">
        <v>0</v>
      </c>
      <c r="H53" s="246"/>
    </row>
    <row r="54" spans="1:8" s="1" customFormat="1" ht="13.5" customHeight="1" x14ac:dyDescent="0.2">
      <c r="A54" s="142"/>
      <c r="B54" s="21" t="s">
        <v>148</v>
      </c>
      <c r="C54" s="17">
        <v>0</v>
      </c>
      <c r="D54" s="18">
        <v>0</v>
      </c>
      <c r="E54" s="18">
        <v>0</v>
      </c>
      <c r="F54" s="18">
        <v>0</v>
      </c>
      <c r="G54" s="134">
        <v>0</v>
      </c>
      <c r="H54" s="246"/>
    </row>
    <row r="55" spans="1:8" s="1" customFormat="1" ht="13.5" customHeight="1" x14ac:dyDescent="0.2">
      <c r="A55" s="142"/>
      <c r="B55" s="21" t="s">
        <v>149</v>
      </c>
      <c r="C55" s="17">
        <v>16.47</v>
      </c>
      <c r="D55" s="18">
        <v>19.440000000000001</v>
      </c>
      <c r="E55" s="18">
        <v>26.369999999999997</v>
      </c>
      <c r="F55" s="18">
        <v>27.869999999999997</v>
      </c>
      <c r="G55" s="134">
        <v>30.768999999999998</v>
      </c>
      <c r="H55" s="246"/>
    </row>
    <row r="56" spans="1:8" s="1" customFormat="1" ht="13.5" customHeight="1" x14ac:dyDescent="0.2">
      <c r="A56" s="142"/>
      <c r="B56" s="21" t="s">
        <v>150</v>
      </c>
      <c r="C56" s="17">
        <v>40.4</v>
      </c>
      <c r="D56" s="18">
        <v>50.1</v>
      </c>
      <c r="E56" s="18">
        <v>59.4</v>
      </c>
      <c r="F56" s="18">
        <v>62</v>
      </c>
      <c r="G56" s="134">
        <v>74.972999999999999</v>
      </c>
      <c r="H56" s="246"/>
    </row>
    <row r="57" spans="1:8" s="1" customFormat="1" ht="13.5" customHeight="1" x14ac:dyDescent="0.2">
      <c r="A57" s="142"/>
      <c r="B57" s="21" t="s">
        <v>151</v>
      </c>
      <c r="C57" s="17">
        <v>5.2</v>
      </c>
      <c r="D57" s="18">
        <v>5.8</v>
      </c>
      <c r="E57" s="18">
        <v>7.6</v>
      </c>
      <c r="F57" s="18">
        <v>9.1</v>
      </c>
      <c r="G57" s="134">
        <v>15.261000000000001</v>
      </c>
      <c r="H57" s="246"/>
    </row>
    <row r="58" spans="1:8" s="1" customFormat="1" ht="13.5" customHeight="1" x14ac:dyDescent="0.2">
      <c r="A58" s="142"/>
      <c r="B58" s="21" t="s">
        <v>505</v>
      </c>
      <c r="C58" s="17">
        <v>0</v>
      </c>
      <c r="D58" s="18">
        <v>0</v>
      </c>
      <c r="E58" s="18">
        <v>0</v>
      </c>
      <c r="F58" s="18">
        <v>0</v>
      </c>
      <c r="G58" s="134">
        <v>0</v>
      </c>
      <c r="H58" s="246"/>
    </row>
    <row r="59" spans="1:8" s="1" customFormat="1" ht="13.5" customHeight="1" x14ac:dyDescent="0.2">
      <c r="A59" s="142"/>
      <c r="B59" s="21" t="s">
        <v>152</v>
      </c>
      <c r="C59" s="17">
        <v>0.2</v>
      </c>
      <c r="D59" s="18">
        <v>1.8</v>
      </c>
      <c r="E59" s="18">
        <v>1.2</v>
      </c>
      <c r="F59" s="18">
        <v>1.2</v>
      </c>
      <c r="G59" s="134">
        <v>1.8690000000000002</v>
      </c>
      <c r="H59" s="246"/>
    </row>
    <row r="60" spans="1:8" s="1" customFormat="1" ht="13.5" customHeight="1" x14ac:dyDescent="0.2">
      <c r="A60" s="142"/>
      <c r="B60" s="21" t="s">
        <v>153</v>
      </c>
      <c r="C60" s="17">
        <v>0</v>
      </c>
      <c r="D60" s="18">
        <v>0</v>
      </c>
      <c r="E60" s="18">
        <v>0</v>
      </c>
      <c r="F60" s="18">
        <v>0</v>
      </c>
      <c r="G60" s="134">
        <v>0</v>
      </c>
      <c r="H60" s="246"/>
    </row>
    <row r="61" spans="1:8" s="1" customFormat="1" ht="13.5" customHeight="1" x14ac:dyDescent="0.2">
      <c r="A61" s="142"/>
      <c r="B61" s="21" t="s">
        <v>154</v>
      </c>
      <c r="C61" s="19">
        <v>0</v>
      </c>
      <c r="D61" s="20">
        <v>0.1</v>
      </c>
      <c r="E61" s="20">
        <v>0</v>
      </c>
      <c r="F61" s="20">
        <v>0</v>
      </c>
      <c r="G61" s="135">
        <v>3.3000000000000002E-2</v>
      </c>
      <c r="H61" s="246"/>
    </row>
    <row r="62" spans="1:8" s="1" customFormat="1" ht="13.5" customHeight="1" x14ac:dyDescent="0.2">
      <c r="A62" s="142"/>
      <c r="B62" s="12"/>
      <c r="C62" s="13"/>
      <c r="D62" s="13"/>
      <c r="E62" s="13"/>
      <c r="F62" s="13"/>
      <c r="G62" s="136"/>
      <c r="H62" s="246"/>
    </row>
    <row r="63" spans="1:8" s="1" customFormat="1" ht="13.5" customHeight="1" x14ac:dyDescent="0.2">
      <c r="A63" s="142"/>
      <c r="B63" s="12"/>
      <c r="C63" s="13"/>
      <c r="D63" s="13"/>
      <c r="E63" s="13"/>
      <c r="F63" s="13"/>
      <c r="G63" s="136"/>
      <c r="H63" s="246"/>
    </row>
    <row r="64" spans="1:8" s="1" customFormat="1" ht="13.5" customHeight="1" x14ac:dyDescent="0.2">
      <c r="A64" s="142"/>
      <c r="B64" s="12"/>
      <c r="C64" s="13"/>
      <c r="D64" s="13"/>
      <c r="E64" s="13"/>
      <c r="F64" s="13"/>
      <c r="G64" s="136"/>
      <c r="H64" s="246"/>
    </row>
    <row r="65" spans="1:8" s="11" customFormat="1" ht="13.5" customHeight="1" x14ac:dyDescent="0.2">
      <c r="A65" s="157"/>
      <c r="B65" s="155" t="s">
        <v>155</v>
      </c>
      <c r="C65" s="162">
        <f>+C66+C67+C68</f>
        <v>0</v>
      </c>
      <c r="D65" s="162">
        <f>+D66+D67+D68</f>
        <v>0</v>
      </c>
      <c r="E65" s="162">
        <f>+E66+E67+E68</f>
        <v>0</v>
      </c>
      <c r="F65" s="162">
        <f>+F66+F67+F68</f>
        <v>0</v>
      </c>
      <c r="G65" s="163">
        <f>+G66+G67+G68</f>
        <v>0</v>
      </c>
      <c r="H65" s="326"/>
    </row>
    <row r="66" spans="1:8" s="1" customFormat="1" ht="13.5" customHeight="1" x14ac:dyDescent="0.2">
      <c r="A66" s="142"/>
      <c r="B66" s="21" t="s">
        <v>156</v>
      </c>
      <c r="C66" s="14">
        <v>0</v>
      </c>
      <c r="D66" s="15">
        <v>0</v>
      </c>
      <c r="E66" s="15">
        <v>0</v>
      </c>
      <c r="F66" s="15">
        <v>0</v>
      </c>
      <c r="G66" s="133">
        <v>0</v>
      </c>
      <c r="H66" s="246"/>
    </row>
    <row r="67" spans="1:8" s="1" customFormat="1" ht="13.5" customHeight="1" x14ac:dyDescent="0.2">
      <c r="A67" s="142"/>
      <c r="B67" s="21" t="s">
        <v>157</v>
      </c>
      <c r="C67" s="17">
        <v>0</v>
      </c>
      <c r="D67" s="18">
        <v>0</v>
      </c>
      <c r="E67" s="18">
        <v>0</v>
      </c>
      <c r="F67" s="18">
        <v>0</v>
      </c>
      <c r="G67" s="134">
        <v>0</v>
      </c>
      <c r="H67" s="246"/>
    </row>
    <row r="68" spans="1:8" s="1" customFormat="1" ht="13.5" customHeight="1" x14ac:dyDescent="0.2">
      <c r="A68" s="142"/>
      <c r="B68" s="21" t="s">
        <v>158</v>
      </c>
      <c r="C68" s="19">
        <v>0</v>
      </c>
      <c r="D68" s="20">
        <v>0</v>
      </c>
      <c r="E68" s="20">
        <v>0</v>
      </c>
      <c r="F68" s="20">
        <v>0</v>
      </c>
      <c r="G68" s="135">
        <v>0</v>
      </c>
      <c r="H68" s="246"/>
    </row>
    <row r="69" spans="1:8" s="1" customFormat="1" ht="13.5" customHeight="1" x14ac:dyDescent="0.2">
      <c r="A69" s="142"/>
      <c r="B69" s="12"/>
      <c r="C69" s="13"/>
      <c r="D69" s="13"/>
      <c r="E69" s="13"/>
      <c r="F69" s="13"/>
      <c r="G69" s="136"/>
      <c r="H69" s="246"/>
    </row>
    <row r="70" spans="1:8" s="1" customFormat="1" ht="13.5" customHeight="1" x14ac:dyDescent="0.2">
      <c r="A70" s="142"/>
      <c r="B70" s="12"/>
      <c r="C70" s="13"/>
      <c r="D70" s="13"/>
      <c r="E70" s="13"/>
      <c r="F70" s="13"/>
      <c r="G70" s="136"/>
      <c r="H70" s="246"/>
    </row>
    <row r="71" spans="1:8" s="1" customFormat="1" ht="13.5" customHeight="1" x14ac:dyDescent="0.2">
      <c r="A71" s="142"/>
      <c r="B71" s="12"/>
      <c r="C71" s="13"/>
      <c r="D71" s="13"/>
      <c r="E71" s="13"/>
      <c r="F71" s="13"/>
      <c r="G71" s="136"/>
      <c r="H71" s="246"/>
    </row>
    <row r="72" spans="1:8" s="11" customFormat="1" ht="13.5" customHeight="1" x14ac:dyDescent="0.2">
      <c r="A72" s="157"/>
      <c r="B72" s="155" t="s">
        <v>159</v>
      </c>
      <c r="C72" s="162">
        <f>+C73-C74</f>
        <v>0</v>
      </c>
      <c r="D72" s="162">
        <f>+D73-D74</f>
        <v>0.1</v>
      </c>
      <c r="E72" s="162">
        <f>+E73-E74</f>
        <v>-1.6</v>
      </c>
      <c r="F72" s="162">
        <f>+F73-F74</f>
        <v>-0.3</v>
      </c>
      <c r="G72" s="163">
        <f>+G73-G74</f>
        <v>2.0000000000001128E-3</v>
      </c>
      <c r="H72" s="326"/>
    </row>
    <row r="73" spans="1:8" s="1" customFormat="1" ht="13.5" customHeight="1" x14ac:dyDescent="0.2">
      <c r="A73" s="142"/>
      <c r="B73" s="21" t="s">
        <v>160</v>
      </c>
      <c r="C73" s="14">
        <v>0</v>
      </c>
      <c r="D73" s="15">
        <v>0.1</v>
      </c>
      <c r="E73" s="15">
        <v>0</v>
      </c>
      <c r="F73" s="15">
        <v>0</v>
      </c>
      <c r="G73" s="133">
        <v>0.67900000000000005</v>
      </c>
      <c r="H73" s="246"/>
    </row>
    <row r="74" spans="1:8" s="1" customFormat="1" ht="13.5" customHeight="1" x14ac:dyDescent="0.2">
      <c r="A74" s="142"/>
      <c r="B74" s="21" t="s">
        <v>161</v>
      </c>
      <c r="C74" s="19">
        <v>0</v>
      </c>
      <c r="D74" s="20">
        <v>0</v>
      </c>
      <c r="E74" s="20">
        <v>1.6</v>
      </c>
      <c r="F74" s="20">
        <v>0.3</v>
      </c>
      <c r="G74" s="135">
        <v>0.67699999999999994</v>
      </c>
      <c r="H74" s="246"/>
    </row>
    <row r="75" spans="1:8" s="1" customFormat="1" ht="13.5" customHeight="1" x14ac:dyDescent="0.2">
      <c r="A75" s="142"/>
      <c r="B75" s="12"/>
      <c r="C75" s="13"/>
      <c r="D75" s="13"/>
      <c r="E75" s="13"/>
      <c r="F75" s="13"/>
      <c r="G75" s="136"/>
      <c r="H75" s="246"/>
    </row>
    <row r="76" spans="1:8" s="1" customFormat="1" ht="13.5" customHeight="1" x14ac:dyDescent="0.2">
      <c r="A76" s="142"/>
      <c r="B76" s="12"/>
      <c r="C76" s="13"/>
      <c r="D76" s="13"/>
      <c r="E76" s="13"/>
      <c r="F76" s="13"/>
      <c r="G76" s="136"/>
      <c r="H76" s="246"/>
    </row>
    <row r="77" spans="1:8" s="1" customFormat="1" ht="13.5" customHeight="1" x14ac:dyDescent="0.2">
      <c r="A77" s="142"/>
      <c r="B77" s="12"/>
      <c r="C77" s="13"/>
      <c r="D77" s="13"/>
      <c r="E77" s="13"/>
      <c r="F77" s="13"/>
      <c r="G77" s="136"/>
      <c r="H77" s="246"/>
    </row>
    <row r="78" spans="1:8" s="1" customFormat="1" ht="13.5" customHeight="1" x14ac:dyDescent="0.2">
      <c r="A78" s="142"/>
      <c r="B78" s="21" t="s">
        <v>162</v>
      </c>
      <c r="C78" s="14">
        <v>7</v>
      </c>
      <c r="D78" s="15">
        <v>11.7</v>
      </c>
      <c r="E78" s="15">
        <v>13.5</v>
      </c>
      <c r="F78" s="15">
        <v>12</v>
      </c>
      <c r="G78" s="133">
        <v>18.5</v>
      </c>
      <c r="H78" s="246"/>
    </row>
    <row r="79" spans="1:8" s="1" customFormat="1" ht="13.5" customHeight="1" x14ac:dyDescent="0.2">
      <c r="A79" s="142"/>
      <c r="B79" s="21" t="s">
        <v>163</v>
      </c>
      <c r="C79" s="19">
        <v>0.5</v>
      </c>
      <c r="D79" s="20">
        <v>0.4</v>
      </c>
      <c r="E79" s="20">
        <v>0.5</v>
      </c>
      <c r="F79" s="20">
        <v>-1.4</v>
      </c>
      <c r="G79" s="135">
        <v>-0.64400000000000002</v>
      </c>
      <c r="H79" s="246"/>
    </row>
    <row r="80" spans="1:8" s="1" customFormat="1" ht="13.5" customHeight="1" x14ac:dyDescent="0.2">
      <c r="A80" s="142"/>
      <c r="B80" s="12"/>
      <c r="C80" s="13"/>
      <c r="D80" s="13"/>
      <c r="E80" s="13"/>
      <c r="F80" s="13"/>
      <c r="G80" s="136"/>
      <c r="H80" s="246"/>
    </row>
    <row r="81" spans="1:8" s="1" customFormat="1" ht="13.5" customHeight="1" x14ac:dyDescent="0.2">
      <c r="A81" s="142"/>
      <c r="B81" s="12"/>
      <c r="C81" s="13"/>
      <c r="D81" s="13"/>
      <c r="E81" s="13"/>
      <c r="F81" s="13"/>
      <c r="G81" s="136"/>
      <c r="H81" s="246"/>
    </row>
    <row r="82" spans="1:8" s="23" customFormat="1" ht="13.5" customHeight="1" x14ac:dyDescent="0.2">
      <c r="A82" s="158"/>
      <c r="B82" s="127" t="s">
        <v>489</v>
      </c>
      <c r="C82" s="165">
        <f>C78+C79</f>
        <v>7.5</v>
      </c>
      <c r="D82" s="165">
        <f>D78+D79</f>
        <v>12.1</v>
      </c>
      <c r="E82" s="165">
        <f>E78+E79</f>
        <v>14</v>
      </c>
      <c r="F82" s="165">
        <f>F78+F79</f>
        <v>10.6</v>
      </c>
      <c r="G82" s="166">
        <f>G78+G79</f>
        <v>17.856000000000002</v>
      </c>
      <c r="H82" s="274"/>
    </row>
    <row r="83" spans="1:8" s="1" customFormat="1" ht="13.5" customHeight="1" x14ac:dyDescent="0.2">
      <c r="A83" s="142"/>
      <c r="B83" s="21" t="s">
        <v>500</v>
      </c>
      <c r="C83" s="14">
        <v>0</v>
      </c>
      <c r="D83" s="15">
        <v>0</v>
      </c>
      <c r="E83" s="15">
        <v>0</v>
      </c>
      <c r="F83" s="15">
        <v>0</v>
      </c>
      <c r="G83" s="133">
        <v>0</v>
      </c>
      <c r="H83" s="246"/>
    </row>
    <row r="84" spans="1:8" s="1" customFormat="1" ht="13.5" customHeight="1" x14ac:dyDescent="0.2">
      <c r="A84" s="142"/>
      <c r="B84" s="21" t="s">
        <v>499</v>
      </c>
      <c r="C84" s="19">
        <v>0</v>
      </c>
      <c r="D84" s="20">
        <v>0</v>
      </c>
      <c r="E84" s="20">
        <v>0</v>
      </c>
      <c r="F84" s="20">
        <v>0</v>
      </c>
      <c r="G84" s="135">
        <v>0</v>
      </c>
      <c r="H84" s="246"/>
    </row>
    <row r="85" spans="1:8" s="23" customFormat="1" ht="13.5" customHeight="1" x14ac:dyDescent="0.2">
      <c r="A85" s="158"/>
      <c r="B85" s="21" t="s">
        <v>511</v>
      </c>
      <c r="C85" s="19">
        <v>0</v>
      </c>
      <c r="D85" s="20">
        <v>0</v>
      </c>
      <c r="E85" s="20">
        <v>0</v>
      </c>
      <c r="F85" s="20">
        <v>0</v>
      </c>
      <c r="G85" s="135">
        <v>0</v>
      </c>
      <c r="H85" s="274"/>
    </row>
    <row r="86" spans="1:8" s="23" customFormat="1" ht="13.5" customHeight="1" x14ac:dyDescent="0.2">
      <c r="A86" s="158"/>
      <c r="B86" s="12"/>
      <c r="C86" s="13"/>
      <c r="D86" s="13"/>
      <c r="E86" s="13"/>
      <c r="F86" s="13"/>
      <c r="G86" s="136"/>
      <c r="H86" s="246"/>
    </row>
    <row r="87" spans="1:8" s="23" customFormat="1" ht="13.5" customHeight="1" x14ac:dyDescent="0.2">
      <c r="A87" s="158"/>
      <c r="B87" s="12"/>
      <c r="C87" s="13"/>
      <c r="D87" s="13"/>
      <c r="E87" s="13"/>
      <c r="F87" s="13"/>
      <c r="G87" s="136"/>
      <c r="H87" s="246"/>
    </row>
    <row r="88" spans="1:8" s="16" customFormat="1" ht="13.5" thickBot="1" x14ac:dyDescent="0.25">
      <c r="A88" s="159"/>
      <c r="B88" s="164" t="s">
        <v>164</v>
      </c>
      <c r="C88" s="161">
        <f>+C25+C35-C44-C65+C72-C82-C83-C84-C85</f>
        <v>-84.499999999999943</v>
      </c>
      <c r="D88" s="161">
        <f>+D25+D35-D44-D65+D72-D82-D83-D84-D85</f>
        <v>-158.20000000000005</v>
      </c>
      <c r="E88" s="162">
        <f>+E25+E35-E44-E65+E72-E82-E83-E84-E85</f>
        <v>-228.1</v>
      </c>
      <c r="F88" s="161">
        <f>+F25+F35-F44-F65+F72-F82-F83-F84-F85</f>
        <v>-295.00000000000006</v>
      </c>
      <c r="G88" s="163">
        <f>+G25+G35-G44-G65+G72-G82-G83-G84-G85</f>
        <v>-353.05599999999993</v>
      </c>
      <c r="H88" s="327"/>
    </row>
    <row r="89" spans="1:8" s="16" customFormat="1" x14ac:dyDescent="0.2">
      <c r="E89" s="156"/>
      <c r="G89" s="156"/>
      <c r="H89" s="246"/>
    </row>
    <row r="90" spans="1:8" s="16" customFormat="1" ht="13.5" thickBot="1" x14ac:dyDescent="0.25">
      <c r="H90" s="246"/>
    </row>
    <row r="91" spans="1:8" s="1" customFormat="1" ht="19.5" thickBot="1" x14ac:dyDescent="0.25">
      <c r="A91" s="141"/>
      <c r="B91" s="144" t="s">
        <v>718</v>
      </c>
      <c r="C91" s="150"/>
      <c r="D91" s="151"/>
      <c r="E91" s="151"/>
      <c r="F91" s="151"/>
      <c r="G91" s="151"/>
      <c r="H91" s="246"/>
    </row>
    <row r="92" spans="1:8" s="1" customFormat="1" ht="13.5" customHeight="1" x14ac:dyDescent="0.2">
      <c r="A92" s="132"/>
      <c r="B92" s="140"/>
      <c r="C92" s="12"/>
      <c r="D92" s="12"/>
      <c r="E92" s="12"/>
      <c r="F92" s="12"/>
      <c r="G92" s="196"/>
      <c r="H92" s="246"/>
    </row>
    <row r="93" spans="1:8" s="11" customFormat="1" ht="13.5" customHeight="1" x14ac:dyDescent="0.2">
      <c r="A93" s="131"/>
      <c r="B93" s="169" t="s">
        <v>165</v>
      </c>
      <c r="C93" s="162">
        <f>SUM(C94:C99)-C100-C98</f>
        <v>141</v>
      </c>
      <c r="D93" s="162">
        <f>SUM(D94:D99)-D100-D98</f>
        <v>292</v>
      </c>
      <c r="E93" s="162">
        <f>SUM(E94:E99)-E100-E98</f>
        <v>413</v>
      </c>
      <c r="F93" s="162">
        <f>SUM(F94:F99)-F100-F98</f>
        <v>602</v>
      </c>
      <c r="G93" s="163">
        <f>SUM(G94:G99)-G100-G98</f>
        <v>900.14</v>
      </c>
      <c r="H93" s="326"/>
    </row>
    <row r="94" spans="1:8" s="1" customFormat="1" ht="13.5" customHeight="1" x14ac:dyDescent="0.2">
      <c r="A94" s="132"/>
      <c r="B94" s="139" t="s">
        <v>166</v>
      </c>
      <c r="C94" s="14">
        <v>1</v>
      </c>
      <c r="D94" s="15">
        <v>1</v>
      </c>
      <c r="E94" s="15">
        <v>1</v>
      </c>
      <c r="F94" s="15">
        <v>1</v>
      </c>
      <c r="G94" s="133">
        <v>1.01</v>
      </c>
      <c r="H94" s="246"/>
    </row>
    <row r="95" spans="1:8" s="1" customFormat="1" ht="13.5" customHeight="1" x14ac:dyDescent="0.2">
      <c r="A95" s="132"/>
      <c r="B95" s="139" t="s">
        <v>167</v>
      </c>
      <c r="C95" s="19">
        <v>0</v>
      </c>
      <c r="D95" s="20">
        <v>0</v>
      </c>
      <c r="E95" s="20">
        <v>0</v>
      </c>
      <c r="F95" s="20">
        <v>0</v>
      </c>
      <c r="G95" s="135">
        <v>0</v>
      </c>
      <c r="H95" s="246"/>
    </row>
    <row r="96" spans="1:8" s="1" customFormat="1" ht="13.5" customHeight="1" x14ac:dyDescent="0.2">
      <c r="A96" s="132"/>
      <c r="B96" s="139" t="s">
        <v>168</v>
      </c>
      <c r="C96" s="19">
        <v>0</v>
      </c>
      <c r="D96" s="20">
        <v>0</v>
      </c>
      <c r="E96" s="20">
        <v>0</v>
      </c>
      <c r="F96" s="20">
        <v>0</v>
      </c>
      <c r="G96" s="135">
        <v>0</v>
      </c>
      <c r="H96" s="246"/>
    </row>
    <row r="97" spans="1:8" s="1" customFormat="1" ht="13.5" customHeight="1" x14ac:dyDescent="0.2">
      <c r="A97" s="132"/>
      <c r="B97" s="139" t="s">
        <v>169</v>
      </c>
      <c r="C97" s="19">
        <v>0</v>
      </c>
      <c r="D97" s="20">
        <v>0</v>
      </c>
      <c r="E97" s="20">
        <v>0</v>
      </c>
      <c r="F97" s="20">
        <v>0</v>
      </c>
      <c r="G97" s="135">
        <v>0</v>
      </c>
      <c r="H97" s="246"/>
    </row>
    <row r="98" spans="1:8" s="1" customFormat="1" ht="13.5" customHeight="1" x14ac:dyDescent="0.2">
      <c r="A98" s="132"/>
      <c r="B98" s="139" t="s">
        <v>170</v>
      </c>
      <c r="C98" s="19">
        <v>0</v>
      </c>
      <c r="D98" s="20">
        <v>0</v>
      </c>
      <c r="E98" s="20">
        <v>0</v>
      </c>
      <c r="F98" s="20">
        <v>0</v>
      </c>
      <c r="G98" s="135">
        <v>0</v>
      </c>
      <c r="H98" s="246"/>
    </row>
    <row r="99" spans="1:8" s="1" customFormat="1" ht="13.5" customHeight="1" x14ac:dyDescent="0.2">
      <c r="A99" s="132"/>
      <c r="B99" s="139" t="s">
        <v>171</v>
      </c>
      <c r="C99" s="17">
        <v>145</v>
      </c>
      <c r="D99" s="18">
        <v>291</v>
      </c>
      <c r="E99" s="18">
        <v>412</v>
      </c>
      <c r="F99" s="18">
        <v>601</v>
      </c>
      <c r="G99" s="134">
        <v>914.41</v>
      </c>
      <c r="H99" s="246"/>
    </row>
    <row r="100" spans="1:8" s="1" customFormat="1" ht="13.5" customHeight="1" x14ac:dyDescent="0.2">
      <c r="A100" s="132"/>
      <c r="B100" s="139" t="s">
        <v>172</v>
      </c>
      <c r="C100" s="19">
        <v>5</v>
      </c>
      <c r="D100" s="20">
        <v>0</v>
      </c>
      <c r="E100" s="20">
        <v>0</v>
      </c>
      <c r="F100" s="20">
        <v>0</v>
      </c>
      <c r="G100" s="135">
        <v>15.28</v>
      </c>
      <c r="H100" s="246"/>
    </row>
    <row r="101" spans="1:8" s="1" customFormat="1" ht="13.5" customHeight="1" x14ac:dyDescent="0.2">
      <c r="A101" s="132"/>
      <c r="B101" s="140"/>
      <c r="C101" s="13"/>
      <c r="D101" s="13"/>
      <c r="E101" s="13"/>
      <c r="F101" s="13"/>
      <c r="G101" s="136"/>
      <c r="H101" s="246"/>
    </row>
    <row r="102" spans="1:8" s="1" customFormat="1" ht="13.5" customHeight="1" x14ac:dyDescent="0.2">
      <c r="A102" s="132"/>
      <c r="B102" s="140"/>
      <c r="C102" s="13"/>
      <c r="D102" s="13"/>
      <c r="E102" s="13"/>
      <c r="F102" s="13"/>
      <c r="G102" s="136"/>
      <c r="H102" s="246"/>
    </row>
    <row r="103" spans="1:8" s="1" customFormat="1" ht="13.5" customHeight="1" x14ac:dyDescent="0.2">
      <c r="A103" s="132"/>
      <c r="B103" s="140"/>
      <c r="C103" s="13"/>
      <c r="D103" s="13"/>
      <c r="E103" s="13"/>
      <c r="F103" s="13"/>
      <c r="G103" s="136"/>
      <c r="H103" s="246"/>
    </row>
    <row r="104" spans="1:8" s="1" customFormat="1" ht="13.5" customHeight="1" x14ac:dyDescent="0.2">
      <c r="A104" s="132"/>
      <c r="B104" s="140"/>
      <c r="C104" s="13"/>
      <c r="D104" s="13"/>
      <c r="E104" s="13"/>
      <c r="F104" s="13"/>
      <c r="G104" s="136"/>
      <c r="H104" s="246"/>
    </row>
    <row r="105" spans="1:8" s="1" customFormat="1" ht="13.5" customHeight="1" x14ac:dyDescent="0.2">
      <c r="A105" s="132"/>
      <c r="B105" s="139" t="s">
        <v>173</v>
      </c>
      <c r="C105" s="187">
        <v>5</v>
      </c>
      <c r="D105" s="188">
        <v>9</v>
      </c>
      <c r="E105" s="188">
        <v>14</v>
      </c>
      <c r="F105" s="188">
        <v>0</v>
      </c>
      <c r="G105" s="189">
        <v>0</v>
      </c>
      <c r="H105" s="246"/>
    </row>
    <row r="106" spans="1:8" s="1" customFormat="1" ht="13.5" customHeight="1" x14ac:dyDescent="0.2">
      <c r="A106" s="132"/>
      <c r="B106" s="140"/>
      <c r="C106" s="13"/>
      <c r="D106" s="13"/>
      <c r="E106" s="13"/>
      <c r="F106" s="13"/>
      <c r="G106" s="136"/>
      <c r="H106" s="246"/>
    </row>
    <row r="107" spans="1:8" s="11" customFormat="1" ht="13.5" customHeight="1" x14ac:dyDescent="0.2">
      <c r="A107" s="131"/>
      <c r="B107" s="169" t="s">
        <v>174</v>
      </c>
      <c r="C107" s="162">
        <f>SUM(C108:C115)</f>
        <v>53</v>
      </c>
      <c r="D107" s="162">
        <f>SUM(D108:D115)</f>
        <v>130</v>
      </c>
      <c r="E107" s="162">
        <f>SUM(E108:E115)</f>
        <v>16</v>
      </c>
      <c r="F107" s="162">
        <f>SUM(F108:F115)</f>
        <v>2</v>
      </c>
      <c r="G107" s="163">
        <f>SUM(G108:G115)</f>
        <v>290.45999999999998</v>
      </c>
      <c r="H107" s="326"/>
    </row>
    <row r="108" spans="1:8" s="1" customFormat="1" ht="13.5" customHeight="1" x14ac:dyDescent="0.2">
      <c r="A108" s="132"/>
      <c r="B108" s="139" t="s">
        <v>175</v>
      </c>
      <c r="C108" s="14">
        <v>0</v>
      </c>
      <c r="D108" s="15">
        <v>0</v>
      </c>
      <c r="E108" s="15">
        <v>0</v>
      </c>
      <c r="F108" s="15">
        <v>0</v>
      </c>
      <c r="G108" s="133">
        <v>0</v>
      </c>
      <c r="H108" s="246"/>
    </row>
    <row r="109" spans="1:8" s="1" customFormat="1" ht="13.5" customHeight="1" x14ac:dyDescent="0.2">
      <c r="A109" s="132"/>
      <c r="B109" s="139" t="s">
        <v>176</v>
      </c>
      <c r="C109" s="14">
        <v>0</v>
      </c>
      <c r="D109" s="15">
        <v>0</v>
      </c>
      <c r="E109" s="15">
        <v>0</v>
      </c>
      <c r="F109" s="15">
        <v>0</v>
      </c>
      <c r="G109" s="133">
        <v>0</v>
      </c>
      <c r="H109" s="246"/>
    </row>
    <row r="110" spans="1:8" s="1" customFormat="1" ht="13.5" customHeight="1" x14ac:dyDescent="0.2">
      <c r="A110" s="132"/>
      <c r="B110" s="139" t="s">
        <v>177</v>
      </c>
      <c r="C110" s="14">
        <v>0</v>
      </c>
      <c r="D110" s="15">
        <v>0</v>
      </c>
      <c r="E110" s="15">
        <v>0</v>
      </c>
      <c r="F110" s="15">
        <v>0</v>
      </c>
      <c r="G110" s="133">
        <v>0</v>
      </c>
      <c r="H110" s="246"/>
    </row>
    <row r="111" spans="1:8" s="1" customFormat="1" ht="13.5" customHeight="1" x14ac:dyDescent="0.2">
      <c r="A111" s="132"/>
      <c r="B111" s="139" t="s">
        <v>178</v>
      </c>
      <c r="C111" s="14">
        <v>0</v>
      </c>
      <c r="D111" s="15">
        <v>0</v>
      </c>
      <c r="E111" s="15">
        <v>0</v>
      </c>
      <c r="F111" s="15">
        <v>0</v>
      </c>
      <c r="G111" s="133">
        <v>0</v>
      </c>
      <c r="H111" s="246"/>
    </row>
    <row r="112" spans="1:8" s="1" customFormat="1" ht="13.5" customHeight="1" x14ac:dyDescent="0.2">
      <c r="A112" s="132"/>
      <c r="B112" s="139" t="s">
        <v>179</v>
      </c>
      <c r="C112" s="17">
        <v>7</v>
      </c>
      <c r="D112" s="18">
        <v>28</v>
      </c>
      <c r="E112" s="18">
        <v>16</v>
      </c>
      <c r="F112" s="18">
        <v>2</v>
      </c>
      <c r="G112" s="134">
        <v>285</v>
      </c>
      <c r="H112" s="246"/>
    </row>
    <row r="113" spans="1:8" s="1" customFormat="1" ht="13.5" customHeight="1" x14ac:dyDescent="0.2">
      <c r="A113" s="132"/>
      <c r="B113" s="139" t="s">
        <v>180</v>
      </c>
      <c r="C113" s="14">
        <v>0</v>
      </c>
      <c r="D113" s="15">
        <v>0</v>
      </c>
      <c r="E113" s="15">
        <v>0</v>
      </c>
      <c r="F113" s="15">
        <v>0</v>
      </c>
      <c r="G113" s="133">
        <v>0</v>
      </c>
      <c r="H113" s="246"/>
    </row>
    <row r="114" spans="1:8" s="1" customFormat="1" ht="13.5" customHeight="1" x14ac:dyDescent="0.2">
      <c r="A114" s="132"/>
      <c r="B114" s="139" t="s">
        <v>181</v>
      </c>
      <c r="C114" s="17">
        <v>46</v>
      </c>
      <c r="D114" s="18">
        <v>102</v>
      </c>
      <c r="E114" s="18">
        <v>0</v>
      </c>
      <c r="F114" s="18">
        <v>0</v>
      </c>
      <c r="G114" s="134">
        <v>0</v>
      </c>
      <c r="H114" s="246"/>
    </row>
    <row r="115" spans="1:8" s="1" customFormat="1" ht="13.5" customHeight="1" x14ac:dyDescent="0.2">
      <c r="A115" s="132"/>
      <c r="B115" s="139" t="s">
        <v>182</v>
      </c>
      <c r="C115" s="14">
        <v>0</v>
      </c>
      <c r="D115" s="15">
        <v>0</v>
      </c>
      <c r="E115" s="15">
        <v>0</v>
      </c>
      <c r="F115" s="15">
        <v>0</v>
      </c>
      <c r="G115" s="133">
        <v>5.46</v>
      </c>
      <c r="H115" s="246"/>
    </row>
    <row r="116" spans="1:8" s="1" customFormat="1" ht="13.5" customHeight="1" x14ac:dyDescent="0.2">
      <c r="A116" s="132"/>
      <c r="B116" s="140"/>
      <c r="C116" s="13"/>
      <c r="D116" s="13"/>
      <c r="E116" s="13"/>
      <c r="F116" s="13"/>
      <c r="G116" s="136"/>
      <c r="H116" s="246"/>
    </row>
    <row r="117" spans="1:8" s="1" customFormat="1" ht="13.5" customHeight="1" x14ac:dyDescent="0.2">
      <c r="A117" s="132"/>
      <c r="B117" s="140"/>
      <c r="C117" s="13"/>
      <c r="D117" s="13"/>
      <c r="E117" s="13"/>
      <c r="F117" s="13"/>
      <c r="G117" s="136"/>
      <c r="H117" s="246"/>
    </row>
    <row r="118" spans="1:8" s="1" customFormat="1" ht="13.5" customHeight="1" x14ac:dyDescent="0.2">
      <c r="A118" s="132"/>
      <c r="B118" s="140"/>
      <c r="C118" s="13"/>
      <c r="D118" s="13"/>
      <c r="E118" s="13"/>
      <c r="F118" s="13"/>
      <c r="G118" s="136"/>
      <c r="H118" s="246"/>
    </row>
    <row r="119" spans="1:8" s="1" customFormat="1" ht="13.5" customHeight="1" x14ac:dyDescent="0.2">
      <c r="A119" s="132"/>
      <c r="B119" s="140"/>
      <c r="C119" s="13"/>
      <c r="D119" s="13"/>
      <c r="E119" s="13"/>
      <c r="F119" s="13"/>
      <c r="G119" s="136"/>
      <c r="H119" s="246"/>
    </row>
    <row r="120" spans="1:8" s="11" customFormat="1" ht="13.5" customHeight="1" x14ac:dyDescent="0.2">
      <c r="A120" s="131"/>
      <c r="B120" s="169" t="s">
        <v>183</v>
      </c>
      <c r="C120" s="162">
        <f>SUM(C121:C129)</f>
        <v>212</v>
      </c>
      <c r="D120" s="162">
        <f>SUM(D121:D129)</f>
        <v>208</v>
      </c>
      <c r="E120" s="162">
        <f>SUM(E121:E129)</f>
        <v>226</v>
      </c>
      <c r="F120" s="162">
        <f>SUM(F121:F129)</f>
        <v>308</v>
      </c>
      <c r="G120" s="163">
        <f>SUM(G121:G129)</f>
        <v>158.19999999999999</v>
      </c>
      <c r="H120" s="326"/>
    </row>
    <row r="121" spans="1:8" s="1" customFormat="1" ht="13.5" customHeight="1" x14ac:dyDescent="0.2">
      <c r="A121" s="132"/>
      <c r="B121" s="139" t="s">
        <v>184</v>
      </c>
      <c r="C121" s="14">
        <v>207</v>
      </c>
      <c r="D121" s="15">
        <v>202</v>
      </c>
      <c r="E121" s="15">
        <v>201</v>
      </c>
      <c r="F121" s="15">
        <v>293</v>
      </c>
      <c r="G121" s="133">
        <v>69.73</v>
      </c>
      <c r="H121" s="246"/>
    </row>
    <row r="122" spans="1:8" s="1" customFormat="1" ht="13.5" customHeight="1" x14ac:dyDescent="0.2">
      <c r="A122" s="132"/>
      <c r="B122" s="139" t="s">
        <v>185</v>
      </c>
      <c r="C122" s="14">
        <v>0</v>
      </c>
      <c r="D122" s="15">
        <v>0</v>
      </c>
      <c r="E122" s="15">
        <v>0</v>
      </c>
      <c r="F122" s="15">
        <v>0</v>
      </c>
      <c r="G122" s="133">
        <v>0</v>
      </c>
      <c r="H122" s="246"/>
    </row>
    <row r="123" spans="1:8" s="1" customFormat="1" ht="13.5" customHeight="1" x14ac:dyDescent="0.2">
      <c r="A123" s="132"/>
      <c r="B123" s="139" t="s">
        <v>186</v>
      </c>
      <c r="C123" s="17">
        <v>0</v>
      </c>
      <c r="D123" s="18">
        <v>0</v>
      </c>
      <c r="E123" s="18">
        <v>25</v>
      </c>
      <c r="F123" s="18">
        <v>15</v>
      </c>
      <c r="G123" s="134">
        <v>88.47</v>
      </c>
      <c r="H123" s="246"/>
    </row>
    <row r="124" spans="1:8" s="1" customFormat="1" ht="13.5" customHeight="1" x14ac:dyDescent="0.2">
      <c r="A124" s="132"/>
      <c r="B124" s="139" t="s">
        <v>181</v>
      </c>
      <c r="C124" s="14">
        <v>0</v>
      </c>
      <c r="D124" s="15">
        <v>0</v>
      </c>
      <c r="E124" s="15">
        <v>0</v>
      </c>
      <c r="F124" s="15">
        <v>0</v>
      </c>
      <c r="G124" s="133">
        <v>0</v>
      </c>
      <c r="H124" s="246"/>
    </row>
    <row r="125" spans="1:8" s="1" customFormat="1" ht="13.5" customHeight="1" x14ac:dyDescent="0.2">
      <c r="A125" s="132"/>
      <c r="B125" s="139" t="s">
        <v>187</v>
      </c>
      <c r="C125" s="14">
        <v>0</v>
      </c>
      <c r="D125" s="15">
        <v>0</v>
      </c>
      <c r="E125" s="15">
        <v>0</v>
      </c>
      <c r="F125" s="15">
        <v>0</v>
      </c>
      <c r="G125" s="133">
        <v>0</v>
      </c>
      <c r="H125" s="246"/>
    </row>
    <row r="126" spans="1:8" s="1" customFormat="1" ht="13.5" customHeight="1" x14ac:dyDescent="0.2">
      <c r="A126" s="132"/>
      <c r="B126" s="139" t="s">
        <v>188</v>
      </c>
      <c r="C126" s="14">
        <v>0</v>
      </c>
      <c r="D126" s="15">
        <v>0</v>
      </c>
      <c r="E126" s="15">
        <v>0</v>
      </c>
      <c r="F126" s="15">
        <v>0</v>
      </c>
      <c r="G126" s="133">
        <v>0</v>
      </c>
      <c r="H126" s="246"/>
    </row>
    <row r="127" spans="1:8" s="1" customFormat="1" ht="13.5" customHeight="1" x14ac:dyDescent="0.2">
      <c r="A127" s="132"/>
      <c r="B127" s="139" t="s">
        <v>189</v>
      </c>
      <c r="C127" s="14">
        <v>5</v>
      </c>
      <c r="D127" s="15">
        <v>6</v>
      </c>
      <c r="E127" s="15">
        <v>0</v>
      </c>
      <c r="F127" s="15">
        <v>0</v>
      </c>
      <c r="G127" s="133">
        <v>0</v>
      </c>
      <c r="H127" s="246"/>
    </row>
    <row r="128" spans="1:8" s="1" customFormat="1" ht="13.5" customHeight="1" x14ac:dyDescent="0.2">
      <c r="A128" s="132"/>
      <c r="B128" s="139" t="s">
        <v>190</v>
      </c>
      <c r="C128" s="14">
        <v>0</v>
      </c>
      <c r="D128" s="15">
        <v>0</v>
      </c>
      <c r="E128" s="15">
        <v>0</v>
      </c>
      <c r="F128" s="15">
        <v>0</v>
      </c>
      <c r="G128" s="133">
        <v>0</v>
      </c>
      <c r="H128" s="246"/>
    </row>
    <row r="129" spans="1:8" s="1" customFormat="1" ht="13.5" customHeight="1" x14ac:dyDescent="0.2">
      <c r="A129" s="132"/>
      <c r="B129" s="139" t="s">
        <v>512</v>
      </c>
      <c r="C129" s="14">
        <v>0</v>
      </c>
      <c r="D129" s="15">
        <v>0</v>
      </c>
      <c r="E129" s="15">
        <v>0</v>
      </c>
      <c r="F129" s="15">
        <v>0</v>
      </c>
      <c r="G129" s="133">
        <v>0</v>
      </c>
      <c r="H129" s="246"/>
    </row>
    <row r="130" spans="1:8" s="1" customFormat="1" ht="13.5" customHeight="1" x14ac:dyDescent="0.2">
      <c r="A130" s="132"/>
      <c r="B130" s="140"/>
      <c r="C130" s="13"/>
      <c r="D130" s="13"/>
      <c r="E130" s="13"/>
      <c r="F130" s="13"/>
      <c r="G130" s="136"/>
      <c r="H130" s="246"/>
    </row>
    <row r="131" spans="1:8" s="1" customFormat="1" ht="13.5" customHeight="1" x14ac:dyDescent="0.2">
      <c r="A131" s="132"/>
      <c r="B131" s="140"/>
      <c r="C131" s="13"/>
      <c r="D131" s="13"/>
      <c r="E131" s="13"/>
      <c r="F131" s="13"/>
      <c r="G131" s="136"/>
      <c r="H131" s="246"/>
    </row>
    <row r="132" spans="1:8" s="1" customFormat="1" ht="13.5" customHeight="1" x14ac:dyDescent="0.2">
      <c r="A132" s="132"/>
      <c r="B132" s="140"/>
      <c r="C132" s="13"/>
      <c r="D132" s="13"/>
      <c r="E132" s="13"/>
      <c r="F132" s="13"/>
      <c r="G132" s="136"/>
      <c r="H132" s="246"/>
    </row>
    <row r="133" spans="1:8" s="11" customFormat="1" ht="13.5" customHeight="1" x14ac:dyDescent="0.2">
      <c r="A133" s="131"/>
      <c r="B133" s="169" t="s">
        <v>191</v>
      </c>
      <c r="C133" s="162">
        <f>SUM(C134:C139)</f>
        <v>201</v>
      </c>
      <c r="D133" s="162">
        <f>SUM(D134:D139)</f>
        <v>366</v>
      </c>
      <c r="E133" s="162">
        <f>SUM(E134:E139)</f>
        <v>342</v>
      </c>
      <c r="F133" s="162">
        <f>SUM(F134:F139)</f>
        <v>324</v>
      </c>
      <c r="G133" s="163">
        <f>SUM(G134:G139)</f>
        <v>944.91</v>
      </c>
      <c r="H133" s="326"/>
    </row>
    <row r="134" spans="1:8" s="1" customFormat="1" ht="13.5" customHeight="1" x14ac:dyDescent="0.2">
      <c r="A134" s="132"/>
      <c r="B134" s="139" t="s">
        <v>192</v>
      </c>
      <c r="C134" s="14">
        <v>97</v>
      </c>
      <c r="D134" s="15">
        <v>231</v>
      </c>
      <c r="E134" s="15">
        <v>0</v>
      </c>
      <c r="F134" s="15">
        <v>0</v>
      </c>
      <c r="G134" s="133">
        <v>564.17999999999995</v>
      </c>
      <c r="H134" s="246"/>
    </row>
    <row r="135" spans="1:8" s="1" customFormat="1" ht="13.5" customHeight="1" x14ac:dyDescent="0.2">
      <c r="A135" s="132"/>
      <c r="B135" s="139" t="s">
        <v>193</v>
      </c>
      <c r="C135" s="19">
        <v>23</v>
      </c>
      <c r="D135" s="20">
        <v>47</v>
      </c>
      <c r="E135" s="20">
        <v>154</v>
      </c>
      <c r="F135" s="20">
        <v>120</v>
      </c>
      <c r="G135" s="135">
        <v>185</v>
      </c>
      <c r="H135" s="246"/>
    </row>
    <row r="136" spans="1:8" s="1" customFormat="1" ht="13.5" customHeight="1" x14ac:dyDescent="0.2">
      <c r="A136" s="132"/>
      <c r="B136" s="139" t="s">
        <v>194</v>
      </c>
      <c r="C136" s="17">
        <v>0</v>
      </c>
      <c r="D136" s="18">
        <v>0</v>
      </c>
      <c r="E136" s="18">
        <v>0</v>
      </c>
      <c r="F136" s="18">
        <v>0</v>
      </c>
      <c r="G136" s="134">
        <v>0</v>
      </c>
      <c r="H136" s="246"/>
    </row>
    <row r="137" spans="1:8" s="1" customFormat="1" ht="13.5" customHeight="1" x14ac:dyDescent="0.2">
      <c r="A137" s="132"/>
      <c r="B137" s="139" t="s">
        <v>195</v>
      </c>
      <c r="C137" s="17">
        <v>1</v>
      </c>
      <c r="D137" s="18">
        <v>1</v>
      </c>
      <c r="E137" s="18">
        <v>73</v>
      </c>
      <c r="F137" s="18">
        <v>55</v>
      </c>
      <c r="G137" s="134">
        <v>36.700000000000003</v>
      </c>
      <c r="H137" s="246"/>
    </row>
    <row r="138" spans="1:8" s="1" customFormat="1" ht="13.5" customHeight="1" x14ac:dyDescent="0.2">
      <c r="A138" s="132"/>
      <c r="B138" s="139" t="s">
        <v>196</v>
      </c>
      <c r="C138" s="17">
        <v>0</v>
      </c>
      <c r="D138" s="18">
        <v>0</v>
      </c>
      <c r="E138" s="18">
        <v>0</v>
      </c>
      <c r="F138" s="18">
        <v>0</v>
      </c>
      <c r="G138" s="134">
        <v>0</v>
      </c>
      <c r="H138" s="246"/>
    </row>
    <row r="139" spans="1:8" s="1" customFormat="1" ht="13.5" customHeight="1" x14ac:dyDescent="0.2">
      <c r="A139" s="132"/>
      <c r="B139" s="139" t="s">
        <v>197</v>
      </c>
      <c r="C139" s="19">
        <v>80</v>
      </c>
      <c r="D139" s="20">
        <v>87</v>
      </c>
      <c r="E139" s="20">
        <v>115</v>
      </c>
      <c r="F139" s="20">
        <v>149</v>
      </c>
      <c r="G139" s="135">
        <v>159.03</v>
      </c>
      <c r="H139" s="246"/>
    </row>
    <row r="140" spans="1:8" s="1" customFormat="1" ht="13.5" customHeight="1" x14ac:dyDescent="0.2">
      <c r="A140" s="132"/>
      <c r="B140" s="140"/>
      <c r="C140" s="13"/>
      <c r="D140" s="13"/>
      <c r="E140" s="13"/>
      <c r="F140" s="13"/>
      <c r="G140" s="136"/>
      <c r="H140" s="246"/>
    </row>
    <row r="141" spans="1:8" s="1" customFormat="1" ht="13.5" customHeight="1" x14ac:dyDescent="0.2">
      <c r="A141" s="132"/>
      <c r="B141" s="140"/>
      <c r="C141" s="13"/>
      <c r="D141" s="13"/>
      <c r="E141" s="13"/>
      <c r="F141" s="13"/>
      <c r="G141" s="136"/>
      <c r="H141" s="246"/>
    </row>
    <row r="142" spans="1:8" s="1" customFormat="1" ht="13.5" customHeight="1" x14ac:dyDescent="0.2">
      <c r="A142" s="132"/>
      <c r="B142" s="140"/>
      <c r="C142" s="12"/>
      <c r="D142" s="12"/>
      <c r="E142" s="12"/>
      <c r="F142" s="12"/>
      <c r="G142" s="136"/>
      <c r="H142" s="246"/>
    </row>
    <row r="143" spans="1:8" s="1" customFormat="1" ht="13.5" customHeight="1" thickBot="1" x14ac:dyDescent="0.25">
      <c r="A143" s="132"/>
      <c r="B143" s="171"/>
      <c r="C143" s="172"/>
      <c r="D143" s="172"/>
      <c r="E143" s="172"/>
      <c r="F143" s="172"/>
      <c r="G143" s="173"/>
      <c r="H143" s="246"/>
    </row>
    <row r="144" spans="1:8" s="23" customFormat="1" ht="16.5" thickTop="1" thickBot="1" x14ac:dyDescent="0.25">
      <c r="A144" s="137"/>
      <c r="B144" s="176" t="s">
        <v>198</v>
      </c>
      <c r="C144" s="174">
        <f>+C133+C120+C107+C105+C93</f>
        <v>612</v>
      </c>
      <c r="D144" s="174">
        <f>+D133+D120+D107+D105+D93</f>
        <v>1005</v>
      </c>
      <c r="E144" s="174">
        <f>+E133+E120+E107+E105+E93</f>
        <v>1011</v>
      </c>
      <c r="F144" s="174">
        <f>+F133+F120+F107+F105+F93</f>
        <v>1236</v>
      </c>
      <c r="G144" s="175">
        <f>+G133+G120+G107+G105+G93</f>
        <v>2293.71</v>
      </c>
      <c r="H144" s="274"/>
    </row>
    <row r="145" spans="1:8" s="23" customFormat="1" ht="16.5" thickTop="1" thickBot="1" x14ac:dyDescent="0.25">
      <c r="A145" s="167"/>
      <c r="B145" s="170"/>
      <c r="C145" s="160"/>
      <c r="D145" s="160"/>
      <c r="E145" s="160"/>
      <c r="F145" s="160"/>
      <c r="G145" s="168"/>
      <c r="H145" s="274"/>
    </row>
    <row r="146" spans="1:8" s="1" customFormat="1" x14ac:dyDescent="0.2">
      <c r="A146" s="16"/>
      <c r="B146" s="16"/>
      <c r="C146" s="24"/>
      <c r="D146" s="24"/>
      <c r="E146" s="24"/>
      <c r="F146" s="24"/>
      <c r="G146" s="24"/>
      <c r="H146" s="246"/>
    </row>
    <row r="147" spans="1:8" s="16" customFormat="1" ht="13.5" thickBot="1" x14ac:dyDescent="0.25">
      <c r="C147" s="24"/>
      <c r="D147" s="24"/>
      <c r="E147" s="24"/>
      <c r="F147" s="24"/>
      <c r="G147" s="24"/>
      <c r="H147" s="327"/>
    </row>
    <row r="148" spans="1:8" s="1" customFormat="1" ht="17.25" customHeight="1" thickBot="1" x14ac:dyDescent="0.25">
      <c r="A148" s="141"/>
      <c r="B148" s="144" t="s">
        <v>719</v>
      </c>
      <c r="C148" s="179"/>
      <c r="D148" s="123"/>
      <c r="E148" s="123"/>
      <c r="F148" s="123"/>
      <c r="G148" s="123"/>
      <c r="H148" s="246"/>
    </row>
    <row r="149" spans="1:8" s="1" customFormat="1" ht="13.5" customHeight="1" x14ac:dyDescent="0.2">
      <c r="A149" s="142"/>
      <c r="B149" s="200"/>
      <c r="C149" s="201"/>
      <c r="D149" s="201"/>
      <c r="E149" s="201"/>
      <c r="F149" s="201"/>
      <c r="G149" s="202"/>
      <c r="H149" s="246"/>
    </row>
    <row r="150" spans="1:8" s="11" customFormat="1" ht="13.5" customHeight="1" x14ac:dyDescent="0.2">
      <c r="A150" s="131"/>
      <c r="B150" s="169" t="s">
        <v>199</v>
      </c>
      <c r="C150" s="162">
        <f>+C151+C152+C153-C154+C155-C98</f>
        <v>189</v>
      </c>
      <c r="D150" s="162">
        <f>+D151+D152+D153-D154+D155-D98</f>
        <v>456</v>
      </c>
      <c r="E150" s="162">
        <f>+E151+E152+E153-E154+E155-E98</f>
        <v>642</v>
      </c>
      <c r="F150" s="162">
        <f>+F151+F152+F153-F154+F155-F98</f>
        <v>914</v>
      </c>
      <c r="G150" s="163">
        <f>+G151+G152+G153-G154+G155-G98</f>
        <v>1408.1799999999998</v>
      </c>
      <c r="H150" s="326"/>
    </row>
    <row r="151" spans="1:8" s="1" customFormat="1" ht="13.5" customHeight="1" x14ac:dyDescent="0.2">
      <c r="A151" s="132"/>
      <c r="B151" s="139" t="s">
        <v>200</v>
      </c>
      <c r="C151" s="14">
        <v>0</v>
      </c>
      <c r="D151" s="15">
        <v>0</v>
      </c>
      <c r="E151" s="15">
        <v>0</v>
      </c>
      <c r="F151" s="15">
        <v>0</v>
      </c>
      <c r="G151" s="133">
        <v>0</v>
      </c>
      <c r="H151" s="246"/>
    </row>
    <row r="152" spans="1:8" s="1" customFormat="1" ht="13.5" customHeight="1" x14ac:dyDescent="0.2">
      <c r="A152" s="132"/>
      <c r="B152" s="139" t="s">
        <v>201</v>
      </c>
      <c r="C152" s="19">
        <v>86</v>
      </c>
      <c r="D152" s="20">
        <v>232</v>
      </c>
      <c r="E152" s="20">
        <v>350</v>
      </c>
      <c r="F152" s="20">
        <v>474</v>
      </c>
      <c r="G152" s="135">
        <v>706.28</v>
      </c>
      <c r="H152" s="246"/>
    </row>
    <row r="153" spans="1:8" s="1" customFormat="1" ht="13.5" customHeight="1" x14ac:dyDescent="0.2">
      <c r="A153" s="132"/>
      <c r="B153" s="139" t="s">
        <v>202</v>
      </c>
      <c r="C153" s="17">
        <v>114</v>
      </c>
      <c r="D153" s="18">
        <v>273</v>
      </c>
      <c r="E153" s="18">
        <v>397</v>
      </c>
      <c r="F153" s="18">
        <v>618</v>
      </c>
      <c r="G153" s="134">
        <v>1135.3599999999999</v>
      </c>
      <c r="H153" s="246"/>
    </row>
    <row r="154" spans="1:8" s="1" customFormat="1" ht="13.5" customHeight="1" x14ac:dyDescent="0.2">
      <c r="A154" s="132"/>
      <c r="B154" s="139" t="s">
        <v>203</v>
      </c>
      <c r="C154" s="17">
        <v>11</v>
      </c>
      <c r="D154" s="18">
        <v>58</v>
      </c>
      <c r="E154" s="18">
        <v>136</v>
      </c>
      <c r="F154" s="18">
        <v>301</v>
      </c>
      <c r="G154" s="134">
        <v>499.93</v>
      </c>
      <c r="H154" s="246"/>
    </row>
    <row r="155" spans="1:8" s="1" customFormat="1" ht="13.5" customHeight="1" x14ac:dyDescent="0.2">
      <c r="A155" s="132"/>
      <c r="B155" s="139" t="s">
        <v>204</v>
      </c>
      <c r="C155" s="19">
        <v>0</v>
      </c>
      <c r="D155" s="20">
        <v>9</v>
      </c>
      <c r="E155" s="20">
        <v>31</v>
      </c>
      <c r="F155" s="20">
        <v>123</v>
      </c>
      <c r="G155" s="135">
        <v>66.47</v>
      </c>
      <c r="H155" s="246"/>
    </row>
    <row r="156" spans="1:8" s="1" customFormat="1" ht="13.5" customHeight="1" x14ac:dyDescent="0.2">
      <c r="A156" s="132"/>
      <c r="B156" s="140"/>
      <c r="C156" s="13"/>
      <c r="D156" s="13"/>
      <c r="E156" s="13"/>
      <c r="F156" s="13"/>
      <c r="G156" s="136"/>
      <c r="H156" s="246"/>
    </row>
    <row r="157" spans="1:8" s="1" customFormat="1" ht="13.5" customHeight="1" x14ac:dyDescent="0.2">
      <c r="A157" s="132"/>
      <c r="B157" s="140"/>
      <c r="C157" s="13"/>
      <c r="D157" s="13"/>
      <c r="E157" s="13"/>
      <c r="F157" s="13"/>
      <c r="G157" s="136"/>
      <c r="H157" s="246"/>
    </row>
    <row r="158" spans="1:8" s="1" customFormat="1" ht="13.5" customHeight="1" x14ac:dyDescent="0.2">
      <c r="A158" s="132"/>
      <c r="B158" s="140"/>
      <c r="C158" s="13"/>
      <c r="D158" s="13"/>
      <c r="E158" s="13"/>
      <c r="F158" s="13"/>
      <c r="G158" s="136"/>
      <c r="H158" s="246"/>
    </row>
    <row r="159" spans="1:8" s="1" customFormat="1" ht="13.5" customHeight="1" x14ac:dyDescent="0.2">
      <c r="A159" s="132"/>
      <c r="B159" s="140"/>
      <c r="C159" s="13"/>
      <c r="D159" s="13"/>
      <c r="E159" s="13"/>
      <c r="F159" s="13"/>
      <c r="G159" s="136"/>
      <c r="H159" s="246"/>
    </row>
    <row r="160" spans="1:8" s="11" customFormat="1" ht="13.5" customHeight="1" x14ac:dyDescent="0.2">
      <c r="A160" s="131"/>
      <c r="B160" s="139" t="s">
        <v>205</v>
      </c>
      <c r="C160" s="187">
        <v>0</v>
      </c>
      <c r="D160" s="188">
        <v>0</v>
      </c>
      <c r="E160" s="188">
        <v>0</v>
      </c>
      <c r="F160" s="188">
        <v>0</v>
      </c>
      <c r="G160" s="189">
        <v>6.95</v>
      </c>
      <c r="H160" s="326"/>
    </row>
    <row r="161" spans="1:8" s="1" customFormat="1" ht="13.5" customHeight="1" x14ac:dyDescent="0.2">
      <c r="A161" s="132"/>
      <c r="B161" s="140"/>
      <c r="C161" s="13"/>
      <c r="D161" s="13"/>
      <c r="E161" s="13"/>
      <c r="F161" s="13"/>
      <c r="G161" s="136"/>
      <c r="H161" s="246"/>
    </row>
    <row r="162" spans="1:8" s="11" customFormat="1" ht="13.5" customHeight="1" x14ac:dyDescent="0.2">
      <c r="A162" s="131"/>
      <c r="B162" s="169" t="s">
        <v>206</v>
      </c>
      <c r="C162" s="162">
        <f>SUM(C163:C165)+C167</f>
        <v>30</v>
      </c>
      <c r="D162" s="162">
        <f>SUM(D163:D165)+D167</f>
        <v>49</v>
      </c>
      <c r="E162" s="162">
        <f>SUM(E163:E165)+E167</f>
        <v>47</v>
      </c>
      <c r="F162" s="162">
        <f>SUM(F163:F165)+F167</f>
        <v>25</v>
      </c>
      <c r="G162" s="163">
        <f>SUM(G163:G165)+G167</f>
        <v>24.74</v>
      </c>
      <c r="H162" s="326"/>
    </row>
    <row r="163" spans="1:8" s="1" customFormat="1" ht="13.5" customHeight="1" x14ac:dyDescent="0.2">
      <c r="A163" s="132"/>
      <c r="B163" s="139" t="s">
        <v>207</v>
      </c>
      <c r="C163" s="14">
        <v>0</v>
      </c>
      <c r="D163" s="15">
        <v>0</v>
      </c>
      <c r="E163" s="15">
        <v>0</v>
      </c>
      <c r="F163" s="15">
        <v>0</v>
      </c>
      <c r="G163" s="133">
        <v>0</v>
      </c>
      <c r="H163" s="246"/>
    </row>
    <row r="164" spans="1:8" s="1" customFormat="1" ht="13.5" customHeight="1" x14ac:dyDescent="0.2">
      <c r="A164" s="132"/>
      <c r="B164" s="139" t="s">
        <v>208</v>
      </c>
      <c r="C164" s="19">
        <v>0</v>
      </c>
      <c r="D164" s="20">
        <v>0</v>
      </c>
      <c r="E164" s="20">
        <v>0</v>
      </c>
      <c r="F164" s="20">
        <v>0</v>
      </c>
      <c r="G164" s="135">
        <v>0</v>
      </c>
      <c r="H164" s="246"/>
    </row>
    <row r="165" spans="1:8" s="1" customFormat="1" ht="13.5" customHeight="1" x14ac:dyDescent="0.2">
      <c r="A165" s="132"/>
      <c r="B165" s="139" t="s">
        <v>209</v>
      </c>
      <c r="C165" s="17">
        <v>30</v>
      </c>
      <c r="D165" s="18">
        <v>49</v>
      </c>
      <c r="E165" s="18">
        <v>47</v>
      </c>
      <c r="F165" s="18">
        <v>25</v>
      </c>
      <c r="G165" s="134">
        <v>24.74</v>
      </c>
      <c r="H165" s="246"/>
    </row>
    <row r="166" spans="1:8" s="1" customFormat="1" ht="13.5" customHeight="1" x14ac:dyDescent="0.2">
      <c r="A166" s="132"/>
      <c r="B166" s="139" t="s">
        <v>210</v>
      </c>
      <c r="C166" s="17">
        <v>0</v>
      </c>
      <c r="D166" s="18">
        <v>0</v>
      </c>
      <c r="E166" s="18">
        <v>0</v>
      </c>
      <c r="F166" s="18">
        <v>0</v>
      </c>
      <c r="G166" s="134">
        <v>0</v>
      </c>
      <c r="H166" s="246"/>
    </row>
    <row r="167" spans="1:8" s="1" customFormat="1" ht="13.5" customHeight="1" x14ac:dyDescent="0.2">
      <c r="A167" s="132"/>
      <c r="B167" s="139" t="s">
        <v>513</v>
      </c>
      <c r="C167" s="19">
        <v>0</v>
      </c>
      <c r="D167" s="20">
        <v>0</v>
      </c>
      <c r="E167" s="20">
        <v>0</v>
      </c>
      <c r="F167" s="20">
        <v>0</v>
      </c>
      <c r="G167" s="135">
        <v>0</v>
      </c>
      <c r="H167" s="246"/>
    </row>
    <row r="168" spans="1:8" s="1" customFormat="1" ht="13.5" customHeight="1" x14ac:dyDescent="0.2">
      <c r="A168" s="132"/>
      <c r="B168" s="140"/>
      <c r="C168" s="13"/>
      <c r="D168" s="13"/>
      <c r="E168" s="13"/>
      <c r="F168" s="13"/>
      <c r="G168" s="136"/>
      <c r="H168" s="246"/>
    </row>
    <row r="169" spans="1:8" s="1" customFormat="1" ht="13.5" customHeight="1" x14ac:dyDescent="0.2">
      <c r="A169" s="132"/>
      <c r="B169" s="140"/>
      <c r="C169" s="13"/>
      <c r="D169" s="13"/>
      <c r="E169" s="13"/>
      <c r="F169" s="13"/>
      <c r="G169" s="136"/>
      <c r="H169" s="246"/>
    </row>
    <row r="170" spans="1:8" s="1" customFormat="1" ht="13.5" customHeight="1" x14ac:dyDescent="0.2">
      <c r="A170" s="132"/>
      <c r="B170" s="140"/>
      <c r="C170" s="13"/>
      <c r="D170" s="13"/>
      <c r="E170" s="13"/>
      <c r="F170" s="13"/>
      <c r="G170" s="136"/>
      <c r="H170" s="246"/>
    </row>
    <row r="171" spans="1:8" s="11" customFormat="1" ht="13.5" customHeight="1" x14ac:dyDescent="0.2">
      <c r="A171" s="131"/>
      <c r="B171" s="169" t="s">
        <v>211</v>
      </c>
      <c r="C171" s="162">
        <f>+C172+C173-C174</f>
        <v>15</v>
      </c>
      <c r="D171" s="162">
        <f>+D172+D173-D174</f>
        <v>23</v>
      </c>
      <c r="E171" s="162">
        <f>+E172+E173-E174</f>
        <v>0</v>
      </c>
      <c r="F171" s="162">
        <f>+F172+F173-F174</f>
        <v>0</v>
      </c>
      <c r="G171" s="163">
        <f>+G172+G173-G174</f>
        <v>27.45</v>
      </c>
      <c r="H171" s="326"/>
    </row>
    <row r="172" spans="1:8" s="1" customFormat="1" ht="13.5" customHeight="1" x14ac:dyDescent="0.2">
      <c r="A172" s="132"/>
      <c r="B172" s="139" t="s">
        <v>212</v>
      </c>
      <c r="C172" s="14">
        <v>0</v>
      </c>
      <c r="D172" s="15">
        <v>2</v>
      </c>
      <c r="E172" s="15">
        <v>0</v>
      </c>
      <c r="F172" s="15">
        <v>0</v>
      </c>
      <c r="G172" s="133">
        <v>6.13</v>
      </c>
      <c r="H172" s="246"/>
    </row>
    <row r="173" spans="1:8" s="1" customFormat="1" ht="13.5" customHeight="1" x14ac:dyDescent="0.2">
      <c r="A173" s="132"/>
      <c r="B173" s="139" t="s">
        <v>213</v>
      </c>
      <c r="C173" s="19">
        <v>15</v>
      </c>
      <c r="D173" s="20">
        <v>21</v>
      </c>
      <c r="E173" s="20">
        <v>0</v>
      </c>
      <c r="F173" s="20">
        <v>0</v>
      </c>
      <c r="G173" s="135">
        <v>21.32</v>
      </c>
      <c r="H173" s="246"/>
    </row>
    <row r="174" spans="1:8" s="1" customFormat="1" ht="13.5" customHeight="1" x14ac:dyDescent="0.2">
      <c r="A174" s="132"/>
      <c r="B174" s="139" t="s">
        <v>214</v>
      </c>
      <c r="C174" s="19">
        <v>0</v>
      </c>
      <c r="D174" s="20">
        <v>0</v>
      </c>
      <c r="E174" s="20">
        <v>0</v>
      </c>
      <c r="F174" s="20">
        <v>0</v>
      </c>
      <c r="G174" s="135">
        <v>0</v>
      </c>
      <c r="H174" s="246"/>
    </row>
    <row r="175" spans="1:8" s="1" customFormat="1" ht="13.5" customHeight="1" x14ac:dyDescent="0.2">
      <c r="A175" s="132"/>
      <c r="B175" s="140"/>
      <c r="C175" s="13"/>
      <c r="D175" s="13"/>
      <c r="E175" s="13"/>
      <c r="F175" s="13"/>
      <c r="G175" s="136"/>
      <c r="H175" s="246"/>
    </row>
    <row r="176" spans="1:8" s="1" customFormat="1" ht="13.5" customHeight="1" x14ac:dyDescent="0.2">
      <c r="A176" s="132"/>
      <c r="B176" s="140"/>
      <c r="C176" s="13"/>
      <c r="D176" s="13"/>
      <c r="E176" s="13"/>
      <c r="F176" s="13"/>
      <c r="G176" s="136"/>
      <c r="H176" s="246"/>
    </row>
    <row r="177" spans="1:8" s="1" customFormat="1" ht="13.5" customHeight="1" x14ac:dyDescent="0.2">
      <c r="A177" s="132"/>
      <c r="B177" s="140"/>
      <c r="C177" s="13"/>
      <c r="D177" s="13"/>
      <c r="E177" s="13"/>
      <c r="F177" s="13"/>
      <c r="G177" s="136"/>
      <c r="H177" s="246"/>
    </row>
    <row r="178" spans="1:8" s="1" customFormat="1" ht="13.5" customHeight="1" x14ac:dyDescent="0.2">
      <c r="A178" s="132"/>
      <c r="B178" s="140"/>
      <c r="C178" s="13"/>
      <c r="D178" s="13"/>
      <c r="E178" s="13"/>
      <c r="F178" s="13"/>
      <c r="G178" s="136"/>
      <c r="H178" s="246"/>
    </row>
    <row r="179" spans="1:8" s="11" customFormat="1" ht="13.5" customHeight="1" x14ac:dyDescent="0.2">
      <c r="A179" s="131"/>
      <c r="B179" s="169" t="s">
        <v>215</v>
      </c>
      <c r="C179" s="162">
        <f>+C180+C181+C182+C183</f>
        <v>73</v>
      </c>
      <c r="D179" s="162">
        <f>+D180+D181+D182+D183</f>
        <v>106</v>
      </c>
      <c r="E179" s="162">
        <f>+E180+E181+E182+E183</f>
        <v>0</v>
      </c>
      <c r="F179" s="162">
        <f>+F180+F181+F182+F183</f>
        <v>0</v>
      </c>
      <c r="G179" s="163">
        <f>+G180+G181+G182+G183</f>
        <v>192.79</v>
      </c>
      <c r="H179" s="326"/>
    </row>
    <row r="180" spans="1:8" s="1" customFormat="1" ht="13.5" customHeight="1" x14ac:dyDescent="0.2">
      <c r="A180" s="132"/>
      <c r="B180" s="139" t="s">
        <v>216</v>
      </c>
      <c r="C180" s="14">
        <v>0</v>
      </c>
      <c r="D180" s="15">
        <v>0</v>
      </c>
      <c r="E180" s="15">
        <v>0</v>
      </c>
      <c r="F180" s="15">
        <v>0</v>
      </c>
      <c r="G180" s="133">
        <v>99.06</v>
      </c>
      <c r="H180" s="246"/>
    </row>
    <row r="181" spans="1:8" s="1" customFormat="1" ht="13.5" customHeight="1" x14ac:dyDescent="0.2">
      <c r="A181" s="132"/>
      <c r="B181" s="139" t="s">
        <v>217</v>
      </c>
      <c r="C181" s="19">
        <v>0</v>
      </c>
      <c r="D181" s="20">
        <v>0</v>
      </c>
      <c r="E181" s="20">
        <v>0</v>
      </c>
      <c r="F181" s="15">
        <v>0</v>
      </c>
      <c r="G181" s="135">
        <v>2.0699999999999998</v>
      </c>
      <c r="H181" s="246"/>
    </row>
    <row r="182" spans="1:8" s="1" customFormat="1" ht="13.5" customHeight="1" x14ac:dyDescent="0.2">
      <c r="A182" s="132"/>
      <c r="B182" s="139" t="s">
        <v>218</v>
      </c>
      <c r="C182" s="17">
        <v>73</v>
      </c>
      <c r="D182" s="18">
        <v>106</v>
      </c>
      <c r="E182" s="18">
        <v>0</v>
      </c>
      <c r="F182" s="15">
        <v>0</v>
      </c>
      <c r="G182" s="134">
        <v>91.66</v>
      </c>
      <c r="H182" s="246"/>
    </row>
    <row r="183" spans="1:8" s="1" customFormat="1" ht="13.5" customHeight="1" x14ac:dyDescent="0.2">
      <c r="A183" s="132"/>
      <c r="B183" s="139" t="s">
        <v>219</v>
      </c>
      <c r="C183" s="19">
        <v>0</v>
      </c>
      <c r="D183" s="20">
        <v>0</v>
      </c>
      <c r="E183" s="20">
        <v>0</v>
      </c>
      <c r="F183" s="20">
        <v>0</v>
      </c>
      <c r="G183" s="135">
        <v>0</v>
      </c>
      <c r="H183" s="246"/>
    </row>
    <row r="184" spans="1:8" s="1" customFormat="1" ht="13.5" customHeight="1" x14ac:dyDescent="0.2">
      <c r="A184" s="132"/>
      <c r="B184" s="140"/>
      <c r="C184" s="13"/>
      <c r="D184" s="13"/>
      <c r="E184" s="13"/>
      <c r="F184" s="13"/>
      <c r="G184" s="136"/>
      <c r="H184" s="246"/>
    </row>
    <row r="185" spans="1:8" s="1" customFormat="1" ht="13.5" customHeight="1" x14ac:dyDescent="0.2">
      <c r="A185" s="132"/>
      <c r="B185" s="140"/>
      <c r="C185" s="13"/>
      <c r="D185" s="13"/>
      <c r="E185" s="13"/>
      <c r="F185" s="13"/>
      <c r="G185" s="136"/>
      <c r="H185" s="246"/>
    </row>
    <row r="186" spans="1:8" s="1" customFormat="1" ht="13.5" customHeight="1" x14ac:dyDescent="0.2">
      <c r="A186" s="132"/>
      <c r="B186" s="140"/>
      <c r="C186" s="13"/>
      <c r="D186" s="13"/>
      <c r="E186" s="13"/>
      <c r="F186" s="13"/>
      <c r="G186" s="136"/>
      <c r="H186" s="246"/>
    </row>
    <row r="187" spans="1:8" s="1" customFormat="1" ht="13.5" customHeight="1" x14ac:dyDescent="0.2">
      <c r="A187" s="132"/>
      <c r="B187" s="140"/>
      <c r="C187" s="13"/>
      <c r="D187" s="13"/>
      <c r="E187" s="13"/>
      <c r="F187" s="13"/>
      <c r="G187" s="136"/>
      <c r="H187" s="246"/>
    </row>
    <row r="188" spans="1:8" s="11" customFormat="1" ht="13.5" customHeight="1" x14ac:dyDescent="0.2">
      <c r="A188" s="131"/>
      <c r="B188" s="169" t="s">
        <v>220</v>
      </c>
      <c r="C188" s="162">
        <f>+C189+C190+C191+C192</f>
        <v>88</v>
      </c>
      <c r="D188" s="162">
        <f>+D189+D190+D191+D192</f>
        <v>78</v>
      </c>
      <c r="E188" s="162">
        <f>+E189+E190+E191+E192</f>
        <v>100</v>
      </c>
      <c r="F188" s="162">
        <f>+F189+F190+F191+F192</f>
        <v>91</v>
      </c>
      <c r="G188" s="163">
        <f>+G189+G190+G191+G192</f>
        <v>68.52</v>
      </c>
      <c r="H188" s="326"/>
    </row>
    <row r="189" spans="1:8" s="1" customFormat="1" ht="13.5" customHeight="1" x14ac:dyDescent="0.2">
      <c r="A189" s="132"/>
      <c r="B189" s="139" t="s">
        <v>221</v>
      </c>
      <c r="C189" s="14">
        <v>26</v>
      </c>
      <c r="D189" s="15">
        <v>72</v>
      </c>
      <c r="E189" s="15">
        <v>93</v>
      </c>
      <c r="F189" s="15">
        <v>83</v>
      </c>
      <c r="G189" s="133">
        <v>60.08</v>
      </c>
      <c r="H189" s="246"/>
    </row>
    <row r="190" spans="1:8" s="1" customFormat="1" ht="13.5" customHeight="1" x14ac:dyDescent="0.2">
      <c r="A190" s="132"/>
      <c r="B190" s="139" t="s">
        <v>222</v>
      </c>
      <c r="C190" s="19">
        <v>61</v>
      </c>
      <c r="D190" s="20">
        <v>0</v>
      </c>
      <c r="E190" s="20">
        <v>0</v>
      </c>
      <c r="F190" s="20">
        <v>0</v>
      </c>
      <c r="G190" s="135">
        <v>0</v>
      </c>
      <c r="H190" s="246"/>
    </row>
    <row r="191" spans="1:8" s="1" customFormat="1" ht="13.5" customHeight="1" x14ac:dyDescent="0.2">
      <c r="A191" s="132"/>
      <c r="B191" s="139" t="s">
        <v>223</v>
      </c>
      <c r="C191" s="17">
        <v>1</v>
      </c>
      <c r="D191" s="18">
        <v>6</v>
      </c>
      <c r="E191" s="18">
        <v>7</v>
      </c>
      <c r="F191" s="18">
        <v>8</v>
      </c>
      <c r="G191" s="134">
        <v>8.33</v>
      </c>
      <c r="H191" s="246"/>
    </row>
    <row r="192" spans="1:8" s="1" customFormat="1" ht="13.5" customHeight="1" x14ac:dyDescent="0.2">
      <c r="A192" s="132"/>
      <c r="B192" s="139" t="s">
        <v>224</v>
      </c>
      <c r="C192" s="19">
        <v>0</v>
      </c>
      <c r="D192" s="20">
        <v>0</v>
      </c>
      <c r="E192" s="20">
        <v>0</v>
      </c>
      <c r="F192" s="20">
        <v>0</v>
      </c>
      <c r="G192" s="135">
        <v>0.11</v>
      </c>
      <c r="H192" s="246"/>
    </row>
    <row r="193" spans="1:8" s="1" customFormat="1" ht="13.5" customHeight="1" x14ac:dyDescent="0.2">
      <c r="A193" s="132"/>
      <c r="B193" s="140"/>
      <c r="C193" s="13"/>
      <c r="D193" s="13"/>
      <c r="E193" s="13"/>
      <c r="F193" s="13"/>
      <c r="G193" s="136"/>
      <c r="H193" s="246"/>
    </row>
    <row r="194" spans="1:8" s="1" customFormat="1" ht="13.5" customHeight="1" x14ac:dyDescent="0.2">
      <c r="A194" s="132"/>
      <c r="B194" s="140"/>
      <c r="C194" s="13"/>
      <c r="D194" s="13"/>
      <c r="E194" s="13"/>
      <c r="F194" s="13"/>
      <c r="G194" s="136"/>
      <c r="H194" s="246"/>
    </row>
    <row r="195" spans="1:8" s="1" customFormat="1" ht="13.5" customHeight="1" x14ac:dyDescent="0.2">
      <c r="A195" s="132"/>
      <c r="B195" s="140"/>
      <c r="C195" s="13"/>
      <c r="D195" s="13"/>
      <c r="E195" s="13"/>
      <c r="F195" s="13"/>
      <c r="G195" s="136"/>
      <c r="H195" s="246"/>
    </row>
    <row r="196" spans="1:8" s="1" customFormat="1" ht="13.5" customHeight="1" x14ac:dyDescent="0.2">
      <c r="A196" s="132"/>
      <c r="B196" s="140"/>
      <c r="C196" s="13"/>
      <c r="D196" s="13"/>
      <c r="E196" s="13"/>
      <c r="F196" s="13"/>
      <c r="G196" s="136"/>
      <c r="H196" s="246"/>
    </row>
    <row r="197" spans="1:8" s="11" customFormat="1" ht="13.5" customHeight="1" x14ac:dyDescent="0.2">
      <c r="A197" s="131"/>
      <c r="B197" s="169" t="s">
        <v>225</v>
      </c>
      <c r="C197" s="162">
        <f>+C198+C199+C200</f>
        <v>217</v>
      </c>
      <c r="D197" s="162">
        <f>+D198+D199+D200</f>
        <v>293</v>
      </c>
      <c r="E197" s="162">
        <f>+E198+E199+E200</f>
        <v>222</v>
      </c>
      <c r="F197" s="162">
        <f>+F198+F199+F200</f>
        <v>206</v>
      </c>
      <c r="G197" s="163">
        <f>+G198+G199+G200</f>
        <v>565.08000000000004</v>
      </c>
      <c r="H197" s="326"/>
    </row>
    <row r="198" spans="1:8" s="1" customFormat="1" ht="13.5" customHeight="1" x14ac:dyDescent="0.2">
      <c r="A198" s="132"/>
      <c r="B198" s="139" t="s">
        <v>226</v>
      </c>
      <c r="C198" s="14">
        <v>0</v>
      </c>
      <c r="D198" s="15">
        <v>0</v>
      </c>
      <c r="E198" s="15">
        <v>0</v>
      </c>
      <c r="F198" s="15">
        <v>0</v>
      </c>
      <c r="G198" s="133">
        <v>0</v>
      </c>
      <c r="H198" s="246"/>
    </row>
    <row r="199" spans="1:8" s="1" customFormat="1" ht="13.5" customHeight="1" x14ac:dyDescent="0.2">
      <c r="A199" s="132"/>
      <c r="B199" s="139" t="s">
        <v>227</v>
      </c>
      <c r="C199" s="19">
        <v>217</v>
      </c>
      <c r="D199" s="20">
        <v>293</v>
      </c>
      <c r="E199" s="20">
        <v>222</v>
      </c>
      <c r="F199" s="20">
        <v>206</v>
      </c>
      <c r="G199" s="135">
        <v>563.58000000000004</v>
      </c>
      <c r="H199" s="246"/>
    </row>
    <row r="200" spans="1:8" s="1" customFormat="1" ht="13.5" customHeight="1" x14ac:dyDescent="0.2">
      <c r="A200" s="132"/>
      <c r="B200" s="139" t="s">
        <v>228</v>
      </c>
      <c r="C200" s="19">
        <v>0</v>
      </c>
      <c r="D200" s="20">
        <v>0</v>
      </c>
      <c r="E200" s="20">
        <v>0</v>
      </c>
      <c r="F200" s="20">
        <v>0</v>
      </c>
      <c r="G200" s="135">
        <v>1.5</v>
      </c>
      <c r="H200" s="246"/>
    </row>
    <row r="201" spans="1:8" s="1" customFormat="1" ht="13.5" customHeight="1" x14ac:dyDescent="0.2">
      <c r="A201" s="132"/>
      <c r="B201" s="140"/>
      <c r="C201" s="13"/>
      <c r="D201" s="13"/>
      <c r="E201" s="13"/>
      <c r="F201" s="13"/>
      <c r="G201" s="136"/>
      <c r="H201" s="246"/>
    </row>
    <row r="202" spans="1:8" s="1" customFormat="1" ht="13.5" customHeight="1" x14ac:dyDescent="0.2">
      <c r="A202" s="132"/>
      <c r="B202" s="140"/>
      <c r="C202" s="13"/>
      <c r="D202" s="13"/>
      <c r="E202" s="13"/>
      <c r="F202" s="13"/>
      <c r="G202" s="136"/>
      <c r="H202" s="246"/>
    </row>
    <row r="203" spans="1:8" s="1" customFormat="1" ht="13.5" customHeight="1" x14ac:dyDescent="0.2">
      <c r="A203" s="132"/>
      <c r="B203" s="140"/>
      <c r="C203" s="13"/>
      <c r="D203" s="13"/>
      <c r="E203" s="13"/>
      <c r="F203" s="13"/>
      <c r="G203" s="136"/>
      <c r="H203" s="246"/>
    </row>
    <row r="204" spans="1:8" s="1" customFormat="1" ht="13.5" customHeight="1" thickBot="1" x14ac:dyDescent="0.25">
      <c r="A204" s="132"/>
      <c r="B204" s="171"/>
      <c r="C204" s="172"/>
      <c r="D204" s="172"/>
      <c r="E204" s="172"/>
      <c r="F204" s="172"/>
      <c r="G204" s="173"/>
      <c r="H204" s="246"/>
    </row>
    <row r="205" spans="1:8" s="23" customFormat="1" ht="16.5" thickTop="1" thickBot="1" x14ac:dyDescent="0.25">
      <c r="A205" s="137"/>
      <c r="B205" s="176" t="s">
        <v>229</v>
      </c>
      <c r="C205" s="174">
        <f>+C197+C188+C171+C162+C150+C179+C160</f>
        <v>612</v>
      </c>
      <c r="D205" s="174">
        <f>+D197+D188+D171+D162+D150+D179+D160</f>
        <v>1005</v>
      </c>
      <c r="E205" s="174">
        <f>+E197+E188+E171+E162+E150+E179+E160</f>
        <v>1011</v>
      </c>
      <c r="F205" s="174">
        <f>+F197+F188+F171+F162+F150+F179+F160</f>
        <v>1236</v>
      </c>
      <c r="G205" s="175">
        <f>+G197+G188+G171+G162+G150+G179+G160</f>
        <v>2293.7099999999996</v>
      </c>
      <c r="H205" s="274"/>
    </row>
    <row r="206" spans="1:8" s="23" customFormat="1" ht="16.5" thickTop="1" thickBot="1" x14ac:dyDescent="0.25">
      <c r="A206" s="167"/>
      <c r="B206" s="177" t="s">
        <v>230</v>
      </c>
      <c r="C206" s="161" t="str">
        <f>IF(C205=C144,"Y","N")</f>
        <v>Y</v>
      </c>
      <c r="D206" s="161" t="str">
        <f>IF(D205=D144,"Y","N")</f>
        <v>Y</v>
      </c>
      <c r="E206" s="161" t="str">
        <f>IF(E205=E144,"Y","N")</f>
        <v>Y</v>
      </c>
      <c r="F206" s="161" t="str">
        <f>IF(F205=F144,"Y","N")</f>
        <v>Y</v>
      </c>
      <c r="G206" s="178" t="str">
        <f>IF(G205=G144,"Y","N")</f>
        <v>Y</v>
      </c>
      <c r="H206" s="274"/>
    </row>
    <row r="207" spans="1:8" s="23" customFormat="1" x14ac:dyDescent="0.2">
      <c r="A207" s="25"/>
      <c r="B207" s="25"/>
      <c r="C207" s="26"/>
      <c r="D207" s="26"/>
      <c r="E207" s="26"/>
      <c r="F207" s="26"/>
      <c r="G207" s="26"/>
      <c r="H207" s="274"/>
    </row>
    <row r="208" spans="1:8" s="23" customFormat="1" ht="13.5" thickBot="1" x14ac:dyDescent="0.25">
      <c r="A208" s="25"/>
      <c r="B208" s="25"/>
      <c r="C208" s="26"/>
      <c r="D208" s="26"/>
      <c r="E208" s="26"/>
      <c r="F208" s="26"/>
      <c r="G208" s="26"/>
      <c r="H208" s="274"/>
    </row>
    <row r="209" spans="1:8" s="1" customFormat="1" ht="19.5" thickBot="1" x14ac:dyDescent="0.25">
      <c r="A209" s="141"/>
      <c r="B209" s="144" t="s">
        <v>720</v>
      </c>
      <c r="C209" s="123"/>
      <c r="D209" s="123"/>
      <c r="E209" s="123"/>
      <c r="F209" s="123"/>
      <c r="G209" s="123"/>
      <c r="H209" s="246"/>
    </row>
    <row r="210" spans="1:8" s="1" customFormat="1" x14ac:dyDescent="0.2">
      <c r="A210" s="142"/>
      <c r="B210" s="143"/>
      <c r="C210" s="129"/>
      <c r="D210" s="129"/>
      <c r="E210" s="129"/>
      <c r="F210" s="129"/>
      <c r="G210" s="130"/>
      <c r="H210" s="246"/>
    </row>
    <row r="211" spans="1:8" s="1" customFormat="1" x14ac:dyDescent="0.2">
      <c r="A211" s="132"/>
      <c r="B211" s="139" t="s">
        <v>231</v>
      </c>
      <c r="C211" s="14">
        <v>1000</v>
      </c>
      <c r="D211" s="124">
        <v>1000</v>
      </c>
      <c r="E211" s="15">
        <v>1000</v>
      </c>
      <c r="F211" s="15">
        <v>1000</v>
      </c>
      <c r="G211" s="133">
        <v>1000</v>
      </c>
      <c r="H211" s="246"/>
    </row>
    <row r="212" spans="1:8" s="1" customFormat="1" x14ac:dyDescent="0.2">
      <c r="A212" s="132"/>
      <c r="B212" s="139" t="s">
        <v>232</v>
      </c>
      <c r="C212" s="19">
        <v>1000</v>
      </c>
      <c r="D212" s="126">
        <v>1000</v>
      </c>
      <c r="E212" s="20">
        <v>1000</v>
      </c>
      <c r="F212" s="20">
        <v>1000</v>
      </c>
      <c r="G212" s="135">
        <v>1000</v>
      </c>
      <c r="H212" s="246"/>
    </row>
    <row r="213" spans="1:8" s="1" customFormat="1" x14ac:dyDescent="0.2">
      <c r="A213" s="132"/>
      <c r="B213" s="139" t="s">
        <v>233</v>
      </c>
      <c r="C213" s="17">
        <v>1000</v>
      </c>
      <c r="D213" s="125">
        <v>1000</v>
      </c>
      <c r="E213" s="18">
        <v>1000</v>
      </c>
      <c r="F213" s="18">
        <v>1000</v>
      </c>
      <c r="G213" s="134">
        <v>1000</v>
      </c>
      <c r="H213" s="246"/>
    </row>
    <row r="214" spans="1:8" s="1" customFormat="1" x14ac:dyDescent="0.2">
      <c r="A214" s="132"/>
      <c r="B214" s="139" t="s">
        <v>234</v>
      </c>
      <c r="C214" s="14">
        <v>1000</v>
      </c>
      <c r="D214" s="124">
        <v>1000</v>
      </c>
      <c r="E214" s="15">
        <v>1000</v>
      </c>
      <c r="F214" s="15">
        <v>1000</v>
      </c>
      <c r="G214" s="133">
        <v>1000</v>
      </c>
      <c r="H214" s="246"/>
    </row>
    <row r="215" spans="1:8" s="1" customFormat="1" x14ac:dyDescent="0.2">
      <c r="A215" s="132"/>
      <c r="B215" s="139" t="s">
        <v>235</v>
      </c>
      <c r="C215" s="19">
        <v>1000</v>
      </c>
      <c r="D215" s="126">
        <v>1000</v>
      </c>
      <c r="E215" s="20">
        <v>1000</v>
      </c>
      <c r="F215" s="20">
        <v>1000</v>
      </c>
      <c r="G215" s="135">
        <v>1000</v>
      </c>
      <c r="H215" s="246"/>
    </row>
    <row r="216" spans="1:8" s="1" customFormat="1" x14ac:dyDescent="0.2">
      <c r="A216" s="132"/>
      <c r="B216" s="139" t="s">
        <v>236</v>
      </c>
      <c r="C216" s="17">
        <v>1000</v>
      </c>
      <c r="D216" s="125">
        <v>1000</v>
      </c>
      <c r="E216" s="18">
        <v>1000</v>
      </c>
      <c r="F216" s="18">
        <v>1000</v>
      </c>
      <c r="G216" s="134">
        <v>1000</v>
      </c>
      <c r="H216" s="246"/>
    </row>
    <row r="217" spans="1:8" s="1" customFormat="1" x14ac:dyDescent="0.2">
      <c r="A217" s="132"/>
      <c r="B217" s="139" t="s">
        <v>237</v>
      </c>
      <c r="C217" s="19">
        <v>1000</v>
      </c>
      <c r="D217" s="126">
        <v>1000</v>
      </c>
      <c r="E217" s="20">
        <v>1000</v>
      </c>
      <c r="F217" s="20">
        <v>1000</v>
      </c>
      <c r="G217" s="135">
        <v>1000</v>
      </c>
      <c r="H217" s="246"/>
    </row>
    <row r="218" spans="1:8" s="1" customFormat="1" x14ac:dyDescent="0.2">
      <c r="A218" s="132"/>
      <c r="B218" s="183"/>
      <c r="C218" s="13"/>
      <c r="D218" s="13"/>
      <c r="E218" s="13"/>
      <c r="F218" s="13"/>
      <c r="G218" s="136"/>
      <c r="H218" s="246"/>
    </row>
    <row r="219" spans="1:8" s="1" customFormat="1" ht="13.5" thickBot="1" x14ac:dyDescent="0.25">
      <c r="A219" s="138"/>
      <c r="B219" s="184"/>
      <c r="C219" s="185"/>
      <c r="D219" s="185"/>
      <c r="E219" s="185"/>
      <c r="F219" s="185"/>
      <c r="G219" s="186"/>
      <c r="H219" s="246"/>
    </row>
    <row r="220" spans="1:8" s="1" customFormat="1" ht="13.5" thickBot="1" x14ac:dyDescent="0.25">
      <c r="A220" s="5"/>
      <c r="B220" s="27"/>
      <c r="C220" s="28"/>
      <c r="D220" s="28"/>
      <c r="E220" s="28"/>
      <c r="F220" s="28"/>
      <c r="G220" s="28"/>
      <c r="H220" s="246"/>
    </row>
    <row r="221" spans="1:8" s="1" customFormat="1" ht="19.5" thickBot="1" x14ac:dyDescent="0.25">
      <c r="A221" s="141"/>
      <c r="B221" s="144" t="s">
        <v>721</v>
      </c>
      <c r="C221" s="123"/>
      <c r="D221" s="123"/>
      <c r="E221" s="123"/>
      <c r="F221" s="123"/>
      <c r="G221" s="123"/>
      <c r="H221" s="246"/>
    </row>
    <row r="222" spans="1:8" s="1" customFormat="1" x14ac:dyDescent="0.2">
      <c r="A222" s="142"/>
      <c r="B222" s="195"/>
      <c r="C222" s="197"/>
      <c r="D222" s="197"/>
      <c r="E222" s="197"/>
      <c r="F222" s="197"/>
      <c r="G222" s="198"/>
      <c r="H222" s="246"/>
    </row>
    <row r="223" spans="1:8" s="1" customFormat="1" x14ac:dyDescent="0.2">
      <c r="A223" s="132"/>
      <c r="B223" s="139" t="s">
        <v>238</v>
      </c>
      <c r="C223" s="14">
        <v>1000</v>
      </c>
      <c r="D223" s="124">
        <v>1000</v>
      </c>
      <c r="E223" s="15">
        <v>1000</v>
      </c>
      <c r="F223" s="15">
        <v>1000</v>
      </c>
      <c r="G223" s="133">
        <v>1000</v>
      </c>
      <c r="H223" s="246"/>
    </row>
    <row r="224" spans="1:8" s="1" customFormat="1" x14ac:dyDescent="0.2">
      <c r="A224" s="132"/>
      <c r="B224" s="139" t="s">
        <v>239</v>
      </c>
      <c r="C224" s="19">
        <v>1000</v>
      </c>
      <c r="D224" s="126">
        <v>1000</v>
      </c>
      <c r="E224" s="20">
        <v>1000</v>
      </c>
      <c r="F224" s="20">
        <v>1000</v>
      </c>
      <c r="G224" s="135">
        <v>1000</v>
      </c>
      <c r="H224" s="246"/>
    </row>
    <row r="225" spans="1:8" s="1" customFormat="1" x14ac:dyDescent="0.2">
      <c r="A225" s="132"/>
      <c r="B225" s="139" t="s">
        <v>240</v>
      </c>
      <c r="C225" s="17">
        <v>1000</v>
      </c>
      <c r="D225" s="125">
        <v>1000</v>
      </c>
      <c r="E225" s="18">
        <v>1000</v>
      </c>
      <c r="F225" s="18">
        <v>1000</v>
      </c>
      <c r="G225" s="134">
        <v>1000</v>
      </c>
      <c r="H225" s="246"/>
    </row>
    <row r="226" spans="1:8" s="1" customFormat="1" x14ac:dyDescent="0.2">
      <c r="A226" s="132"/>
      <c r="B226" s="139" t="s">
        <v>241</v>
      </c>
      <c r="C226" s="14">
        <v>1000</v>
      </c>
      <c r="D226" s="124">
        <v>1000</v>
      </c>
      <c r="E226" s="15">
        <v>1000</v>
      </c>
      <c r="F226" s="15">
        <v>1000</v>
      </c>
      <c r="G226" s="133">
        <v>1000</v>
      </c>
      <c r="H226" s="246"/>
    </row>
    <row r="227" spans="1:8" s="1" customFormat="1" x14ac:dyDescent="0.2">
      <c r="A227" s="132"/>
      <c r="B227" s="139" t="s">
        <v>242</v>
      </c>
      <c r="C227" s="19">
        <v>1000</v>
      </c>
      <c r="D227" s="126">
        <v>1000</v>
      </c>
      <c r="E227" s="20">
        <v>1000</v>
      </c>
      <c r="F227" s="20">
        <v>1000</v>
      </c>
      <c r="G227" s="135">
        <v>1000</v>
      </c>
      <c r="H227" s="246"/>
    </row>
    <row r="228" spans="1:8" s="1" customFormat="1" x14ac:dyDescent="0.2">
      <c r="A228" s="132"/>
      <c r="B228" s="139" t="s">
        <v>243</v>
      </c>
      <c r="C228" s="17">
        <v>1000</v>
      </c>
      <c r="D228" s="125">
        <v>1000</v>
      </c>
      <c r="E228" s="18">
        <v>1000</v>
      </c>
      <c r="F228" s="18">
        <v>1000</v>
      </c>
      <c r="G228" s="134">
        <v>1000</v>
      </c>
      <c r="H228" s="246"/>
    </row>
    <row r="229" spans="1:8" s="1" customFormat="1" x14ac:dyDescent="0.2">
      <c r="A229" s="132"/>
      <c r="B229" s="139" t="s">
        <v>244</v>
      </c>
      <c r="C229" s="209">
        <v>1000</v>
      </c>
      <c r="D229" s="209">
        <v>1000</v>
      </c>
      <c r="E229" s="209">
        <v>1000</v>
      </c>
      <c r="F229" s="209">
        <v>1000</v>
      </c>
      <c r="G229" s="210">
        <v>1000</v>
      </c>
      <c r="H229" s="246"/>
    </row>
    <row r="230" spans="1:8" s="29" customFormat="1" x14ac:dyDescent="0.2">
      <c r="A230" s="132"/>
      <c r="B230" s="139" t="s">
        <v>245</v>
      </c>
      <c r="C230" s="19">
        <v>1000</v>
      </c>
      <c r="D230" s="126">
        <v>1000</v>
      </c>
      <c r="E230" s="20">
        <v>1000</v>
      </c>
      <c r="F230" s="20">
        <v>1000</v>
      </c>
      <c r="G230" s="135">
        <v>1000</v>
      </c>
      <c r="H230" s="328"/>
    </row>
    <row r="231" spans="1:8" s="29" customFormat="1" x14ac:dyDescent="0.2">
      <c r="A231" s="132"/>
      <c r="B231" s="139" t="s">
        <v>723</v>
      </c>
      <c r="C231" s="19">
        <v>1000</v>
      </c>
      <c r="D231" s="126">
        <v>1000</v>
      </c>
      <c r="E231" s="20">
        <v>1000</v>
      </c>
      <c r="F231" s="20">
        <v>1000</v>
      </c>
      <c r="G231" s="135">
        <v>1000</v>
      </c>
      <c r="H231" s="328"/>
    </row>
    <row r="232" spans="1:8" s="30" customFormat="1" ht="13.5" thickBot="1" x14ac:dyDescent="0.25">
      <c r="A232" s="191"/>
      <c r="B232" s="194"/>
      <c r="C232" s="192"/>
      <c r="D232" s="192"/>
      <c r="E232" s="192"/>
      <c r="F232" s="192"/>
      <c r="G232" s="193"/>
      <c r="H232" s="329"/>
    </row>
    <row r="233" spans="1:8" s="29" customFormat="1" x14ac:dyDescent="0.2">
      <c r="A233" s="5"/>
      <c r="B233" s="31"/>
      <c r="C233" s="28"/>
      <c r="D233" s="28"/>
      <c r="E233" s="28"/>
      <c r="F233" s="28"/>
      <c r="G233" s="28"/>
      <c r="H233" s="328"/>
    </row>
    <row r="234" spans="1:8" s="1" customFormat="1" ht="13.5" thickBot="1" x14ac:dyDescent="0.25">
      <c r="A234" s="5"/>
      <c r="B234" s="27"/>
      <c r="C234" s="28"/>
      <c r="D234" s="28"/>
      <c r="E234" s="28"/>
      <c r="F234" s="28"/>
      <c r="G234" s="28"/>
      <c r="H234" s="246"/>
    </row>
    <row r="235" spans="1:8" s="1" customFormat="1" ht="19.5" thickBot="1" x14ac:dyDescent="0.25">
      <c r="A235" s="141"/>
      <c r="B235" s="144" t="s">
        <v>722</v>
      </c>
      <c r="C235" s="123"/>
      <c r="D235" s="123"/>
      <c r="E235" s="123"/>
      <c r="F235" s="123"/>
      <c r="G235" s="123"/>
      <c r="H235" s="246"/>
    </row>
    <row r="236" spans="1:8" s="1" customFormat="1" x14ac:dyDescent="0.2">
      <c r="A236" s="142"/>
      <c r="B236" s="190"/>
      <c r="C236" s="181"/>
      <c r="D236" s="181"/>
      <c r="E236" s="181"/>
      <c r="F236" s="181"/>
      <c r="G236" s="182"/>
      <c r="H236" s="246"/>
    </row>
    <row r="237" spans="1:8" s="1" customFormat="1" x14ac:dyDescent="0.2">
      <c r="A237" s="132"/>
      <c r="B237" s="180" t="s">
        <v>246</v>
      </c>
      <c r="C237" s="162"/>
      <c r="D237" s="162"/>
      <c r="E237" s="162"/>
      <c r="F237" s="162"/>
      <c r="G237" s="163"/>
      <c r="H237" s="246"/>
    </row>
    <row r="238" spans="1:8" s="1" customFormat="1" ht="15" x14ac:dyDescent="0.2">
      <c r="A238" s="132"/>
      <c r="B238" s="169" t="s">
        <v>247</v>
      </c>
      <c r="C238" s="162"/>
      <c r="D238" s="162"/>
      <c r="E238" s="162"/>
      <c r="F238" s="162"/>
      <c r="G238" s="163"/>
      <c r="H238" s="246"/>
    </row>
    <row r="239" spans="1:8" s="1" customFormat="1" x14ac:dyDescent="0.2">
      <c r="A239" s="132"/>
      <c r="B239" s="139" t="s">
        <v>248</v>
      </c>
      <c r="C239" s="187">
        <v>1000</v>
      </c>
      <c r="D239" s="188">
        <v>1000</v>
      </c>
      <c r="E239" s="188">
        <v>1000</v>
      </c>
      <c r="F239" s="188">
        <v>1000</v>
      </c>
      <c r="G239" s="189">
        <v>1000</v>
      </c>
      <c r="H239" s="246"/>
    </row>
    <row r="240" spans="1:8" s="1" customFormat="1" x14ac:dyDescent="0.2">
      <c r="A240" s="132"/>
      <c r="B240" s="139" t="s">
        <v>249</v>
      </c>
      <c r="C240" s="17">
        <v>1000</v>
      </c>
      <c r="D240" s="18">
        <v>1000</v>
      </c>
      <c r="E240" s="18">
        <v>1000</v>
      </c>
      <c r="F240" s="18">
        <v>1000</v>
      </c>
      <c r="G240" s="134">
        <v>1000</v>
      </c>
      <c r="H240" s="246"/>
    </row>
    <row r="241" spans="1:8" s="1" customFormat="1" x14ac:dyDescent="0.2">
      <c r="A241" s="132"/>
      <c r="B241" s="139" t="s">
        <v>250</v>
      </c>
      <c r="C241" s="17">
        <v>1000</v>
      </c>
      <c r="D241" s="18">
        <v>1000</v>
      </c>
      <c r="E241" s="18">
        <v>1000</v>
      </c>
      <c r="F241" s="18">
        <v>1000</v>
      </c>
      <c r="G241" s="134">
        <v>1000</v>
      </c>
      <c r="H241" s="246"/>
    </row>
    <row r="242" spans="1:8" s="1" customFormat="1" x14ac:dyDescent="0.2">
      <c r="A242" s="132"/>
      <c r="B242" s="139" t="s">
        <v>251</v>
      </c>
      <c r="C242" s="19">
        <v>1000</v>
      </c>
      <c r="D242" s="20">
        <v>1000</v>
      </c>
      <c r="E242" s="20">
        <v>1000</v>
      </c>
      <c r="F242" s="20">
        <v>1000</v>
      </c>
      <c r="G242" s="135">
        <v>1000</v>
      </c>
      <c r="H242" s="246"/>
    </row>
    <row r="243" spans="1:8" s="1" customFormat="1" x14ac:dyDescent="0.2">
      <c r="A243" s="132"/>
      <c r="B243" s="183"/>
      <c r="C243" s="13"/>
      <c r="D243" s="13"/>
      <c r="E243" s="13"/>
      <c r="F243" s="13"/>
      <c r="G243" s="136"/>
      <c r="H243" s="246"/>
    </row>
    <row r="244" spans="1:8" s="1" customFormat="1" ht="15" x14ac:dyDescent="0.2">
      <c r="A244" s="132"/>
      <c r="B244" s="169" t="s">
        <v>252</v>
      </c>
      <c r="C244" s="162"/>
      <c r="D244" s="162"/>
      <c r="E244" s="162"/>
      <c r="F244" s="162"/>
      <c r="G244" s="163"/>
      <c r="H244" s="246"/>
    </row>
    <row r="245" spans="1:8" s="1" customFormat="1" x14ac:dyDescent="0.2">
      <c r="A245" s="132"/>
      <c r="B245" s="139" t="s">
        <v>253</v>
      </c>
      <c r="C245" s="14">
        <v>1000</v>
      </c>
      <c r="D245" s="15">
        <v>1000</v>
      </c>
      <c r="E245" s="15">
        <v>1000</v>
      </c>
      <c r="F245" s="15">
        <v>1000</v>
      </c>
      <c r="G245" s="133">
        <v>1000</v>
      </c>
      <c r="H245" s="246"/>
    </row>
    <row r="246" spans="1:8" s="1" customFormat="1" x14ac:dyDescent="0.2">
      <c r="A246" s="132"/>
      <c r="B246" s="139" t="s">
        <v>254</v>
      </c>
      <c r="C246" s="19">
        <v>1000</v>
      </c>
      <c r="D246" s="20">
        <v>1000</v>
      </c>
      <c r="E246" s="20">
        <v>1000</v>
      </c>
      <c r="F246" s="20">
        <v>1000</v>
      </c>
      <c r="G246" s="135">
        <v>1000</v>
      </c>
      <c r="H246" s="246"/>
    </row>
    <row r="247" spans="1:8" s="1" customFormat="1" x14ac:dyDescent="0.2">
      <c r="A247" s="132"/>
      <c r="B247" s="139" t="s">
        <v>255</v>
      </c>
      <c r="C247" s="17">
        <v>1000</v>
      </c>
      <c r="D247" s="18">
        <v>1000</v>
      </c>
      <c r="E247" s="18">
        <v>1000</v>
      </c>
      <c r="F247" s="18">
        <v>1000</v>
      </c>
      <c r="G247" s="134">
        <v>1000</v>
      </c>
      <c r="H247" s="246"/>
    </row>
    <row r="248" spans="1:8" s="1" customFormat="1" x14ac:dyDescent="0.2">
      <c r="A248" s="132"/>
      <c r="B248" s="139" t="s">
        <v>256</v>
      </c>
      <c r="C248" s="19">
        <v>1000</v>
      </c>
      <c r="D248" s="20">
        <v>1000</v>
      </c>
      <c r="E248" s="20">
        <v>1000</v>
      </c>
      <c r="F248" s="20">
        <v>1000</v>
      </c>
      <c r="G248" s="135">
        <v>1000</v>
      </c>
      <c r="H248" s="246"/>
    </row>
    <row r="249" spans="1:8" s="1" customFormat="1" x14ac:dyDescent="0.2">
      <c r="A249" s="132"/>
      <c r="B249" s="183"/>
      <c r="C249" s="13"/>
      <c r="D249" s="13"/>
      <c r="E249" s="13"/>
      <c r="F249" s="13"/>
      <c r="G249" s="136"/>
      <c r="H249" s="246"/>
    </row>
    <row r="250" spans="1:8" s="1" customFormat="1" ht="15" x14ac:dyDescent="0.2">
      <c r="A250" s="132"/>
      <c r="B250" s="169" t="s">
        <v>257</v>
      </c>
      <c r="C250" s="162"/>
      <c r="D250" s="162"/>
      <c r="E250" s="162"/>
      <c r="F250" s="162"/>
      <c r="G250" s="163"/>
      <c r="H250" s="246"/>
    </row>
    <row r="251" spans="1:8" s="1" customFormat="1" x14ac:dyDescent="0.2">
      <c r="A251" s="132"/>
      <c r="B251" s="139" t="s">
        <v>258</v>
      </c>
      <c r="C251" s="14">
        <v>1000</v>
      </c>
      <c r="D251" s="15">
        <v>1000</v>
      </c>
      <c r="E251" s="15">
        <v>1000</v>
      </c>
      <c r="F251" s="15">
        <v>1000</v>
      </c>
      <c r="G251" s="133">
        <v>1000</v>
      </c>
      <c r="H251" s="246"/>
    </row>
    <row r="252" spans="1:8" s="1" customFormat="1" x14ac:dyDescent="0.2">
      <c r="A252" s="132"/>
      <c r="B252" s="139" t="s">
        <v>259</v>
      </c>
      <c r="C252" s="19">
        <v>1000</v>
      </c>
      <c r="D252" s="20">
        <v>1000</v>
      </c>
      <c r="E252" s="20">
        <v>1000</v>
      </c>
      <c r="F252" s="20">
        <v>1000</v>
      </c>
      <c r="G252" s="135">
        <v>1000</v>
      </c>
      <c r="H252" s="246"/>
    </row>
    <row r="253" spans="1:8" s="1" customFormat="1" x14ac:dyDescent="0.2">
      <c r="A253" s="132"/>
      <c r="B253" s="139" t="s">
        <v>260</v>
      </c>
      <c r="C253" s="17">
        <v>1000</v>
      </c>
      <c r="D253" s="18">
        <v>1000</v>
      </c>
      <c r="E253" s="18">
        <v>1000</v>
      </c>
      <c r="F253" s="18">
        <v>1000</v>
      </c>
      <c r="G253" s="134">
        <v>1000</v>
      </c>
      <c r="H253" s="246"/>
    </row>
    <row r="254" spans="1:8" s="1" customFormat="1" x14ac:dyDescent="0.2">
      <c r="A254" s="132"/>
      <c r="B254" s="139" t="s">
        <v>261</v>
      </c>
      <c r="C254" s="19">
        <v>1000</v>
      </c>
      <c r="D254" s="20">
        <v>1000</v>
      </c>
      <c r="E254" s="20">
        <v>1000</v>
      </c>
      <c r="F254" s="20">
        <v>1000</v>
      </c>
      <c r="G254" s="135">
        <v>1000</v>
      </c>
      <c r="H254" s="246"/>
    </row>
    <row r="255" spans="1:8" s="1" customFormat="1" x14ac:dyDescent="0.2">
      <c r="A255" s="132"/>
      <c r="B255" s="183"/>
      <c r="C255" s="13"/>
      <c r="D255" s="13"/>
      <c r="E255" s="13"/>
      <c r="F255" s="13"/>
      <c r="G255" s="136"/>
      <c r="H255" s="246"/>
    </row>
    <row r="256" spans="1:8" s="1" customFormat="1" x14ac:dyDescent="0.2">
      <c r="A256" s="132"/>
      <c r="B256" s="180" t="s">
        <v>262</v>
      </c>
      <c r="C256" s="162"/>
      <c r="D256" s="162"/>
      <c r="E256" s="162"/>
      <c r="F256" s="162"/>
      <c r="G256" s="163"/>
      <c r="H256" s="246"/>
    </row>
    <row r="257" spans="1:8" s="1" customFormat="1" ht="15" x14ac:dyDescent="0.2">
      <c r="A257" s="132"/>
      <c r="B257" s="169" t="s">
        <v>263</v>
      </c>
      <c r="C257" s="162"/>
      <c r="D257" s="162"/>
      <c r="E257" s="162"/>
      <c r="F257" s="162"/>
      <c r="G257" s="163"/>
      <c r="H257" s="246"/>
    </row>
    <row r="258" spans="1:8" s="1" customFormat="1" x14ac:dyDescent="0.2">
      <c r="A258" s="132"/>
      <c r="B258" s="139" t="s">
        <v>264</v>
      </c>
      <c r="C258" s="187">
        <v>1000</v>
      </c>
      <c r="D258" s="188">
        <v>1000</v>
      </c>
      <c r="E258" s="188">
        <v>1000</v>
      </c>
      <c r="F258" s="188">
        <v>1000</v>
      </c>
      <c r="G258" s="189">
        <v>1000</v>
      </c>
      <c r="H258" s="246"/>
    </row>
    <row r="259" spans="1:8" s="1" customFormat="1" x14ac:dyDescent="0.2">
      <c r="A259" s="132"/>
      <c r="B259" s="139" t="s">
        <v>265</v>
      </c>
      <c r="C259" s="17">
        <v>1000</v>
      </c>
      <c r="D259" s="18">
        <v>1000</v>
      </c>
      <c r="E259" s="18">
        <v>1000</v>
      </c>
      <c r="F259" s="18">
        <v>1000</v>
      </c>
      <c r="G259" s="134">
        <v>1000</v>
      </c>
      <c r="H259" s="246"/>
    </row>
    <row r="260" spans="1:8" s="1" customFormat="1" x14ac:dyDescent="0.2">
      <c r="A260" s="132"/>
      <c r="B260" s="139" t="s">
        <v>266</v>
      </c>
      <c r="C260" s="19">
        <v>1000</v>
      </c>
      <c r="D260" s="20">
        <v>1000</v>
      </c>
      <c r="E260" s="20">
        <v>1000</v>
      </c>
      <c r="F260" s="20">
        <v>1000</v>
      </c>
      <c r="G260" s="135">
        <v>1000</v>
      </c>
      <c r="H260" s="246"/>
    </row>
    <row r="261" spans="1:8" s="1" customFormat="1" x14ac:dyDescent="0.2">
      <c r="A261" s="132"/>
      <c r="B261" s="183"/>
      <c r="C261" s="13"/>
      <c r="D261" s="13"/>
      <c r="E261" s="13"/>
      <c r="F261" s="13"/>
      <c r="G261" s="136"/>
      <c r="H261" s="246"/>
    </row>
    <row r="262" spans="1:8" s="1" customFormat="1" ht="15" x14ac:dyDescent="0.2">
      <c r="A262" s="132"/>
      <c r="B262" s="169" t="s">
        <v>267</v>
      </c>
      <c r="C262" s="162"/>
      <c r="D262" s="162"/>
      <c r="E262" s="162"/>
      <c r="F262" s="162"/>
      <c r="G262" s="163"/>
      <c r="H262" s="246"/>
    </row>
    <row r="263" spans="1:8" s="1" customFormat="1" x14ac:dyDescent="0.2">
      <c r="A263" s="132"/>
      <c r="B263" s="139" t="s">
        <v>268</v>
      </c>
      <c r="C263" s="187">
        <v>1000</v>
      </c>
      <c r="D263" s="188">
        <v>1000</v>
      </c>
      <c r="E263" s="188">
        <v>1000</v>
      </c>
      <c r="F263" s="188">
        <v>1000</v>
      </c>
      <c r="G263" s="189">
        <v>1000</v>
      </c>
      <c r="H263" s="246"/>
    </row>
    <row r="264" spans="1:8" s="1" customFormat="1" x14ac:dyDescent="0.2">
      <c r="A264" s="132"/>
      <c r="B264" s="139" t="s">
        <v>269</v>
      </c>
      <c r="C264" s="17">
        <v>1000</v>
      </c>
      <c r="D264" s="18">
        <v>1000</v>
      </c>
      <c r="E264" s="18">
        <v>1000</v>
      </c>
      <c r="F264" s="18">
        <v>1000</v>
      </c>
      <c r="G264" s="134">
        <v>1000</v>
      </c>
      <c r="H264" s="246"/>
    </row>
    <row r="265" spans="1:8" s="1" customFormat="1" x14ac:dyDescent="0.2">
      <c r="A265" s="132"/>
      <c r="B265" s="139" t="s">
        <v>270</v>
      </c>
      <c r="C265" s="19">
        <v>1000</v>
      </c>
      <c r="D265" s="20">
        <v>1000</v>
      </c>
      <c r="E265" s="20">
        <v>1000</v>
      </c>
      <c r="F265" s="20">
        <v>1000</v>
      </c>
      <c r="G265" s="135">
        <v>1000</v>
      </c>
      <c r="H265" s="246"/>
    </row>
    <row r="266" spans="1:8" s="1" customFormat="1" x14ac:dyDescent="0.2">
      <c r="A266" s="132"/>
      <c r="B266" s="183"/>
      <c r="C266" s="13"/>
      <c r="D266" s="13"/>
      <c r="E266" s="13"/>
      <c r="F266" s="13"/>
      <c r="G266" s="136"/>
      <c r="H266" s="246"/>
    </row>
    <row r="267" spans="1:8" s="1" customFormat="1" ht="15" x14ac:dyDescent="0.2">
      <c r="A267" s="132"/>
      <c r="B267" s="169" t="s">
        <v>271</v>
      </c>
      <c r="C267" s="162"/>
      <c r="D267" s="162"/>
      <c r="E267" s="162"/>
      <c r="F267" s="162"/>
      <c r="G267" s="163"/>
      <c r="H267" s="246"/>
    </row>
    <row r="268" spans="1:8" s="1" customFormat="1" x14ac:dyDescent="0.2">
      <c r="A268" s="132"/>
      <c r="B268" s="139" t="s">
        <v>272</v>
      </c>
      <c r="C268" s="187">
        <v>1000</v>
      </c>
      <c r="D268" s="188">
        <v>1000</v>
      </c>
      <c r="E268" s="188">
        <v>1000</v>
      </c>
      <c r="F268" s="188">
        <v>1000</v>
      </c>
      <c r="G268" s="189">
        <v>1000</v>
      </c>
      <c r="H268" s="246"/>
    </row>
    <row r="269" spans="1:8" s="1" customFormat="1" x14ac:dyDescent="0.2">
      <c r="A269" s="132"/>
      <c r="B269" s="139" t="s">
        <v>273</v>
      </c>
      <c r="C269" s="17">
        <v>1000</v>
      </c>
      <c r="D269" s="18">
        <v>1000</v>
      </c>
      <c r="E269" s="18">
        <v>1000</v>
      </c>
      <c r="F269" s="18">
        <v>1000</v>
      </c>
      <c r="G269" s="134">
        <v>1000</v>
      </c>
      <c r="H269" s="246"/>
    </row>
    <row r="270" spans="1:8" s="1" customFormat="1" x14ac:dyDescent="0.2">
      <c r="A270" s="132"/>
      <c r="B270" s="139" t="s">
        <v>274</v>
      </c>
      <c r="C270" s="19">
        <v>1000</v>
      </c>
      <c r="D270" s="20">
        <v>1000</v>
      </c>
      <c r="E270" s="20">
        <v>1000</v>
      </c>
      <c r="F270" s="20">
        <v>1000</v>
      </c>
      <c r="G270" s="135">
        <v>1000</v>
      </c>
      <c r="H270" s="246"/>
    </row>
    <row r="271" spans="1:8" s="1" customFormat="1" x14ac:dyDescent="0.2">
      <c r="A271" s="132"/>
      <c r="B271" s="183"/>
      <c r="C271" s="13"/>
      <c r="D271" s="13"/>
      <c r="E271" s="13"/>
      <c r="F271" s="13"/>
      <c r="G271" s="136"/>
      <c r="H271" s="246"/>
    </row>
    <row r="272" spans="1:8" s="1" customFormat="1" x14ac:dyDescent="0.2">
      <c r="A272" s="132"/>
      <c r="B272" s="139" t="s">
        <v>275</v>
      </c>
      <c r="C272" s="14">
        <v>1000</v>
      </c>
      <c r="D272" s="15">
        <v>1000</v>
      </c>
      <c r="E272" s="15">
        <v>1000</v>
      </c>
      <c r="F272" s="15">
        <v>1000</v>
      </c>
      <c r="G272" s="133">
        <v>1000</v>
      </c>
      <c r="H272" s="246"/>
    </row>
    <row r="273" spans="1:8" s="1" customFormat="1" x14ac:dyDescent="0.2">
      <c r="A273" s="132"/>
      <c r="B273" s="139" t="s">
        <v>276</v>
      </c>
      <c r="C273" s="19">
        <v>10</v>
      </c>
      <c r="D273" s="19">
        <v>20</v>
      </c>
      <c r="E273" s="19">
        <v>30</v>
      </c>
      <c r="F273" s="19">
        <v>40</v>
      </c>
      <c r="G273" s="135">
        <v>50</v>
      </c>
      <c r="H273" s="246"/>
    </row>
    <row r="274" spans="1:8" s="1" customFormat="1" x14ac:dyDescent="0.2">
      <c r="A274" s="132"/>
      <c r="B274" s="183"/>
      <c r="C274" s="13"/>
      <c r="D274" s="13"/>
      <c r="E274" s="13"/>
      <c r="F274" s="13"/>
      <c r="G274" s="136"/>
      <c r="H274" s="246"/>
    </row>
    <row r="275" spans="1:8" s="1" customFormat="1" ht="15" x14ac:dyDescent="0.2">
      <c r="A275" s="132"/>
      <c r="B275" s="169" t="s">
        <v>277</v>
      </c>
      <c r="C275" s="162"/>
      <c r="D275" s="162"/>
      <c r="E275" s="162"/>
      <c r="F275" s="162"/>
      <c r="G275" s="163"/>
      <c r="H275" s="246"/>
    </row>
    <row r="276" spans="1:8" s="1" customFormat="1" x14ac:dyDescent="0.2">
      <c r="A276" s="132"/>
      <c r="B276" s="139" t="s">
        <v>278</v>
      </c>
      <c r="C276" s="187">
        <v>1000</v>
      </c>
      <c r="D276" s="188">
        <v>1000</v>
      </c>
      <c r="E276" s="188">
        <v>1000</v>
      </c>
      <c r="F276" s="188">
        <v>1000</v>
      </c>
      <c r="G276" s="189">
        <v>1000</v>
      </c>
      <c r="H276" s="246"/>
    </row>
    <row r="277" spans="1:8" s="1" customFormat="1" x14ac:dyDescent="0.2">
      <c r="A277" s="132"/>
      <c r="B277" s="139" t="s">
        <v>279</v>
      </c>
      <c r="C277" s="17">
        <v>1000</v>
      </c>
      <c r="D277" s="18">
        <v>1000</v>
      </c>
      <c r="E277" s="18">
        <v>1000</v>
      </c>
      <c r="F277" s="18">
        <v>1000</v>
      </c>
      <c r="G277" s="134">
        <v>1000</v>
      </c>
      <c r="H277" s="246"/>
    </row>
    <row r="278" spans="1:8" s="1" customFormat="1" x14ac:dyDescent="0.2">
      <c r="A278" s="132"/>
      <c r="B278" s="139" t="s">
        <v>280</v>
      </c>
      <c r="C278" s="17">
        <v>1000</v>
      </c>
      <c r="D278" s="18">
        <v>1000</v>
      </c>
      <c r="E278" s="18">
        <v>1000</v>
      </c>
      <c r="F278" s="18">
        <v>1000</v>
      </c>
      <c r="G278" s="134">
        <v>1000</v>
      </c>
      <c r="H278" s="246"/>
    </row>
    <row r="279" spans="1:8" s="1" customFormat="1" x14ac:dyDescent="0.2">
      <c r="A279" s="132"/>
      <c r="B279" s="139" t="s">
        <v>281</v>
      </c>
      <c r="C279" s="17">
        <v>1000</v>
      </c>
      <c r="D279" s="18">
        <v>1000</v>
      </c>
      <c r="E279" s="18">
        <v>1000</v>
      </c>
      <c r="F279" s="18">
        <v>1000</v>
      </c>
      <c r="G279" s="134">
        <v>1000</v>
      </c>
      <c r="H279" s="246"/>
    </row>
    <row r="280" spans="1:8" s="1" customFormat="1" x14ac:dyDescent="0.2">
      <c r="A280" s="132"/>
      <c r="B280" s="139" t="s">
        <v>282</v>
      </c>
      <c r="C280" s="19">
        <v>1000</v>
      </c>
      <c r="D280" s="20">
        <v>1000</v>
      </c>
      <c r="E280" s="20">
        <v>1000</v>
      </c>
      <c r="F280" s="20">
        <v>1000</v>
      </c>
      <c r="G280" s="135">
        <v>1000</v>
      </c>
      <c r="H280" s="246"/>
    </row>
    <row r="281" spans="1:8" s="1" customFormat="1" x14ac:dyDescent="0.2">
      <c r="A281" s="132"/>
      <c r="B281" s="183"/>
      <c r="C281" s="13"/>
      <c r="D281" s="13"/>
      <c r="E281" s="13"/>
      <c r="F281" s="13"/>
      <c r="G281" s="136"/>
      <c r="H281" s="246"/>
    </row>
    <row r="282" spans="1:8" s="1" customFormat="1" ht="15" x14ac:dyDescent="0.2">
      <c r="A282" s="132"/>
      <c r="B282" s="169" t="s">
        <v>283</v>
      </c>
      <c r="C282" s="162"/>
      <c r="D282" s="162"/>
      <c r="E282" s="162"/>
      <c r="F282" s="162"/>
      <c r="G282" s="163"/>
      <c r="H282" s="246"/>
    </row>
    <row r="283" spans="1:8" s="1" customFormat="1" x14ac:dyDescent="0.2">
      <c r="A283" s="132"/>
      <c r="B283" s="139" t="s">
        <v>284</v>
      </c>
      <c r="C283" s="187">
        <v>1000</v>
      </c>
      <c r="D283" s="188">
        <v>1000</v>
      </c>
      <c r="E283" s="188">
        <v>1000</v>
      </c>
      <c r="F283" s="188">
        <v>1000</v>
      </c>
      <c r="G283" s="189">
        <v>1000</v>
      </c>
      <c r="H283" s="246"/>
    </row>
    <row r="284" spans="1:8" s="1" customFormat="1" x14ac:dyDescent="0.2">
      <c r="A284" s="132"/>
      <c r="B284" s="139" t="s">
        <v>285</v>
      </c>
      <c r="C284" s="19">
        <v>1000</v>
      </c>
      <c r="D284" s="19">
        <v>1000</v>
      </c>
      <c r="E284" s="19">
        <v>1000</v>
      </c>
      <c r="F284" s="19">
        <v>1000</v>
      </c>
      <c r="G284" s="135">
        <v>1000</v>
      </c>
      <c r="H284" s="246"/>
    </row>
    <row r="285" spans="1:8" s="1" customFormat="1" x14ac:dyDescent="0.2">
      <c r="A285" s="132"/>
      <c r="B285" s="139" t="s">
        <v>286</v>
      </c>
      <c r="C285" s="17">
        <v>1000</v>
      </c>
      <c r="D285" s="18">
        <v>1000</v>
      </c>
      <c r="E285" s="18">
        <v>1000</v>
      </c>
      <c r="F285" s="18">
        <v>1000</v>
      </c>
      <c r="G285" s="134">
        <v>1000</v>
      </c>
      <c r="H285" s="246"/>
    </row>
    <row r="286" spans="1:8" s="1" customFormat="1" x14ac:dyDescent="0.2">
      <c r="A286" s="132"/>
      <c r="B286" s="139" t="s">
        <v>287</v>
      </c>
      <c r="C286" s="19">
        <v>1000</v>
      </c>
      <c r="D286" s="19">
        <v>1000</v>
      </c>
      <c r="E286" s="19">
        <v>1000</v>
      </c>
      <c r="F286" s="19">
        <v>1000</v>
      </c>
      <c r="G286" s="135">
        <v>1000</v>
      </c>
      <c r="H286" s="246"/>
    </row>
    <row r="287" spans="1:8" s="1" customFormat="1" x14ac:dyDescent="0.2">
      <c r="A287" s="132"/>
      <c r="B287" s="139" t="s">
        <v>288</v>
      </c>
      <c r="C287" s="17">
        <v>1000</v>
      </c>
      <c r="D287" s="18">
        <v>1000</v>
      </c>
      <c r="E287" s="18">
        <v>1000</v>
      </c>
      <c r="F287" s="18">
        <v>1000</v>
      </c>
      <c r="G287" s="134">
        <v>1000</v>
      </c>
      <c r="H287" s="246"/>
    </row>
    <row r="288" spans="1:8" s="1" customFormat="1" x14ac:dyDescent="0.2">
      <c r="A288" s="132"/>
      <c r="B288" s="139" t="s">
        <v>289</v>
      </c>
      <c r="C288" s="19">
        <v>1000</v>
      </c>
      <c r="D288" s="19">
        <v>1000</v>
      </c>
      <c r="E288" s="19">
        <v>1000</v>
      </c>
      <c r="F288" s="19">
        <v>1000</v>
      </c>
      <c r="G288" s="135">
        <v>1000</v>
      </c>
      <c r="H288" s="246"/>
    </row>
    <row r="289" spans="1:8" s="1" customFormat="1" ht="13.5" thickBot="1" x14ac:dyDescent="0.25">
      <c r="A289" s="138"/>
      <c r="B289" s="184"/>
      <c r="C289" s="185"/>
      <c r="D289" s="185"/>
      <c r="E289" s="185"/>
      <c r="F289" s="185"/>
      <c r="G289" s="186"/>
      <c r="H289" s="246"/>
    </row>
    <row r="290" spans="1:8" s="1" customFormat="1" x14ac:dyDescent="0.2">
      <c r="A290" s="5"/>
      <c r="B290" s="26"/>
      <c r="C290" s="26"/>
      <c r="D290" s="26"/>
      <c r="E290" s="26"/>
      <c r="F290" s="26"/>
      <c r="G290" s="26"/>
      <c r="H290" s="246"/>
    </row>
    <row r="291" spans="1:8" s="1" customFormat="1" x14ac:dyDescent="0.2">
      <c r="H291" s="246"/>
    </row>
    <row r="292" spans="1:8" s="1" customFormat="1" x14ac:dyDescent="0.2">
      <c r="H292" s="246"/>
    </row>
    <row r="293" spans="1:8" s="1" customFormat="1" x14ac:dyDescent="0.2">
      <c r="H293" s="246"/>
    </row>
    <row r="294" spans="1:8" s="1" customFormat="1" x14ac:dyDescent="0.2">
      <c r="H294" s="246"/>
    </row>
    <row r="295" spans="1:8" s="1" customFormat="1" x14ac:dyDescent="0.2">
      <c r="H295" s="246"/>
    </row>
    <row r="296" spans="1:8" s="1" customFormat="1" x14ac:dyDescent="0.2">
      <c r="H296" s="246"/>
    </row>
    <row r="297" spans="1:8" s="11" customFormat="1" x14ac:dyDescent="0.2">
      <c r="H297" s="326"/>
    </row>
    <row r="298" spans="1:8" s="11" customFormat="1" x14ac:dyDescent="0.2">
      <c r="H298" s="326"/>
    </row>
    <row r="299" spans="1:8" s="1" customFormat="1" x14ac:dyDescent="0.2">
      <c r="H299" s="246"/>
    </row>
    <row r="300" spans="1:8" s="11" customFormat="1" x14ac:dyDescent="0.2">
      <c r="H300" s="326"/>
    </row>
    <row r="301" spans="1:8" s="1" customFormat="1" x14ac:dyDescent="0.2">
      <c r="H301" s="246"/>
    </row>
    <row r="302" spans="1:8" s="1" customFormat="1" x14ac:dyDescent="0.2">
      <c r="H302" s="246"/>
    </row>
    <row r="303" spans="1:8" s="1" customFormat="1" x14ac:dyDescent="0.2">
      <c r="H303" s="246"/>
    </row>
    <row r="304" spans="1:8" s="1" customFormat="1" x14ac:dyDescent="0.2">
      <c r="H304" s="246"/>
    </row>
    <row r="305" spans="8:8" s="1" customFormat="1" x14ac:dyDescent="0.2">
      <c r="H305" s="246"/>
    </row>
    <row r="306" spans="8:8" s="1" customFormat="1" x14ac:dyDescent="0.2">
      <c r="H306" s="246"/>
    </row>
    <row r="307" spans="8:8" s="1" customFormat="1" x14ac:dyDescent="0.2">
      <c r="H307" s="246"/>
    </row>
    <row r="308" spans="8:8" s="1" customFormat="1" ht="12.75" customHeight="1" x14ac:dyDescent="0.2">
      <c r="H308" s="246"/>
    </row>
    <row r="309" spans="8:8" s="1" customFormat="1" ht="12.75" customHeight="1" x14ac:dyDescent="0.2">
      <c r="H309" s="246"/>
    </row>
    <row r="310" spans="8:8" s="11" customFormat="1" x14ac:dyDescent="0.2">
      <c r="H310" s="326"/>
    </row>
    <row r="311" spans="8:8" s="1" customFormat="1" x14ac:dyDescent="0.2">
      <c r="H311" s="246"/>
    </row>
    <row r="312" spans="8:8" s="1" customFormat="1" x14ac:dyDescent="0.2">
      <c r="H312" s="246"/>
    </row>
    <row r="313" spans="8:8" s="11" customFormat="1" x14ac:dyDescent="0.2">
      <c r="H313" s="326"/>
    </row>
    <row r="314" spans="8:8" s="1" customFormat="1" x14ac:dyDescent="0.2">
      <c r="H314" s="246"/>
    </row>
    <row r="315" spans="8:8" s="1" customFormat="1" x14ac:dyDescent="0.2">
      <c r="H315" s="246"/>
    </row>
    <row r="316" spans="8:8" s="1" customFormat="1" x14ac:dyDescent="0.2">
      <c r="H316" s="246"/>
    </row>
    <row r="317" spans="8:8" s="1" customFormat="1" x14ac:dyDescent="0.2">
      <c r="H317" s="246"/>
    </row>
    <row r="318" spans="8:8" s="1" customFormat="1" ht="12.75" customHeight="1" x14ac:dyDescent="0.2">
      <c r="H318" s="246"/>
    </row>
    <row r="319" spans="8:8" s="1" customFormat="1" ht="12.75" customHeight="1" x14ac:dyDescent="0.2">
      <c r="H319" s="246"/>
    </row>
    <row r="320" spans="8:8" s="11" customFormat="1" x14ac:dyDescent="0.2">
      <c r="H320" s="326"/>
    </row>
    <row r="321" spans="8:8" s="1" customFormat="1" x14ac:dyDescent="0.2">
      <c r="H321" s="246"/>
    </row>
    <row r="322" spans="8:8" s="11" customFormat="1" x14ac:dyDescent="0.2">
      <c r="H322" s="326"/>
    </row>
    <row r="323" spans="8:8" s="1" customFormat="1" x14ac:dyDescent="0.2">
      <c r="H323" s="246"/>
    </row>
    <row r="324" spans="8:8" s="1" customFormat="1" x14ac:dyDescent="0.2">
      <c r="H324" s="246"/>
    </row>
    <row r="325" spans="8:8" s="11" customFormat="1" x14ac:dyDescent="0.2">
      <c r="H325" s="326"/>
    </row>
    <row r="326" spans="8:8" s="1" customFormat="1" x14ac:dyDescent="0.2">
      <c r="H326" s="246"/>
    </row>
    <row r="327" spans="8:8" s="1" customFormat="1" x14ac:dyDescent="0.2">
      <c r="H327" s="246"/>
    </row>
    <row r="328" spans="8:8" s="1" customFormat="1" x14ac:dyDescent="0.2">
      <c r="H328" s="246"/>
    </row>
    <row r="329" spans="8:8" s="1" customFormat="1" x14ac:dyDescent="0.2">
      <c r="H329" s="246"/>
    </row>
    <row r="330" spans="8:8" s="1" customFormat="1" ht="12.75" customHeight="1" x14ac:dyDescent="0.2">
      <c r="H330" s="246"/>
    </row>
    <row r="331" spans="8:8" s="1" customFormat="1" ht="12.75" customHeight="1" x14ac:dyDescent="0.2">
      <c r="H331" s="246"/>
    </row>
    <row r="332" spans="8:8" s="11" customFormat="1" x14ac:dyDescent="0.2">
      <c r="H332" s="326"/>
    </row>
    <row r="333" spans="8:8" s="1" customFormat="1" x14ac:dyDescent="0.2">
      <c r="H333" s="246"/>
    </row>
    <row r="334" spans="8:8" s="11" customFormat="1" x14ac:dyDescent="0.2">
      <c r="H334" s="326"/>
    </row>
    <row r="335" spans="8:8" s="1" customFormat="1" x14ac:dyDescent="0.2">
      <c r="H335" s="246"/>
    </row>
    <row r="336" spans="8:8" s="1" customFormat="1" x14ac:dyDescent="0.2">
      <c r="H336" s="246"/>
    </row>
    <row r="337" spans="8:8" s="1" customFormat="1" x14ac:dyDescent="0.2">
      <c r="H337" s="246"/>
    </row>
    <row r="338" spans="8:8" s="1" customFormat="1" x14ac:dyDescent="0.2">
      <c r="H338" s="246"/>
    </row>
    <row r="339" spans="8:8" s="1" customFormat="1" x14ac:dyDescent="0.2">
      <c r="H339" s="246"/>
    </row>
    <row r="340" spans="8:8" s="1" customFormat="1" ht="12.75" customHeight="1" x14ac:dyDescent="0.2">
      <c r="H340" s="246"/>
    </row>
    <row r="341" spans="8:8" s="1" customFormat="1" ht="12.75" customHeight="1" x14ac:dyDescent="0.2">
      <c r="H341" s="246"/>
    </row>
    <row r="342" spans="8:8" s="11" customFormat="1" x14ac:dyDescent="0.2">
      <c r="H342" s="326"/>
    </row>
    <row r="343" spans="8:8" s="1" customFormat="1" x14ac:dyDescent="0.2">
      <c r="H343" s="246"/>
    </row>
    <row r="344" spans="8:8" s="1" customFormat="1" x14ac:dyDescent="0.2">
      <c r="H344" s="246"/>
    </row>
    <row r="345" spans="8:8" s="1" customFormat="1" x14ac:dyDescent="0.2">
      <c r="H345" s="246"/>
    </row>
    <row r="346" spans="8:8" s="1" customFormat="1" x14ac:dyDescent="0.2">
      <c r="H346" s="246"/>
    </row>
    <row r="347" spans="8:8" s="1" customFormat="1" ht="12.75" customHeight="1" x14ac:dyDescent="0.2">
      <c r="H347" s="246"/>
    </row>
    <row r="348" spans="8:8" s="1" customFormat="1" ht="12.75" customHeight="1" x14ac:dyDescent="0.2">
      <c r="H348" s="246"/>
    </row>
    <row r="349" spans="8:8" s="11" customFormat="1" x14ac:dyDescent="0.2">
      <c r="H349" s="326"/>
    </row>
    <row r="350" spans="8:8" s="1" customFormat="1" x14ac:dyDescent="0.2">
      <c r="H350" s="246"/>
    </row>
    <row r="351" spans="8:8" s="23" customFormat="1" x14ac:dyDescent="0.2">
      <c r="H351" s="274"/>
    </row>
    <row r="352" spans="8:8" s="1" customFormat="1" x14ac:dyDescent="0.2">
      <c r="H352" s="246"/>
    </row>
    <row r="353" spans="8:8" s="1" customFormat="1" x14ac:dyDescent="0.2">
      <c r="H353" s="246"/>
    </row>
    <row r="354" spans="8:8" s="1" customFormat="1" x14ac:dyDescent="0.2">
      <c r="H354" s="246"/>
    </row>
    <row r="355" spans="8:8" s="1" customFormat="1" ht="12.75" customHeight="1" x14ac:dyDescent="0.2">
      <c r="H355" s="246"/>
    </row>
    <row r="356" spans="8:8" s="1" customFormat="1" x14ac:dyDescent="0.2">
      <c r="H356" s="246"/>
    </row>
    <row r="357" spans="8:8" s="1" customFormat="1" x14ac:dyDescent="0.2">
      <c r="H357" s="246"/>
    </row>
    <row r="358" spans="8:8" s="1" customFormat="1" x14ac:dyDescent="0.2">
      <c r="H358" s="246"/>
    </row>
    <row r="359" spans="8:8" s="1" customFormat="1" x14ac:dyDescent="0.2">
      <c r="H359" s="246"/>
    </row>
    <row r="360" spans="8:8" s="1" customFormat="1" x14ac:dyDescent="0.2">
      <c r="H360" s="246"/>
    </row>
    <row r="361" spans="8:8" s="23" customFormat="1" x14ac:dyDescent="0.2">
      <c r="H361" s="274"/>
    </row>
    <row r="362" spans="8:8" s="1" customFormat="1" x14ac:dyDescent="0.2">
      <c r="H362" s="246"/>
    </row>
    <row r="363" spans="8:8" s="1" customFormat="1" x14ac:dyDescent="0.2">
      <c r="H363" s="246"/>
    </row>
    <row r="364" spans="8:8" s="1" customFormat="1" x14ac:dyDescent="0.2">
      <c r="H364" s="246"/>
    </row>
    <row r="365" spans="8:8" s="1" customFormat="1" x14ac:dyDescent="0.2">
      <c r="H365" s="246"/>
    </row>
    <row r="366" spans="8:8" s="23" customFormat="1" x14ac:dyDescent="0.2">
      <c r="H366" s="274"/>
    </row>
    <row r="367" spans="8:8" s="1" customFormat="1" x14ac:dyDescent="0.2">
      <c r="H367" s="246"/>
    </row>
    <row r="368" spans="8:8" s="1" customFormat="1" x14ac:dyDescent="0.2">
      <c r="H368" s="246"/>
    </row>
    <row r="369" spans="8:8" s="1" customFormat="1" x14ac:dyDescent="0.2">
      <c r="H369" s="246"/>
    </row>
    <row r="370" spans="8:8" s="23" customFormat="1" x14ac:dyDescent="0.2">
      <c r="H370" s="274"/>
    </row>
    <row r="371" spans="8:8" s="1" customFormat="1" x14ac:dyDescent="0.2">
      <c r="H371" s="246"/>
    </row>
    <row r="372" spans="8:8" s="1" customFormat="1" x14ac:dyDescent="0.2">
      <c r="H372" s="246"/>
    </row>
    <row r="373" spans="8:8" s="1" customFormat="1" x14ac:dyDescent="0.2">
      <c r="H373" s="246"/>
    </row>
    <row r="374" spans="8:8" s="1" customFormat="1" x14ac:dyDescent="0.2">
      <c r="H374" s="246"/>
    </row>
    <row r="375" spans="8:8" s="1" customFormat="1" x14ac:dyDescent="0.2">
      <c r="H375" s="246"/>
    </row>
    <row r="376" spans="8:8" s="1" customFormat="1" x14ac:dyDescent="0.2">
      <c r="H376" s="246"/>
    </row>
    <row r="377" spans="8:8" s="1" customFormat="1" ht="12.75" customHeight="1" x14ac:dyDescent="0.2">
      <c r="H377" s="246"/>
    </row>
    <row r="378" spans="8:8" s="1" customFormat="1" ht="12.75" customHeight="1" x14ac:dyDescent="0.2">
      <c r="H378" s="246"/>
    </row>
    <row r="379" spans="8:8" s="1" customFormat="1" ht="12.75" customHeight="1" x14ac:dyDescent="0.2">
      <c r="H379" s="246"/>
    </row>
    <row r="380" spans="8:8" s="23" customFormat="1" x14ac:dyDescent="0.2">
      <c r="H380" s="274"/>
    </row>
    <row r="381" spans="8:8" s="1" customFormat="1" x14ac:dyDescent="0.2">
      <c r="H381" s="246"/>
    </row>
    <row r="382" spans="8:8" s="1" customFormat="1" x14ac:dyDescent="0.2">
      <c r="H382" s="246"/>
    </row>
    <row r="383" spans="8:8" s="23" customFormat="1" x14ac:dyDescent="0.2">
      <c r="H383" s="274"/>
    </row>
    <row r="384" spans="8:8" s="1" customFormat="1" x14ac:dyDescent="0.2">
      <c r="H384" s="246"/>
    </row>
    <row r="385" spans="8:8" s="23" customFormat="1" x14ac:dyDescent="0.2">
      <c r="H385" s="274"/>
    </row>
    <row r="386" spans="8:8" s="1" customFormat="1" x14ac:dyDescent="0.2">
      <c r="H386" s="246"/>
    </row>
    <row r="387" spans="8:8" s="23" customFormat="1" x14ac:dyDescent="0.2">
      <c r="H387" s="274"/>
    </row>
    <row r="388" spans="8:8" s="1" customFormat="1" x14ac:dyDescent="0.2">
      <c r="H388" s="246"/>
    </row>
    <row r="389" spans="8:8" s="1" customFormat="1" x14ac:dyDescent="0.2">
      <c r="H389" s="246"/>
    </row>
    <row r="390" spans="8:8" s="1" customFormat="1" x14ac:dyDescent="0.2">
      <c r="H390" s="246"/>
    </row>
    <row r="391" spans="8:8" s="1" customFormat="1" x14ac:dyDescent="0.2">
      <c r="H391" s="246"/>
    </row>
    <row r="392" spans="8:8" s="1" customFormat="1" x14ac:dyDescent="0.2">
      <c r="H392" s="246"/>
    </row>
    <row r="393" spans="8:8" s="1" customFormat="1" x14ac:dyDescent="0.2">
      <c r="H393" s="246"/>
    </row>
    <row r="394" spans="8:8" s="1" customFormat="1" x14ac:dyDescent="0.2">
      <c r="H394" s="246"/>
    </row>
    <row r="395" spans="8:8" s="1" customFormat="1" x14ac:dyDescent="0.2">
      <c r="H395" s="246"/>
    </row>
    <row r="396" spans="8:8" s="1" customFormat="1" ht="12.75" customHeight="1" x14ac:dyDescent="0.2">
      <c r="H396" s="246"/>
    </row>
    <row r="397" spans="8:8" s="1" customFormat="1" ht="12.75" customHeight="1" x14ac:dyDescent="0.2">
      <c r="H397" s="246"/>
    </row>
    <row r="398" spans="8:8" s="1" customFormat="1" ht="12.75" customHeight="1" x14ac:dyDescent="0.2">
      <c r="H398" s="246"/>
    </row>
    <row r="399" spans="8:8" s="23" customFormat="1" x14ac:dyDescent="0.2">
      <c r="H399" s="274"/>
    </row>
    <row r="400" spans="8:8" s="1" customFormat="1" x14ac:dyDescent="0.2">
      <c r="H400" s="246"/>
    </row>
    <row r="401" spans="8:8" s="23" customFormat="1" x14ac:dyDescent="0.2">
      <c r="H401" s="274"/>
    </row>
    <row r="402" spans="8:8" s="1" customFormat="1" x14ac:dyDescent="0.2">
      <c r="H402" s="246"/>
    </row>
    <row r="403" spans="8:8" s="1" customFormat="1" x14ac:dyDescent="0.2">
      <c r="H403" s="246"/>
    </row>
    <row r="404" spans="8:8" s="1" customFormat="1" x14ac:dyDescent="0.2">
      <c r="H404" s="246"/>
    </row>
    <row r="405" spans="8:8" s="1" customFormat="1" x14ac:dyDescent="0.2">
      <c r="H405" s="246"/>
    </row>
    <row r="406" spans="8:8" s="1" customFormat="1" x14ac:dyDescent="0.2">
      <c r="H406" s="246"/>
    </row>
    <row r="407" spans="8:8" s="1" customFormat="1" x14ac:dyDescent="0.2">
      <c r="H407" s="246"/>
    </row>
    <row r="408" spans="8:8" s="1" customFormat="1" x14ac:dyDescent="0.2">
      <c r="H408" s="246"/>
    </row>
    <row r="409" spans="8:8" s="1" customFormat="1" x14ac:dyDescent="0.2">
      <c r="H409" s="246"/>
    </row>
    <row r="410" spans="8:8" s="1" customFormat="1" x14ac:dyDescent="0.2">
      <c r="H410" s="246"/>
    </row>
    <row r="411" spans="8:8" s="1" customFormat="1" ht="12.75" customHeight="1" x14ac:dyDescent="0.2">
      <c r="H411" s="246"/>
    </row>
    <row r="412" spans="8:8" s="1" customFormat="1" ht="12.75" customHeight="1" x14ac:dyDescent="0.2">
      <c r="H412" s="246"/>
    </row>
    <row r="413" spans="8:8" s="1" customFormat="1" ht="12.75" customHeight="1" x14ac:dyDescent="0.2">
      <c r="H413" s="246"/>
    </row>
    <row r="414" spans="8:8" s="23" customFormat="1" x14ac:dyDescent="0.2">
      <c r="H414" s="274"/>
    </row>
    <row r="415" spans="8:8" s="1" customFormat="1" x14ac:dyDescent="0.2">
      <c r="H415" s="246"/>
    </row>
    <row r="416" spans="8:8" s="23" customFormat="1" x14ac:dyDescent="0.2">
      <c r="H416" s="274"/>
    </row>
    <row r="417" spans="8:8" s="1" customFormat="1" x14ac:dyDescent="0.2">
      <c r="H417" s="246"/>
    </row>
    <row r="418" spans="8:8" s="23" customFormat="1" x14ac:dyDescent="0.2">
      <c r="H418" s="274"/>
    </row>
    <row r="419" spans="8:8" s="1" customFormat="1" x14ac:dyDescent="0.2">
      <c r="H419" s="246"/>
    </row>
    <row r="420" spans="8:8" s="1" customFormat="1" x14ac:dyDescent="0.2">
      <c r="H420" s="246"/>
    </row>
    <row r="421" spans="8:8" s="1" customFormat="1" x14ac:dyDescent="0.2">
      <c r="H421" s="246"/>
    </row>
    <row r="422" spans="8:8" s="1" customFormat="1" x14ac:dyDescent="0.2">
      <c r="H422" s="246"/>
    </row>
    <row r="423" spans="8:8" s="1" customFormat="1" x14ac:dyDescent="0.2">
      <c r="H423" s="246"/>
    </row>
    <row r="424" spans="8:8" s="1" customFormat="1" x14ac:dyDescent="0.2">
      <c r="H424" s="246"/>
    </row>
    <row r="425" spans="8:8" s="1" customFormat="1" ht="12.75" customHeight="1" x14ac:dyDescent="0.2">
      <c r="H425" s="246"/>
    </row>
    <row r="426" spans="8:8" s="1" customFormat="1" ht="12.75" customHeight="1" x14ac:dyDescent="0.2">
      <c r="H426" s="246"/>
    </row>
    <row r="427" spans="8:8" s="1" customFormat="1" ht="12.75" customHeight="1" x14ac:dyDescent="0.2">
      <c r="H427" s="246"/>
    </row>
    <row r="428" spans="8:8" s="23" customFormat="1" x14ac:dyDescent="0.2">
      <c r="H428" s="274"/>
    </row>
    <row r="429" spans="8:8" s="1" customFormat="1" x14ac:dyDescent="0.2">
      <c r="H429" s="246"/>
    </row>
    <row r="430" spans="8:8" s="23" customFormat="1" x14ac:dyDescent="0.2">
      <c r="H430" s="274"/>
    </row>
    <row r="431" spans="8:8" s="1" customFormat="1" x14ac:dyDescent="0.2">
      <c r="H431" s="246"/>
    </row>
    <row r="432" spans="8:8" s="23" customFormat="1" x14ac:dyDescent="0.2">
      <c r="H432" s="274"/>
    </row>
    <row r="433" spans="8:8" s="1" customFormat="1" x14ac:dyDescent="0.2">
      <c r="H433" s="246"/>
    </row>
    <row r="434" spans="8:8" s="23" customFormat="1" x14ac:dyDescent="0.2">
      <c r="H434" s="274"/>
    </row>
    <row r="435" spans="8:8" s="1" customFormat="1" x14ac:dyDescent="0.2">
      <c r="H435" s="246"/>
    </row>
    <row r="436" spans="8:8" s="1" customFormat="1" x14ac:dyDescent="0.2">
      <c r="H436" s="246"/>
    </row>
    <row r="437" spans="8:8" s="1" customFormat="1" x14ac:dyDescent="0.2">
      <c r="H437" s="246"/>
    </row>
    <row r="438" spans="8:8" s="23" customFormat="1" x14ac:dyDescent="0.2">
      <c r="H438" s="274"/>
    </row>
    <row r="439" spans="8:8" s="1" customFormat="1" x14ac:dyDescent="0.2">
      <c r="H439" s="246"/>
    </row>
    <row r="440" spans="8:8" s="1" customFormat="1" x14ac:dyDescent="0.2">
      <c r="H440" s="246"/>
    </row>
    <row r="441" spans="8:8" s="1" customFormat="1" x14ac:dyDescent="0.2">
      <c r="H441" s="246"/>
    </row>
    <row r="442" spans="8:8" s="1" customFormat="1" ht="12.75" customHeight="1" x14ac:dyDescent="0.2">
      <c r="H442" s="246"/>
    </row>
    <row r="443" spans="8:8" s="1" customFormat="1" ht="12.75" customHeight="1" x14ac:dyDescent="0.2">
      <c r="H443" s="246"/>
    </row>
    <row r="444" spans="8:8" s="23" customFormat="1" x14ac:dyDescent="0.2">
      <c r="H444" s="274"/>
    </row>
    <row r="445" spans="8:8" s="1" customFormat="1" x14ac:dyDescent="0.2">
      <c r="H445" s="246"/>
    </row>
    <row r="446" spans="8:8" s="23" customFormat="1" x14ac:dyDescent="0.2">
      <c r="H446" s="274"/>
    </row>
    <row r="447" spans="8:8" s="1" customFormat="1" x14ac:dyDescent="0.2">
      <c r="H447" s="246"/>
    </row>
    <row r="448" spans="8:8" s="1" customFormat="1" x14ac:dyDescent="0.2">
      <c r="H448" s="246"/>
    </row>
    <row r="449" spans="8:8" s="23" customFormat="1" x14ac:dyDescent="0.2">
      <c r="H449" s="274"/>
    </row>
    <row r="450" spans="8:8" s="1" customFormat="1" x14ac:dyDescent="0.2">
      <c r="H450" s="246"/>
    </row>
    <row r="451" spans="8:8" s="23" customFormat="1" x14ac:dyDescent="0.2">
      <c r="H451" s="274"/>
    </row>
    <row r="452" spans="8:8" s="1" customFormat="1" x14ac:dyDescent="0.2">
      <c r="H452" s="246"/>
    </row>
    <row r="453" spans="8:8" s="23" customFormat="1" x14ac:dyDescent="0.2">
      <c r="H453" s="274"/>
    </row>
    <row r="454" spans="8:8" s="1" customFormat="1" x14ac:dyDescent="0.2">
      <c r="H454" s="246"/>
    </row>
    <row r="455" spans="8:8" s="1" customFormat="1" x14ac:dyDescent="0.2">
      <c r="H455" s="246"/>
    </row>
    <row r="456" spans="8:8" s="1" customFormat="1" x14ac:dyDescent="0.2">
      <c r="H456" s="246"/>
    </row>
    <row r="457" spans="8:8" s="1" customFormat="1" x14ac:dyDescent="0.2">
      <c r="H457" s="246"/>
    </row>
    <row r="458" spans="8:8" s="1" customFormat="1" ht="12.75" customHeight="1" x14ac:dyDescent="0.2">
      <c r="H458" s="246"/>
    </row>
    <row r="459" spans="8:8" s="1" customFormat="1" ht="12.75" customHeight="1" x14ac:dyDescent="0.2">
      <c r="H459" s="246"/>
    </row>
    <row r="460" spans="8:8" s="23" customFormat="1" x14ac:dyDescent="0.2">
      <c r="H460" s="274"/>
    </row>
    <row r="461" spans="8:8" s="1" customFormat="1" x14ac:dyDescent="0.2">
      <c r="H461" s="246"/>
    </row>
    <row r="462" spans="8:8" s="1" customFormat="1" x14ac:dyDescent="0.2">
      <c r="H462" s="246"/>
    </row>
    <row r="463" spans="8:8" s="1" customFormat="1" x14ac:dyDescent="0.2">
      <c r="H463" s="246"/>
    </row>
    <row r="464" spans="8:8" s="1" customFormat="1" x14ac:dyDescent="0.2">
      <c r="H464" s="246"/>
    </row>
    <row r="465" spans="8:8" s="1" customFormat="1" ht="12.75" customHeight="1" x14ac:dyDescent="0.2">
      <c r="H465" s="246"/>
    </row>
    <row r="466" spans="8:8" s="1" customFormat="1" ht="14.25" customHeight="1" x14ac:dyDescent="0.2">
      <c r="H466" s="246"/>
    </row>
    <row r="467" spans="8:8" s="23" customFormat="1" x14ac:dyDescent="0.2">
      <c r="H467" s="274"/>
    </row>
    <row r="468" spans="8:8" s="1" customFormat="1" x14ac:dyDescent="0.2">
      <c r="H468" s="246"/>
    </row>
    <row r="469" spans="8:8" s="1" customFormat="1" x14ac:dyDescent="0.2">
      <c r="H469" s="246"/>
    </row>
    <row r="470" spans="8:8" s="1" customFormat="1" x14ac:dyDescent="0.2">
      <c r="H470" s="246"/>
    </row>
    <row r="471" spans="8:8" s="1" customFormat="1" x14ac:dyDescent="0.2">
      <c r="H471" s="246"/>
    </row>
    <row r="472" spans="8:8" s="1" customFormat="1" x14ac:dyDescent="0.2">
      <c r="H472" s="246"/>
    </row>
    <row r="473" spans="8:8" s="1" customFormat="1" x14ac:dyDescent="0.2">
      <c r="H473" s="246"/>
    </row>
    <row r="474" spans="8:8" s="1" customFormat="1" x14ac:dyDescent="0.2">
      <c r="H474" s="246"/>
    </row>
    <row r="475" spans="8:8" s="23" customFormat="1" x14ac:dyDescent="0.2">
      <c r="H475" s="274"/>
    </row>
    <row r="476" spans="8:8" s="1" customFormat="1" x14ac:dyDescent="0.2">
      <c r="H476" s="246"/>
    </row>
    <row r="477" spans="8:8" s="23" customFormat="1" x14ac:dyDescent="0.2">
      <c r="H477" s="274"/>
    </row>
    <row r="478" spans="8:8" s="1" customFormat="1" x14ac:dyDescent="0.2">
      <c r="H478" s="246"/>
    </row>
    <row r="479" spans="8:8" s="23" customFormat="1" x14ac:dyDescent="0.2">
      <c r="H479" s="274"/>
    </row>
    <row r="480" spans="8:8" s="1" customFormat="1" x14ac:dyDescent="0.2">
      <c r="H480" s="246"/>
    </row>
    <row r="481" spans="1:8" s="1" customFormat="1" x14ac:dyDescent="0.2">
      <c r="H481" s="246"/>
    </row>
    <row r="482" spans="1:8" s="1" customFormat="1" x14ac:dyDescent="0.2">
      <c r="H482" s="246"/>
    </row>
    <row r="483" spans="1:8" s="1" customFormat="1" x14ac:dyDescent="0.2">
      <c r="H483" s="246"/>
    </row>
    <row r="484" spans="1:8" s="1" customFormat="1" x14ac:dyDescent="0.2">
      <c r="H484" s="246"/>
    </row>
    <row r="485" spans="1:8" s="1" customFormat="1" x14ac:dyDescent="0.2">
      <c r="H485" s="246"/>
    </row>
    <row r="486" spans="1:8" s="1" customFormat="1" x14ac:dyDescent="0.2">
      <c r="H486" s="246"/>
    </row>
    <row r="487" spans="1:8" s="1" customFormat="1" x14ac:dyDescent="0.2">
      <c r="H487" s="246"/>
    </row>
    <row r="488" spans="1:8" s="23" customFormat="1" x14ac:dyDescent="0.2">
      <c r="H488" s="274"/>
    </row>
    <row r="489" spans="1:8" s="1" customFormat="1" x14ac:dyDescent="0.2">
      <c r="H489" s="246"/>
    </row>
    <row r="490" spans="1:8" s="23" customFormat="1" x14ac:dyDescent="0.2">
      <c r="H490" s="274"/>
    </row>
    <row r="491" spans="1:8" s="1" customFormat="1" x14ac:dyDescent="0.2">
      <c r="A491" s="2"/>
      <c r="B491" s="42"/>
      <c r="C491" s="43"/>
      <c r="D491" s="43"/>
      <c r="E491" s="43"/>
      <c r="F491" s="43"/>
      <c r="G491" s="43"/>
      <c r="H491" s="246"/>
    </row>
    <row r="492" spans="1:8" s="1" customFormat="1" x14ac:dyDescent="0.2">
      <c r="H492" s="246"/>
    </row>
    <row r="493" spans="1:8" s="1" customFormat="1" x14ac:dyDescent="0.2">
      <c r="H493" s="246"/>
    </row>
    <row r="494" spans="1:8" s="1" customFormat="1" x14ac:dyDescent="0.2">
      <c r="H494" s="246"/>
    </row>
    <row r="495" spans="1:8" s="1" customFormat="1" x14ac:dyDescent="0.2">
      <c r="H495" s="246"/>
    </row>
    <row r="496" spans="1:8" s="1" customFormat="1" x14ac:dyDescent="0.2">
      <c r="H496" s="246"/>
    </row>
    <row r="497" spans="8:8" s="1" customFormat="1" x14ac:dyDescent="0.2">
      <c r="H497" s="246"/>
    </row>
    <row r="498" spans="8:8" s="1" customFormat="1" x14ac:dyDescent="0.2">
      <c r="H498" s="246"/>
    </row>
    <row r="499" spans="8:8" s="1" customFormat="1" x14ac:dyDescent="0.2">
      <c r="H499" s="246"/>
    </row>
    <row r="500" spans="8:8" s="1" customFormat="1" x14ac:dyDescent="0.2">
      <c r="H500" s="246"/>
    </row>
    <row r="501" spans="8:8" s="1" customFormat="1" x14ac:dyDescent="0.2">
      <c r="H501" s="246"/>
    </row>
    <row r="502" spans="8:8" s="1" customFormat="1" x14ac:dyDescent="0.2">
      <c r="H502" s="246"/>
    </row>
    <row r="503" spans="8:8" s="1" customFormat="1" x14ac:dyDescent="0.2">
      <c r="H503" s="246"/>
    </row>
    <row r="504" spans="8:8" s="1" customFormat="1" x14ac:dyDescent="0.2">
      <c r="H504" s="246"/>
    </row>
    <row r="505" spans="8:8" s="1" customFormat="1" x14ac:dyDescent="0.2">
      <c r="H505" s="246"/>
    </row>
    <row r="506" spans="8:8" s="1" customFormat="1" x14ac:dyDescent="0.2">
      <c r="H506" s="246"/>
    </row>
    <row r="507" spans="8:8" s="1" customFormat="1" x14ac:dyDescent="0.2">
      <c r="H507" s="246"/>
    </row>
    <row r="508" spans="8:8" s="1" customFormat="1" x14ac:dyDescent="0.2">
      <c r="H508" s="246"/>
    </row>
    <row r="509" spans="8:8" s="1" customFormat="1" x14ac:dyDescent="0.2">
      <c r="H509" s="246"/>
    </row>
    <row r="510" spans="8:8" s="1" customFormat="1" x14ac:dyDescent="0.2">
      <c r="H510" s="246"/>
    </row>
    <row r="511" spans="8:8" s="1" customFormat="1" x14ac:dyDescent="0.2">
      <c r="H511" s="246"/>
    </row>
    <row r="512" spans="8:8" s="1" customFormat="1" x14ac:dyDescent="0.2">
      <c r="H512" s="246"/>
    </row>
    <row r="513" spans="8:8" s="1" customFormat="1" x14ac:dyDescent="0.2">
      <c r="H513" s="246"/>
    </row>
    <row r="514" spans="8:8" s="1" customFormat="1" x14ac:dyDescent="0.2">
      <c r="H514" s="246"/>
    </row>
    <row r="515" spans="8:8" s="1" customFormat="1" x14ac:dyDescent="0.2">
      <c r="H515" s="246"/>
    </row>
    <row r="516" spans="8:8" s="1" customFormat="1" x14ac:dyDescent="0.2">
      <c r="H516" s="246"/>
    </row>
    <row r="517" spans="8:8" s="1" customFormat="1" x14ac:dyDescent="0.2">
      <c r="H517" s="246"/>
    </row>
    <row r="518" spans="8:8" s="1" customFormat="1" x14ac:dyDescent="0.2">
      <c r="H518" s="246"/>
    </row>
    <row r="519" spans="8:8" s="1" customFormat="1" x14ac:dyDescent="0.2">
      <c r="H519" s="246"/>
    </row>
    <row r="520" spans="8:8" s="1" customFormat="1" x14ac:dyDescent="0.2">
      <c r="H520" s="246"/>
    </row>
    <row r="521" spans="8:8" s="1" customFormat="1" x14ac:dyDescent="0.2">
      <c r="H521" s="246"/>
    </row>
    <row r="522" spans="8:8" s="1" customFormat="1" x14ac:dyDescent="0.2">
      <c r="H522" s="246"/>
    </row>
    <row r="523" spans="8:8" s="1" customFormat="1" x14ac:dyDescent="0.2">
      <c r="H523" s="246"/>
    </row>
    <row r="524" spans="8:8" s="1" customFormat="1" x14ac:dyDescent="0.2">
      <c r="H524" s="246"/>
    </row>
    <row r="525" spans="8:8" s="1" customFormat="1" x14ac:dyDescent="0.2">
      <c r="H525" s="246"/>
    </row>
    <row r="526" spans="8:8" s="1" customFormat="1" x14ac:dyDescent="0.2">
      <c r="H526" s="246"/>
    </row>
    <row r="527" spans="8:8" s="1" customFormat="1" x14ac:dyDescent="0.2">
      <c r="H527" s="246"/>
    </row>
    <row r="528" spans="8:8" s="1" customFormat="1" x14ac:dyDescent="0.2">
      <c r="H528" s="246"/>
    </row>
    <row r="529" spans="8:8" s="1" customFormat="1" x14ac:dyDescent="0.2">
      <c r="H529" s="246"/>
    </row>
    <row r="530" spans="8:8" s="1" customFormat="1" x14ac:dyDescent="0.2">
      <c r="H530" s="246"/>
    </row>
    <row r="531" spans="8:8" s="1" customFormat="1" x14ac:dyDescent="0.2">
      <c r="H531" s="246"/>
    </row>
    <row r="532" spans="8:8" s="1" customFormat="1" x14ac:dyDescent="0.2">
      <c r="H532" s="246"/>
    </row>
    <row r="533" spans="8:8" s="1" customFormat="1" x14ac:dyDescent="0.2">
      <c r="H533" s="246"/>
    </row>
    <row r="534" spans="8:8" s="1" customFormat="1" x14ac:dyDescent="0.2">
      <c r="H534" s="246"/>
    </row>
    <row r="535" spans="8:8" s="1" customFormat="1" x14ac:dyDescent="0.2">
      <c r="H535" s="246"/>
    </row>
    <row r="536" spans="8:8" s="1" customFormat="1" x14ac:dyDescent="0.2">
      <c r="H536" s="246"/>
    </row>
    <row r="537" spans="8:8" s="1" customFormat="1" x14ac:dyDescent="0.2">
      <c r="H537" s="246"/>
    </row>
    <row r="538" spans="8:8" s="1" customFormat="1" x14ac:dyDescent="0.2">
      <c r="H538" s="246"/>
    </row>
    <row r="539" spans="8:8" s="1" customFormat="1" x14ac:dyDescent="0.2">
      <c r="H539" s="246"/>
    </row>
    <row r="540" spans="8:8" s="1" customFormat="1" x14ac:dyDescent="0.2">
      <c r="H540" s="246"/>
    </row>
    <row r="541" spans="8:8" s="1" customFormat="1" x14ac:dyDescent="0.2">
      <c r="H541" s="246"/>
    </row>
    <row r="542" spans="8:8" s="1" customFormat="1" x14ac:dyDescent="0.2">
      <c r="H542" s="246"/>
    </row>
    <row r="543" spans="8:8" s="1" customFormat="1" x14ac:dyDescent="0.2">
      <c r="H543" s="246"/>
    </row>
    <row r="544" spans="8:8" s="1" customFormat="1" x14ac:dyDescent="0.2">
      <c r="H544" s="246"/>
    </row>
    <row r="545" spans="8:8" s="1" customFormat="1" x14ac:dyDescent="0.2">
      <c r="H545" s="246"/>
    </row>
    <row r="546" spans="8:8" s="1" customFormat="1" x14ac:dyDescent="0.2">
      <c r="H546" s="246"/>
    </row>
    <row r="547" spans="8:8" s="1" customFormat="1" x14ac:dyDescent="0.2">
      <c r="H547" s="246"/>
    </row>
    <row r="548" spans="8:8" s="1" customFormat="1" x14ac:dyDescent="0.2">
      <c r="H548" s="246"/>
    </row>
    <row r="549" spans="8:8" s="1" customFormat="1" x14ac:dyDescent="0.2">
      <c r="H549" s="246"/>
    </row>
    <row r="550" spans="8:8" s="1" customFormat="1" x14ac:dyDescent="0.2">
      <c r="H550" s="246"/>
    </row>
    <row r="551" spans="8:8" s="1" customFormat="1" x14ac:dyDescent="0.2">
      <c r="H551" s="246"/>
    </row>
    <row r="552" spans="8:8" s="1" customFormat="1" x14ac:dyDescent="0.2">
      <c r="H552" s="246"/>
    </row>
    <row r="553" spans="8:8" s="1" customFormat="1" x14ac:dyDescent="0.2">
      <c r="H553" s="246"/>
    </row>
    <row r="554" spans="8:8" s="1" customFormat="1" x14ac:dyDescent="0.2">
      <c r="H554" s="246"/>
    </row>
    <row r="555" spans="8:8" s="1" customFormat="1" x14ac:dyDescent="0.2">
      <c r="H555" s="246"/>
    </row>
    <row r="556" spans="8:8" s="1" customFormat="1" x14ac:dyDescent="0.2">
      <c r="H556" s="246"/>
    </row>
    <row r="557" spans="8:8" s="1" customFormat="1" x14ac:dyDescent="0.2">
      <c r="H557" s="246"/>
    </row>
    <row r="558" spans="8:8" s="1" customFormat="1" x14ac:dyDescent="0.2">
      <c r="H558" s="246"/>
    </row>
    <row r="559" spans="8:8" s="1" customFormat="1" x14ac:dyDescent="0.2">
      <c r="H559" s="246"/>
    </row>
    <row r="560" spans="8:8" s="1" customFormat="1" x14ac:dyDescent="0.2">
      <c r="H560" s="246"/>
    </row>
    <row r="561" spans="8:8" s="1" customFormat="1" x14ac:dyDescent="0.2">
      <c r="H561" s="246"/>
    </row>
    <row r="562" spans="8:8" s="1" customFormat="1" x14ac:dyDescent="0.2">
      <c r="H562" s="246"/>
    </row>
    <row r="563" spans="8:8" s="1" customFormat="1" x14ac:dyDescent="0.2">
      <c r="H563" s="246"/>
    </row>
    <row r="564" spans="8:8" s="1" customFormat="1" x14ac:dyDescent="0.2">
      <c r="H564" s="246"/>
    </row>
    <row r="565" spans="8:8" s="1" customFormat="1" x14ac:dyDescent="0.2">
      <c r="H565" s="246"/>
    </row>
    <row r="566" spans="8:8" s="1" customFormat="1" x14ac:dyDescent="0.2">
      <c r="H566" s="246"/>
    </row>
    <row r="567" spans="8:8" s="1" customFormat="1" x14ac:dyDescent="0.2">
      <c r="H567" s="246"/>
    </row>
    <row r="568" spans="8:8" s="1" customFormat="1" x14ac:dyDescent="0.2">
      <c r="H568" s="246"/>
    </row>
    <row r="569" spans="8:8" s="1" customFormat="1" x14ac:dyDescent="0.2">
      <c r="H569" s="246"/>
    </row>
    <row r="570" spans="8:8" s="1" customFormat="1" x14ac:dyDescent="0.2">
      <c r="H570" s="246"/>
    </row>
    <row r="571" spans="8:8" s="1" customFormat="1" x14ac:dyDescent="0.2">
      <c r="H571" s="246"/>
    </row>
    <row r="572" spans="8:8" s="1" customFormat="1" x14ac:dyDescent="0.2">
      <c r="H572" s="246"/>
    </row>
    <row r="573" spans="8:8" s="1" customFormat="1" x14ac:dyDescent="0.2">
      <c r="H573" s="246"/>
    </row>
    <row r="574" spans="8:8" s="1" customFormat="1" x14ac:dyDescent="0.2">
      <c r="H574" s="246"/>
    </row>
    <row r="575" spans="8:8" s="1" customFormat="1" x14ac:dyDescent="0.2">
      <c r="H575" s="246"/>
    </row>
    <row r="576" spans="8:8" s="1" customFormat="1" x14ac:dyDescent="0.2">
      <c r="H576" s="246"/>
    </row>
    <row r="577" spans="8:8" s="1" customFormat="1" x14ac:dyDescent="0.2">
      <c r="H577" s="246"/>
    </row>
    <row r="578" spans="8:8" s="1" customFormat="1" x14ac:dyDescent="0.2">
      <c r="H578" s="246"/>
    </row>
    <row r="579" spans="8:8" s="1" customFormat="1" x14ac:dyDescent="0.2">
      <c r="H579" s="246"/>
    </row>
    <row r="580" spans="8:8" s="1" customFormat="1" x14ac:dyDescent="0.2">
      <c r="H580" s="246"/>
    </row>
    <row r="581" spans="8:8" s="1" customFormat="1" x14ac:dyDescent="0.2">
      <c r="H581" s="246"/>
    </row>
    <row r="582" spans="8:8" s="1" customFormat="1" x14ac:dyDescent="0.2">
      <c r="H582" s="246"/>
    </row>
    <row r="583" spans="8:8" s="1" customFormat="1" x14ac:dyDescent="0.2">
      <c r="H583" s="246"/>
    </row>
    <row r="584" spans="8:8" s="1" customFormat="1" x14ac:dyDescent="0.2">
      <c r="H584" s="246"/>
    </row>
    <row r="585" spans="8:8" s="1" customFormat="1" x14ac:dyDescent="0.2">
      <c r="H585" s="246"/>
    </row>
    <row r="586" spans="8:8" s="1" customFormat="1" x14ac:dyDescent="0.2">
      <c r="H586" s="246"/>
    </row>
    <row r="587" spans="8:8" s="1" customFormat="1" x14ac:dyDescent="0.2">
      <c r="H587" s="246"/>
    </row>
    <row r="588" spans="8:8" s="1" customFormat="1" x14ac:dyDescent="0.2">
      <c r="H588" s="246"/>
    </row>
    <row r="589" spans="8:8" s="1" customFormat="1" x14ac:dyDescent="0.2">
      <c r="H589" s="246"/>
    </row>
    <row r="590" spans="8:8" s="1" customFormat="1" x14ac:dyDescent="0.2">
      <c r="H590" s="246"/>
    </row>
    <row r="591" spans="8:8" s="1" customFormat="1" x14ac:dyDescent="0.2">
      <c r="H591" s="246"/>
    </row>
    <row r="592" spans="8:8" s="1" customFormat="1" x14ac:dyDescent="0.2">
      <c r="H592" s="246"/>
    </row>
    <row r="593" spans="8:8" s="1" customFormat="1" x14ac:dyDescent="0.2">
      <c r="H593" s="246"/>
    </row>
    <row r="594" spans="8:8" s="1" customFormat="1" x14ac:dyDescent="0.2">
      <c r="H594" s="246"/>
    </row>
    <row r="595" spans="8:8" s="1" customFormat="1" x14ac:dyDescent="0.2">
      <c r="H595" s="246"/>
    </row>
    <row r="596" spans="8:8" s="1" customFormat="1" x14ac:dyDescent="0.2">
      <c r="H596" s="246"/>
    </row>
    <row r="597" spans="8:8" s="1" customFormat="1" x14ac:dyDescent="0.2">
      <c r="H597" s="246"/>
    </row>
    <row r="598" spans="8:8" s="1" customFormat="1" x14ac:dyDescent="0.2">
      <c r="H598" s="246"/>
    </row>
    <row r="599" spans="8:8" s="1" customFormat="1" x14ac:dyDescent="0.2">
      <c r="H599" s="246"/>
    </row>
    <row r="600" spans="8:8" s="1" customFormat="1" x14ac:dyDescent="0.2">
      <c r="H600" s="246"/>
    </row>
    <row r="601" spans="8:8" s="1" customFormat="1" x14ac:dyDescent="0.2">
      <c r="H601" s="246"/>
    </row>
    <row r="602" spans="8:8" s="1" customFormat="1" x14ac:dyDescent="0.2">
      <c r="H602" s="246"/>
    </row>
    <row r="603" spans="8:8" s="1" customFormat="1" x14ac:dyDescent="0.2">
      <c r="H603" s="246"/>
    </row>
    <row r="604" spans="8:8" s="1" customFormat="1" x14ac:dyDescent="0.2">
      <c r="H604" s="246"/>
    </row>
    <row r="605" spans="8:8" s="1" customFormat="1" x14ac:dyDescent="0.2">
      <c r="H605" s="246"/>
    </row>
    <row r="606" spans="8:8" s="1" customFormat="1" x14ac:dyDescent="0.2">
      <c r="H606" s="246"/>
    </row>
    <row r="607" spans="8:8" s="1" customFormat="1" x14ac:dyDescent="0.2">
      <c r="H607" s="246"/>
    </row>
    <row r="608" spans="8:8" s="1" customFormat="1" x14ac:dyDescent="0.2">
      <c r="H608" s="246"/>
    </row>
    <row r="609" spans="8:8" s="1" customFormat="1" x14ac:dyDescent="0.2">
      <c r="H609" s="246"/>
    </row>
    <row r="610" spans="8:8" s="1" customFormat="1" x14ac:dyDescent="0.2">
      <c r="H610" s="246"/>
    </row>
    <row r="611" spans="8:8" s="1" customFormat="1" x14ac:dyDescent="0.2">
      <c r="H611" s="246"/>
    </row>
    <row r="612" spans="8:8" s="1" customFormat="1" x14ac:dyDescent="0.2">
      <c r="H612" s="246"/>
    </row>
    <row r="613" spans="8:8" s="1" customFormat="1" x14ac:dyDescent="0.2">
      <c r="H613" s="246"/>
    </row>
    <row r="614" spans="8:8" s="1" customFormat="1" x14ac:dyDescent="0.2">
      <c r="H614" s="246"/>
    </row>
    <row r="615" spans="8:8" s="1" customFormat="1" x14ac:dyDescent="0.2">
      <c r="H615" s="246"/>
    </row>
    <row r="616" spans="8:8" s="1" customFormat="1" x14ac:dyDescent="0.2">
      <c r="H616" s="246"/>
    </row>
    <row r="617" spans="8:8" s="1" customFormat="1" x14ac:dyDescent="0.2">
      <c r="H617" s="246"/>
    </row>
    <row r="618" spans="8:8" s="1" customFormat="1" x14ac:dyDescent="0.2">
      <c r="H618" s="246"/>
    </row>
    <row r="619" spans="8:8" s="1" customFormat="1" x14ac:dyDescent="0.2">
      <c r="H619" s="246"/>
    </row>
    <row r="620" spans="8:8" s="1" customFormat="1" x14ac:dyDescent="0.2">
      <c r="H620" s="246"/>
    </row>
    <row r="621" spans="8:8" s="1" customFormat="1" x14ac:dyDescent="0.2">
      <c r="H621" s="246"/>
    </row>
    <row r="622" spans="8:8" s="1" customFormat="1" x14ac:dyDescent="0.2">
      <c r="H622" s="246"/>
    </row>
    <row r="623" spans="8:8" s="1" customFormat="1" x14ac:dyDescent="0.2">
      <c r="H623" s="246"/>
    </row>
    <row r="624" spans="8:8" s="1" customFormat="1" x14ac:dyDescent="0.2">
      <c r="H624" s="246"/>
    </row>
    <row r="625" spans="8:8" s="1" customFormat="1" x14ac:dyDescent="0.2">
      <c r="H625" s="246"/>
    </row>
    <row r="626" spans="8:8" s="1" customFormat="1" x14ac:dyDescent="0.2">
      <c r="H626" s="246"/>
    </row>
    <row r="627" spans="8:8" s="1" customFormat="1" x14ac:dyDescent="0.2">
      <c r="H627" s="246"/>
    </row>
    <row r="628" spans="8:8" s="1" customFormat="1" x14ac:dyDescent="0.2">
      <c r="H628" s="246"/>
    </row>
    <row r="629" spans="8:8" s="1" customFormat="1" x14ac:dyDescent="0.2">
      <c r="H629" s="246"/>
    </row>
    <row r="630" spans="8:8" s="1" customFormat="1" x14ac:dyDescent="0.2">
      <c r="H630" s="246"/>
    </row>
    <row r="631" spans="8:8" s="1" customFormat="1" x14ac:dyDescent="0.2">
      <c r="H631" s="246"/>
    </row>
    <row r="632" spans="8:8" s="1" customFormat="1" x14ac:dyDescent="0.2">
      <c r="H632" s="246"/>
    </row>
    <row r="633" spans="8:8" s="1" customFormat="1" x14ac:dyDescent="0.2">
      <c r="H633" s="246"/>
    </row>
    <row r="634" spans="8:8" s="1" customFormat="1" x14ac:dyDescent="0.2">
      <c r="H634" s="246"/>
    </row>
    <row r="635" spans="8:8" s="1" customFormat="1" x14ac:dyDescent="0.2">
      <c r="H635" s="246"/>
    </row>
    <row r="636" spans="8:8" s="1" customFormat="1" x14ac:dyDescent="0.2">
      <c r="H636" s="246"/>
    </row>
    <row r="637" spans="8:8" s="1" customFormat="1" x14ac:dyDescent="0.2">
      <c r="H637" s="246"/>
    </row>
    <row r="638" spans="8:8" s="1" customFormat="1" x14ac:dyDescent="0.2">
      <c r="H638" s="246"/>
    </row>
    <row r="639" spans="8:8" s="1" customFormat="1" x14ac:dyDescent="0.2">
      <c r="H639" s="246"/>
    </row>
    <row r="640" spans="8:8" s="1" customFormat="1" x14ac:dyDescent="0.2">
      <c r="H640" s="246"/>
    </row>
    <row r="641" spans="8:8" s="1" customFormat="1" x14ac:dyDescent="0.2">
      <c r="H641" s="246"/>
    </row>
    <row r="642" spans="8:8" s="1" customFormat="1" x14ac:dyDescent="0.2">
      <c r="H642" s="246"/>
    </row>
    <row r="643" spans="8:8" s="1" customFormat="1" x14ac:dyDescent="0.2">
      <c r="H643" s="246"/>
    </row>
    <row r="644" spans="8:8" s="1" customFormat="1" x14ac:dyDescent="0.2">
      <c r="H644" s="246"/>
    </row>
    <row r="645" spans="8:8" s="1" customFormat="1" x14ac:dyDescent="0.2">
      <c r="H645" s="246"/>
    </row>
    <row r="646" spans="8:8" s="1" customFormat="1" x14ac:dyDescent="0.2">
      <c r="H646" s="246"/>
    </row>
    <row r="647" spans="8:8" s="1" customFormat="1" x14ac:dyDescent="0.2">
      <c r="H647" s="246"/>
    </row>
    <row r="648" spans="8:8" s="1" customFormat="1" x14ac:dyDescent="0.2">
      <c r="H648" s="246"/>
    </row>
    <row r="649" spans="8:8" s="1" customFormat="1" x14ac:dyDescent="0.2">
      <c r="H649" s="246"/>
    </row>
    <row r="650" spans="8:8" s="1" customFormat="1" x14ac:dyDescent="0.2">
      <c r="H650" s="246"/>
    </row>
    <row r="651" spans="8:8" s="1" customFormat="1" x14ac:dyDescent="0.2">
      <c r="H651" s="246"/>
    </row>
    <row r="652" spans="8:8" s="1" customFormat="1" x14ac:dyDescent="0.2">
      <c r="H652" s="246"/>
    </row>
    <row r="653" spans="8:8" s="1" customFormat="1" x14ac:dyDescent="0.2">
      <c r="H653" s="246"/>
    </row>
    <row r="654" spans="8:8" s="1" customFormat="1" x14ac:dyDescent="0.2">
      <c r="H654" s="246"/>
    </row>
    <row r="655" spans="8:8" s="1" customFormat="1" x14ac:dyDescent="0.2">
      <c r="H655" s="246"/>
    </row>
    <row r="656" spans="8:8" s="1" customFormat="1" x14ac:dyDescent="0.2">
      <c r="H656" s="246"/>
    </row>
    <row r="657" spans="1:8" s="1" customFormat="1" x14ac:dyDescent="0.2">
      <c r="H657" s="246"/>
    </row>
    <row r="658" spans="1:8" s="1" customFormat="1" x14ac:dyDescent="0.2">
      <c r="H658" s="246"/>
    </row>
    <row r="659" spans="1:8" s="1" customFormat="1" x14ac:dyDescent="0.2">
      <c r="H659" s="246"/>
    </row>
    <row r="660" spans="1:8" s="1" customFormat="1" x14ac:dyDescent="0.2">
      <c r="H660" s="246"/>
    </row>
    <row r="661" spans="1:8" s="1" customFormat="1" x14ac:dyDescent="0.2">
      <c r="H661" s="246"/>
    </row>
    <row r="662" spans="1:8" s="1" customFormat="1" x14ac:dyDescent="0.2">
      <c r="H662" s="246"/>
    </row>
    <row r="663" spans="1:8" s="1" customFormat="1" x14ac:dyDescent="0.2">
      <c r="H663" s="246"/>
    </row>
    <row r="664" spans="1:8" s="1" customFormat="1" x14ac:dyDescent="0.2">
      <c r="H664" s="246"/>
    </row>
    <row r="665" spans="1:8" s="1" customFormat="1" x14ac:dyDescent="0.2">
      <c r="H665" s="246"/>
    </row>
    <row r="666" spans="1:8" s="1" customFormat="1" x14ac:dyDescent="0.2">
      <c r="H666" s="246"/>
    </row>
    <row r="667" spans="1:8" s="1" customFormat="1" x14ac:dyDescent="0.2">
      <c r="A667" s="2"/>
      <c r="B667" s="27"/>
      <c r="C667" s="28"/>
      <c r="D667" s="28"/>
      <c r="E667" s="28"/>
      <c r="F667" s="28"/>
      <c r="G667" s="28"/>
      <c r="H667" s="246"/>
    </row>
    <row r="668" spans="1:8" s="1" customFormat="1" x14ac:dyDescent="0.2">
      <c r="A668" s="2"/>
      <c r="B668" s="27"/>
      <c r="C668" s="28"/>
      <c r="D668" s="28"/>
      <c r="E668" s="28"/>
      <c r="F668" s="28"/>
      <c r="G668" s="28"/>
      <c r="H668" s="246"/>
    </row>
    <row r="669" spans="1:8" s="1" customFormat="1" x14ac:dyDescent="0.2">
      <c r="A669" s="2"/>
      <c r="B669" s="27"/>
      <c r="C669" s="28"/>
      <c r="D669" s="28"/>
      <c r="E669" s="28"/>
      <c r="F669" s="28"/>
      <c r="G669" s="28"/>
      <c r="H669" s="246"/>
    </row>
    <row r="670" spans="1:8" s="1" customFormat="1" x14ac:dyDescent="0.2">
      <c r="A670" s="2"/>
      <c r="B670" s="27"/>
      <c r="C670" s="28"/>
      <c r="D670" s="28"/>
      <c r="E670" s="28"/>
      <c r="F670" s="28"/>
      <c r="G670" s="28"/>
      <c r="H670" s="246"/>
    </row>
    <row r="671" spans="1:8" s="1" customFormat="1" x14ac:dyDescent="0.2">
      <c r="A671" s="2"/>
      <c r="B671" s="27"/>
      <c r="C671" s="28"/>
      <c r="D671" s="28"/>
      <c r="E671" s="28"/>
      <c r="F671" s="28"/>
      <c r="G671" s="28"/>
      <c r="H671" s="246"/>
    </row>
    <row r="672" spans="1:8" s="1" customFormat="1" x14ac:dyDescent="0.2">
      <c r="A672" s="2"/>
      <c r="B672" s="27"/>
      <c r="C672" s="28"/>
      <c r="D672" s="28"/>
      <c r="E672" s="28"/>
      <c r="F672" s="28"/>
      <c r="G672" s="28"/>
      <c r="H672" s="246"/>
    </row>
    <row r="673" spans="1:8" s="1" customFormat="1" x14ac:dyDescent="0.2">
      <c r="A673" s="2"/>
      <c r="B673" s="27"/>
      <c r="C673" s="28"/>
      <c r="D673" s="28"/>
      <c r="E673" s="28"/>
      <c r="F673" s="28"/>
      <c r="G673" s="28"/>
      <c r="H673" s="246"/>
    </row>
    <row r="674" spans="1:8" s="1" customFormat="1" x14ac:dyDescent="0.2">
      <c r="A674" s="2"/>
      <c r="B674" s="27"/>
      <c r="C674" s="28"/>
      <c r="D674" s="28"/>
      <c r="E674" s="28"/>
      <c r="F674" s="28"/>
      <c r="G674" s="28"/>
      <c r="H674" s="246"/>
    </row>
    <row r="675" spans="1:8" s="1" customFormat="1" x14ac:dyDescent="0.2">
      <c r="A675" s="2"/>
      <c r="B675" s="27"/>
      <c r="C675" s="28"/>
      <c r="D675" s="28"/>
      <c r="E675" s="28"/>
      <c r="F675" s="28"/>
      <c r="G675" s="28"/>
      <c r="H675" s="246"/>
    </row>
    <row r="676" spans="1:8" s="1" customFormat="1" x14ac:dyDescent="0.2">
      <c r="A676" s="2"/>
      <c r="B676" s="27"/>
      <c r="C676" s="28"/>
      <c r="D676" s="28"/>
      <c r="E676" s="28"/>
      <c r="F676" s="28"/>
      <c r="G676" s="28"/>
      <c r="H676" s="246"/>
    </row>
    <row r="677" spans="1:8" s="1" customFormat="1" x14ac:dyDescent="0.2">
      <c r="A677" s="2"/>
      <c r="B677" s="27"/>
      <c r="C677" s="28"/>
      <c r="D677" s="28"/>
      <c r="E677" s="28"/>
      <c r="F677" s="28"/>
      <c r="G677" s="28"/>
      <c r="H677" s="246"/>
    </row>
    <row r="678" spans="1:8" s="1" customFormat="1" x14ac:dyDescent="0.2">
      <c r="A678" s="2"/>
      <c r="B678" s="27"/>
      <c r="C678" s="28"/>
      <c r="D678" s="28"/>
      <c r="E678" s="28"/>
      <c r="F678" s="28"/>
      <c r="G678" s="28"/>
      <c r="H678" s="246"/>
    </row>
    <row r="679" spans="1:8" s="1" customFormat="1" x14ac:dyDescent="0.2">
      <c r="A679" s="2"/>
      <c r="B679" s="27"/>
      <c r="C679" s="28"/>
      <c r="D679" s="28"/>
      <c r="E679" s="28"/>
      <c r="F679" s="28"/>
      <c r="G679" s="28"/>
      <c r="H679" s="246"/>
    </row>
    <row r="680" spans="1:8" s="1" customFormat="1" x14ac:dyDescent="0.2">
      <c r="A680" s="2"/>
      <c r="B680" s="27"/>
      <c r="C680" s="28"/>
      <c r="D680" s="28"/>
      <c r="E680" s="28"/>
      <c r="F680" s="28"/>
      <c r="G680" s="28"/>
      <c r="H680" s="246"/>
    </row>
    <row r="681" spans="1:8" s="1" customFormat="1" x14ac:dyDescent="0.2">
      <c r="A681" s="2"/>
      <c r="B681" s="27"/>
      <c r="C681" s="28"/>
      <c r="D681" s="28"/>
      <c r="E681" s="28"/>
      <c r="F681" s="28"/>
      <c r="G681" s="28"/>
      <c r="H681" s="246"/>
    </row>
    <row r="682" spans="1:8" s="1" customFormat="1" x14ac:dyDescent="0.2">
      <c r="A682" s="2"/>
      <c r="B682" s="27"/>
      <c r="C682" s="28"/>
      <c r="D682" s="28"/>
      <c r="E682" s="28"/>
      <c r="F682" s="28"/>
      <c r="G682" s="28"/>
      <c r="H682" s="246"/>
    </row>
    <row r="683" spans="1:8" s="1" customFormat="1" x14ac:dyDescent="0.2">
      <c r="A683" s="2"/>
      <c r="B683" s="27"/>
      <c r="C683" s="28"/>
      <c r="D683" s="28"/>
      <c r="E683" s="28"/>
      <c r="F683" s="28"/>
      <c r="G683" s="28"/>
      <c r="H683" s="246"/>
    </row>
    <row r="684" spans="1:8" s="1" customFormat="1" x14ac:dyDescent="0.2">
      <c r="A684" s="2"/>
      <c r="B684" s="27"/>
      <c r="C684" s="28"/>
      <c r="D684" s="28"/>
      <c r="E684" s="28"/>
      <c r="F684" s="28"/>
      <c r="G684" s="28"/>
      <c r="H684" s="246"/>
    </row>
    <row r="685" spans="1:8" s="1" customFormat="1" x14ac:dyDescent="0.2">
      <c r="A685" s="2"/>
      <c r="B685" s="27"/>
      <c r="C685" s="28"/>
      <c r="D685" s="28"/>
      <c r="E685" s="28"/>
      <c r="F685" s="28"/>
      <c r="G685" s="28"/>
      <c r="H685" s="246"/>
    </row>
    <row r="686" spans="1:8" s="1" customFormat="1" x14ac:dyDescent="0.2">
      <c r="A686" s="2"/>
      <c r="B686" s="27"/>
      <c r="C686" s="28"/>
      <c r="D686" s="28"/>
      <c r="E686" s="28"/>
      <c r="F686" s="28"/>
      <c r="G686" s="28"/>
      <c r="H686" s="246"/>
    </row>
    <row r="687" spans="1:8" s="1" customFormat="1" x14ac:dyDescent="0.2">
      <c r="A687" s="2"/>
      <c r="B687" s="27"/>
      <c r="C687" s="28"/>
      <c r="D687" s="28"/>
      <c r="E687" s="28"/>
      <c r="F687" s="28"/>
      <c r="G687" s="28"/>
      <c r="H687" s="246"/>
    </row>
    <row r="688" spans="1:8" s="1" customFormat="1" x14ac:dyDescent="0.2">
      <c r="A688" s="2"/>
      <c r="B688" s="27"/>
      <c r="C688" s="28"/>
      <c r="D688" s="28"/>
      <c r="E688" s="28"/>
      <c r="F688" s="28"/>
      <c r="G688" s="28"/>
      <c r="H688" s="246"/>
    </row>
    <row r="689" spans="1:8" s="1" customFormat="1" x14ac:dyDescent="0.2">
      <c r="A689" s="2"/>
      <c r="B689" s="27"/>
      <c r="C689" s="28"/>
      <c r="D689" s="28"/>
      <c r="E689" s="28"/>
      <c r="F689" s="28"/>
      <c r="G689" s="28"/>
      <c r="H689" s="246"/>
    </row>
    <row r="690" spans="1:8" s="1" customFormat="1" x14ac:dyDescent="0.2">
      <c r="A690" s="2"/>
      <c r="B690" s="27"/>
      <c r="C690" s="28"/>
      <c r="D690" s="28"/>
      <c r="E690" s="28"/>
      <c r="F690" s="28"/>
      <c r="G690" s="28"/>
      <c r="H690" s="246"/>
    </row>
    <row r="691" spans="1:8" s="1" customFormat="1" x14ac:dyDescent="0.2">
      <c r="A691" s="2"/>
      <c r="B691" s="27"/>
      <c r="C691" s="28"/>
      <c r="D691" s="28"/>
      <c r="E691" s="28"/>
      <c r="F691" s="28"/>
      <c r="G691" s="28"/>
      <c r="H691" s="246"/>
    </row>
    <row r="692" spans="1:8" s="1" customFormat="1" x14ac:dyDescent="0.2">
      <c r="A692" s="2"/>
      <c r="B692" s="27"/>
      <c r="C692" s="28"/>
      <c r="D692" s="28"/>
      <c r="E692" s="28"/>
      <c r="F692" s="28"/>
      <c r="G692" s="28"/>
      <c r="H692" s="246"/>
    </row>
    <row r="693" spans="1:8" s="1" customFormat="1" x14ac:dyDescent="0.2">
      <c r="A693" s="2"/>
      <c r="B693" s="27"/>
      <c r="C693" s="28"/>
      <c r="D693" s="28"/>
      <c r="E693" s="28"/>
      <c r="F693" s="28"/>
      <c r="G693" s="28"/>
      <c r="H693" s="246"/>
    </row>
    <row r="694" spans="1:8" s="1" customFormat="1" x14ac:dyDescent="0.2">
      <c r="A694" s="2"/>
      <c r="B694" s="27"/>
      <c r="C694" s="28"/>
      <c r="D694" s="28"/>
      <c r="E694" s="28"/>
      <c r="F694" s="28"/>
      <c r="G694" s="28"/>
      <c r="H694" s="246"/>
    </row>
    <row r="695" spans="1:8" s="1" customFormat="1" x14ac:dyDescent="0.2">
      <c r="A695" s="2"/>
      <c r="B695" s="27"/>
      <c r="C695" s="28"/>
      <c r="D695" s="28"/>
      <c r="E695" s="28"/>
      <c r="F695" s="28"/>
      <c r="G695" s="28"/>
      <c r="H695" s="246"/>
    </row>
    <row r="696" spans="1:8" s="1" customFormat="1" x14ac:dyDescent="0.2">
      <c r="A696" s="2"/>
      <c r="B696" s="27"/>
      <c r="C696" s="28"/>
      <c r="D696" s="28"/>
      <c r="E696" s="28"/>
      <c r="F696" s="28"/>
      <c r="G696" s="28"/>
      <c r="H696" s="246"/>
    </row>
    <row r="697" spans="1:8" s="1" customFormat="1" x14ac:dyDescent="0.2">
      <c r="A697" s="2"/>
      <c r="B697" s="27"/>
      <c r="C697" s="28"/>
      <c r="D697" s="28"/>
      <c r="E697" s="28"/>
      <c r="F697" s="28"/>
      <c r="G697" s="28"/>
      <c r="H697" s="246"/>
    </row>
    <row r="698" spans="1:8" s="1" customFormat="1" x14ac:dyDescent="0.2">
      <c r="A698" s="2"/>
      <c r="B698" s="27"/>
      <c r="C698" s="28"/>
      <c r="D698" s="28"/>
      <c r="E698" s="28"/>
      <c r="F698" s="28"/>
      <c r="G698" s="28"/>
      <c r="H698" s="246"/>
    </row>
    <row r="699" spans="1:8" s="1" customFormat="1" x14ac:dyDescent="0.2">
      <c r="A699" s="2"/>
      <c r="B699" s="27"/>
      <c r="C699" s="28"/>
      <c r="D699" s="28"/>
      <c r="E699" s="28"/>
      <c r="F699" s="28"/>
      <c r="G699" s="28"/>
      <c r="H699" s="246"/>
    </row>
    <row r="700" spans="1:8" s="1" customFormat="1" x14ac:dyDescent="0.2">
      <c r="A700" s="2"/>
      <c r="B700" s="27"/>
      <c r="C700" s="28"/>
      <c r="D700" s="28"/>
      <c r="E700" s="28"/>
      <c r="F700" s="28"/>
      <c r="G700" s="28"/>
      <c r="H700" s="246"/>
    </row>
    <row r="701" spans="1:8" s="1" customFormat="1" x14ac:dyDescent="0.2">
      <c r="A701" s="2"/>
      <c r="B701" s="27"/>
      <c r="C701" s="28"/>
      <c r="D701" s="28"/>
      <c r="E701" s="28"/>
      <c r="F701" s="28"/>
      <c r="G701" s="28"/>
      <c r="H701" s="246"/>
    </row>
    <row r="702" spans="1:8" s="1" customFormat="1" x14ac:dyDescent="0.2">
      <c r="A702" s="2"/>
      <c r="B702" s="27"/>
      <c r="C702" s="28"/>
      <c r="D702" s="28"/>
      <c r="E702" s="28"/>
      <c r="F702" s="28"/>
      <c r="G702" s="28"/>
      <c r="H702" s="246"/>
    </row>
    <row r="703" spans="1:8" s="1" customFormat="1" x14ac:dyDescent="0.2">
      <c r="A703" s="2"/>
      <c r="B703" s="27"/>
      <c r="C703" s="28"/>
      <c r="D703" s="28"/>
      <c r="E703" s="28"/>
      <c r="F703" s="28"/>
      <c r="G703" s="28"/>
      <c r="H703" s="246"/>
    </row>
    <row r="704" spans="1:8" s="1" customFormat="1" x14ac:dyDescent="0.2">
      <c r="A704" s="2"/>
      <c r="B704" s="27"/>
      <c r="C704" s="28"/>
      <c r="D704" s="28"/>
      <c r="E704" s="28"/>
      <c r="F704" s="28"/>
      <c r="G704" s="28"/>
      <c r="H704" s="246"/>
    </row>
    <row r="705" spans="1:8" s="1" customFormat="1" x14ac:dyDescent="0.2">
      <c r="A705" s="2"/>
      <c r="B705" s="27"/>
      <c r="C705" s="28"/>
      <c r="D705" s="28"/>
      <c r="E705" s="28"/>
      <c r="F705" s="28"/>
      <c r="G705" s="28"/>
      <c r="H705" s="246"/>
    </row>
    <row r="706" spans="1:8" s="1" customFormat="1" x14ac:dyDescent="0.2">
      <c r="A706" s="2"/>
      <c r="B706" s="27"/>
      <c r="C706" s="28"/>
      <c r="D706" s="28"/>
      <c r="E706" s="28"/>
      <c r="F706" s="28"/>
      <c r="G706" s="28"/>
      <c r="H706" s="246"/>
    </row>
    <row r="707" spans="1:8" s="1" customFormat="1" x14ac:dyDescent="0.2">
      <c r="A707" s="2"/>
      <c r="B707" s="27"/>
      <c r="C707" s="28"/>
      <c r="D707" s="28"/>
      <c r="E707" s="28"/>
      <c r="F707" s="28"/>
      <c r="G707" s="28"/>
      <c r="H707" s="246"/>
    </row>
    <row r="708" spans="1:8" s="1" customFormat="1" x14ac:dyDescent="0.2">
      <c r="A708" s="2"/>
      <c r="B708" s="27"/>
      <c r="C708" s="28"/>
      <c r="D708" s="28"/>
      <c r="E708" s="28"/>
      <c r="F708" s="28"/>
      <c r="G708" s="28"/>
      <c r="H708" s="246"/>
    </row>
    <row r="709" spans="1:8" s="1" customFormat="1" x14ac:dyDescent="0.2">
      <c r="A709" s="2"/>
      <c r="B709" s="27"/>
      <c r="C709" s="28"/>
      <c r="D709" s="28"/>
      <c r="E709" s="28"/>
      <c r="F709" s="28"/>
      <c r="G709" s="28"/>
      <c r="H709" s="246"/>
    </row>
    <row r="710" spans="1:8" s="1" customFormat="1" x14ac:dyDescent="0.2">
      <c r="A710" s="2"/>
      <c r="B710" s="27"/>
      <c r="C710" s="28"/>
      <c r="D710" s="28"/>
      <c r="E710" s="28"/>
      <c r="F710" s="28"/>
      <c r="G710" s="28"/>
      <c r="H710" s="246"/>
    </row>
    <row r="711" spans="1:8" s="1" customFormat="1" x14ac:dyDescent="0.2">
      <c r="A711" s="2"/>
      <c r="B711" s="27"/>
      <c r="C711" s="28"/>
      <c r="D711" s="28"/>
      <c r="E711" s="28"/>
      <c r="F711" s="28"/>
      <c r="G711" s="28"/>
      <c r="H711" s="246"/>
    </row>
    <row r="712" spans="1:8" s="1" customFormat="1" x14ac:dyDescent="0.2">
      <c r="A712" s="2"/>
      <c r="B712" s="27"/>
      <c r="C712" s="28"/>
      <c r="D712" s="28"/>
      <c r="E712" s="28"/>
      <c r="F712" s="28"/>
      <c r="G712" s="28"/>
      <c r="H712" s="246"/>
    </row>
    <row r="713" spans="1:8" s="1" customFormat="1" x14ac:dyDescent="0.2">
      <c r="A713" s="2"/>
      <c r="B713" s="27"/>
      <c r="C713" s="28"/>
      <c r="D713" s="28"/>
      <c r="E713" s="28"/>
      <c r="F713" s="28"/>
      <c r="G713" s="28"/>
      <c r="H713" s="246"/>
    </row>
    <row r="714" spans="1:8" s="1" customFormat="1" x14ac:dyDescent="0.2">
      <c r="A714" s="2"/>
      <c r="B714" s="27"/>
      <c r="C714" s="28"/>
      <c r="D714" s="28"/>
      <c r="E714" s="28"/>
      <c r="F714" s="28"/>
      <c r="G714" s="28"/>
      <c r="H714" s="246"/>
    </row>
    <row r="715" spans="1:8" s="1" customFormat="1" x14ac:dyDescent="0.2">
      <c r="A715" s="2"/>
      <c r="B715" s="27"/>
      <c r="C715" s="28"/>
      <c r="D715" s="28"/>
      <c r="E715" s="28"/>
      <c r="F715" s="28"/>
      <c r="G715" s="28"/>
      <c r="H715" s="246"/>
    </row>
    <row r="716" spans="1:8" s="1" customFormat="1" x14ac:dyDescent="0.2">
      <c r="A716" s="2"/>
      <c r="B716" s="27"/>
      <c r="C716" s="28"/>
      <c r="D716" s="28"/>
      <c r="E716" s="28"/>
      <c r="F716" s="28"/>
      <c r="G716" s="28"/>
      <c r="H716" s="246"/>
    </row>
    <row r="717" spans="1:8" s="1" customFormat="1" x14ac:dyDescent="0.2">
      <c r="A717" s="2"/>
      <c r="B717" s="27"/>
      <c r="C717" s="28"/>
      <c r="D717" s="28"/>
      <c r="E717" s="28"/>
      <c r="F717" s="28"/>
      <c r="G717" s="28"/>
      <c r="H717" s="246"/>
    </row>
    <row r="718" spans="1:8" s="1" customFormat="1" x14ac:dyDescent="0.2">
      <c r="A718" s="2"/>
      <c r="B718" s="27"/>
      <c r="C718" s="28"/>
      <c r="D718" s="28"/>
      <c r="E718" s="28"/>
      <c r="F718" s="28"/>
      <c r="G718" s="28"/>
      <c r="H718" s="246"/>
    </row>
    <row r="719" spans="1:8" s="1" customFormat="1" x14ac:dyDescent="0.2">
      <c r="A719" s="2"/>
      <c r="B719" s="27"/>
      <c r="C719" s="28"/>
      <c r="D719" s="28"/>
      <c r="E719" s="28"/>
      <c r="F719" s="28"/>
      <c r="G719" s="28"/>
      <c r="H719" s="246"/>
    </row>
    <row r="720" spans="1:8" s="1" customFormat="1" x14ac:dyDescent="0.2">
      <c r="A720" s="2"/>
      <c r="B720" s="27"/>
      <c r="C720" s="28"/>
      <c r="D720" s="28"/>
      <c r="E720" s="28"/>
      <c r="F720" s="28"/>
      <c r="G720" s="28"/>
      <c r="H720" s="246"/>
    </row>
    <row r="721" spans="1:8" s="1" customFormat="1" x14ac:dyDescent="0.2">
      <c r="A721" s="2"/>
      <c r="B721" s="27"/>
      <c r="C721" s="28"/>
      <c r="D721" s="28"/>
      <c r="E721" s="28"/>
      <c r="F721" s="28"/>
      <c r="G721" s="28"/>
      <c r="H721" s="246"/>
    </row>
    <row r="722" spans="1:8" s="1" customFormat="1" x14ac:dyDescent="0.2">
      <c r="A722" s="2"/>
      <c r="B722" s="27"/>
      <c r="C722" s="28"/>
      <c r="D722" s="28"/>
      <c r="E722" s="28"/>
      <c r="F722" s="28"/>
      <c r="G722" s="28"/>
      <c r="H722" s="246"/>
    </row>
    <row r="723" spans="1:8" s="1" customFormat="1" x14ac:dyDescent="0.2">
      <c r="A723" s="2"/>
      <c r="B723" s="27"/>
      <c r="C723" s="28"/>
      <c r="D723" s="28"/>
      <c r="E723" s="28"/>
      <c r="F723" s="28"/>
      <c r="G723" s="28"/>
      <c r="H723" s="246"/>
    </row>
    <row r="724" spans="1:8" s="1" customFormat="1" x14ac:dyDescent="0.2">
      <c r="A724" s="2"/>
      <c r="B724" s="27"/>
      <c r="C724" s="28"/>
      <c r="D724" s="28"/>
      <c r="E724" s="28"/>
      <c r="F724" s="28"/>
      <c r="G724" s="28"/>
      <c r="H724" s="246"/>
    </row>
    <row r="725" spans="1:8" s="1" customFormat="1" x14ac:dyDescent="0.2">
      <c r="A725" s="2"/>
      <c r="B725" s="27"/>
      <c r="C725" s="28"/>
      <c r="D725" s="28"/>
      <c r="E725" s="28"/>
      <c r="F725" s="28"/>
      <c r="G725" s="28"/>
      <c r="H725" s="246"/>
    </row>
    <row r="726" spans="1:8" s="1" customFormat="1" x14ac:dyDescent="0.2">
      <c r="A726" s="2"/>
      <c r="B726" s="27"/>
      <c r="C726" s="28"/>
      <c r="D726" s="28"/>
      <c r="E726" s="28"/>
      <c r="F726" s="28"/>
      <c r="G726" s="28"/>
      <c r="H726" s="246"/>
    </row>
    <row r="727" spans="1:8" s="1" customFormat="1" x14ac:dyDescent="0.2">
      <c r="A727" s="2"/>
      <c r="B727" s="27"/>
      <c r="C727" s="28"/>
      <c r="D727" s="28"/>
      <c r="E727" s="28"/>
      <c r="F727" s="28"/>
      <c r="G727" s="28"/>
      <c r="H727" s="246"/>
    </row>
    <row r="728" spans="1:8" s="1" customFormat="1" x14ac:dyDescent="0.2">
      <c r="A728" s="2"/>
      <c r="B728" s="27"/>
      <c r="C728" s="28"/>
      <c r="D728" s="28"/>
      <c r="E728" s="28"/>
      <c r="F728" s="28"/>
      <c r="G728" s="28"/>
      <c r="H728" s="246"/>
    </row>
    <row r="729" spans="1:8" s="1" customFormat="1" x14ac:dyDescent="0.2">
      <c r="A729" s="2"/>
      <c r="B729" s="27"/>
      <c r="C729" s="28"/>
      <c r="D729" s="28"/>
      <c r="E729" s="28"/>
      <c r="F729" s="28"/>
      <c r="G729" s="28"/>
      <c r="H729" s="246"/>
    </row>
    <row r="730" spans="1:8" s="1" customFormat="1" x14ac:dyDescent="0.2">
      <c r="A730" s="2"/>
      <c r="B730" s="27"/>
      <c r="C730" s="28"/>
      <c r="D730" s="28"/>
      <c r="E730" s="28"/>
      <c r="F730" s="28"/>
      <c r="G730" s="28"/>
      <c r="H730" s="246"/>
    </row>
    <row r="731" spans="1:8" s="1" customFormat="1" x14ac:dyDescent="0.2">
      <c r="A731" s="2"/>
      <c r="B731" s="27"/>
      <c r="C731" s="28"/>
      <c r="D731" s="28"/>
      <c r="E731" s="28"/>
      <c r="F731" s="28"/>
      <c r="G731" s="28"/>
      <c r="H731" s="246"/>
    </row>
    <row r="732" spans="1:8" s="1" customFormat="1" x14ac:dyDescent="0.2">
      <c r="A732" s="2"/>
      <c r="B732" s="27"/>
      <c r="C732" s="28"/>
      <c r="D732" s="28"/>
      <c r="E732" s="28"/>
      <c r="F732" s="28"/>
      <c r="G732" s="28"/>
      <c r="H732" s="246"/>
    </row>
    <row r="733" spans="1:8" s="1" customFormat="1" x14ac:dyDescent="0.2">
      <c r="A733" s="2"/>
      <c r="B733" s="27"/>
      <c r="C733" s="28"/>
      <c r="D733" s="28"/>
      <c r="E733" s="28"/>
      <c r="F733" s="28"/>
      <c r="G733" s="28"/>
      <c r="H733" s="246"/>
    </row>
    <row r="734" spans="1:8" s="1" customFormat="1" x14ac:dyDescent="0.2">
      <c r="A734" s="2"/>
      <c r="B734" s="27"/>
      <c r="C734" s="28"/>
      <c r="D734" s="28"/>
      <c r="E734" s="28"/>
      <c r="F734" s="28"/>
      <c r="G734" s="28"/>
      <c r="H734" s="246"/>
    </row>
    <row r="735" spans="1:8" s="1" customFormat="1" x14ac:dyDescent="0.2">
      <c r="A735" s="2"/>
      <c r="B735" s="27"/>
      <c r="C735" s="28"/>
      <c r="D735" s="28"/>
      <c r="E735" s="28"/>
      <c r="F735" s="28"/>
      <c r="G735" s="28"/>
      <c r="H735" s="246"/>
    </row>
    <row r="736" spans="1:8" s="1" customFormat="1" x14ac:dyDescent="0.2">
      <c r="A736" s="2"/>
      <c r="B736" s="27"/>
      <c r="C736" s="28"/>
      <c r="D736" s="28"/>
      <c r="E736" s="28"/>
      <c r="F736" s="28"/>
      <c r="G736" s="28"/>
      <c r="H736" s="246"/>
    </row>
    <row r="737" spans="1:8" s="1" customFormat="1" x14ac:dyDescent="0.2">
      <c r="A737" s="2"/>
      <c r="B737" s="27"/>
      <c r="C737" s="28"/>
      <c r="D737" s="28"/>
      <c r="E737" s="28"/>
      <c r="F737" s="28"/>
      <c r="G737" s="28"/>
      <c r="H737" s="246"/>
    </row>
    <row r="738" spans="1:8" s="1" customFormat="1" x14ac:dyDescent="0.2">
      <c r="A738" s="2"/>
      <c r="B738" s="27"/>
      <c r="C738" s="28"/>
      <c r="D738" s="28"/>
      <c r="E738" s="28"/>
      <c r="F738" s="28"/>
      <c r="G738" s="28"/>
      <c r="H738" s="246"/>
    </row>
    <row r="739" spans="1:8" s="1" customFormat="1" x14ac:dyDescent="0.2">
      <c r="A739" s="2"/>
      <c r="B739" s="27"/>
      <c r="C739" s="28"/>
      <c r="D739" s="28"/>
      <c r="E739" s="28"/>
      <c r="F739" s="28"/>
      <c r="G739" s="28"/>
      <c r="H739" s="246"/>
    </row>
    <row r="740" spans="1:8" s="1" customFormat="1" x14ac:dyDescent="0.2">
      <c r="A740" s="2"/>
      <c r="B740" s="27"/>
      <c r="C740" s="28"/>
      <c r="D740" s="28"/>
      <c r="E740" s="28"/>
      <c r="F740" s="28"/>
      <c r="G740" s="28"/>
      <c r="H740" s="246"/>
    </row>
    <row r="741" spans="1:8" s="1" customFormat="1" x14ac:dyDescent="0.2">
      <c r="A741" s="2"/>
      <c r="B741" s="27"/>
      <c r="C741" s="28"/>
      <c r="D741" s="28"/>
      <c r="E741" s="28"/>
      <c r="F741" s="28"/>
      <c r="G741" s="28"/>
      <c r="H741" s="246"/>
    </row>
    <row r="742" spans="1:8" s="1" customFormat="1" x14ac:dyDescent="0.2">
      <c r="A742" s="2"/>
      <c r="B742" s="27"/>
      <c r="C742" s="28"/>
      <c r="D742" s="28"/>
      <c r="E742" s="28"/>
      <c r="F742" s="28"/>
      <c r="G742" s="28"/>
      <c r="H742" s="246"/>
    </row>
    <row r="743" spans="1:8" s="1" customFormat="1" x14ac:dyDescent="0.2">
      <c r="A743" s="2"/>
      <c r="B743" s="27"/>
      <c r="C743" s="28"/>
      <c r="D743" s="28"/>
      <c r="E743" s="28"/>
      <c r="F743" s="28"/>
      <c r="G743" s="28"/>
      <c r="H743" s="246"/>
    </row>
    <row r="744" spans="1:8" s="1" customFormat="1" x14ac:dyDescent="0.2">
      <c r="A744" s="2"/>
      <c r="B744" s="27"/>
      <c r="C744" s="28"/>
      <c r="D744" s="28"/>
      <c r="E744" s="28"/>
      <c r="F744" s="28"/>
      <c r="G744" s="28"/>
      <c r="H744" s="246"/>
    </row>
    <row r="745" spans="1:8" s="1" customFormat="1" x14ac:dyDescent="0.2">
      <c r="A745" s="2"/>
      <c r="B745" s="27"/>
      <c r="C745" s="28"/>
      <c r="D745" s="28"/>
      <c r="E745" s="28"/>
      <c r="F745" s="28"/>
      <c r="G745" s="28"/>
      <c r="H745" s="246"/>
    </row>
    <row r="746" spans="1:8" s="1" customFormat="1" x14ac:dyDescent="0.2">
      <c r="A746" s="2"/>
      <c r="B746" s="27"/>
      <c r="C746" s="28"/>
      <c r="D746" s="28"/>
      <c r="E746" s="28"/>
      <c r="F746" s="28"/>
      <c r="G746" s="28"/>
      <c r="H746" s="246"/>
    </row>
    <row r="747" spans="1:8" s="1" customFormat="1" x14ac:dyDescent="0.2">
      <c r="A747" s="2"/>
      <c r="B747" s="27"/>
      <c r="C747" s="28"/>
      <c r="D747" s="28"/>
      <c r="E747" s="28"/>
      <c r="F747" s="28"/>
      <c r="G747" s="28"/>
      <c r="H747" s="246"/>
    </row>
    <row r="748" spans="1:8" s="1" customFormat="1" x14ac:dyDescent="0.2">
      <c r="A748" s="2"/>
      <c r="B748" s="27"/>
      <c r="C748" s="28"/>
      <c r="D748" s="28"/>
      <c r="E748" s="28"/>
      <c r="F748" s="28"/>
      <c r="G748" s="28"/>
      <c r="H748" s="246"/>
    </row>
    <row r="749" spans="1:8" s="1" customFormat="1" x14ac:dyDescent="0.2">
      <c r="A749" s="2"/>
      <c r="B749" s="27"/>
      <c r="C749" s="28"/>
      <c r="D749" s="28"/>
      <c r="E749" s="28"/>
      <c r="F749" s="28"/>
      <c r="G749" s="28"/>
      <c r="H749" s="246"/>
    </row>
    <row r="750" spans="1:8" s="1" customFormat="1" x14ac:dyDescent="0.2">
      <c r="A750" s="2"/>
      <c r="B750" s="27"/>
      <c r="C750" s="28"/>
      <c r="D750" s="28"/>
      <c r="E750" s="28"/>
      <c r="F750" s="28"/>
      <c r="G750" s="28"/>
      <c r="H750" s="246"/>
    </row>
    <row r="751" spans="1:8" s="1" customFormat="1" x14ac:dyDescent="0.2">
      <c r="A751" s="2"/>
      <c r="B751" s="27"/>
      <c r="C751" s="28"/>
      <c r="D751" s="28"/>
      <c r="E751" s="28"/>
      <c r="F751" s="28"/>
      <c r="G751" s="28"/>
      <c r="H751" s="246"/>
    </row>
    <row r="752" spans="1:8" s="1" customFormat="1" x14ac:dyDescent="0.2">
      <c r="A752" s="2"/>
      <c r="B752" s="27"/>
      <c r="C752" s="28"/>
      <c r="D752" s="28"/>
      <c r="E752" s="28"/>
      <c r="F752" s="28"/>
      <c r="G752" s="28"/>
      <c r="H752" s="246"/>
    </row>
    <row r="753" spans="1:8" s="1" customFormat="1" x14ac:dyDescent="0.2">
      <c r="A753" s="2"/>
      <c r="B753" s="27"/>
      <c r="C753" s="28"/>
      <c r="D753" s="28"/>
      <c r="E753" s="28"/>
      <c r="F753" s="28"/>
      <c r="G753" s="28"/>
      <c r="H753" s="246"/>
    </row>
    <row r="754" spans="1:8" s="1" customFormat="1" x14ac:dyDescent="0.2">
      <c r="A754" s="2"/>
      <c r="B754" s="27"/>
      <c r="C754" s="28"/>
      <c r="D754" s="28"/>
      <c r="E754" s="28"/>
      <c r="F754" s="28"/>
      <c r="G754" s="28"/>
      <c r="H754" s="246"/>
    </row>
    <row r="755" spans="1:8" s="1" customFormat="1" x14ac:dyDescent="0.2">
      <c r="A755" s="2"/>
      <c r="B755" s="27"/>
      <c r="C755" s="28"/>
      <c r="D755" s="28"/>
      <c r="E755" s="28"/>
      <c r="F755" s="28"/>
      <c r="G755" s="28"/>
      <c r="H755" s="246"/>
    </row>
    <row r="756" spans="1:8" s="1" customFormat="1" x14ac:dyDescent="0.2">
      <c r="A756" s="2"/>
      <c r="B756" s="27"/>
      <c r="C756" s="28"/>
      <c r="D756" s="28"/>
      <c r="E756" s="28"/>
      <c r="F756" s="28"/>
      <c r="G756" s="28"/>
      <c r="H756" s="246"/>
    </row>
    <row r="757" spans="1:8" s="1" customFormat="1" x14ac:dyDescent="0.2">
      <c r="A757" s="2"/>
      <c r="B757" s="27"/>
      <c r="C757" s="28"/>
      <c r="D757" s="28"/>
      <c r="E757" s="28"/>
      <c r="F757" s="28"/>
      <c r="G757" s="28"/>
      <c r="H757" s="246"/>
    </row>
    <row r="758" spans="1:8" s="1" customFormat="1" x14ac:dyDescent="0.2">
      <c r="A758" s="2"/>
      <c r="B758" s="27"/>
      <c r="C758" s="28"/>
      <c r="D758" s="28"/>
      <c r="E758" s="28"/>
      <c r="F758" s="28"/>
      <c r="G758" s="28"/>
      <c r="H758" s="246"/>
    </row>
    <row r="759" spans="1:8" s="1" customFormat="1" x14ac:dyDescent="0.2">
      <c r="A759" s="2"/>
      <c r="B759" s="27"/>
      <c r="C759" s="28"/>
      <c r="D759" s="28"/>
      <c r="E759" s="28"/>
      <c r="F759" s="28"/>
      <c r="G759" s="28"/>
      <c r="H759" s="246"/>
    </row>
    <row r="760" spans="1:8" s="1" customFormat="1" x14ac:dyDescent="0.2">
      <c r="A760" s="2"/>
      <c r="B760" s="27"/>
      <c r="C760" s="28"/>
      <c r="D760" s="28"/>
      <c r="E760" s="28"/>
      <c r="F760" s="28"/>
      <c r="G760" s="28"/>
      <c r="H760" s="246"/>
    </row>
    <row r="761" spans="1:8" s="1" customFormat="1" x14ac:dyDescent="0.2">
      <c r="A761" s="2"/>
      <c r="B761" s="27"/>
      <c r="C761" s="28"/>
      <c r="D761" s="28"/>
      <c r="E761" s="28"/>
      <c r="F761" s="28"/>
      <c r="G761" s="28"/>
      <c r="H761" s="246"/>
    </row>
    <row r="762" spans="1:8" s="1" customFormat="1" x14ac:dyDescent="0.2">
      <c r="A762" s="2"/>
      <c r="B762" s="27"/>
      <c r="C762" s="28"/>
      <c r="D762" s="28"/>
      <c r="E762" s="28"/>
      <c r="F762" s="28"/>
      <c r="G762" s="28"/>
      <c r="H762" s="246"/>
    </row>
    <row r="763" spans="1:8" s="1" customFormat="1" x14ac:dyDescent="0.2">
      <c r="A763" s="2"/>
      <c r="B763" s="27"/>
      <c r="C763" s="28"/>
      <c r="D763" s="28"/>
      <c r="E763" s="28"/>
      <c r="F763" s="28"/>
      <c r="G763" s="28"/>
      <c r="H763" s="246"/>
    </row>
    <row r="764" spans="1:8" s="1" customFormat="1" x14ac:dyDescent="0.2">
      <c r="A764" s="2"/>
      <c r="B764" s="27"/>
      <c r="C764" s="28"/>
      <c r="D764" s="28"/>
      <c r="E764" s="28"/>
      <c r="F764" s="28"/>
      <c r="G764" s="28"/>
      <c r="H764" s="246"/>
    </row>
    <row r="765" spans="1:8" s="1" customFormat="1" x14ac:dyDescent="0.2">
      <c r="A765" s="2"/>
      <c r="B765" s="27"/>
      <c r="C765" s="28"/>
      <c r="D765" s="28"/>
      <c r="E765" s="28"/>
      <c r="F765" s="28"/>
      <c r="G765" s="28"/>
      <c r="H765" s="246"/>
    </row>
    <row r="766" spans="1:8" s="1" customFormat="1" x14ac:dyDescent="0.2">
      <c r="A766" s="2"/>
      <c r="B766" s="27"/>
      <c r="C766" s="28"/>
      <c r="D766" s="28"/>
      <c r="E766" s="28"/>
      <c r="F766" s="28"/>
      <c r="G766" s="28"/>
      <c r="H766" s="246"/>
    </row>
    <row r="767" spans="1:8" s="1" customFormat="1" x14ac:dyDescent="0.2">
      <c r="A767" s="2"/>
      <c r="B767" s="27"/>
      <c r="C767" s="28"/>
      <c r="D767" s="28"/>
      <c r="E767" s="28"/>
      <c r="F767" s="28"/>
      <c r="G767" s="28"/>
      <c r="H767" s="246"/>
    </row>
    <row r="768" spans="1:8" s="1" customFormat="1" x14ac:dyDescent="0.2">
      <c r="A768" s="2"/>
      <c r="B768" s="27"/>
      <c r="C768" s="28"/>
      <c r="D768" s="28"/>
      <c r="E768" s="28"/>
      <c r="F768" s="28"/>
      <c r="G768" s="28"/>
      <c r="H768" s="246"/>
    </row>
    <row r="769" spans="1:8" s="1" customFormat="1" x14ac:dyDescent="0.2">
      <c r="A769" s="2"/>
      <c r="B769" s="27"/>
      <c r="C769" s="28"/>
      <c r="D769" s="28"/>
      <c r="E769" s="28"/>
      <c r="F769" s="28"/>
      <c r="G769" s="28"/>
      <c r="H769" s="246"/>
    </row>
    <row r="770" spans="1:8" s="1" customFormat="1" x14ac:dyDescent="0.2">
      <c r="A770" s="2"/>
      <c r="B770" s="27"/>
      <c r="C770" s="28"/>
      <c r="D770" s="28"/>
      <c r="E770" s="28"/>
      <c r="F770" s="28"/>
      <c r="G770" s="28"/>
      <c r="H770" s="246"/>
    </row>
    <row r="771" spans="1:8" s="1" customFormat="1" x14ac:dyDescent="0.2">
      <c r="A771" s="2"/>
      <c r="B771" s="27"/>
      <c r="C771" s="28"/>
      <c r="D771" s="28"/>
      <c r="E771" s="28"/>
      <c r="F771" s="28"/>
      <c r="G771" s="28"/>
      <c r="H771" s="246"/>
    </row>
    <row r="772" spans="1:8" s="1" customFormat="1" x14ac:dyDescent="0.2">
      <c r="A772" s="2"/>
      <c r="B772" s="27"/>
      <c r="C772" s="28"/>
      <c r="D772" s="28"/>
      <c r="E772" s="28"/>
      <c r="F772" s="28"/>
      <c r="G772" s="28"/>
      <c r="H772" s="246"/>
    </row>
    <row r="773" spans="1:8" s="1" customFormat="1" x14ac:dyDescent="0.2">
      <c r="A773" s="2"/>
      <c r="B773" s="27"/>
      <c r="C773" s="28"/>
      <c r="D773" s="28"/>
      <c r="E773" s="28"/>
      <c r="F773" s="28"/>
      <c r="G773" s="28"/>
      <c r="H773" s="246"/>
    </row>
    <row r="774" spans="1:8" s="1" customFormat="1" x14ac:dyDescent="0.2">
      <c r="A774" s="2"/>
      <c r="B774" s="27"/>
      <c r="C774" s="28"/>
      <c r="D774" s="28"/>
      <c r="E774" s="28"/>
      <c r="F774" s="28"/>
      <c r="G774" s="28"/>
      <c r="H774" s="246"/>
    </row>
    <row r="775" spans="1:8" s="1" customFormat="1" x14ac:dyDescent="0.2">
      <c r="A775" s="2"/>
      <c r="B775" s="27"/>
      <c r="C775" s="28"/>
      <c r="D775" s="28"/>
      <c r="E775" s="28"/>
      <c r="F775" s="28"/>
      <c r="G775" s="28"/>
      <c r="H775" s="246"/>
    </row>
    <row r="776" spans="1:8" s="1" customFormat="1" x14ac:dyDescent="0.2">
      <c r="A776" s="2"/>
      <c r="B776" s="42"/>
      <c r="C776" s="43"/>
      <c r="D776" s="43"/>
      <c r="E776" s="43"/>
      <c r="F776" s="43"/>
      <c r="G776" s="43"/>
      <c r="H776" s="246"/>
    </row>
    <row r="777" spans="1:8" s="1" customFormat="1" x14ac:dyDescent="0.2">
      <c r="H777" s="246"/>
    </row>
    <row r="778" spans="1:8" s="1" customFormat="1" x14ac:dyDescent="0.2">
      <c r="H778" s="246"/>
    </row>
    <row r="779" spans="1:8" s="1" customFormat="1" x14ac:dyDescent="0.2">
      <c r="H779" s="246"/>
    </row>
    <row r="780" spans="1:8" s="1" customFormat="1" x14ac:dyDescent="0.2">
      <c r="H780" s="246"/>
    </row>
    <row r="781" spans="1:8" s="1" customFormat="1" x14ac:dyDescent="0.2">
      <c r="H781" s="246"/>
    </row>
    <row r="782" spans="1:8" s="1" customFormat="1" x14ac:dyDescent="0.2">
      <c r="H782" s="246"/>
    </row>
    <row r="783" spans="1:8" s="23" customFormat="1" x14ac:dyDescent="0.2">
      <c r="H783" s="274"/>
    </row>
    <row r="784" spans="1:8" s="1" customFormat="1" x14ac:dyDescent="0.2">
      <c r="H784" s="246"/>
    </row>
    <row r="785" spans="8:8" s="1" customFormat="1" x14ac:dyDescent="0.2">
      <c r="H785" s="246"/>
    </row>
    <row r="786" spans="8:8" s="1" customFormat="1" x14ac:dyDescent="0.2">
      <c r="H786" s="246"/>
    </row>
    <row r="787" spans="8:8" s="1" customFormat="1" x14ac:dyDescent="0.2">
      <c r="H787" s="246"/>
    </row>
    <row r="788" spans="8:8" s="1" customFormat="1" x14ac:dyDescent="0.2">
      <c r="H788" s="246"/>
    </row>
    <row r="789" spans="8:8" s="1" customFormat="1" x14ac:dyDescent="0.2">
      <c r="H789" s="246"/>
    </row>
    <row r="790" spans="8:8" s="1" customFormat="1" x14ac:dyDescent="0.2">
      <c r="H790" s="246"/>
    </row>
    <row r="791" spans="8:8" s="1" customFormat="1" x14ac:dyDescent="0.2">
      <c r="H791" s="246"/>
    </row>
    <row r="792" spans="8:8" s="1" customFormat="1" x14ac:dyDescent="0.2">
      <c r="H792" s="246"/>
    </row>
    <row r="793" spans="8:8" s="1" customFormat="1" x14ac:dyDescent="0.2">
      <c r="H793" s="246"/>
    </row>
    <row r="794" spans="8:8" s="1" customFormat="1" x14ac:dyDescent="0.2">
      <c r="H794" s="246"/>
    </row>
    <row r="795" spans="8:8" s="1" customFormat="1" x14ac:dyDescent="0.2">
      <c r="H795" s="246"/>
    </row>
    <row r="796" spans="8:8" s="1" customFormat="1" x14ac:dyDescent="0.2">
      <c r="H796" s="246"/>
    </row>
    <row r="797" spans="8:8" s="1" customFormat="1" x14ac:dyDescent="0.2">
      <c r="H797" s="246"/>
    </row>
    <row r="798" spans="8:8" s="1" customFormat="1" x14ac:dyDescent="0.2">
      <c r="H798" s="246"/>
    </row>
    <row r="799" spans="8:8" s="23" customFormat="1" x14ac:dyDescent="0.2">
      <c r="H799" s="274"/>
    </row>
    <row r="800" spans="8:8" s="1" customFormat="1" x14ac:dyDescent="0.2">
      <c r="H800" s="246"/>
    </row>
    <row r="801" spans="8:8" s="1" customFormat="1" x14ac:dyDescent="0.2">
      <c r="H801" s="246"/>
    </row>
    <row r="802" spans="8:8" s="1" customFormat="1" x14ac:dyDescent="0.2">
      <c r="H802" s="246"/>
    </row>
    <row r="803" spans="8:8" s="1" customFormat="1" x14ac:dyDescent="0.2">
      <c r="H803" s="246"/>
    </row>
    <row r="804" spans="8:8" s="1" customFormat="1" x14ac:dyDescent="0.2">
      <c r="H804" s="246"/>
    </row>
    <row r="805" spans="8:8" s="1" customFormat="1" x14ac:dyDescent="0.2">
      <c r="H805" s="246"/>
    </row>
    <row r="806" spans="8:8" s="1" customFormat="1" x14ac:dyDescent="0.2">
      <c r="H806" s="246"/>
    </row>
    <row r="807" spans="8:8" s="1" customFormat="1" x14ac:dyDescent="0.2">
      <c r="H807" s="246"/>
    </row>
    <row r="808" spans="8:8" s="1" customFormat="1" x14ac:dyDescent="0.2">
      <c r="H808" s="246"/>
    </row>
    <row r="809" spans="8:8" s="1" customFormat="1" x14ac:dyDescent="0.2">
      <c r="H809" s="246"/>
    </row>
    <row r="810" spans="8:8" s="23" customFormat="1" x14ac:dyDescent="0.2">
      <c r="H810" s="274"/>
    </row>
    <row r="811" spans="8:8" s="1" customFormat="1" x14ac:dyDescent="0.2">
      <c r="H811" s="246"/>
    </row>
    <row r="812" spans="8:8" s="23" customFormat="1" x14ac:dyDescent="0.2">
      <c r="H812" s="274"/>
    </row>
    <row r="813" spans="8:8" s="1" customFormat="1" x14ac:dyDescent="0.2">
      <c r="H813" s="246"/>
    </row>
    <row r="814" spans="8:8" s="1" customFormat="1" x14ac:dyDescent="0.2">
      <c r="H814" s="246"/>
    </row>
    <row r="815" spans="8:8" s="1" customFormat="1" x14ac:dyDescent="0.2">
      <c r="H815" s="246"/>
    </row>
    <row r="816" spans="8:8" s="1" customFormat="1" x14ac:dyDescent="0.2">
      <c r="H816" s="246"/>
    </row>
    <row r="817" spans="1:8" s="1" customFormat="1" x14ac:dyDescent="0.2">
      <c r="H817" s="246"/>
    </row>
    <row r="818" spans="1:8" s="23" customFormat="1" x14ac:dyDescent="0.2">
      <c r="H818" s="274"/>
    </row>
    <row r="819" spans="1:8" s="23" customFormat="1" x14ac:dyDescent="0.2">
      <c r="H819" s="274"/>
    </row>
    <row r="820" spans="1:8" s="23" customFormat="1" x14ac:dyDescent="0.2">
      <c r="H820" s="274"/>
    </row>
    <row r="821" spans="1:8" s="23" customFormat="1" x14ac:dyDescent="0.2">
      <c r="H821" s="274"/>
    </row>
    <row r="822" spans="1:8" s="23" customFormat="1" x14ac:dyDescent="0.2">
      <c r="H822" s="274"/>
    </row>
    <row r="823" spans="1:8" s="1" customFormat="1" x14ac:dyDescent="0.2">
      <c r="A823" s="2"/>
      <c r="B823" s="42"/>
      <c r="C823" s="43"/>
      <c r="D823" s="43"/>
      <c r="E823" s="43"/>
      <c r="F823" s="43"/>
      <c r="G823" s="43"/>
      <c r="H823" s="246"/>
    </row>
    <row r="824" spans="1:8" s="1" customFormat="1" x14ac:dyDescent="0.2">
      <c r="H824" s="246"/>
    </row>
    <row r="825" spans="1:8" s="1" customFormat="1" x14ac:dyDescent="0.2">
      <c r="H825" s="246"/>
    </row>
    <row r="826" spans="1:8" s="1" customFormat="1" x14ac:dyDescent="0.2">
      <c r="H826" s="246"/>
    </row>
    <row r="827" spans="1:8" s="1" customFormat="1" x14ac:dyDescent="0.2">
      <c r="H827" s="246"/>
    </row>
    <row r="828" spans="1:8" s="1" customFormat="1" x14ac:dyDescent="0.2">
      <c r="H828" s="246"/>
    </row>
    <row r="829" spans="1:8" s="23" customFormat="1" x14ac:dyDescent="0.2">
      <c r="H829" s="274"/>
    </row>
    <row r="830" spans="1:8" s="1" customFormat="1" x14ac:dyDescent="0.2">
      <c r="H830" s="246"/>
    </row>
    <row r="831" spans="1:8" s="1" customFormat="1" x14ac:dyDescent="0.2">
      <c r="H831" s="246"/>
    </row>
    <row r="832" spans="1:8" s="23" customFormat="1" x14ac:dyDescent="0.2">
      <c r="H832" s="274"/>
    </row>
    <row r="833" spans="8:8" s="1" customFormat="1" x14ac:dyDescent="0.2">
      <c r="H833" s="246"/>
    </row>
    <row r="834" spans="8:8" s="23" customFormat="1" x14ac:dyDescent="0.2">
      <c r="H834" s="274"/>
    </row>
    <row r="835" spans="8:8" s="1" customFormat="1" x14ac:dyDescent="0.2">
      <c r="H835" s="246"/>
    </row>
    <row r="836" spans="8:8" s="1" customFormat="1" x14ac:dyDescent="0.2">
      <c r="H836" s="246"/>
    </row>
    <row r="837" spans="8:8" s="1" customFormat="1" x14ac:dyDescent="0.2">
      <c r="H837" s="246"/>
    </row>
    <row r="838" spans="8:8" s="1" customFormat="1" x14ac:dyDescent="0.2">
      <c r="H838" s="246"/>
    </row>
    <row r="839" spans="8:8" s="1" customFormat="1" x14ac:dyDescent="0.2">
      <c r="H839" s="246"/>
    </row>
    <row r="840" spans="8:8" s="1" customFormat="1" x14ac:dyDescent="0.2">
      <c r="H840" s="246"/>
    </row>
    <row r="841" spans="8:8" s="1" customFormat="1" x14ac:dyDescent="0.2">
      <c r="H841" s="246"/>
    </row>
    <row r="842" spans="8:8" s="1" customFormat="1" x14ac:dyDescent="0.2">
      <c r="H842" s="246"/>
    </row>
    <row r="843" spans="8:8" s="23" customFormat="1" x14ac:dyDescent="0.2">
      <c r="H843" s="274"/>
    </row>
    <row r="844" spans="8:8" s="1" customFormat="1" x14ac:dyDescent="0.2">
      <c r="H844" s="246"/>
    </row>
    <row r="845" spans="8:8" s="23" customFormat="1" x14ac:dyDescent="0.2">
      <c r="H845" s="274"/>
    </row>
    <row r="846" spans="8:8" s="1" customFormat="1" x14ac:dyDescent="0.2">
      <c r="H846" s="246"/>
    </row>
    <row r="847" spans="8:8" s="1" customFormat="1" x14ac:dyDescent="0.2">
      <c r="H847" s="246"/>
    </row>
    <row r="848" spans="8:8" s="1" customFormat="1" x14ac:dyDescent="0.2">
      <c r="H848" s="246"/>
    </row>
    <row r="849" spans="8:8" s="1" customFormat="1" x14ac:dyDescent="0.2">
      <c r="H849" s="246"/>
    </row>
    <row r="850" spans="8:8" s="1" customFormat="1" x14ac:dyDescent="0.2">
      <c r="H850" s="246"/>
    </row>
    <row r="851" spans="8:8" s="1" customFormat="1" x14ac:dyDescent="0.2">
      <c r="H851" s="246"/>
    </row>
    <row r="852" spans="8:8" s="1" customFormat="1" x14ac:dyDescent="0.2">
      <c r="H852" s="246"/>
    </row>
    <row r="853" spans="8:8" s="1" customFormat="1" x14ac:dyDescent="0.2">
      <c r="H853" s="246"/>
    </row>
    <row r="854" spans="8:8" s="1" customFormat="1" x14ac:dyDescent="0.2">
      <c r="H854" s="246"/>
    </row>
    <row r="855" spans="8:8" s="1" customFormat="1" x14ac:dyDescent="0.2">
      <c r="H855" s="246"/>
    </row>
    <row r="856" spans="8:8" s="23" customFormat="1" x14ac:dyDescent="0.2">
      <c r="H856" s="274"/>
    </row>
    <row r="857" spans="8:8" s="1" customFormat="1" x14ac:dyDescent="0.2">
      <c r="H857" s="246"/>
    </row>
    <row r="858" spans="8:8" s="23" customFormat="1" x14ac:dyDescent="0.2">
      <c r="H858" s="274"/>
    </row>
    <row r="859" spans="8:8" s="1" customFormat="1" x14ac:dyDescent="0.2">
      <c r="H859" s="246"/>
    </row>
    <row r="860" spans="8:8" s="1" customFormat="1" x14ac:dyDescent="0.2">
      <c r="H860" s="246"/>
    </row>
    <row r="861" spans="8:8" s="1" customFormat="1" x14ac:dyDescent="0.2">
      <c r="H861" s="246"/>
    </row>
    <row r="862" spans="8:8" s="1" customFormat="1" x14ac:dyDescent="0.2">
      <c r="H862" s="246"/>
    </row>
    <row r="863" spans="8:8" s="1" customFormat="1" x14ac:dyDescent="0.2">
      <c r="H863" s="246"/>
    </row>
    <row r="864" spans="8:8" s="23" customFormat="1" x14ac:dyDescent="0.2">
      <c r="H864" s="274"/>
    </row>
    <row r="865" spans="8:8" s="1" customFormat="1" x14ac:dyDescent="0.2">
      <c r="H865" s="246"/>
    </row>
    <row r="866" spans="8:8" s="23" customFormat="1" x14ac:dyDescent="0.2">
      <c r="H866" s="274"/>
    </row>
    <row r="867" spans="8:8" s="1" customFormat="1" x14ac:dyDescent="0.2">
      <c r="H867" s="246"/>
    </row>
    <row r="868" spans="8:8" s="23" customFormat="1" x14ac:dyDescent="0.2">
      <c r="H868" s="274"/>
    </row>
    <row r="869" spans="8:8" s="23" customFormat="1" x14ac:dyDescent="0.2">
      <c r="H869" s="274"/>
    </row>
    <row r="870" spans="8:8" s="1" customFormat="1" x14ac:dyDescent="0.2">
      <c r="H870" s="246"/>
    </row>
    <row r="871" spans="8:8" s="23" customFormat="1" x14ac:dyDescent="0.2">
      <c r="H871" s="274"/>
    </row>
    <row r="872" spans="8:8" s="1" customFormat="1" x14ac:dyDescent="0.2">
      <c r="H872" s="246"/>
    </row>
    <row r="873" spans="8:8" s="1" customFormat="1" x14ac:dyDescent="0.2">
      <c r="H873" s="246"/>
    </row>
    <row r="874" spans="8:8" s="1" customFormat="1" x14ac:dyDescent="0.2">
      <c r="H874" s="246"/>
    </row>
    <row r="875" spans="8:8" s="23" customFormat="1" x14ac:dyDescent="0.2">
      <c r="H875" s="274"/>
    </row>
    <row r="876" spans="8:8" s="1" customFormat="1" x14ac:dyDescent="0.2">
      <c r="H876" s="246"/>
    </row>
    <row r="877" spans="8:8" s="1" customFormat="1" x14ac:dyDescent="0.2">
      <c r="H877" s="246"/>
    </row>
    <row r="878" spans="8:8" s="1" customFormat="1" x14ac:dyDescent="0.2">
      <c r="H878" s="246"/>
    </row>
    <row r="879" spans="8:8" s="1" customFormat="1" x14ac:dyDescent="0.2">
      <c r="H879" s="246"/>
    </row>
    <row r="880" spans="8:8" s="1" customFormat="1" x14ac:dyDescent="0.2">
      <c r="H880" s="246"/>
    </row>
    <row r="881" spans="1:8" s="23" customFormat="1" x14ac:dyDescent="0.2">
      <c r="H881" s="274"/>
    </row>
    <row r="882" spans="1:8" s="1" customFormat="1" ht="13.5" thickBot="1" x14ac:dyDescent="0.25">
      <c r="A882" s="2"/>
      <c r="B882" s="42"/>
      <c r="C882" s="43"/>
      <c r="D882" s="43"/>
      <c r="E882" s="43"/>
      <c r="F882" s="43"/>
      <c r="G882" s="43"/>
      <c r="H882" s="246"/>
    </row>
    <row r="883" spans="1:8" s="1" customFormat="1" ht="13.5" customHeight="1" thickBot="1" x14ac:dyDescent="0.25">
      <c r="A883" s="57"/>
      <c r="B883" s="206" t="s">
        <v>422</v>
      </c>
      <c r="C883" s="203"/>
      <c r="D883" s="203"/>
      <c r="E883" s="203"/>
      <c r="F883" s="204"/>
      <c r="G883" s="205"/>
      <c r="H883" s="246"/>
    </row>
    <row r="884" spans="1:8" s="1" customFormat="1" ht="13.5" thickBot="1" x14ac:dyDescent="0.25">
      <c r="A884" s="2"/>
      <c r="B884" s="27"/>
      <c r="C884" s="28"/>
      <c r="D884" s="28"/>
      <c r="E884" s="28"/>
      <c r="F884" s="28"/>
      <c r="G884" s="56"/>
      <c r="H884" s="246"/>
    </row>
    <row r="885" spans="1:8" s="23" customFormat="1" x14ac:dyDescent="0.2">
      <c r="A885" s="33"/>
      <c r="B885" s="36" t="s">
        <v>99</v>
      </c>
      <c r="C885" s="37"/>
      <c r="D885" s="37"/>
      <c r="E885" s="37"/>
      <c r="F885" s="37"/>
      <c r="G885" s="38"/>
      <c r="H885" s="274"/>
    </row>
    <row r="886" spans="1:8" s="1" customFormat="1" x14ac:dyDescent="0.2">
      <c r="A886" s="2"/>
      <c r="B886" s="39"/>
      <c r="C886" s="40"/>
      <c r="D886" s="40"/>
      <c r="E886" s="40"/>
      <c r="F886" s="40"/>
      <c r="G886" s="41"/>
      <c r="H886" s="246"/>
    </row>
    <row r="887" spans="1:8" s="1" customFormat="1" x14ac:dyDescent="0.2">
      <c r="A887" s="2"/>
      <c r="B887" s="39" t="s">
        <v>423</v>
      </c>
      <c r="C887" s="40">
        <f>'Restated Financials'!C164+'Restated Financials'!C167</f>
        <v>0</v>
      </c>
      <c r="D887" s="40">
        <f>'Restated Financials'!D164+'Restated Financials'!D167</f>
        <v>0</v>
      </c>
      <c r="E887" s="40">
        <f>'Restated Financials'!E164+'Restated Financials'!E167</f>
        <v>0</v>
      </c>
      <c r="F887" s="40">
        <f>'Restated Financials'!F164+'Restated Financials'!F167</f>
        <v>0</v>
      </c>
      <c r="G887" s="41">
        <f>'Restated Financials'!G164+'Restated Financials'!G167</f>
        <v>99.06</v>
      </c>
      <c r="H887" s="246"/>
    </row>
    <row r="888" spans="1:8" s="1" customFormat="1" x14ac:dyDescent="0.2">
      <c r="A888" s="2"/>
      <c r="B888" s="39" t="s">
        <v>424</v>
      </c>
      <c r="C888" s="40">
        <f>ROUND(C887/('Restated Financials'!C12/C19),2)</f>
        <v>0</v>
      </c>
      <c r="D888" s="40">
        <f>ROUND(D887/('Restated Financials'!D12/D19),2)</f>
        <v>0</v>
      </c>
      <c r="E888" s="40">
        <f>ROUND(E887/('Restated Financials'!E12/E19),2)</f>
        <v>0</v>
      </c>
      <c r="F888" s="40">
        <f>ROUND(F887/('Restated Financials'!F12/F19),2)</f>
        <v>0</v>
      </c>
      <c r="G888" s="41">
        <f>ROUND(G887/('Restated Financials'!G12/G19),2)</f>
        <v>3.46</v>
      </c>
      <c r="H888" s="246"/>
    </row>
    <row r="889" spans="1:8" s="1" customFormat="1" x14ac:dyDescent="0.2">
      <c r="A889" s="2"/>
      <c r="B889" s="39"/>
      <c r="C889" s="40"/>
      <c r="D889" s="40"/>
      <c r="E889" s="40"/>
      <c r="F889" s="40"/>
      <c r="G889" s="41"/>
      <c r="H889" s="246"/>
    </row>
    <row r="890" spans="1:8" s="1" customFormat="1" x14ac:dyDescent="0.2">
      <c r="A890" s="2"/>
      <c r="B890" s="39" t="s">
        <v>425</v>
      </c>
      <c r="C890" s="40">
        <f>'Restated Financials'!C165</f>
        <v>0</v>
      </c>
      <c r="D890" s="40">
        <f>'Restated Financials'!D165</f>
        <v>0</v>
      </c>
      <c r="E890" s="40">
        <f>'Restated Financials'!E165</f>
        <v>0</v>
      </c>
      <c r="F890" s="40">
        <f>'Restated Financials'!F165</f>
        <v>0</v>
      </c>
      <c r="G890" s="41">
        <f>'Restated Financials'!G165</f>
        <v>2.0699999999999998</v>
      </c>
      <c r="H890" s="246"/>
    </row>
    <row r="891" spans="1:8" s="1" customFormat="1" x14ac:dyDescent="0.2">
      <c r="A891" s="2"/>
      <c r="B891" s="39" t="s">
        <v>424</v>
      </c>
      <c r="C891" s="40">
        <f>ROUND(C890/('Restated Financials'!C20/C19),2)</f>
        <v>0</v>
      </c>
      <c r="D891" s="40">
        <f>ROUND(D890/('Restated Financials'!D20/D19),2)</f>
        <v>0</v>
      </c>
      <c r="E891" s="40">
        <f>ROUND(E890/('Restated Financials'!E20/E19),2)</f>
        <v>0</v>
      </c>
      <c r="F891" s="40">
        <f>ROUND(F890/('Restated Financials'!F20/F19),2)</f>
        <v>0</v>
      </c>
      <c r="G891" s="41">
        <f>ROUND(G890/('Restated Financials'!G20/G19),2)</f>
        <v>0.06</v>
      </c>
      <c r="H891" s="246"/>
    </row>
    <row r="892" spans="1:8" s="1" customFormat="1" x14ac:dyDescent="0.2">
      <c r="A892" s="2"/>
      <c r="B892" s="39"/>
      <c r="C892" s="40"/>
      <c r="D892" s="40"/>
      <c r="E892" s="40"/>
      <c r="F892" s="40"/>
      <c r="G892" s="41"/>
      <c r="H892" s="246"/>
    </row>
    <row r="893" spans="1:8" s="1" customFormat="1" x14ac:dyDescent="0.2">
      <c r="A893" s="2"/>
      <c r="B893" s="39" t="s">
        <v>218</v>
      </c>
      <c r="C893" s="40">
        <f>'Restated Financials'!C166</f>
        <v>73</v>
      </c>
      <c r="D893" s="40">
        <f>'Restated Financials'!D166</f>
        <v>106</v>
      </c>
      <c r="E893" s="40">
        <f>'Restated Financials'!E166</f>
        <v>0</v>
      </c>
      <c r="F893" s="40">
        <f>'Restated Financials'!F166</f>
        <v>0</v>
      </c>
      <c r="G893" s="41">
        <f>'Restated Financials'!G166</f>
        <v>91.66</v>
      </c>
      <c r="H893" s="246"/>
    </row>
    <row r="894" spans="1:8" s="1" customFormat="1" x14ac:dyDescent="0.2">
      <c r="A894" s="2"/>
      <c r="B894" s="39" t="s">
        <v>424</v>
      </c>
      <c r="C894" s="40">
        <f>ROUND(C893/('Restated Financials'!C23/C19),2)</f>
        <v>3.29</v>
      </c>
      <c r="D894" s="40">
        <f>ROUND(D893/('Restated Financials'!D23/D19),2)</f>
        <v>4</v>
      </c>
      <c r="E894" s="40">
        <f>ROUND(E893/('Restated Financials'!E23/E19),2)</f>
        <v>0</v>
      </c>
      <c r="F894" s="40">
        <f>ROUND(F893/('Restated Financials'!F23/F19),2)</f>
        <v>0</v>
      </c>
      <c r="G894" s="41">
        <f>ROUND(G893/('Restated Financials'!G23/G19),2)</f>
        <v>2.44</v>
      </c>
      <c r="H894" s="246"/>
    </row>
    <row r="895" spans="1:8" s="1" customFormat="1" x14ac:dyDescent="0.2">
      <c r="A895" s="2"/>
      <c r="B895" s="39"/>
      <c r="C895" s="40"/>
      <c r="D895" s="40"/>
      <c r="E895" s="40"/>
      <c r="F895" s="40"/>
      <c r="G895" s="41"/>
      <c r="H895" s="246"/>
    </row>
    <row r="896" spans="1:8" s="1" customFormat="1" x14ac:dyDescent="0.2">
      <c r="A896" s="2"/>
      <c r="B896" s="39" t="s">
        <v>426</v>
      </c>
      <c r="C896" s="40">
        <f>'Restated Financials'!C177</f>
        <v>15</v>
      </c>
      <c r="D896" s="40">
        <f>'Restated Financials'!D177</f>
        <v>23</v>
      </c>
      <c r="E896" s="40">
        <f>'Restated Financials'!E177</f>
        <v>0</v>
      </c>
      <c r="F896" s="40">
        <f>'Restated Financials'!F177</f>
        <v>0</v>
      </c>
      <c r="G896" s="41">
        <f>'Restated Financials'!G177</f>
        <v>27.45</v>
      </c>
      <c r="H896" s="246"/>
    </row>
    <row r="897" spans="1:8" s="1" customFormat="1" x14ac:dyDescent="0.2">
      <c r="A897" s="2"/>
      <c r="B897" s="39" t="s">
        <v>424</v>
      </c>
      <c r="C897" s="40">
        <f>ROUND(C896/('Restated Financials'!C8/C19),2)</f>
        <v>0.72</v>
      </c>
      <c r="D897" s="40">
        <f>ROUND(D896/('Restated Financials'!D8/D19),2)</f>
        <v>1.1000000000000001</v>
      </c>
      <c r="E897" s="40">
        <f>ROUND(E896/('Restated Financials'!E8/E19),2)</f>
        <v>0</v>
      </c>
      <c r="F897" s="40">
        <f>ROUND(F896/('Restated Financials'!F8/F19),2)</f>
        <v>0</v>
      </c>
      <c r="G897" s="41">
        <f>ROUND(G896/('Restated Financials'!G8/G19),2)</f>
        <v>1.3</v>
      </c>
      <c r="H897" s="246"/>
    </row>
    <row r="898" spans="1:8" s="1" customFormat="1" x14ac:dyDescent="0.2">
      <c r="A898" s="2"/>
      <c r="B898" s="39"/>
      <c r="C898" s="40"/>
      <c r="D898" s="40"/>
      <c r="E898" s="40"/>
      <c r="F898" s="40"/>
      <c r="G898" s="41"/>
      <c r="H898" s="246"/>
    </row>
    <row r="899" spans="1:8" s="1" customFormat="1" x14ac:dyDescent="0.2">
      <c r="A899" s="2"/>
      <c r="B899" s="39" t="s">
        <v>427</v>
      </c>
      <c r="C899" s="40">
        <f>'Restated Financials'!C179</f>
        <v>61</v>
      </c>
      <c r="D899" s="40">
        <f>'Restated Financials'!D179</f>
        <v>0</v>
      </c>
      <c r="E899" s="40">
        <f>'Restated Financials'!E179</f>
        <v>0</v>
      </c>
      <c r="F899" s="40">
        <f>'Restated Financials'!F179</f>
        <v>0</v>
      </c>
      <c r="G899" s="41">
        <f>'Restated Financials'!G179</f>
        <v>0</v>
      </c>
      <c r="H899" s="246"/>
    </row>
    <row r="900" spans="1:8" s="1" customFormat="1" x14ac:dyDescent="0.2">
      <c r="A900" s="2"/>
      <c r="B900" s="39"/>
      <c r="C900" s="40"/>
      <c r="D900" s="40"/>
      <c r="E900" s="40"/>
      <c r="F900" s="40"/>
      <c r="G900" s="41"/>
      <c r="H900" s="246"/>
    </row>
    <row r="901" spans="1:8" s="1" customFormat="1" x14ac:dyDescent="0.2">
      <c r="A901" s="2"/>
      <c r="B901" s="39" t="s">
        <v>428</v>
      </c>
      <c r="C901" s="40">
        <f>ROUND('Restated Financials'!C185-C899,2)</f>
        <v>27</v>
      </c>
      <c r="D901" s="40">
        <f>ROUND('Restated Financials'!D185-D899,2)</f>
        <v>78</v>
      </c>
      <c r="E901" s="40">
        <f>ROUND('Restated Financials'!E185-E899,2)</f>
        <v>100</v>
      </c>
      <c r="F901" s="40">
        <f>ROUND('Restated Financials'!F185-F899,2)</f>
        <v>91</v>
      </c>
      <c r="G901" s="41">
        <f>ROUND('Restated Financials'!G185-G899,2)</f>
        <v>68.52</v>
      </c>
      <c r="H901" s="246"/>
    </row>
    <row r="902" spans="1:8" s="1" customFormat="1" x14ac:dyDescent="0.2">
      <c r="A902" s="2"/>
      <c r="B902" s="39"/>
      <c r="C902" s="40"/>
      <c r="D902" s="40"/>
      <c r="E902" s="40"/>
      <c r="F902" s="40"/>
      <c r="G902" s="41"/>
      <c r="H902" s="246"/>
    </row>
    <row r="903" spans="1:8" s="23" customFormat="1" x14ac:dyDescent="0.2">
      <c r="A903" s="33"/>
      <c r="B903" s="46" t="s">
        <v>429</v>
      </c>
      <c r="C903" s="51">
        <f>ROUND(C887+C890+C893+C896+C899+C901,2)</f>
        <v>176</v>
      </c>
      <c r="D903" s="51">
        <f>ROUND(D887+D890+D893+D896+D899+D901,2)</f>
        <v>207</v>
      </c>
      <c r="E903" s="51">
        <f>ROUND(E887+E890+E893+E896+E899+E901,2)</f>
        <v>100</v>
      </c>
      <c r="F903" s="51">
        <f>ROUND(F887+F890+F893+F896+F899+F901,2)</f>
        <v>91</v>
      </c>
      <c r="G903" s="52">
        <f>ROUND(G887+G890+G893+G896+G899+G901,2)</f>
        <v>288.76</v>
      </c>
      <c r="H903" s="274"/>
    </row>
    <row r="904" spans="1:8" s="1" customFormat="1" x14ac:dyDescent="0.2">
      <c r="A904" s="2"/>
      <c r="B904" s="39"/>
      <c r="C904" s="40"/>
      <c r="D904" s="40"/>
      <c r="E904" s="40"/>
      <c r="F904" s="40"/>
      <c r="G904" s="41"/>
      <c r="H904" s="246"/>
    </row>
    <row r="905" spans="1:8" s="23" customFormat="1" x14ac:dyDescent="0.2">
      <c r="A905" s="33"/>
      <c r="B905" s="46" t="s">
        <v>430</v>
      </c>
      <c r="C905" s="51"/>
      <c r="D905" s="51"/>
      <c r="E905" s="51"/>
      <c r="F905" s="51"/>
      <c r="G905" s="52"/>
      <c r="H905" s="274"/>
    </row>
    <row r="906" spans="1:8" s="1" customFormat="1" x14ac:dyDescent="0.2">
      <c r="A906" s="2"/>
      <c r="B906" s="39"/>
      <c r="C906" s="40"/>
      <c r="D906" s="40"/>
      <c r="E906" s="40"/>
      <c r="F906" s="40"/>
      <c r="G906" s="41"/>
      <c r="H906" s="246"/>
    </row>
    <row r="907" spans="1:8" s="1" customFormat="1" x14ac:dyDescent="0.2">
      <c r="A907" s="2"/>
      <c r="B907" s="39" t="s">
        <v>431</v>
      </c>
      <c r="C907" s="40">
        <f>'Restated Financials'!C129</f>
        <v>97</v>
      </c>
      <c r="D907" s="40">
        <f>'Restated Financials'!D129</f>
        <v>231</v>
      </c>
      <c r="E907" s="40">
        <f>'Restated Financials'!E129</f>
        <v>0</v>
      </c>
      <c r="F907" s="40">
        <f>'Restated Financials'!F129</f>
        <v>0</v>
      </c>
      <c r="G907" s="41">
        <f>'Restated Financials'!G129</f>
        <v>564.17999999999995</v>
      </c>
      <c r="H907" s="246"/>
    </row>
    <row r="908" spans="1:8" s="1" customFormat="1" x14ac:dyDescent="0.2">
      <c r="A908" s="2"/>
      <c r="B908" s="39" t="s">
        <v>424</v>
      </c>
      <c r="C908" s="40">
        <f>ROUND(C907/(('Restated Financials'!C12+'Restated Financials'!C21)/C19),2)</f>
        <v>5.69</v>
      </c>
      <c r="D908" s="40">
        <f>ROUND(D907/(('Restated Financials'!D12+'Restated Financials'!D21)/D19),2)</f>
        <v>11.86</v>
      </c>
      <c r="E908" s="40">
        <f>ROUND(E907/(('Restated Financials'!E12+'Restated Financials'!E21)/E19),2)</f>
        <v>0</v>
      </c>
      <c r="F908" s="40">
        <f>ROUND(F907/(('Restated Financials'!F12+'Restated Financials'!F21)/F19),2)</f>
        <v>0</v>
      </c>
      <c r="G908" s="41">
        <f>ROUND(G907/(('Restated Financials'!G12+'Restated Financials'!G21)/G19),2)</f>
        <v>19.72</v>
      </c>
      <c r="H908" s="246"/>
    </row>
    <row r="909" spans="1:8" s="1" customFormat="1" x14ac:dyDescent="0.2">
      <c r="A909" s="2"/>
      <c r="B909" s="39"/>
      <c r="C909" s="40"/>
      <c r="D909" s="40"/>
      <c r="E909" s="40"/>
      <c r="F909" s="40"/>
      <c r="G909" s="41"/>
      <c r="H909" s="246"/>
    </row>
    <row r="910" spans="1:8" s="1" customFormat="1" x14ac:dyDescent="0.2">
      <c r="A910" s="2"/>
      <c r="B910" s="39" t="s">
        <v>432</v>
      </c>
      <c r="C910" s="40">
        <f>'Restated Financials'!C132</f>
        <v>1</v>
      </c>
      <c r="D910" s="40">
        <f>'Restated Financials'!D132</f>
        <v>1</v>
      </c>
      <c r="E910" s="40">
        <f>'Restated Financials'!E132</f>
        <v>73</v>
      </c>
      <c r="F910" s="40">
        <f>'Restated Financials'!F132</f>
        <v>55</v>
      </c>
      <c r="G910" s="41">
        <f>'Restated Financials'!G132</f>
        <v>36.700000000000003</v>
      </c>
      <c r="H910" s="246"/>
    </row>
    <row r="911" spans="1:8" s="1" customFormat="1" x14ac:dyDescent="0.2">
      <c r="A911" s="2"/>
      <c r="B911" s="39"/>
      <c r="C911" s="40"/>
      <c r="D911" s="40"/>
      <c r="E911" s="40"/>
      <c r="F911" s="40"/>
      <c r="G911" s="41"/>
      <c r="H911" s="246"/>
    </row>
    <row r="912" spans="1:8" s="1" customFormat="1" x14ac:dyDescent="0.2">
      <c r="A912" s="2"/>
      <c r="B912" s="39" t="s">
        <v>433</v>
      </c>
      <c r="C912" s="40">
        <f>'Restated Financials'!C130</f>
        <v>23</v>
      </c>
      <c r="D912" s="40">
        <f>'Restated Financials'!D130</f>
        <v>47</v>
      </c>
      <c r="E912" s="40">
        <f>'Restated Financials'!E130</f>
        <v>154</v>
      </c>
      <c r="F912" s="40">
        <f>'Restated Financials'!F130</f>
        <v>120</v>
      </c>
      <c r="G912" s="41">
        <f>'Restated Financials'!G130</f>
        <v>185</v>
      </c>
      <c r="H912" s="246"/>
    </row>
    <row r="913" spans="1:8" s="1" customFormat="1" x14ac:dyDescent="0.2">
      <c r="A913" s="2"/>
      <c r="B913" s="39"/>
      <c r="C913" s="40"/>
      <c r="D913" s="40"/>
      <c r="E913" s="40"/>
      <c r="F913" s="40"/>
      <c r="G913" s="41"/>
      <c r="H913" s="246"/>
    </row>
    <row r="914" spans="1:8" s="1" customFormat="1" x14ac:dyDescent="0.2">
      <c r="A914" s="2"/>
      <c r="B914" s="39" t="s">
        <v>434</v>
      </c>
      <c r="C914" s="40">
        <f>'Restated Financials'!C138-C907-C912-C910+'Restated Financials'!C124-'Restated Financials'!C112-'Restated Financials'!C113</f>
        <v>85</v>
      </c>
      <c r="D914" s="40">
        <f>'Restated Financials'!D138-D907-D912-D910+'Restated Financials'!D124-'Restated Financials'!D112-'Restated Financials'!D113</f>
        <v>93</v>
      </c>
      <c r="E914" s="40">
        <f>'Restated Financials'!E138-E907-E912-E910+'Restated Financials'!E124-'Restated Financials'!E112-'Restated Financials'!E113</f>
        <v>140</v>
      </c>
      <c r="F914" s="40">
        <f>'Restated Financials'!F138-F907-F912-F910+'Restated Financials'!F124-'Restated Financials'!F112-'Restated Financials'!F113</f>
        <v>164</v>
      </c>
      <c r="G914" s="41">
        <f>'Restated Financials'!G138-G907-G912-G910+'Restated Financials'!G124-'Restated Financials'!G112-'Restated Financials'!G113</f>
        <v>247.5</v>
      </c>
      <c r="H914" s="246"/>
    </row>
    <row r="915" spans="1:8" s="1" customFormat="1" x14ac:dyDescent="0.2">
      <c r="A915" s="2"/>
      <c r="B915" s="39"/>
      <c r="C915" s="40"/>
      <c r="D915" s="40"/>
      <c r="E915" s="40"/>
      <c r="F915" s="40"/>
      <c r="G915" s="41"/>
      <c r="H915" s="246"/>
    </row>
    <row r="916" spans="1:8" s="23" customFormat="1" x14ac:dyDescent="0.2">
      <c r="A916" s="33"/>
      <c r="B916" s="46" t="s">
        <v>85</v>
      </c>
      <c r="C916" s="51">
        <f>ROUND(C907+C910+C912+C914,2)</f>
        <v>206</v>
      </c>
      <c r="D916" s="51">
        <f>ROUND(D907+D910+D912+D914,2)</f>
        <v>372</v>
      </c>
      <c r="E916" s="51">
        <f>ROUND(E907+E910+E912+E914,2)</f>
        <v>367</v>
      </c>
      <c r="F916" s="51">
        <f>ROUND(F907+F910+F912+F914,2)</f>
        <v>339</v>
      </c>
      <c r="G916" s="52">
        <f>ROUND(G907+G910+G912+G914,2)</f>
        <v>1033.3800000000001</v>
      </c>
      <c r="H916" s="274"/>
    </row>
    <row r="917" spans="1:8" s="1" customFormat="1" x14ac:dyDescent="0.2">
      <c r="A917" s="2"/>
      <c r="B917" s="39"/>
      <c r="C917" s="40"/>
      <c r="D917" s="40"/>
      <c r="E917" s="40"/>
      <c r="F917" s="40"/>
      <c r="G917" s="41"/>
      <c r="H917" s="246"/>
    </row>
    <row r="918" spans="1:8" s="23" customFormat="1" x14ac:dyDescent="0.2">
      <c r="A918" s="33"/>
      <c r="B918" s="46" t="s">
        <v>435</v>
      </c>
      <c r="C918" s="51">
        <f>C903-C916</f>
        <v>-30</v>
      </c>
      <c r="D918" s="51">
        <f>D903-D916</f>
        <v>-165</v>
      </c>
      <c r="E918" s="51">
        <f>E903-E916</f>
        <v>-267</v>
      </c>
      <c r="F918" s="51">
        <f>F903-F916</f>
        <v>-248</v>
      </c>
      <c r="G918" s="52">
        <f>G903-G916</f>
        <v>-744.62000000000012</v>
      </c>
      <c r="H918" s="274"/>
    </row>
    <row r="919" spans="1:8" s="1" customFormat="1" x14ac:dyDescent="0.2">
      <c r="A919" s="2"/>
      <c r="B919" s="39"/>
      <c r="C919" s="40"/>
      <c r="D919" s="40"/>
      <c r="E919" s="40"/>
      <c r="F919" s="40"/>
      <c r="G919" s="41"/>
      <c r="H919" s="246"/>
    </row>
    <row r="920" spans="1:8" s="23" customFormat="1" x14ac:dyDescent="0.2">
      <c r="A920" s="33"/>
      <c r="B920" s="46" t="s">
        <v>436</v>
      </c>
      <c r="C920" s="51">
        <f>ROUND(25% *C903,2)</f>
        <v>44</v>
      </c>
      <c r="D920" s="51">
        <f>ROUND(25% *D903,2)</f>
        <v>51.75</v>
      </c>
      <c r="E920" s="51">
        <f>ROUND(25% *E903,2)</f>
        <v>25</v>
      </c>
      <c r="F920" s="51">
        <f>ROUND(25% *F903,2)</f>
        <v>22.75</v>
      </c>
      <c r="G920" s="52">
        <f>ROUND(25% *G903,2)</f>
        <v>72.19</v>
      </c>
      <c r="H920" s="274"/>
    </row>
    <row r="921" spans="1:8" s="1" customFormat="1" x14ac:dyDescent="0.2">
      <c r="A921" s="2"/>
      <c r="B921" s="39"/>
      <c r="C921" s="40"/>
      <c r="D921" s="40"/>
      <c r="E921" s="40"/>
      <c r="F921" s="40"/>
      <c r="G921" s="41"/>
      <c r="H921" s="246"/>
    </row>
    <row r="922" spans="1:8" s="23" customFormat="1" x14ac:dyDescent="0.2">
      <c r="A922" s="33"/>
      <c r="B922" s="46" t="s">
        <v>437</v>
      </c>
      <c r="C922" s="51">
        <f>'Key Financials'!C44</f>
        <v>-237</v>
      </c>
      <c r="D922" s="51">
        <f>'Key Financials'!D44</f>
        <v>-367</v>
      </c>
      <c r="E922" s="51">
        <f>'Key Financials'!E44</f>
        <v>-468</v>
      </c>
      <c r="F922" s="51">
        <f>'Key Financials'!F44</f>
        <v>-541</v>
      </c>
      <c r="G922" s="52">
        <f>'Key Financials'!G44</f>
        <v>-814.35</v>
      </c>
      <c r="H922" s="274"/>
    </row>
    <row r="923" spans="1:8" s="23" customFormat="1" x14ac:dyDescent="0.2">
      <c r="A923" s="33"/>
      <c r="B923" s="46"/>
      <c r="C923" s="51"/>
      <c r="D923" s="51"/>
      <c r="E923" s="51"/>
      <c r="F923" s="51"/>
      <c r="G923" s="52"/>
      <c r="H923" s="274"/>
    </row>
    <row r="924" spans="1:8" s="23" customFormat="1" x14ac:dyDescent="0.2">
      <c r="A924" s="33"/>
      <c r="B924" s="46" t="s">
        <v>438</v>
      </c>
      <c r="C924" s="51">
        <f>C918-C920</f>
        <v>-74</v>
      </c>
      <c r="D924" s="51">
        <f>D918-D920</f>
        <v>-216.75</v>
      </c>
      <c r="E924" s="51">
        <f>E918-E920</f>
        <v>-292</v>
      </c>
      <c r="F924" s="51">
        <f>F918-F920</f>
        <v>-270.75</v>
      </c>
      <c r="G924" s="52">
        <f>G918-G920</f>
        <v>-816.81000000000017</v>
      </c>
      <c r="H924" s="274"/>
    </row>
    <row r="925" spans="1:8" s="23" customFormat="1" x14ac:dyDescent="0.2">
      <c r="A925" s="33"/>
      <c r="B925" s="46"/>
      <c r="C925" s="51"/>
      <c r="D925" s="51"/>
      <c r="E925" s="51"/>
      <c r="F925" s="51"/>
      <c r="G925" s="52"/>
      <c r="H925" s="274"/>
    </row>
    <row r="926" spans="1:8" s="23" customFormat="1" x14ac:dyDescent="0.2">
      <c r="A926" s="33"/>
      <c r="B926" s="46" t="s">
        <v>439</v>
      </c>
      <c r="C926" s="51">
        <f>C918-C922</f>
        <v>207</v>
      </c>
      <c r="D926" s="51">
        <f>D918-D922</f>
        <v>202</v>
      </c>
      <c r="E926" s="51">
        <f>E918-E922</f>
        <v>201</v>
      </c>
      <c r="F926" s="51">
        <f>F918-F922</f>
        <v>293</v>
      </c>
      <c r="G926" s="52">
        <f>G918-G922</f>
        <v>69.729999999999905</v>
      </c>
      <c r="H926" s="274"/>
    </row>
    <row r="927" spans="1:8" s="23" customFormat="1" x14ac:dyDescent="0.2">
      <c r="A927" s="33"/>
      <c r="B927" s="46"/>
      <c r="C927" s="51"/>
      <c r="D927" s="51"/>
      <c r="E927" s="51"/>
      <c r="F927" s="51"/>
      <c r="G927" s="52"/>
      <c r="H927" s="274"/>
    </row>
    <row r="928" spans="1:8" s="23" customFormat="1" ht="13.5" thickBot="1" x14ac:dyDescent="0.25">
      <c r="A928" s="33"/>
      <c r="B928" s="53" t="s">
        <v>440</v>
      </c>
      <c r="C928" s="54">
        <f>IF(C926&lt;C924,C926,C924)</f>
        <v>-74</v>
      </c>
      <c r="D928" s="54">
        <f>IF(D926&lt;D924,D926,D924)</f>
        <v>-216.75</v>
      </c>
      <c r="E928" s="54">
        <f>IF(E926&lt;E924,E926,E924)</f>
        <v>-292</v>
      </c>
      <c r="F928" s="54">
        <f>IF(F926&lt;F924,F926,F924)</f>
        <v>-270.75</v>
      </c>
      <c r="G928" s="55">
        <f>IF(G926&lt;G924,G926,G924)</f>
        <v>-816.81000000000017</v>
      </c>
      <c r="H928" s="274"/>
    </row>
    <row r="929" spans="1:8" s="1" customFormat="1" x14ac:dyDescent="0.2">
      <c r="A929" s="2"/>
      <c r="B929" s="42"/>
      <c r="C929" s="43"/>
      <c r="D929" s="43"/>
      <c r="E929" s="43"/>
      <c r="F929" s="43"/>
      <c r="G929" s="43"/>
      <c r="H929" s="246"/>
    </row>
    <row r="930" spans="1:8" s="1" customFormat="1" x14ac:dyDescent="0.2">
      <c r="H930" s="246"/>
    </row>
    <row r="931" spans="1:8" s="1" customFormat="1" x14ac:dyDescent="0.2">
      <c r="H931" s="246"/>
    </row>
    <row r="932" spans="1:8" s="1" customFormat="1" x14ac:dyDescent="0.2">
      <c r="H932" s="246"/>
    </row>
    <row r="933" spans="1:8" s="1" customFormat="1" x14ac:dyDescent="0.2">
      <c r="H933" s="246"/>
    </row>
    <row r="934" spans="1:8" s="1" customFormat="1" x14ac:dyDescent="0.2">
      <c r="H934" s="246"/>
    </row>
    <row r="935" spans="1:8" s="1" customFormat="1" x14ac:dyDescent="0.2">
      <c r="H935" s="246"/>
    </row>
    <row r="936" spans="1:8" s="1" customFormat="1" x14ac:dyDescent="0.2">
      <c r="H936" s="246"/>
    </row>
    <row r="937" spans="1:8" s="1" customFormat="1" x14ac:dyDescent="0.2">
      <c r="H937" s="246"/>
    </row>
    <row r="938" spans="1:8" s="1" customFormat="1" x14ac:dyDescent="0.2">
      <c r="H938" s="246"/>
    </row>
    <row r="939" spans="1:8" s="1" customFormat="1" x14ac:dyDescent="0.2">
      <c r="H939" s="246"/>
    </row>
    <row r="940" spans="1:8" s="1" customFormat="1" x14ac:dyDescent="0.2">
      <c r="H940" s="246"/>
    </row>
    <row r="941" spans="1:8" s="23" customFormat="1" x14ac:dyDescent="0.2">
      <c r="H941" s="274"/>
    </row>
    <row r="942" spans="1:8" s="1" customFormat="1" x14ac:dyDescent="0.2">
      <c r="H942" s="246"/>
    </row>
    <row r="943" spans="1:8" s="1" customFormat="1" x14ac:dyDescent="0.2">
      <c r="H943" s="246"/>
    </row>
    <row r="944" spans="1:8" s="1" customFormat="1" x14ac:dyDescent="0.2">
      <c r="H944" s="246"/>
    </row>
    <row r="945" spans="8:8" s="1" customFormat="1" x14ac:dyDescent="0.2">
      <c r="H945" s="246"/>
    </row>
    <row r="946" spans="8:8" s="1" customFormat="1" x14ac:dyDescent="0.2">
      <c r="H946" s="246"/>
    </row>
    <row r="947" spans="8:8" s="1" customFormat="1" x14ac:dyDescent="0.2">
      <c r="H947" s="246"/>
    </row>
    <row r="948" spans="8:8" s="1" customFormat="1" x14ac:dyDescent="0.2">
      <c r="H948" s="246"/>
    </row>
    <row r="949" spans="8:8" s="1" customFormat="1" x14ac:dyDescent="0.2">
      <c r="H949" s="246"/>
    </row>
    <row r="950" spans="8:8" s="1" customFormat="1" x14ac:dyDescent="0.2">
      <c r="H950" s="246"/>
    </row>
    <row r="951" spans="8:8" s="1" customFormat="1" x14ac:dyDescent="0.2">
      <c r="H951" s="246"/>
    </row>
    <row r="952" spans="8:8" s="1" customFormat="1" x14ac:dyDescent="0.2">
      <c r="H952" s="246"/>
    </row>
    <row r="953" spans="8:8" s="1" customFormat="1" x14ac:dyDescent="0.2">
      <c r="H953" s="246"/>
    </row>
    <row r="954" spans="8:8" s="1" customFormat="1" x14ac:dyDescent="0.2">
      <c r="H954" s="246"/>
    </row>
    <row r="955" spans="8:8" s="1" customFormat="1" x14ac:dyDescent="0.2">
      <c r="H955" s="246"/>
    </row>
    <row r="956" spans="8:8" s="1" customFormat="1" x14ac:dyDescent="0.2">
      <c r="H956" s="246"/>
    </row>
    <row r="957" spans="8:8" s="1" customFormat="1" x14ac:dyDescent="0.2">
      <c r="H957" s="246"/>
    </row>
    <row r="958" spans="8:8" s="1" customFormat="1" x14ac:dyDescent="0.2">
      <c r="H958" s="246"/>
    </row>
    <row r="959" spans="8:8" s="1" customFormat="1" x14ac:dyDescent="0.2">
      <c r="H959" s="246"/>
    </row>
    <row r="960" spans="8:8" s="1" customFormat="1" x14ac:dyDescent="0.2">
      <c r="H960" s="246"/>
    </row>
    <row r="961" spans="8:8" s="1" customFormat="1" x14ac:dyDescent="0.2">
      <c r="H961" s="246"/>
    </row>
    <row r="962" spans="8:8" s="1" customFormat="1" x14ac:dyDescent="0.2">
      <c r="H962" s="246"/>
    </row>
    <row r="963" spans="8:8" s="1" customFormat="1" x14ac:dyDescent="0.2">
      <c r="H963" s="246"/>
    </row>
    <row r="964" spans="8:8" s="1" customFormat="1" x14ac:dyDescent="0.2">
      <c r="H964" s="246"/>
    </row>
    <row r="965" spans="8:8" s="1" customFormat="1" x14ac:dyDescent="0.2">
      <c r="H965" s="246"/>
    </row>
    <row r="966" spans="8:8" s="1" customFormat="1" x14ac:dyDescent="0.2">
      <c r="H966" s="246"/>
    </row>
    <row r="967" spans="8:8" s="1" customFormat="1" x14ac:dyDescent="0.2">
      <c r="H967" s="246"/>
    </row>
    <row r="968" spans="8:8" s="1" customFormat="1" x14ac:dyDescent="0.2">
      <c r="H968" s="246"/>
    </row>
    <row r="969" spans="8:8" s="1" customFormat="1" x14ac:dyDescent="0.2">
      <c r="H969" s="246"/>
    </row>
    <row r="970" spans="8:8" s="1" customFormat="1" x14ac:dyDescent="0.2">
      <c r="H970" s="246"/>
    </row>
    <row r="971" spans="8:8" s="1" customFormat="1" x14ac:dyDescent="0.2">
      <c r="H971" s="246"/>
    </row>
    <row r="972" spans="8:8" s="1" customFormat="1" x14ac:dyDescent="0.2">
      <c r="H972" s="246"/>
    </row>
    <row r="973" spans="8:8" s="1" customFormat="1" x14ac:dyDescent="0.2">
      <c r="H973" s="246"/>
    </row>
    <row r="974" spans="8:8" s="1" customFormat="1" x14ac:dyDescent="0.2">
      <c r="H974" s="246"/>
    </row>
    <row r="975" spans="8:8" s="1" customFormat="1" x14ac:dyDescent="0.2">
      <c r="H975" s="246"/>
    </row>
    <row r="976" spans="8:8" s="1" customFormat="1" x14ac:dyDescent="0.2">
      <c r="H976" s="246"/>
    </row>
    <row r="977" spans="8:8" s="1" customFormat="1" x14ac:dyDescent="0.2">
      <c r="H977" s="246"/>
    </row>
    <row r="978" spans="8:8" s="1" customFormat="1" x14ac:dyDescent="0.2">
      <c r="H978" s="246"/>
    </row>
    <row r="979" spans="8:8" s="1" customFormat="1" x14ac:dyDescent="0.2">
      <c r="H979" s="246"/>
    </row>
    <row r="980" spans="8:8" s="1" customFormat="1" x14ac:dyDescent="0.2">
      <c r="H980" s="246"/>
    </row>
    <row r="981" spans="8:8" s="1" customFormat="1" x14ac:dyDescent="0.2">
      <c r="H981" s="246"/>
    </row>
    <row r="982" spans="8:8" s="1" customFormat="1" x14ac:dyDescent="0.2">
      <c r="H982" s="246"/>
    </row>
    <row r="983" spans="8:8" s="1" customFormat="1" x14ac:dyDescent="0.2">
      <c r="H983" s="246"/>
    </row>
    <row r="984" spans="8:8" s="1" customFormat="1" x14ac:dyDescent="0.2">
      <c r="H984" s="246"/>
    </row>
    <row r="985" spans="8:8" s="1" customFormat="1" x14ac:dyDescent="0.2">
      <c r="H985" s="246"/>
    </row>
    <row r="986" spans="8:8" s="1" customFormat="1" x14ac:dyDescent="0.2">
      <c r="H986" s="246"/>
    </row>
    <row r="987" spans="8:8" s="1" customFormat="1" x14ac:dyDescent="0.2">
      <c r="H987" s="246"/>
    </row>
    <row r="988" spans="8:8" s="1" customFormat="1" x14ac:dyDescent="0.2">
      <c r="H988" s="246"/>
    </row>
    <row r="989" spans="8:8" s="1" customFormat="1" x14ac:dyDescent="0.2">
      <c r="H989" s="246"/>
    </row>
    <row r="990" spans="8:8" s="1" customFormat="1" x14ac:dyDescent="0.2">
      <c r="H990" s="246"/>
    </row>
    <row r="991" spans="8:8" s="1" customFormat="1" x14ac:dyDescent="0.2">
      <c r="H991" s="246"/>
    </row>
    <row r="992" spans="8:8" s="1" customFormat="1" x14ac:dyDescent="0.2">
      <c r="H992" s="246"/>
    </row>
    <row r="993" spans="8:8" s="1" customFormat="1" x14ac:dyDescent="0.2">
      <c r="H993" s="246"/>
    </row>
    <row r="994" spans="8:8" s="1" customFormat="1" x14ac:dyDescent="0.2">
      <c r="H994" s="246"/>
    </row>
    <row r="995" spans="8:8" s="1" customFormat="1" x14ac:dyDescent="0.2">
      <c r="H995" s="246"/>
    </row>
    <row r="996" spans="8:8" s="1" customFormat="1" x14ac:dyDescent="0.2">
      <c r="H996" s="246"/>
    </row>
    <row r="997" spans="8:8" s="1" customFormat="1" x14ac:dyDescent="0.2">
      <c r="H997" s="246"/>
    </row>
    <row r="998" spans="8:8" s="1" customFormat="1" x14ac:dyDescent="0.2">
      <c r="H998" s="246"/>
    </row>
    <row r="999" spans="8:8" s="1" customFormat="1" x14ac:dyDescent="0.2">
      <c r="H999" s="246"/>
    </row>
    <row r="1000" spans="8:8" s="1" customFormat="1" x14ac:dyDescent="0.2">
      <c r="H1000" s="246"/>
    </row>
    <row r="1001" spans="8:8" s="1" customFormat="1" x14ac:dyDescent="0.2">
      <c r="H1001" s="246"/>
    </row>
    <row r="1002" spans="8:8" s="1" customFormat="1" x14ac:dyDescent="0.2">
      <c r="H1002" s="246"/>
    </row>
    <row r="1003" spans="8:8" s="1" customFormat="1" x14ac:dyDescent="0.2">
      <c r="H1003" s="246"/>
    </row>
    <row r="1004" spans="8:8" s="1" customFormat="1" x14ac:dyDescent="0.2">
      <c r="H1004" s="246"/>
    </row>
    <row r="1005" spans="8:8" s="1" customFormat="1" x14ac:dyDescent="0.2">
      <c r="H1005" s="246"/>
    </row>
    <row r="1006" spans="8:8" s="1" customFormat="1" x14ac:dyDescent="0.2">
      <c r="H1006" s="246"/>
    </row>
    <row r="1007" spans="8:8" s="1" customFormat="1" x14ac:dyDescent="0.2">
      <c r="H1007" s="246"/>
    </row>
    <row r="1008" spans="8:8" s="1" customFormat="1" x14ac:dyDescent="0.2">
      <c r="H1008" s="246"/>
    </row>
    <row r="1009" spans="1:8" s="1" customFormat="1" x14ac:dyDescent="0.2">
      <c r="H1009" s="246"/>
    </row>
    <row r="1010" spans="1:8" s="1" customFormat="1" x14ac:dyDescent="0.2">
      <c r="H1010" s="246"/>
    </row>
    <row r="1011" spans="1:8" s="1" customFormat="1" x14ac:dyDescent="0.2">
      <c r="H1011" s="246"/>
    </row>
    <row r="1012" spans="1:8" s="1" customFormat="1" x14ac:dyDescent="0.2">
      <c r="H1012" s="246"/>
    </row>
    <row r="1013" spans="1:8" s="1" customFormat="1" x14ac:dyDescent="0.2">
      <c r="H1013" s="246"/>
    </row>
    <row r="1014" spans="1:8" s="1" customFormat="1" x14ac:dyDescent="0.2">
      <c r="H1014" s="246"/>
    </row>
    <row r="1015" spans="1:8" s="1" customFormat="1" x14ac:dyDescent="0.2">
      <c r="H1015" s="246"/>
    </row>
    <row r="1016" spans="1:8" s="1" customFormat="1" x14ac:dyDescent="0.2">
      <c r="H1016" s="246"/>
    </row>
    <row r="1017" spans="1:8" s="1" customFormat="1" x14ac:dyDescent="0.2">
      <c r="A1017" s="44"/>
      <c r="B1017" s="44"/>
      <c r="C1017" s="44"/>
      <c r="D1017" s="44"/>
      <c r="E1017" s="44"/>
      <c r="F1017" s="43"/>
      <c r="H1017" s="246"/>
    </row>
    <row r="1018" spans="1:8" s="1" customFormat="1" ht="12" customHeight="1" x14ac:dyDescent="0.2">
      <c r="A1018" s="44"/>
      <c r="B1018" s="44"/>
      <c r="C1018" s="44"/>
      <c r="D1018" s="44"/>
      <c r="E1018" s="44"/>
      <c r="F1018" s="44"/>
      <c r="H1018" s="246"/>
    </row>
    <row r="1019" spans="1:8" s="1" customFormat="1" ht="12" customHeight="1" x14ac:dyDescent="0.2">
      <c r="A1019" s="2"/>
      <c r="B1019" s="60"/>
      <c r="C1019" s="44"/>
      <c r="D1019" s="44"/>
      <c r="E1019" s="44"/>
      <c r="F1019" s="44"/>
      <c r="H1019" s="246"/>
    </row>
    <row r="1020" spans="1:8" s="1" customFormat="1" ht="12" customHeight="1" x14ac:dyDescent="0.2">
      <c r="A1020" s="2"/>
      <c r="B1020" s="60"/>
      <c r="C1020" s="44"/>
      <c r="D1020" s="44"/>
      <c r="E1020" s="44"/>
      <c r="F1020" s="44"/>
      <c r="H1020" s="246"/>
    </row>
    <row r="1021" spans="1:8" s="1" customFormat="1" ht="12" customHeight="1" x14ac:dyDescent="0.2">
      <c r="A1021" s="2"/>
      <c r="B1021" s="60"/>
      <c r="C1021" s="44"/>
      <c r="D1021" s="44"/>
      <c r="E1021" s="44"/>
      <c r="F1021" s="44"/>
      <c r="H1021" s="246"/>
    </row>
    <row r="1022" spans="1:8" s="1" customFormat="1" ht="12" customHeight="1" x14ac:dyDescent="0.2">
      <c r="A1022" s="2"/>
      <c r="B1022" s="60"/>
      <c r="C1022" s="44"/>
      <c r="D1022" s="44"/>
      <c r="E1022" s="44"/>
      <c r="F1022" s="44"/>
      <c r="H1022" s="246"/>
    </row>
    <row r="1023" spans="1:8" s="1" customFormat="1" ht="12" customHeight="1" x14ac:dyDescent="0.2">
      <c r="A1023" s="2"/>
      <c r="B1023" s="60"/>
      <c r="C1023" s="44"/>
      <c r="D1023" s="44"/>
      <c r="E1023" s="44"/>
      <c r="F1023" s="44"/>
      <c r="H1023" s="246"/>
    </row>
    <row r="1024" spans="1:8" s="1" customFormat="1" ht="12" customHeight="1" x14ac:dyDescent="0.2">
      <c r="A1024" s="2"/>
      <c r="B1024" s="58"/>
      <c r="C1024" s="44"/>
      <c r="D1024" s="44"/>
      <c r="E1024" s="44"/>
      <c r="F1024" s="44"/>
      <c r="H1024" s="246"/>
    </row>
    <row r="1025" spans="1:8" s="1" customFormat="1" x14ac:dyDescent="0.2">
      <c r="A1025" s="2"/>
      <c r="B1025" s="59" t="s">
        <v>521</v>
      </c>
      <c r="C1025" s="32"/>
      <c r="D1025" s="44"/>
      <c r="E1025" s="44"/>
      <c r="F1025" s="44"/>
      <c r="H1025" s="246"/>
    </row>
    <row r="1026" spans="1:8" s="1" customFormat="1" x14ac:dyDescent="0.2">
      <c r="A1026" s="2"/>
      <c r="B1026" s="34" t="s">
        <v>443</v>
      </c>
      <c r="C1026" s="32" t="s">
        <v>538</v>
      </c>
      <c r="D1026" s="44"/>
      <c r="E1026" s="44"/>
      <c r="F1026" s="44"/>
      <c r="H1026" s="246"/>
    </row>
    <row r="1027" spans="1:8" s="1" customFormat="1" x14ac:dyDescent="0.2">
      <c r="A1027" s="2"/>
      <c r="B1027" s="34" t="s">
        <v>515</v>
      </c>
      <c r="C1027" s="32" t="s">
        <v>538</v>
      </c>
      <c r="D1027" s="44"/>
      <c r="E1027" s="44"/>
      <c r="F1027" s="44"/>
      <c r="H1027" s="246"/>
    </row>
    <row r="1028" spans="1:8" s="1" customFormat="1" x14ac:dyDescent="0.2">
      <c r="A1028" s="2"/>
      <c r="B1028" s="34" t="s">
        <v>516</v>
      </c>
      <c r="C1028" s="32" t="s">
        <v>538</v>
      </c>
      <c r="D1028" s="44"/>
      <c r="E1028" s="44"/>
      <c r="F1028" s="44"/>
      <c r="H1028" s="246"/>
    </row>
    <row r="1029" spans="1:8" s="1" customFormat="1" x14ac:dyDescent="0.2">
      <c r="A1029" s="2"/>
      <c r="B1029" s="34" t="s">
        <v>517</v>
      </c>
      <c r="C1029" s="32" t="s">
        <v>538</v>
      </c>
      <c r="D1029" s="44"/>
      <c r="E1029" s="44"/>
      <c r="F1029" s="44"/>
      <c r="H1029" s="246"/>
    </row>
    <row r="1030" spans="1:8" s="1" customFormat="1" x14ac:dyDescent="0.2">
      <c r="A1030" s="2"/>
      <c r="B1030" s="34" t="s">
        <v>518</v>
      </c>
      <c r="C1030" s="32" t="s">
        <v>538</v>
      </c>
      <c r="D1030" s="44"/>
      <c r="E1030" s="44"/>
      <c r="F1030" s="44"/>
      <c r="H1030" s="246"/>
    </row>
    <row r="1031" spans="1:8" s="1" customFormat="1" x14ac:dyDescent="0.2">
      <c r="A1031" s="2"/>
      <c r="B1031" s="34" t="s">
        <v>519</v>
      </c>
      <c r="C1031" s="32" t="s">
        <v>538</v>
      </c>
      <c r="D1031" s="44"/>
      <c r="E1031" s="44"/>
      <c r="F1031" s="44"/>
      <c r="H1031" s="246"/>
    </row>
    <row r="1032" spans="1:8" s="1" customFormat="1" x14ac:dyDescent="0.2">
      <c r="A1032" s="2"/>
      <c r="B1032" s="34" t="s">
        <v>520</v>
      </c>
      <c r="C1032" s="32" t="s">
        <v>538</v>
      </c>
      <c r="D1032" s="44"/>
      <c r="E1032" s="44"/>
      <c r="F1032" s="44"/>
      <c r="H1032" s="246"/>
    </row>
    <row r="1033" spans="1:8" s="1" customFormat="1" x14ac:dyDescent="0.2">
      <c r="A1033" s="2"/>
      <c r="B1033" s="61" t="s">
        <v>522</v>
      </c>
      <c r="C1033" s="32" t="s">
        <v>538</v>
      </c>
      <c r="D1033" s="44"/>
      <c r="E1033" s="44"/>
      <c r="F1033" s="44"/>
      <c r="H1033" s="246"/>
    </row>
    <row r="1034" spans="1:8" s="1" customFormat="1" x14ac:dyDescent="0.2">
      <c r="A1034" s="2"/>
      <c r="B1034" s="61" t="s">
        <v>536</v>
      </c>
      <c r="C1034" s="32" t="s">
        <v>538</v>
      </c>
      <c r="D1034" s="44"/>
      <c r="E1034" s="44"/>
      <c r="F1034" s="44"/>
      <c r="H1034" s="246"/>
    </row>
    <row r="1035" spans="1:8" s="1" customFormat="1" x14ac:dyDescent="0.2">
      <c r="A1035" s="2"/>
      <c r="B1035" s="61" t="s">
        <v>537</v>
      </c>
      <c r="C1035" s="32" t="s">
        <v>538</v>
      </c>
      <c r="D1035" s="44"/>
      <c r="E1035" s="44"/>
      <c r="F1035" s="44"/>
      <c r="H1035" s="246"/>
    </row>
    <row r="1036" spans="1:8" s="1" customFormat="1" x14ac:dyDescent="0.2">
      <c r="A1036" s="2"/>
      <c r="B1036" s="61" t="s">
        <v>525</v>
      </c>
      <c r="C1036" s="32" t="s">
        <v>538</v>
      </c>
      <c r="D1036" s="44"/>
      <c r="E1036" s="44"/>
      <c r="F1036" s="44"/>
      <c r="H1036" s="246"/>
    </row>
    <row r="1037" spans="1:8" s="1" customFormat="1" x14ac:dyDescent="0.2">
      <c r="A1037" s="2"/>
      <c r="B1037" s="61" t="s">
        <v>527</v>
      </c>
      <c r="C1037" s="32" t="s">
        <v>538</v>
      </c>
      <c r="D1037" s="44"/>
      <c r="E1037" s="44"/>
      <c r="F1037" s="44"/>
      <c r="H1037" s="246"/>
    </row>
    <row r="1038" spans="1:8" s="1" customFormat="1" ht="13.5" thickBot="1" x14ac:dyDescent="0.25">
      <c r="A1038" s="2"/>
      <c r="B1038" s="35" t="s">
        <v>530</v>
      </c>
      <c r="C1038" s="45" t="s">
        <v>538</v>
      </c>
      <c r="D1038" s="62"/>
      <c r="E1038" s="62"/>
      <c r="F1038" s="62"/>
      <c r="H1038" s="246"/>
    </row>
    <row r="1039" spans="1:8" s="1" customFormat="1" x14ac:dyDescent="0.2">
      <c r="A1039" s="2"/>
      <c r="B1039" s="63"/>
      <c r="C1039" s="64"/>
      <c r="D1039" s="43"/>
      <c r="E1039" s="43"/>
      <c r="F1039" s="43"/>
      <c r="G1039" s="43"/>
      <c r="H1039" s="246"/>
    </row>
    <row r="1040" spans="1:8" s="1" customFormat="1" ht="13.5" thickBot="1" x14ac:dyDescent="0.25">
      <c r="A1040" s="2"/>
      <c r="B1040" s="63"/>
      <c r="C1040" s="64"/>
      <c r="D1040" s="43"/>
      <c r="E1040" s="43"/>
      <c r="F1040" s="43"/>
      <c r="G1040" s="43"/>
      <c r="H1040" s="246"/>
    </row>
    <row r="1041" spans="1:8" s="1" customFormat="1" x14ac:dyDescent="0.2">
      <c r="A1041" s="2"/>
      <c r="B1041" s="65" t="s">
        <v>450</v>
      </c>
      <c r="C1041" s="50"/>
      <c r="D1041" s="50"/>
      <c r="E1041" s="50"/>
      <c r="F1041" s="50"/>
      <c r="G1041" s="50"/>
      <c r="H1041" s="246"/>
    </row>
    <row r="1042" spans="1:8" s="1" customFormat="1" x14ac:dyDescent="0.2">
      <c r="A1042" s="2"/>
      <c r="B1042" s="46" t="s">
        <v>449</v>
      </c>
      <c r="C1042" s="40">
        <f>ROUND(IF(ISERROR((('Key Financials'!C14+'Restated Financials'!C34+'Restated Financials'!C54+'Restated Financials'!C37)/'Restated Financials'!C37)*12/C19),15,(('Key Financials'!C14+'Restated Financials'!C34+'Restated Financials'!C54+'Restated Financials'!C37)/'Restated Financials'!C37)*12/C19),2)</f>
        <v>-378</v>
      </c>
      <c r="D1042" s="40">
        <f>ROUND(IF(ISERROR((('Key Financials'!D14+'Restated Financials'!D34+'Restated Financials'!D54+'Restated Financials'!D37)/'Restated Financials'!D37)*12/D19),15,(('Key Financials'!D14+'Restated Financials'!D34+'Restated Financials'!D54+'Restated Financials'!D37)/'Restated Financials'!D37)*12/D19),2)</f>
        <v>-77.67</v>
      </c>
      <c r="E1042" s="40">
        <f>ROUND(IF(ISERROR((('Key Financials'!E14+'Restated Financials'!E34+'Restated Financials'!E54+'Restated Financials'!E37)/'Restated Financials'!E37)*12/E19),15,(('Key Financials'!E14+'Restated Financials'!E34+'Restated Financials'!E54+'Restated Financials'!E37)/'Restated Financials'!E37)*12/E19),2)</f>
        <v>-169.58</v>
      </c>
      <c r="F1042" s="40">
        <f>ROUND(IF(ISERROR((('Key Financials'!F14+'Restated Financials'!F34+'Restated Financials'!F54+'Restated Financials'!F37)/'Restated Financials'!F37)*12/F19),15,(('Key Financials'!F14+'Restated Financials'!F34+'Restated Financials'!F54+'Restated Financials'!F37)/'Restated Financials'!F37)*12/F19),2)</f>
        <v>-222</v>
      </c>
      <c r="G1042" s="40">
        <f>ROUND(IF(ISERROR((('Key Financials'!G14+'Restated Financials'!G34+'Restated Financials'!G54+'Restated Financials'!G37)/'Restated Financials'!G37)*12/G19),15,(('Key Financials'!G14+'Restated Financials'!G34+'Restated Financials'!G54+'Restated Financials'!G37)/'Restated Financials'!G37)*12/G19),2)</f>
        <v>-167.34</v>
      </c>
      <c r="H1042" s="246"/>
    </row>
    <row r="1043" spans="1:8" s="1" customFormat="1" x14ac:dyDescent="0.2">
      <c r="A1043" s="2"/>
      <c r="B1043" s="46" t="s">
        <v>445</v>
      </c>
      <c r="C1043" s="40">
        <f>ROUND(IF(ISERROR(((('Restated Financials'!C71+'Restated Financials'!C34)*12/C19)/'Restated Financials'!C126)*100),120,(((('Restated Financials'!C71+'Restated Financials'!C34)*12/C19)/'Restated Financials'!C126)*100)),2)</f>
        <v>-31.43</v>
      </c>
      <c r="D1043" s="40">
        <f>ROUND(IF(ISERROR(((('Restated Financials'!D71+'Restated Financials'!D34)*12/D19)/'Restated Financials'!D126)*100),120,(((('Restated Financials'!D71+'Restated Financials'!D34)*12/D19)/'Restated Financials'!D126)*100)),2)</f>
        <v>-45.44</v>
      </c>
      <c r="E1043" s="40">
        <f>ROUND(IF(ISERROR(((('Restated Financials'!E71+'Restated Financials'!E34)*12/E19)/'Restated Financials'!E126)*100),120,(((('Restated Financials'!E71+'Restated Financials'!E34)*12/E19)/'Restated Financials'!E126)*100)),2)</f>
        <v>-91.03</v>
      </c>
      <c r="F1043" s="40">
        <f>ROUND(IF(ISERROR(((('Restated Financials'!F71+'Restated Financials'!F34)*12/F19)/'Restated Financials'!F126)*100),120,(((('Restated Financials'!F71+'Restated Financials'!F34)*12/F19)/'Restated Financials'!F126)*100)),2)</f>
        <v>-89.84</v>
      </c>
      <c r="G1043" s="40">
        <f>ROUND(IF(ISERROR(((('Restated Financials'!G71+'Restated Financials'!G34)*12/G19)/'Restated Financials'!G126)*100),120,(((('Restated Financials'!G71+'Restated Financials'!G34)*12/G19)/'Restated Financials'!G126)*100)),2)</f>
        <v>-74.11</v>
      </c>
      <c r="H1043" s="246"/>
    </row>
    <row r="1044" spans="1:8" s="1" customFormat="1" x14ac:dyDescent="0.2">
      <c r="A1044" s="2"/>
      <c r="B1044" s="46" t="s">
        <v>446</v>
      </c>
      <c r="C1044" s="40">
        <f>'Key Financials'!C20</f>
        <v>-30.8</v>
      </c>
      <c r="D1044" s="40">
        <f>'Key Financials'!D20</f>
        <v>-58.48</v>
      </c>
      <c r="E1044" s="40">
        <f>'Key Financials'!E20</f>
        <v>-85</v>
      </c>
      <c r="F1044" s="40">
        <f>'Key Financials'!F20</f>
        <v>-112.6</v>
      </c>
      <c r="G1044" s="40">
        <f>'Key Financials'!G20</f>
        <v>-132</v>
      </c>
      <c r="H1044" s="246"/>
    </row>
    <row r="1045" spans="1:8" s="1" customFormat="1" x14ac:dyDescent="0.2">
      <c r="A1045" s="2"/>
      <c r="B1045" s="46" t="s">
        <v>441</v>
      </c>
      <c r="C1045" s="40">
        <f>ROUND(IF(ISERROR('Restated Financials'!C187/'Restated Financials'!C140),2,('Restated Financials'!C187/'Restated Financials'!C140)),2)</f>
        <v>0.43</v>
      </c>
      <c r="D1045" s="40">
        <f>ROUND(IF(ISERROR('Restated Financials'!D187/'Restated Financials'!D140),2,('Restated Financials'!D187/'Restated Financials'!D140)),2)</f>
        <v>0.36</v>
      </c>
      <c r="E1045" s="40">
        <f>ROUND(IF(ISERROR('Restated Financials'!E187/'Restated Financials'!E140),2,('Restated Financials'!E187/'Restated Financials'!E140)),2)</f>
        <v>0.18</v>
      </c>
      <c r="F1045" s="40">
        <f>ROUND(IF(ISERROR('Restated Financials'!F187/'Restated Financials'!F140),2,('Restated Financials'!F187/'Restated Financials'!F140)),2)</f>
        <v>0.14000000000000001</v>
      </c>
      <c r="G1045" s="40">
        <f>ROUND(IF(ISERROR('Restated Financials'!G187/'Restated Financials'!G140),2,('Restated Financials'!G187/'Restated Financials'!G140)),2)</f>
        <v>0.26</v>
      </c>
      <c r="H1045" s="246"/>
    </row>
    <row r="1046" spans="1:8" s="1" customFormat="1" x14ac:dyDescent="0.2">
      <c r="A1046" s="2"/>
      <c r="B1046" s="46" t="s">
        <v>447</v>
      </c>
      <c r="C1046" s="40">
        <f>ROUND(IF(ISERROR(('Restated Financials'!C142-'Restated Financials'!C95)/'Key Financials'!C47),10,IF((('Restated Financials'!C142-'Restated Financials'!C95)/'Key Financials'!C47)&lt;0,10,(('Restated Financials'!C142-'Restated Financials'!C95)/'Key Financials'!C47))),2)</f>
        <v>3.3</v>
      </c>
      <c r="D1046" s="40">
        <f>ROUND(IF(ISERROR(('Restated Financials'!D142-'Restated Financials'!D95)/'Key Financials'!D47),10,IF((('Restated Financials'!D142-'Restated Financials'!D95)/'Key Financials'!D47)&lt;0,10,(('Restated Financials'!D142-'Restated Financials'!D95)/'Key Financials'!D47))),2)</f>
        <v>2.41</v>
      </c>
      <c r="E1046" s="40">
        <f>ROUND(IF(ISERROR(('Restated Financials'!E142-'Restated Financials'!E95)/'Key Financials'!E47),10,IF((('Restated Financials'!E142-'Restated Financials'!E95)/'Key Financials'!E47)&lt;0,10,(('Restated Financials'!E142-'Restated Financials'!E95)/'Key Financials'!E47))),2)</f>
        <v>1.41</v>
      </c>
      <c r="F1046" s="40">
        <f>ROUND(IF(ISERROR(('Restated Financials'!F142-'Restated Financials'!F95)/'Key Financials'!F47),10,IF((('Restated Financials'!F142-'Restated Financials'!F95)/'Key Financials'!F47)&lt;0,10,(('Restated Financials'!F142-'Restated Financials'!F95)/'Key Financials'!F47))),2)</f>
        <v>1.05</v>
      </c>
      <c r="G1046" s="40">
        <f>ROUND(IF(ISERROR(('Restated Financials'!G142-'Restated Financials'!G95)/'Key Financials'!G47),10,IF((('Restated Financials'!G142-'Restated Financials'!G95)/'Key Financials'!G47)&lt;0,10,(('Restated Financials'!G142-'Restated Financials'!G95)/'Key Financials'!G47))),2)</f>
        <v>1.55</v>
      </c>
      <c r="H1046" s="246"/>
    </row>
    <row r="1047" spans="1:8" s="1" customFormat="1" ht="13.5" thickBot="1" x14ac:dyDescent="0.25">
      <c r="A1047" s="2"/>
      <c r="B1047" s="53" t="s">
        <v>448</v>
      </c>
      <c r="C1047" s="47">
        <f>ROUND(C1048+C1049,2)</f>
        <v>122.06</v>
      </c>
      <c r="D1047" s="47">
        <f>ROUND(D1048+D1049,2)</f>
        <v>155.38</v>
      </c>
      <c r="E1047" s="47">
        <f>ROUND(E1048+E1049,2)</f>
        <v>0</v>
      </c>
      <c r="F1047" s="47">
        <f>ROUND(F1048+F1049,2)</f>
        <v>0</v>
      </c>
      <c r="G1047" s="47">
        <f>ROUND(G1048+G1049,2)</f>
        <v>195.61</v>
      </c>
      <c r="H1047" s="246"/>
    </row>
    <row r="1048" spans="1:8" s="1" customFormat="1" x14ac:dyDescent="0.2">
      <c r="A1048" s="2"/>
      <c r="B1048" s="39" t="s">
        <v>310</v>
      </c>
      <c r="C1048" s="43">
        <f>IF(ISERROR('Restated Financials'!C170*365/((('Restated Financials'!C20+'Restated Financials'!C21))*12/C19)),810,('Restated Financials'!C170*365/((('Restated Financials'!C20+'Restated Financials'!C21))*12/C19)))</f>
        <v>100.15787693117319</v>
      </c>
      <c r="D1048" s="43">
        <f>IF(ISERROR('Restated Financials'!D170*365/((('Restated Financials'!D20+'Restated Financials'!D21))*12/D19)),810,('Restated Financials'!D170*365/((('Restated Financials'!D20+'Restated Financials'!D21))*12/D19)))</f>
        <v>121.79688975634325</v>
      </c>
      <c r="E1048" s="43">
        <f>IF(ISERROR('Restated Financials'!E170*365/((('Restated Financials'!E20+'Restated Financials'!E21))*12/E19)),810,('Restated Financials'!E170*365/((('Restated Financials'!E20+'Restated Financials'!E21))*12/E19)))</f>
        <v>0</v>
      </c>
      <c r="F1048" s="43">
        <f>IF(ISERROR('Restated Financials'!F170*365/((('Restated Financials'!F20+'Restated Financials'!F21))*12/F19)),810,('Restated Financials'!F170*365/((('Restated Financials'!F20+'Restated Financials'!F21))*12/F19)))</f>
        <v>0</v>
      </c>
      <c r="G1048" s="43">
        <f>IF(ISERROR('Restated Financials'!G170*365/((('Restated Financials'!G20+'Restated Financials'!G21))*12/G19)),810,('Restated Financials'!G170*365/((('Restated Financials'!G20+'Restated Financials'!G21))*12/G19)))</f>
        <v>156.15549342032267</v>
      </c>
      <c r="H1048" s="246"/>
    </row>
    <row r="1049" spans="1:8" s="16" customFormat="1" x14ac:dyDescent="0.2">
      <c r="A1049" s="2"/>
      <c r="B1049" s="39" t="s">
        <v>311</v>
      </c>
      <c r="C1049" s="28">
        <f>IF(ISERROR('Restated Financials'!C177*365/((('Restated Financials'!C3+'Restated Financials'!C4+'Restated Financials'!C5))*12/C19)),810,('Restated Financials'!C177*365/((('Restated Financials'!C3+'Restated Financials'!C4+'Restated Financials'!C5))*12/C19)))</f>
        <v>21.9</v>
      </c>
      <c r="D1049" s="28">
        <f>IF(ISERROR('Restated Financials'!D177*365/((('Restated Financials'!D3+'Restated Financials'!D4+'Restated Financials'!D5))*12/D19)),810,('Restated Financials'!D177*365/((('Restated Financials'!D3+'Restated Financials'!D4+'Restated Financials'!D5))*12/D19)))</f>
        <v>33.58</v>
      </c>
      <c r="E1049" s="28">
        <f>IF(ISERROR('Restated Financials'!E177*365/((('Restated Financials'!E3+'Restated Financials'!E4+'Restated Financials'!E5))*12/E19)),810,('Restated Financials'!E177*365/((('Restated Financials'!E3+'Restated Financials'!E4+'Restated Financials'!E5))*12/E19)))</f>
        <v>0</v>
      </c>
      <c r="F1049" s="28">
        <f>IF(ISERROR('Restated Financials'!F177*365/((('Restated Financials'!F3+'Restated Financials'!F4+'Restated Financials'!F5))*12/F19)),810,('Restated Financials'!F177*365/((('Restated Financials'!F3+'Restated Financials'!F4+'Restated Financials'!F5))*12/F19)))</f>
        <v>0</v>
      </c>
      <c r="G1049" s="28">
        <f>IF(ISERROR('Restated Financials'!G177*365/((('Restated Financials'!G3+'Restated Financials'!G4+'Restated Financials'!G5))*12/G19)),810,('Restated Financials'!G177*365/((('Restated Financials'!G3+'Restated Financials'!G4+'Restated Financials'!G5))*12/G19)))</f>
        <v>39.455186264471926</v>
      </c>
      <c r="H1049" s="327"/>
    </row>
    <row r="1050" spans="1:8" s="16" customFormat="1" x14ac:dyDescent="0.2">
      <c r="A1050" s="2"/>
      <c r="B1050" s="63"/>
      <c r="C1050" s="28"/>
      <c r="D1050" s="28"/>
      <c r="E1050" s="28"/>
      <c r="F1050" s="28"/>
      <c r="G1050" s="28"/>
      <c r="H1050" s="327"/>
    </row>
    <row r="1051" spans="1:8" s="16" customFormat="1" ht="13.5" thickBot="1" x14ac:dyDescent="0.25">
      <c r="A1051" s="2"/>
      <c r="B1051" s="63"/>
      <c r="C1051" s="28"/>
      <c r="D1051" s="28"/>
      <c r="E1051" s="28"/>
      <c r="F1051" s="28"/>
      <c r="G1051" s="28"/>
      <c r="H1051" s="327"/>
    </row>
    <row r="1052" spans="1:8" s="16" customFormat="1" x14ac:dyDescent="0.2">
      <c r="A1052" s="2"/>
      <c r="B1052" s="65" t="s">
        <v>444</v>
      </c>
      <c r="C1052" s="50"/>
      <c r="D1052" s="50"/>
      <c r="E1052" s="50"/>
      <c r="F1052" s="50"/>
      <c r="G1052" s="50"/>
      <c r="H1052" s="327"/>
    </row>
    <row r="1053" spans="1:8" s="16" customFormat="1" x14ac:dyDescent="0.2">
      <c r="A1053" s="2"/>
      <c r="B1053" s="66" t="s">
        <v>522</v>
      </c>
      <c r="C1053" s="40">
        <f>ROUND(IF(ISERROR(((('Restated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1053" s="40">
        <f>ROUND(IF(ISERROR(((('Restated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1053" s="40">
        <f>ROUND(IF(ISERROR(((('Restated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-32.549999999999997</v>
      </c>
      <c r="F1053" s="40">
        <f>ROUND(IF(ISERROR(((('Restated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-35.83</v>
      </c>
      <c r="G1053" s="40">
        <f>ROUND(IF(ISERROR(((('Restated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-29.58</v>
      </c>
      <c r="H1053" s="327"/>
    </row>
    <row r="1054" spans="1:8" s="16" customFormat="1" x14ac:dyDescent="0.2">
      <c r="A1054" s="2"/>
      <c r="B1054" s="46" t="s">
        <v>441</v>
      </c>
      <c r="C1054" s="40">
        <f>IF(ISERROR('Key Financials'!C45),2,'Key Financials'!C45)</f>
        <v>0.43</v>
      </c>
      <c r="D1054" s="40">
        <f>IF(ISERROR('Key Financials'!D45),2,'Key Financials'!D45)</f>
        <v>0.36</v>
      </c>
      <c r="E1054" s="40">
        <f>IF(ISERROR('Key Financials'!E45),2,'Key Financials'!E45)</f>
        <v>0.18</v>
      </c>
      <c r="F1054" s="40">
        <f>IF(ISERROR('Key Financials'!F45),2,'Key Financials'!F45)</f>
        <v>0.14000000000000001</v>
      </c>
      <c r="G1054" s="40">
        <f>IF(ISERROR('Key Financials'!G45),2,'Key Financials'!G45)</f>
        <v>0.26</v>
      </c>
      <c r="H1054" s="327"/>
    </row>
    <row r="1055" spans="1:8" s="16" customFormat="1" x14ac:dyDescent="0.2">
      <c r="A1055" s="2"/>
      <c r="B1055" s="46" t="s">
        <v>442</v>
      </c>
      <c r="C1055" s="40">
        <f>ROUND(IF(ISERROR((('Restated Financials'!C71+'Restated Financials'!C34+'Restated Financials'!C42)*12/C19)/(('Restated Financials'!C42*12/C19)+'Restated Financials'!C115)),5,((('Restated Financials'!C71+'Restated Financials'!C34+'Restated Financials'!C42)*12/C19)/(('Restated Financials'!C42*12/C19)+'Restated Financials'!C115))),2)</f>
        <v>-415.5</v>
      </c>
      <c r="D1055" s="40">
        <f>ROUND(IF(ISERROR((('Restated Financials'!D71+'Restated Financials'!D34+'Restated Financials'!D42)*12/D19)/(('Restated Financials'!D42*12/D19)+'Restated Financials'!D115)),5,((('Restated Financials'!D71+'Restated Financials'!D34+'Restated Financials'!D42)*12/D19)/(('Restated Financials'!D42*12/D19)+'Restated Financials'!D115))),2)</f>
        <v>-79.84</v>
      </c>
      <c r="E1055" s="40">
        <f>ROUND(IF(ISERROR((('Restated Financials'!E71+'Restated Financials'!E34+'Restated Financials'!E42)*12/E19)/(('Restated Financials'!E42*12/E19)+'Restated Financials'!E115)),5,((('Restated Financials'!E71+'Restated Financials'!E34+'Restated Financials'!E42)*12/E19)/(('Restated Financials'!E42*12/E19)+'Restated Financials'!E115))),2)</f>
        <v>-8.36</v>
      </c>
      <c r="F1055" s="40">
        <f>ROUND(IF(ISERROR((('Restated Financials'!F71+'Restated Financials'!F34+'Restated Financials'!F42)*12/F19)/(('Restated Financials'!F42*12/F19)+'Restated Financials'!F115)),5,((('Restated Financials'!F71+'Restated Financials'!F34+'Restated Financials'!F42)*12/F19)/(('Restated Financials'!F42*12/F19)+'Restated Financials'!F115))),2)</f>
        <v>-17.12</v>
      </c>
      <c r="G1055" s="40">
        <f>ROUND(IF(ISERROR((('Restated Financials'!G71+'Restated Financials'!G34+'Restated Financials'!G42)*12/G19)/(('Restated Financials'!G42*12/G19)+'Restated Financials'!G115)),5,((('Restated Financials'!G71+'Restated Financials'!G34+'Restated Financials'!G42)*12/G19)/(('Restated Financials'!G42*12/G19)+'Restated Financials'!G115))),2)</f>
        <v>-3.66</v>
      </c>
      <c r="H1055" s="327"/>
    </row>
    <row r="1056" spans="1:8" s="16" customFormat="1" x14ac:dyDescent="0.2">
      <c r="A1056" s="2"/>
      <c r="B1056" s="46" t="s">
        <v>443</v>
      </c>
      <c r="C1056" s="40">
        <f>ROUND(IF(ISERROR((('Restated Financials'!C71+'Restated Financials'!C68+'Restated Financials'!C67+'Restated Financials'!C42+'Restated Financials'!C34)*12/C19)/'Restated Financials'!C42*12/C19),12,((('Restated Financials'!C71+'Restated Financials'!C68+'Restated Financials'!C67+'Restated Financials'!C42+'Restated Financials'!C34)*12/C19)/'Restated Financials'!C42*12/C19)),2)</f>
        <v>-378</v>
      </c>
      <c r="D1056" s="40">
        <f>ROUND(IF(ISERROR((('Restated Financials'!D71+'Restated Financials'!D68+'Restated Financials'!D67+'Restated Financials'!D42+'Restated Financials'!D34)*12/D19)/'Restated Financials'!D42*12/D19),12,((('Restated Financials'!D71+'Restated Financials'!D68+'Restated Financials'!D67+'Restated Financials'!D42+'Restated Financials'!D34)*12/D19)/'Restated Financials'!D42*12/D19)),2)</f>
        <v>-73.47</v>
      </c>
      <c r="E1056" s="40">
        <f>ROUND(IF(ISERROR((('Restated Financials'!E71+'Restated Financials'!E68+'Restated Financials'!E67+'Restated Financials'!E42+'Restated Financials'!E34)*12/E19)/'Restated Financials'!E42*12/E19),12,((('Restated Financials'!E71+'Restated Financials'!E68+'Restated Financials'!E67+'Restated Financials'!E42+'Restated Financials'!E34)*12/E19)/'Restated Financials'!E42*12/E19)),2)</f>
        <v>-170.92</v>
      </c>
      <c r="F1056" s="40">
        <f>ROUND(IF(ISERROR((('Restated Financials'!F71+'Restated Financials'!F68+'Restated Financials'!F67+'Restated Financials'!F42+'Restated Financials'!F34)*12/F19)/'Restated Financials'!F42*12/F19),12,((('Restated Financials'!F71+'Restated Financials'!F68+'Restated Financials'!F67+'Restated Financials'!F42+'Restated Financials'!F34)*12/F19)/'Restated Financials'!F42*12/F19)),2)</f>
        <v>-222.25</v>
      </c>
      <c r="G1056" s="40">
        <f>ROUND(IF(ISERROR((('Restated Financials'!G71+'Restated Financials'!G68+'Restated Financials'!G67+'Restated Financials'!G42+'Restated Financials'!G34)*12/G19)/'Restated Financials'!G42*12/G19),12,((('Restated Financials'!G71+'Restated Financials'!G68+'Restated Financials'!G67+'Restated Financials'!G42+'Restated Financials'!G34)*12/G19)/'Restated Financials'!G42*12/G19)),2)</f>
        <v>-164.59</v>
      </c>
      <c r="H1056" s="327"/>
    </row>
    <row r="1057" spans="1:8" s="16" customFormat="1" x14ac:dyDescent="0.2">
      <c r="A1057" s="2"/>
      <c r="B1057" s="46" t="s">
        <v>523</v>
      </c>
      <c r="C1057" s="40">
        <f>ROUND(IF(ISERROR((('Restated Financials'!C71*12/C19)/('Restated Financials'!C8*12/C19))*100),0,((('Restated Financials'!C71*12/C19)/('Restated Financials'!C8*12/C19))*100)),2)</f>
        <v>-33.799999999999997</v>
      </c>
      <c r="D1057" s="40">
        <f>ROUND(IF(ISERROR((('Restated Financials'!D71*12/D19)/('Restated Financials'!D8*12/D19))*100),0,((('Restated Financials'!D71*12/D19)/('Restated Financials'!D8*12/D19))*100)),2)</f>
        <v>-63.28</v>
      </c>
      <c r="E1057" s="40">
        <f>ROUND(IF(ISERROR((('Restated Financials'!E71*12/E19)/('Restated Financials'!E8*12/E19))*100),0,((('Restated Financials'!E71*12/E19)/('Restated Financials'!E8*12/E19))*100)),2)</f>
        <v>-91.24</v>
      </c>
      <c r="F1057" s="40">
        <f>ROUND(IF(ISERROR((('Restated Financials'!F71*12/F19)/('Restated Financials'!F8*12/F19))*100),0,((('Restated Financials'!F71*12/F19)/('Restated Financials'!F8*12/F19))*100)),2)</f>
        <v>-116.92</v>
      </c>
      <c r="G1057" s="40">
        <f>ROUND(IF(ISERROR((('Restated Financials'!G71*12/G19)/('Restated Financials'!G8*12/G19))*100),0,((('Restated Financials'!G71*12/G19)/('Restated Financials'!G8*12/G19))*100)),2)</f>
        <v>-139.03</v>
      </c>
      <c r="H1057" s="327"/>
    </row>
    <row r="1058" spans="1:8" s="16" customFormat="1" x14ac:dyDescent="0.2">
      <c r="A1058" s="2"/>
      <c r="B1058" s="46" t="s">
        <v>524</v>
      </c>
      <c r="C1058" s="40">
        <f>'Key Financials'!C47-'Restated Financials'!C161</f>
        <v>141</v>
      </c>
      <c r="D1058" s="40">
        <f>'Key Financials'!D47-'Restated Financials'!D161</f>
        <v>292</v>
      </c>
      <c r="E1058" s="40">
        <f>'Key Financials'!E47-'Restated Financials'!E161</f>
        <v>413</v>
      </c>
      <c r="F1058" s="40">
        <f>'Key Financials'!F47-'Restated Financials'!F161</f>
        <v>602</v>
      </c>
      <c r="G1058" s="40">
        <f>'Key Financials'!G47-'Restated Financials'!G161</f>
        <v>893.18999999999994</v>
      </c>
      <c r="H1058" s="327"/>
    </row>
    <row r="1059" spans="1:8" s="16" customFormat="1" x14ac:dyDescent="0.2">
      <c r="A1059" s="2"/>
      <c r="B1059" s="46" t="s">
        <v>525</v>
      </c>
      <c r="C1059" s="40">
        <f>ROUND(IF(ISERROR(('Restated Financials'!C140+'Restated Financials'!C109)/C1058),50,(('Restated Financials'!C140+'Restated Financials'!C109)/C1058)),2)</f>
        <v>3.3</v>
      </c>
      <c r="D1059" s="40">
        <f>ROUND(IF(ISERROR(('Restated Financials'!D140+'Restated Financials'!D109)/D1058),50,(('Restated Financials'!D140+'Restated Financials'!D109)/D1058)),2)</f>
        <v>2.41</v>
      </c>
      <c r="E1059" s="40">
        <f>ROUND(IF(ISERROR(('Restated Financials'!E140+'Restated Financials'!E109)/E1058),50,(('Restated Financials'!E140+'Restated Financials'!E109)/E1058)),2)</f>
        <v>1.41</v>
      </c>
      <c r="F1059" s="40">
        <f>ROUND(IF(ISERROR(('Restated Financials'!F140+'Restated Financials'!F109)/F1058),50,(('Restated Financials'!F140+'Restated Financials'!F109)/F1058)),2)</f>
        <v>1.05</v>
      </c>
      <c r="G1059" s="40">
        <f>ROUND(IF(ISERROR(('Restated Financials'!G140+'Restated Financials'!G109)/G1058),50,(('Restated Financials'!G140+'Restated Financials'!G109)/G1058)),2)</f>
        <v>1.56</v>
      </c>
      <c r="H1059" s="327"/>
    </row>
    <row r="1060" spans="1:8" s="16" customFormat="1" x14ac:dyDescent="0.2">
      <c r="A1060" s="2"/>
      <c r="B1060" s="46" t="s">
        <v>526</v>
      </c>
      <c r="C1060" s="40">
        <f>ROUND(IF(ISERROR((('Restated Financials'!C71+'Restated Financials'!C54+'Restated Financials'!C34-'Restated Financials'!C73)*12/C19)/'Restated Financials'!C126),1,((('Restated Financials'!C71+'Restated Financials'!C54+'Restated Financials'!C34-'Restated Financials'!C73)*12/C19)/'Restated Financials'!C126)),2)</f>
        <v>-0.31</v>
      </c>
      <c r="D1060" s="40">
        <f>ROUND(IF(ISERROR((('Restated Financials'!D71+'Restated Financials'!D54+'Restated Financials'!D34-'Restated Financials'!D73)*12/D19)/'Restated Financials'!D126),1,((('Restated Financials'!D71+'Restated Financials'!D54+'Restated Financials'!D34-'Restated Financials'!D73)*12/D19)/'Restated Financials'!D126)),2)</f>
        <v>-0.45</v>
      </c>
      <c r="E1060" s="40">
        <f>ROUND(IF(ISERROR((('Restated Financials'!E71+'Restated Financials'!E54+'Restated Financials'!E34-'Restated Financials'!E73)*12/E19)/'Restated Financials'!E126),1,((('Restated Financials'!E71+'Restated Financials'!E54+'Restated Financials'!E34-'Restated Financials'!E73)*12/E19)/'Restated Financials'!E126)),2)</f>
        <v>-0.91</v>
      </c>
      <c r="F1060" s="40">
        <f>ROUND(IF(ISERROR((('Restated Financials'!F71+'Restated Financials'!F54+'Restated Financials'!F34-'Restated Financials'!F73)*12/F19)/'Restated Financials'!F126),1,((('Restated Financials'!F71+'Restated Financials'!F54+'Restated Financials'!F34-'Restated Financials'!F73)*12/F19)/'Restated Financials'!F126)),2)</f>
        <v>-0.9</v>
      </c>
      <c r="G1060" s="40">
        <f>ROUND(IF(ISERROR((('Restated Financials'!G71+'Restated Financials'!G54+'Restated Financials'!G34-'Restated Financials'!G73)*12/G19)/'Restated Financials'!G126),1,((('Restated Financials'!G71+'Restated Financials'!G54+'Restated Financials'!G34-'Restated Financials'!G73)*12/G19)/'Restated Financials'!G126)),2)</f>
        <v>-0.74</v>
      </c>
      <c r="H1060" s="327"/>
    </row>
    <row r="1061" spans="1:8" s="68" customFormat="1" x14ac:dyDescent="0.2">
      <c r="A1061" s="67"/>
      <c r="B1061" s="46" t="s">
        <v>527</v>
      </c>
      <c r="C1061" s="40">
        <f>ROUND(IF(ISERROR((('Restated Financials'!C170+'Restated Financials'!C177)/('Restated Financials'!C8*12/C19))*365),250,((('Restated Financials'!C170+'Restated Financials'!C177)/('Restated Financials'!C8*12/C19))*365)),2)</f>
        <v>128.47999999999999</v>
      </c>
      <c r="D1061" s="40">
        <f>ROUND(IF(ISERROR((('Restated Financials'!D170+'Restated Financials'!D177)/('Restated Financials'!D8*12/D19))*365),250,((('Restated Financials'!D170+'Restated Financials'!D177)/('Restated Financials'!D8*12/D19))*365)),2)</f>
        <v>188.34</v>
      </c>
      <c r="E1061" s="40">
        <f>ROUND(IF(ISERROR((('Restated Financials'!E170+'Restated Financials'!E177)/('Restated Financials'!E8*12/E19))*365),250,((('Restated Financials'!E170+'Restated Financials'!E177)/('Restated Financials'!E8*12/E19))*365)),2)</f>
        <v>0</v>
      </c>
      <c r="F1061" s="40">
        <f>ROUND(IF(ISERROR((('Restated Financials'!F170+'Restated Financials'!F177)/('Restated Financials'!F8*12/F19))*365),250,((('Restated Financials'!F170+'Restated Financials'!F177)/('Restated Financials'!F8*12/F19))*365)),2)</f>
        <v>0</v>
      </c>
      <c r="G1061" s="40">
        <f>ROUND(IF(ISERROR((('Restated Financials'!G170+'Restated Financials'!G177)/('Restated Financials'!G8*12/G19))*365),250,((('Restated Financials'!G170+'Restated Financials'!G177)/('Restated Financials'!G8*12/G19))*365)),2)</f>
        <v>316.56</v>
      </c>
      <c r="H1061" s="327"/>
    </row>
    <row r="1062" spans="1:8" s="70" customFormat="1" x14ac:dyDescent="0.2">
      <c r="A1062" s="49"/>
      <c r="B1062" s="69" t="s">
        <v>522</v>
      </c>
      <c r="C1062" s="40">
        <f>G1053</f>
        <v>-29.58</v>
      </c>
      <c r="D1062" s="40">
        <f>ROUND(IF((F1053&gt;G1053),G1053,((3*G1053+2*F1053)/5)),2)</f>
        <v>-32.08</v>
      </c>
      <c r="E1062" s="40">
        <f>ROUND(IF((F1053&gt;G1053),G1053,((G1053*3+F1053*2+E1053*1)/6)),2)</f>
        <v>-32.159999999999997</v>
      </c>
      <c r="F1062" s="40"/>
      <c r="G1062" s="40"/>
      <c r="H1062" s="327"/>
    </row>
    <row r="1063" spans="1:8" s="70" customFormat="1" x14ac:dyDescent="0.2">
      <c r="A1063" s="49"/>
      <c r="B1063" s="46" t="s">
        <v>441</v>
      </c>
      <c r="C1063" s="40">
        <f t="shared" ref="C1063:E1065" si="1">E1054</f>
        <v>0.18</v>
      </c>
      <c r="D1063" s="40">
        <f t="shared" si="1"/>
        <v>0.14000000000000001</v>
      </c>
      <c r="E1063" s="40">
        <f t="shared" si="1"/>
        <v>0.26</v>
      </c>
      <c r="F1063" s="40"/>
      <c r="G1063" s="40"/>
      <c r="H1063" s="327"/>
    </row>
    <row r="1064" spans="1:8" s="70" customFormat="1" x14ac:dyDescent="0.2">
      <c r="A1064" s="49"/>
      <c r="B1064" s="46" t="s">
        <v>442</v>
      </c>
      <c r="C1064" s="40">
        <f t="shared" si="1"/>
        <v>-8.36</v>
      </c>
      <c r="D1064" s="40">
        <f t="shared" si="1"/>
        <v>-17.12</v>
      </c>
      <c r="E1064" s="40">
        <f t="shared" si="1"/>
        <v>-3.66</v>
      </c>
      <c r="F1064" s="40"/>
      <c r="G1064" s="40"/>
      <c r="H1064" s="327"/>
    </row>
    <row r="1065" spans="1:8" s="70" customFormat="1" x14ac:dyDescent="0.2">
      <c r="A1065" s="49"/>
      <c r="B1065" s="46" t="s">
        <v>443</v>
      </c>
      <c r="C1065" s="40">
        <f t="shared" si="1"/>
        <v>-170.92</v>
      </c>
      <c r="D1065" s="40">
        <f t="shared" si="1"/>
        <v>-222.25</v>
      </c>
      <c r="E1065" s="40">
        <f t="shared" si="1"/>
        <v>-164.59</v>
      </c>
      <c r="F1065" s="40"/>
      <c r="G1065" s="40"/>
      <c r="H1065" s="327"/>
    </row>
    <row r="1066" spans="1:8" s="70" customFormat="1" x14ac:dyDescent="0.2">
      <c r="A1066" s="49"/>
      <c r="B1066" s="46" t="s">
        <v>523</v>
      </c>
      <c r="C1066" s="40">
        <f>G1057</f>
        <v>-139.03</v>
      </c>
      <c r="D1066" s="40">
        <f>ROUND(IF((F1057&gt;G1057),G1057,((3*G1057+2*F1057)/5)),2)</f>
        <v>-139.03</v>
      </c>
      <c r="E1066" s="40">
        <f>ROUND(IF((F1057&gt;G1057),G1057,((G1057*3+F1057*2+E1057*1)/6)),2)</f>
        <v>-139.03</v>
      </c>
      <c r="F1066" s="40"/>
      <c r="G1066" s="40"/>
      <c r="H1066" s="327"/>
    </row>
    <row r="1067" spans="1:8" s="70" customFormat="1" x14ac:dyDescent="0.2">
      <c r="A1067" s="49"/>
      <c r="B1067" s="46" t="s">
        <v>524</v>
      </c>
      <c r="C1067" s="40">
        <f t="shared" ref="C1067:E1069" si="2">E1058</f>
        <v>413</v>
      </c>
      <c r="D1067" s="40">
        <f t="shared" si="2"/>
        <v>602</v>
      </c>
      <c r="E1067" s="40">
        <f t="shared" si="2"/>
        <v>893.18999999999994</v>
      </c>
      <c r="F1067" s="40"/>
      <c r="G1067" s="40"/>
      <c r="H1067" s="327"/>
    </row>
    <row r="1068" spans="1:8" s="70" customFormat="1" x14ac:dyDescent="0.2">
      <c r="A1068" s="49"/>
      <c r="B1068" s="46" t="s">
        <v>528</v>
      </c>
      <c r="C1068" s="40">
        <f t="shared" si="2"/>
        <v>1.41</v>
      </c>
      <c r="D1068" s="40">
        <f t="shared" si="2"/>
        <v>1.05</v>
      </c>
      <c r="E1068" s="40">
        <f t="shared" si="2"/>
        <v>1.56</v>
      </c>
      <c r="F1068" s="40"/>
      <c r="G1068" s="40"/>
      <c r="H1068" s="327"/>
    </row>
    <row r="1069" spans="1:8" s="70" customFormat="1" x14ac:dyDescent="0.2">
      <c r="A1069" s="49"/>
      <c r="B1069" s="71" t="s">
        <v>526</v>
      </c>
      <c r="C1069" s="72">
        <f t="shared" si="2"/>
        <v>-0.91</v>
      </c>
      <c r="D1069" s="72">
        <f t="shared" si="2"/>
        <v>-0.9</v>
      </c>
      <c r="E1069" s="72">
        <f t="shared" si="2"/>
        <v>-0.74</v>
      </c>
      <c r="F1069" s="72"/>
      <c r="G1069" s="72"/>
      <c r="H1069" s="327"/>
    </row>
    <row r="1070" spans="1:8" s="70" customFormat="1" x14ac:dyDescent="0.2">
      <c r="A1070" s="49"/>
      <c r="B1070" s="58"/>
      <c r="C1070" s="73"/>
      <c r="D1070" s="73"/>
      <c r="E1070" s="44"/>
      <c r="F1070" s="44"/>
      <c r="G1070" s="44"/>
      <c r="H1070" s="330"/>
    </row>
    <row r="1071" spans="1:8" s="70" customFormat="1" x14ac:dyDescent="0.2">
      <c r="A1071" s="49"/>
      <c r="B1071" s="58"/>
      <c r="C1071" s="73"/>
      <c r="D1071" s="73"/>
      <c r="E1071" s="44"/>
      <c r="F1071" s="44"/>
      <c r="G1071" s="44"/>
      <c r="H1071" s="330"/>
    </row>
    <row r="1072" spans="1:8" s="1" customFormat="1" x14ac:dyDescent="0.2">
      <c r="A1072" s="2"/>
      <c r="B1072" s="42"/>
      <c r="C1072" s="43"/>
      <c r="D1072" s="43"/>
      <c r="E1072" s="43"/>
      <c r="F1072" s="43"/>
      <c r="G1072" s="43"/>
      <c r="H1072" s="246"/>
    </row>
    <row r="1073" spans="1:39" s="1" customFormat="1" ht="13.5" thickBot="1" x14ac:dyDescent="0.25">
      <c r="A1073" s="2"/>
      <c r="B1073" s="42"/>
      <c r="C1073" s="43"/>
      <c r="D1073" s="43"/>
      <c r="E1073" s="43"/>
      <c r="F1073" s="43"/>
      <c r="G1073" s="43"/>
      <c r="H1073" s="246"/>
    </row>
    <row r="1074" spans="1:39" s="1" customFormat="1" ht="13.5" thickBot="1" x14ac:dyDescent="0.25">
      <c r="A1074" s="2"/>
      <c r="B1074" s="206"/>
      <c r="C1074" s="203"/>
      <c r="D1074" s="203"/>
      <c r="E1074" s="203"/>
      <c r="F1074" s="204"/>
      <c r="G1074" s="204"/>
      <c r="H1074" s="246"/>
    </row>
    <row r="1075" spans="1:39" s="1" customFormat="1" x14ac:dyDescent="0.2">
      <c r="A1075" s="2"/>
      <c r="B1075" s="42"/>
      <c r="C1075" s="43"/>
      <c r="D1075" s="43"/>
      <c r="E1075" s="43"/>
      <c r="F1075" s="43"/>
      <c r="G1075" s="43"/>
      <c r="H1075" s="246"/>
    </row>
    <row r="1076" spans="1:39" s="1" customFormat="1" x14ac:dyDescent="0.2">
      <c r="A1076" s="57"/>
      <c r="B1076" s="74" t="s">
        <v>644</v>
      </c>
      <c r="C1076" s="75"/>
      <c r="D1076" s="76"/>
      <c r="E1076" s="76"/>
      <c r="F1076" s="76"/>
      <c r="G1076" s="76"/>
      <c r="H1076" s="331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</row>
    <row r="1077" spans="1:39" s="1" customFormat="1" x14ac:dyDescent="0.2">
      <c r="A1077" s="57"/>
      <c r="B1077" s="74" t="s">
        <v>645</v>
      </c>
      <c r="C1077" s="78"/>
      <c r="D1077" s="76"/>
      <c r="E1077" s="76"/>
      <c r="F1077" s="76"/>
      <c r="G1077" s="76"/>
      <c r="H1077" s="331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</row>
    <row r="1078" spans="1:39" s="1" customFormat="1" x14ac:dyDescent="0.2">
      <c r="A1078" s="57"/>
      <c r="B1078" s="79" t="s">
        <v>646</v>
      </c>
      <c r="C1078" s="80"/>
      <c r="D1078" s="80"/>
      <c r="E1078" s="80"/>
      <c r="F1078" s="80"/>
      <c r="G1078" s="80"/>
      <c r="H1078" s="332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</row>
    <row r="1079" spans="1:39" s="1" customFormat="1" x14ac:dyDescent="0.2">
      <c r="A1079" s="57"/>
      <c r="B1079" s="48" t="s">
        <v>647</v>
      </c>
      <c r="C1079" s="76"/>
      <c r="D1079" s="76"/>
      <c r="E1079" s="76"/>
      <c r="F1079" s="76"/>
      <c r="G1079" s="76"/>
      <c r="H1079" s="333"/>
      <c r="I1079" s="82"/>
      <c r="J1079" s="82"/>
      <c r="K1079" s="82"/>
      <c r="L1079" s="82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</row>
    <row r="1080" spans="1:39" s="1" customFormat="1" x14ac:dyDescent="0.2">
      <c r="A1080" s="57"/>
      <c r="B1080" s="83" t="s">
        <v>648</v>
      </c>
      <c r="C1080" s="76"/>
      <c r="D1080" s="76"/>
      <c r="E1080" s="76"/>
      <c r="F1080" s="76"/>
      <c r="G1080" s="76"/>
      <c r="H1080" s="331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</row>
    <row r="1081" spans="1:39" s="1" customFormat="1" x14ac:dyDescent="0.2">
      <c r="A1081" s="57"/>
      <c r="B1081" s="48" t="s">
        <v>649</v>
      </c>
      <c r="C1081" s="75"/>
      <c r="D1081" s="76"/>
      <c r="E1081" s="76"/>
      <c r="F1081" s="76"/>
      <c r="G1081" s="76"/>
      <c r="H1081" s="331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</row>
    <row r="1082" spans="1:39" s="1" customFormat="1" x14ac:dyDescent="0.2">
      <c r="A1082" s="57"/>
      <c r="B1082" s="48"/>
      <c r="C1082" s="75"/>
      <c r="D1082" s="76"/>
      <c r="E1082" s="76"/>
      <c r="F1082" s="76"/>
      <c r="G1082" s="76"/>
      <c r="H1082" s="331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</row>
    <row r="1083" spans="1:39" s="1" customFormat="1" x14ac:dyDescent="0.2">
      <c r="A1083" s="57"/>
      <c r="B1083" s="48"/>
      <c r="C1083" s="76"/>
      <c r="D1083" s="76"/>
      <c r="E1083" s="76"/>
      <c r="F1083" s="76"/>
      <c r="G1083" s="76"/>
      <c r="H1083" s="331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</row>
    <row r="1084" spans="1:39" s="1" customFormat="1" x14ac:dyDescent="0.2">
      <c r="A1084" s="57"/>
      <c r="B1084" s="84" t="s">
        <v>650</v>
      </c>
      <c r="C1084" s="76"/>
      <c r="D1084" s="76"/>
      <c r="E1084" s="76"/>
      <c r="F1084" s="76"/>
      <c r="G1084" s="76"/>
      <c r="H1084" s="331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</row>
    <row r="1085" spans="1:39" s="1" customFormat="1" ht="13.5" thickBot="1" x14ac:dyDescent="0.25">
      <c r="A1085" s="57"/>
      <c r="B1085" s="48"/>
      <c r="C1085" s="76"/>
      <c r="D1085" s="76"/>
      <c r="E1085" s="76"/>
      <c r="F1085" s="76"/>
      <c r="G1085" s="76"/>
      <c r="H1085" s="331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</row>
    <row r="1086" spans="1:39" s="1" customFormat="1" ht="13.5" thickBot="1" x14ac:dyDescent="0.25">
      <c r="A1086" s="57"/>
      <c r="B1086" s="48" t="s">
        <v>651</v>
      </c>
      <c r="C1086" s="85"/>
      <c r="D1086" s="76"/>
      <c r="E1086" s="76"/>
      <c r="F1086" s="76"/>
      <c r="G1086" s="76"/>
      <c r="H1086" s="331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</row>
    <row r="1087" spans="1:39" s="1" customFormat="1" ht="13.5" thickBot="1" x14ac:dyDescent="0.25">
      <c r="A1087" s="57"/>
      <c r="B1087" s="48" t="s">
        <v>652</v>
      </c>
      <c r="C1087" s="85"/>
      <c r="D1087" s="76"/>
      <c r="E1087" s="76"/>
      <c r="F1087" s="76"/>
      <c r="G1087" s="76"/>
      <c r="H1087" s="331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</row>
    <row r="1088" spans="1:39" s="1" customFormat="1" x14ac:dyDescent="0.2">
      <c r="A1088" s="57"/>
      <c r="B1088" s="84" t="s">
        <v>653</v>
      </c>
      <c r="C1088" s="86"/>
      <c r="D1088" s="76"/>
      <c r="E1088" s="76"/>
      <c r="F1088" s="76"/>
      <c r="G1088" s="76"/>
      <c r="H1088" s="331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</row>
    <row r="1089" spans="1:239" s="16" customFormat="1" x14ac:dyDescent="0.2">
      <c r="A1089" s="57"/>
      <c r="B1089" s="87" t="s">
        <v>643</v>
      </c>
      <c r="C1089" s="88"/>
      <c r="D1089" s="76"/>
      <c r="E1089" s="76"/>
      <c r="F1089" s="76"/>
      <c r="G1089" s="76"/>
      <c r="H1089" s="331"/>
      <c r="I1089" s="77"/>
      <c r="J1089" s="77"/>
      <c r="K1089" s="77"/>
      <c r="L1089" s="77"/>
      <c r="M1089" s="77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9"/>
      <c r="AM1089" s="89"/>
    </row>
    <row r="1090" spans="1:239" s="16" customFormat="1" x14ac:dyDescent="0.2">
      <c r="A1090" s="57"/>
      <c r="B1090" s="48"/>
      <c r="C1090" s="76"/>
      <c r="D1090" s="76"/>
      <c r="E1090" s="76"/>
      <c r="F1090" s="76"/>
      <c r="G1090" s="76"/>
      <c r="H1090" s="331"/>
      <c r="I1090" s="77"/>
      <c r="J1090" s="77"/>
      <c r="K1090" s="77"/>
      <c r="L1090" s="77"/>
      <c r="M1090" s="77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  <c r="AL1090" s="89"/>
      <c r="AM1090" s="89"/>
    </row>
    <row r="1091" spans="1:239" s="16" customFormat="1" x14ac:dyDescent="0.2">
      <c r="A1091" s="57"/>
      <c r="B1091" s="83" t="s">
        <v>654</v>
      </c>
      <c r="C1091" s="76"/>
      <c r="D1091" s="76"/>
      <c r="E1091" s="76"/>
      <c r="F1091" s="76"/>
      <c r="G1091" s="76"/>
      <c r="H1091" s="331"/>
      <c r="I1091" s="77"/>
      <c r="J1091" s="77"/>
      <c r="K1091" s="77"/>
      <c r="L1091" s="77"/>
      <c r="M1091" s="77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  <c r="AL1091" s="89"/>
      <c r="AM1091" s="89"/>
    </row>
    <row r="1092" spans="1:239" s="16" customFormat="1" x14ac:dyDescent="0.2">
      <c r="A1092" s="57"/>
      <c r="B1092" s="48" t="s">
        <v>655</v>
      </c>
      <c r="C1092" s="75"/>
      <c r="D1092" s="75"/>
      <c r="E1092" s="75"/>
      <c r="F1092" s="75"/>
      <c r="G1092" s="75"/>
      <c r="H1092" s="334"/>
      <c r="I1092" s="90"/>
      <c r="J1092" s="90"/>
      <c r="K1092" s="90"/>
      <c r="L1092" s="90"/>
      <c r="M1092" s="91"/>
      <c r="N1092" s="91"/>
      <c r="O1092" s="91"/>
      <c r="P1092" s="91"/>
      <c r="Q1092" s="91"/>
      <c r="R1092" s="91"/>
      <c r="S1092" s="91"/>
      <c r="T1092" s="91"/>
      <c r="U1092" s="91"/>
      <c r="V1092" s="91"/>
      <c r="W1092" s="91"/>
      <c r="X1092" s="91"/>
      <c r="Y1092" s="92"/>
      <c r="Z1092" s="92"/>
      <c r="AA1092" s="92"/>
      <c r="AB1092" s="92"/>
      <c r="AC1092" s="92"/>
      <c r="AD1092" s="92"/>
      <c r="AE1092" s="92"/>
      <c r="AF1092" s="92"/>
      <c r="AG1092" s="92"/>
      <c r="AH1092" s="92"/>
      <c r="AI1092" s="92"/>
      <c r="AJ1092" s="92"/>
      <c r="AK1092" s="92"/>
      <c r="AL1092" s="92"/>
      <c r="AM1092" s="92"/>
      <c r="AN1092" s="70"/>
      <c r="AO1092" s="70"/>
      <c r="AP1092" s="70"/>
      <c r="AQ1092" s="70"/>
      <c r="AR1092" s="70"/>
      <c r="AS1092" s="70"/>
      <c r="AT1092" s="70"/>
      <c r="AU1092" s="70"/>
      <c r="AV1092" s="70"/>
      <c r="AW1092" s="70"/>
      <c r="AX1092" s="70"/>
      <c r="AY1092" s="70"/>
      <c r="AZ1092" s="70"/>
      <c r="BA1092" s="70"/>
      <c r="BB1092" s="70"/>
      <c r="BC1092" s="70"/>
      <c r="BD1092" s="70"/>
      <c r="BE1092" s="70"/>
      <c r="BF1092" s="70"/>
      <c r="BG1092" s="70"/>
      <c r="BH1092" s="70"/>
      <c r="BI1092" s="70"/>
      <c r="BJ1092" s="70"/>
      <c r="BK1092" s="70"/>
      <c r="BL1092" s="70"/>
      <c r="BM1092" s="70"/>
      <c r="BN1092" s="70"/>
      <c r="BO1092" s="70"/>
      <c r="BP1092" s="70"/>
      <c r="BQ1092" s="70"/>
      <c r="BR1092" s="70"/>
      <c r="BS1092" s="70"/>
      <c r="BT1092" s="70"/>
      <c r="BU1092" s="70"/>
      <c r="BV1092" s="70"/>
      <c r="BW1092" s="70"/>
      <c r="BX1092" s="70"/>
      <c r="BY1092" s="70"/>
      <c r="BZ1092" s="70"/>
      <c r="CA1092" s="70"/>
      <c r="CB1092" s="70"/>
      <c r="CC1092" s="70"/>
      <c r="CD1092" s="70"/>
      <c r="CE1092" s="70"/>
      <c r="CF1092" s="70"/>
      <c r="CG1092" s="70"/>
      <c r="CH1092" s="70"/>
      <c r="CI1092" s="70"/>
      <c r="CJ1092" s="70"/>
      <c r="CK1092" s="70"/>
      <c r="CL1092" s="70"/>
      <c r="CM1092" s="70"/>
      <c r="CN1092" s="70"/>
      <c r="CO1092" s="70"/>
      <c r="CP1092" s="70"/>
      <c r="CQ1092" s="70"/>
      <c r="CR1092" s="70"/>
      <c r="CS1092" s="70"/>
      <c r="CT1092" s="70"/>
      <c r="CU1092" s="70"/>
      <c r="CV1092" s="70"/>
      <c r="CW1092" s="70"/>
      <c r="CX1092" s="70"/>
      <c r="CY1092" s="70"/>
      <c r="CZ1092" s="70"/>
      <c r="DA1092" s="70"/>
      <c r="DB1092" s="70"/>
      <c r="DC1092" s="70"/>
      <c r="DD1092" s="70"/>
      <c r="DE1092" s="70"/>
      <c r="DF1092" s="70"/>
      <c r="DG1092" s="70"/>
      <c r="DH1092" s="70"/>
      <c r="DI1092" s="70"/>
      <c r="DJ1092" s="70"/>
      <c r="DK1092" s="70"/>
      <c r="DL1092" s="70"/>
      <c r="DM1092" s="70"/>
      <c r="DN1092" s="70"/>
      <c r="DO1092" s="70"/>
      <c r="DP1092" s="70"/>
      <c r="DQ1092" s="70"/>
      <c r="DR1092" s="70"/>
      <c r="DS1092" s="70"/>
      <c r="DT1092" s="70"/>
      <c r="DU1092" s="70"/>
      <c r="DV1092" s="70"/>
      <c r="DW1092" s="70"/>
      <c r="DX1092" s="70"/>
      <c r="DY1092" s="70"/>
      <c r="DZ1092" s="70"/>
      <c r="EA1092" s="70"/>
      <c r="EB1092" s="70"/>
      <c r="EC1092" s="70"/>
      <c r="ED1092" s="70"/>
      <c r="EE1092" s="70"/>
      <c r="EF1092" s="70"/>
      <c r="EG1092" s="70"/>
      <c r="EH1092" s="70"/>
      <c r="EI1092" s="70"/>
      <c r="EJ1092" s="70"/>
      <c r="EK1092" s="70"/>
      <c r="EL1092" s="70"/>
      <c r="EM1092" s="70"/>
      <c r="EN1092" s="70"/>
      <c r="EO1092" s="70"/>
      <c r="EP1092" s="70"/>
      <c r="EQ1092" s="70"/>
      <c r="ER1092" s="70"/>
      <c r="ES1092" s="70"/>
      <c r="ET1092" s="70"/>
      <c r="EU1092" s="70"/>
      <c r="EV1092" s="70"/>
      <c r="EW1092" s="70"/>
      <c r="EX1092" s="70"/>
      <c r="EY1092" s="70"/>
      <c r="EZ1092" s="70"/>
      <c r="FA1092" s="70"/>
      <c r="FB1092" s="70"/>
      <c r="FC1092" s="70"/>
      <c r="FD1092" s="70"/>
      <c r="FE1092" s="70"/>
      <c r="FF1092" s="70"/>
      <c r="FG1092" s="70"/>
      <c r="FH1092" s="70"/>
      <c r="FI1092" s="70"/>
      <c r="FJ1092" s="70"/>
      <c r="FK1092" s="70"/>
      <c r="FL1092" s="70"/>
      <c r="FM1092" s="70"/>
      <c r="FN1092" s="70"/>
      <c r="FO1092" s="70"/>
      <c r="FP1092" s="70"/>
      <c r="FQ1092" s="70"/>
      <c r="FR1092" s="70"/>
      <c r="FS1092" s="70"/>
      <c r="FT1092" s="70"/>
      <c r="FU1092" s="70"/>
      <c r="FV1092" s="70"/>
      <c r="FW1092" s="70"/>
      <c r="FX1092" s="70"/>
      <c r="FY1092" s="70"/>
      <c r="FZ1092" s="70"/>
      <c r="GA1092" s="70"/>
      <c r="GB1092" s="70"/>
      <c r="GC1092" s="70"/>
      <c r="GD1092" s="70"/>
      <c r="GE1092" s="70"/>
      <c r="GF1092" s="70"/>
      <c r="GG1092" s="70"/>
      <c r="GH1092" s="70"/>
      <c r="GI1092" s="70"/>
      <c r="GJ1092" s="70"/>
      <c r="GK1092" s="70"/>
      <c r="GL1092" s="70"/>
      <c r="GM1092" s="70"/>
      <c r="GN1092" s="70"/>
      <c r="GO1092" s="70"/>
      <c r="GP1092" s="70"/>
      <c r="GQ1092" s="70"/>
      <c r="GR1092" s="70"/>
      <c r="GS1092" s="70"/>
      <c r="GT1092" s="70"/>
      <c r="GU1092" s="70"/>
      <c r="GV1092" s="70"/>
      <c r="GW1092" s="70"/>
      <c r="GX1092" s="70"/>
      <c r="GY1092" s="70"/>
      <c r="GZ1092" s="70"/>
      <c r="HA1092" s="70"/>
      <c r="HB1092" s="70"/>
      <c r="HC1092" s="70"/>
      <c r="HD1092" s="70"/>
      <c r="HE1092" s="70"/>
      <c r="HF1092" s="70"/>
      <c r="HG1092" s="70"/>
      <c r="HH1092" s="70"/>
      <c r="HI1092" s="70"/>
      <c r="HJ1092" s="70"/>
      <c r="HK1092" s="70"/>
      <c r="HL1092" s="70"/>
      <c r="HM1092" s="70"/>
      <c r="HN1092" s="70"/>
      <c r="HO1092" s="70"/>
      <c r="HP1092" s="70"/>
      <c r="HQ1092" s="70"/>
      <c r="HR1092" s="70"/>
      <c r="HS1092" s="70"/>
      <c r="HT1092" s="70"/>
      <c r="HU1092" s="70"/>
      <c r="HV1092" s="70"/>
      <c r="HW1092" s="70"/>
      <c r="HX1092" s="70"/>
      <c r="HY1092" s="70"/>
      <c r="HZ1092" s="70"/>
      <c r="IA1092" s="70"/>
      <c r="IB1092" s="70"/>
      <c r="IC1092" s="70"/>
      <c r="ID1092" s="70"/>
      <c r="IE1092" s="70"/>
    </row>
    <row r="1093" spans="1:239" s="16" customFormat="1" x14ac:dyDescent="0.2">
      <c r="A1093" s="57"/>
      <c r="B1093" s="48" t="s">
        <v>656</v>
      </c>
      <c r="C1093" s="75"/>
      <c r="D1093" s="75"/>
      <c r="E1093" s="75"/>
      <c r="F1093" s="75"/>
      <c r="G1093" s="75"/>
      <c r="H1093" s="334"/>
      <c r="I1093" s="90"/>
      <c r="J1093" s="90"/>
      <c r="K1093" s="90"/>
      <c r="L1093" s="90"/>
      <c r="M1093" s="91"/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2"/>
      <c r="Z1093" s="92"/>
      <c r="AA1093" s="92"/>
      <c r="AB1093" s="92"/>
      <c r="AC1093" s="92"/>
      <c r="AD1093" s="92"/>
      <c r="AE1093" s="92"/>
      <c r="AF1093" s="92"/>
      <c r="AG1093" s="92"/>
      <c r="AH1093" s="92"/>
      <c r="AI1093" s="92"/>
      <c r="AJ1093" s="92"/>
      <c r="AK1093" s="92"/>
      <c r="AL1093" s="92"/>
      <c r="AM1093" s="92"/>
      <c r="AN1093" s="70"/>
      <c r="AO1093" s="70"/>
      <c r="AP1093" s="70"/>
      <c r="AQ1093" s="70"/>
      <c r="AR1093" s="70"/>
      <c r="AS1093" s="70"/>
      <c r="AT1093" s="70"/>
      <c r="AU1093" s="70"/>
      <c r="AV1093" s="70"/>
      <c r="AW1093" s="70"/>
      <c r="AX1093" s="70"/>
      <c r="AY1093" s="70"/>
      <c r="AZ1093" s="70"/>
      <c r="BA1093" s="70"/>
      <c r="BB1093" s="70"/>
      <c r="BC1093" s="70"/>
      <c r="BD1093" s="70"/>
      <c r="BE1093" s="70"/>
      <c r="BF1093" s="70"/>
      <c r="BG1093" s="70"/>
      <c r="BH1093" s="70"/>
      <c r="BI1093" s="70"/>
      <c r="BJ1093" s="70"/>
      <c r="BK1093" s="70"/>
      <c r="BL1093" s="70"/>
      <c r="BM1093" s="70"/>
      <c r="BN1093" s="70"/>
      <c r="BO1093" s="70"/>
      <c r="BP1093" s="70"/>
      <c r="BQ1093" s="70"/>
      <c r="BR1093" s="70"/>
      <c r="BS1093" s="70"/>
      <c r="BT1093" s="70"/>
      <c r="BU1093" s="70"/>
      <c r="BV1093" s="70"/>
      <c r="BW1093" s="70"/>
      <c r="BX1093" s="70"/>
      <c r="BY1093" s="70"/>
      <c r="BZ1093" s="70"/>
      <c r="CA1093" s="70"/>
      <c r="CB1093" s="70"/>
      <c r="CC1093" s="70"/>
      <c r="CD1093" s="70"/>
      <c r="CE1093" s="70"/>
      <c r="CF1093" s="70"/>
      <c r="CG1093" s="70"/>
      <c r="CH1093" s="70"/>
      <c r="CI1093" s="70"/>
      <c r="CJ1093" s="70"/>
      <c r="CK1093" s="70"/>
      <c r="CL1093" s="70"/>
      <c r="CM1093" s="70"/>
      <c r="CN1093" s="70"/>
      <c r="CO1093" s="70"/>
      <c r="CP1093" s="70"/>
      <c r="CQ1093" s="70"/>
      <c r="CR1093" s="70"/>
      <c r="CS1093" s="70"/>
      <c r="CT1093" s="70"/>
      <c r="CU1093" s="70"/>
      <c r="CV1093" s="70"/>
      <c r="CW1093" s="70"/>
      <c r="CX1093" s="70"/>
      <c r="CY1093" s="70"/>
      <c r="CZ1093" s="70"/>
      <c r="DA1093" s="70"/>
      <c r="DB1093" s="70"/>
      <c r="DC1093" s="70"/>
      <c r="DD1093" s="70"/>
      <c r="DE1093" s="70"/>
      <c r="DF1093" s="70"/>
      <c r="DG1093" s="70"/>
      <c r="DH1093" s="70"/>
      <c r="DI1093" s="70"/>
      <c r="DJ1093" s="70"/>
      <c r="DK1093" s="70"/>
      <c r="DL1093" s="70"/>
      <c r="DM1093" s="70"/>
      <c r="DN1093" s="70"/>
      <c r="DO1093" s="70"/>
      <c r="DP1093" s="70"/>
      <c r="DQ1093" s="70"/>
      <c r="DR1093" s="70"/>
      <c r="DS1093" s="70"/>
      <c r="DT1093" s="70"/>
      <c r="DU1093" s="70"/>
      <c r="DV1093" s="70"/>
      <c r="DW1093" s="70"/>
      <c r="DX1093" s="70"/>
      <c r="DY1093" s="70"/>
      <c r="DZ1093" s="70"/>
      <c r="EA1093" s="70"/>
      <c r="EB1093" s="70"/>
      <c r="EC1093" s="70"/>
      <c r="ED1093" s="70"/>
      <c r="EE1093" s="70"/>
      <c r="EF1093" s="70"/>
      <c r="EG1093" s="70"/>
      <c r="EH1093" s="70"/>
      <c r="EI1093" s="70"/>
      <c r="EJ1093" s="70"/>
      <c r="EK1093" s="70"/>
      <c r="EL1093" s="70"/>
      <c r="EM1093" s="70"/>
      <c r="EN1093" s="70"/>
      <c r="EO1093" s="70"/>
      <c r="EP1093" s="70"/>
      <c r="EQ1093" s="70"/>
      <c r="ER1093" s="70"/>
      <c r="ES1093" s="70"/>
      <c r="ET1093" s="70"/>
      <c r="EU1093" s="70"/>
      <c r="EV1093" s="70"/>
      <c r="EW1093" s="70"/>
      <c r="EX1093" s="70"/>
      <c r="EY1093" s="70"/>
      <c r="EZ1093" s="70"/>
      <c r="FA1093" s="70"/>
      <c r="FB1093" s="70"/>
      <c r="FC1093" s="70"/>
      <c r="FD1093" s="70"/>
      <c r="FE1093" s="70"/>
      <c r="FF1093" s="70"/>
      <c r="FG1093" s="70"/>
      <c r="FH1093" s="70"/>
      <c r="FI1093" s="70"/>
      <c r="FJ1093" s="70"/>
      <c r="FK1093" s="70"/>
      <c r="FL1093" s="70"/>
      <c r="FM1093" s="70"/>
      <c r="FN1093" s="70"/>
      <c r="FO1093" s="70"/>
      <c r="FP1093" s="70"/>
      <c r="FQ1093" s="70"/>
      <c r="FR1093" s="70"/>
      <c r="FS1093" s="70"/>
      <c r="FT1093" s="70"/>
      <c r="FU1093" s="70"/>
      <c r="FV1093" s="70"/>
      <c r="FW1093" s="70"/>
      <c r="FX1093" s="70"/>
      <c r="FY1093" s="70"/>
      <c r="FZ1093" s="70"/>
      <c r="GA1093" s="70"/>
      <c r="GB1093" s="70"/>
      <c r="GC1093" s="70"/>
      <c r="GD1093" s="70"/>
      <c r="GE1093" s="70"/>
      <c r="GF1093" s="70"/>
      <c r="GG1093" s="70"/>
      <c r="GH1093" s="70"/>
      <c r="GI1093" s="70"/>
      <c r="GJ1093" s="70"/>
      <c r="GK1093" s="70"/>
      <c r="GL1093" s="70"/>
      <c r="GM1093" s="70"/>
      <c r="GN1093" s="70"/>
      <c r="GO1093" s="70"/>
      <c r="GP1093" s="70"/>
      <c r="GQ1093" s="70"/>
      <c r="GR1093" s="70"/>
      <c r="GS1093" s="70"/>
      <c r="GT1093" s="70"/>
      <c r="GU1093" s="70"/>
      <c r="GV1093" s="70"/>
      <c r="GW1093" s="70"/>
      <c r="GX1093" s="70"/>
      <c r="GY1093" s="70"/>
      <c r="GZ1093" s="70"/>
      <c r="HA1093" s="70"/>
      <c r="HB1093" s="70"/>
      <c r="HC1093" s="70"/>
      <c r="HD1093" s="70"/>
      <c r="HE1093" s="70"/>
      <c r="HF1093" s="70"/>
      <c r="HG1093" s="70"/>
      <c r="HH1093" s="70"/>
      <c r="HI1093" s="70"/>
      <c r="HJ1093" s="70"/>
      <c r="HK1093" s="70"/>
      <c r="HL1093" s="70"/>
      <c r="HM1093" s="70"/>
      <c r="HN1093" s="70"/>
      <c r="HO1093" s="70"/>
      <c r="HP1093" s="70"/>
      <c r="HQ1093" s="70"/>
      <c r="HR1093" s="70"/>
      <c r="HS1093" s="70"/>
      <c r="HT1093" s="70"/>
      <c r="HU1093" s="70"/>
      <c r="HV1093" s="70"/>
      <c r="HW1093" s="70"/>
      <c r="HX1093" s="70"/>
      <c r="HY1093" s="70"/>
      <c r="HZ1093" s="70"/>
      <c r="IA1093" s="70"/>
      <c r="IB1093" s="70"/>
      <c r="IC1093" s="70"/>
      <c r="ID1093" s="70"/>
      <c r="IE1093" s="70"/>
    </row>
    <row r="1094" spans="1:239" s="70" customFormat="1" x14ac:dyDescent="0.2">
      <c r="A1094" s="57"/>
      <c r="B1094" s="48" t="s">
        <v>657</v>
      </c>
      <c r="C1094" s="75"/>
      <c r="D1094" s="75"/>
      <c r="E1094" s="75"/>
      <c r="F1094" s="75"/>
      <c r="G1094" s="75"/>
      <c r="H1094" s="334"/>
      <c r="I1094" s="90"/>
      <c r="J1094" s="90"/>
      <c r="K1094" s="90"/>
      <c r="L1094" s="90"/>
      <c r="M1094" s="91"/>
      <c r="N1094" s="91"/>
      <c r="O1094" s="91"/>
      <c r="P1094" s="91"/>
      <c r="Q1094" s="91"/>
      <c r="R1094" s="91"/>
      <c r="S1094" s="91"/>
      <c r="T1094" s="91"/>
      <c r="U1094" s="91"/>
      <c r="V1094" s="91"/>
      <c r="W1094" s="91"/>
      <c r="X1094" s="91"/>
      <c r="Y1094" s="92"/>
      <c r="Z1094" s="92"/>
      <c r="AA1094" s="92"/>
      <c r="AB1094" s="92"/>
      <c r="AC1094" s="92"/>
      <c r="AD1094" s="92"/>
      <c r="AE1094" s="92"/>
      <c r="AF1094" s="92"/>
      <c r="AG1094" s="92"/>
      <c r="AH1094" s="92"/>
      <c r="AI1094" s="92"/>
      <c r="AJ1094" s="92"/>
      <c r="AK1094" s="92"/>
      <c r="AL1094" s="92"/>
      <c r="AM1094" s="92"/>
    </row>
    <row r="1095" spans="1:239" s="16" customFormat="1" x14ac:dyDescent="0.2">
      <c r="A1095" s="57"/>
      <c r="B1095" s="84" t="s">
        <v>658</v>
      </c>
      <c r="C1095" s="86"/>
      <c r="D1095" s="86"/>
      <c r="E1095" s="86"/>
      <c r="F1095" s="86"/>
      <c r="G1095" s="86"/>
      <c r="H1095" s="335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  <c r="AL1095" s="89"/>
      <c r="AM1095" s="89"/>
    </row>
    <row r="1096" spans="1:239" s="70" customFormat="1" x14ac:dyDescent="0.2">
      <c r="A1096" s="57"/>
      <c r="B1096" s="48" t="s">
        <v>659</v>
      </c>
      <c r="C1096" s="75"/>
      <c r="D1096" s="75"/>
      <c r="E1096" s="75"/>
      <c r="F1096" s="75"/>
      <c r="G1096" s="75"/>
      <c r="H1096" s="334"/>
      <c r="I1096" s="90"/>
      <c r="J1096" s="90"/>
      <c r="K1096" s="90"/>
      <c r="L1096" s="90"/>
      <c r="M1096" s="91"/>
      <c r="N1096" s="91"/>
      <c r="O1096" s="91"/>
      <c r="P1096" s="91"/>
      <c r="Q1096" s="91"/>
      <c r="R1096" s="91"/>
      <c r="S1096" s="91"/>
      <c r="T1096" s="91"/>
      <c r="U1096" s="91"/>
      <c r="V1096" s="91"/>
      <c r="W1096" s="91"/>
      <c r="X1096" s="91"/>
      <c r="Y1096" s="92"/>
      <c r="Z1096" s="92"/>
      <c r="AA1096" s="92"/>
      <c r="AB1096" s="92"/>
      <c r="AC1096" s="92"/>
      <c r="AD1096" s="92"/>
      <c r="AE1096" s="92"/>
      <c r="AF1096" s="92"/>
      <c r="AG1096" s="92"/>
      <c r="AH1096" s="92"/>
      <c r="AI1096" s="92"/>
      <c r="AJ1096" s="92"/>
      <c r="AK1096" s="92"/>
      <c r="AL1096" s="92"/>
      <c r="AM1096" s="92"/>
    </row>
    <row r="1097" spans="1:239" s="1" customFormat="1" x14ac:dyDescent="0.2">
      <c r="A1097" s="57"/>
      <c r="B1097" s="48" t="s">
        <v>660</v>
      </c>
      <c r="C1097" s="76"/>
      <c r="D1097" s="76"/>
      <c r="E1097" s="76"/>
      <c r="F1097" s="76"/>
      <c r="G1097" s="76"/>
      <c r="H1097" s="331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</row>
    <row r="1098" spans="1:239" s="1" customFormat="1" x14ac:dyDescent="0.2">
      <c r="A1098" s="57"/>
      <c r="B1098" s="84" t="s">
        <v>661</v>
      </c>
      <c r="C1098" s="86"/>
      <c r="D1098" s="86"/>
      <c r="E1098" s="86"/>
      <c r="F1098" s="86"/>
      <c r="G1098" s="86"/>
      <c r="H1098" s="335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</row>
    <row r="1099" spans="1:239" s="1" customFormat="1" x14ac:dyDescent="0.2">
      <c r="A1099" s="57"/>
      <c r="B1099" s="48"/>
      <c r="C1099" s="76"/>
      <c r="D1099" s="76"/>
      <c r="E1099" s="76"/>
      <c r="F1099" s="76"/>
      <c r="G1099" s="76"/>
      <c r="H1099" s="331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</row>
    <row r="1100" spans="1:239" s="95" customFormat="1" x14ac:dyDescent="0.2">
      <c r="A1100" s="57"/>
      <c r="B1100" s="48" t="s">
        <v>662</v>
      </c>
      <c r="C1100" s="75"/>
      <c r="D1100" s="75"/>
      <c r="E1100" s="75"/>
      <c r="F1100" s="75"/>
      <c r="G1100" s="75"/>
      <c r="H1100" s="334"/>
      <c r="I1100" s="90"/>
      <c r="J1100" s="90"/>
      <c r="K1100" s="90"/>
      <c r="L1100" s="90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4"/>
      <c r="Z1100" s="94"/>
      <c r="AA1100" s="94"/>
      <c r="AB1100" s="94"/>
      <c r="AC1100" s="94"/>
      <c r="AD1100" s="94"/>
      <c r="AE1100" s="94"/>
      <c r="AF1100" s="94"/>
      <c r="AG1100" s="94"/>
      <c r="AH1100" s="94"/>
      <c r="AI1100" s="94"/>
      <c r="AJ1100" s="94"/>
      <c r="AK1100" s="94"/>
      <c r="AL1100" s="94"/>
      <c r="AM1100" s="94"/>
    </row>
    <row r="1101" spans="1:239" s="1" customFormat="1" x14ac:dyDescent="0.2">
      <c r="A1101" s="57"/>
      <c r="B1101" s="48"/>
      <c r="C1101" s="76"/>
      <c r="D1101" s="76"/>
      <c r="E1101" s="76"/>
      <c r="F1101" s="76"/>
      <c r="G1101" s="76"/>
      <c r="H1101" s="331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</row>
    <row r="1102" spans="1:239" s="1" customFormat="1" x14ac:dyDescent="0.2">
      <c r="A1102" s="57"/>
      <c r="B1102" s="84" t="s">
        <v>663</v>
      </c>
      <c r="C1102" s="86"/>
      <c r="D1102" s="86"/>
      <c r="E1102" s="86"/>
      <c r="F1102" s="86"/>
      <c r="G1102" s="86"/>
      <c r="H1102" s="335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</row>
    <row r="1103" spans="1:239" s="1" customFormat="1" x14ac:dyDescent="0.2">
      <c r="A1103" s="57"/>
      <c r="B1103" s="48"/>
      <c r="C1103" s="76"/>
      <c r="D1103" s="76"/>
      <c r="E1103" s="76"/>
      <c r="F1103" s="76"/>
      <c r="G1103" s="76"/>
      <c r="H1103" s="331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</row>
    <row r="1104" spans="1:239" s="1" customFormat="1" x14ac:dyDescent="0.2">
      <c r="A1104" s="57"/>
      <c r="B1104" s="48"/>
      <c r="C1104" s="76"/>
      <c r="D1104" s="76"/>
      <c r="E1104" s="76"/>
      <c r="F1104" s="76"/>
      <c r="G1104" s="76"/>
      <c r="H1104" s="331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</row>
    <row r="1105" spans="1:39" s="95" customFormat="1" x14ac:dyDescent="0.2">
      <c r="A1105" s="57"/>
      <c r="B1105" s="48" t="s">
        <v>664</v>
      </c>
      <c r="C1105" s="75"/>
      <c r="D1105" s="75"/>
      <c r="E1105" s="75"/>
      <c r="F1105" s="75"/>
      <c r="G1105" s="75"/>
      <c r="H1105" s="334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4"/>
      <c r="Z1105" s="94"/>
      <c r="AA1105" s="94"/>
      <c r="AB1105" s="94"/>
      <c r="AC1105" s="94"/>
      <c r="AD1105" s="94"/>
      <c r="AE1105" s="94"/>
      <c r="AF1105" s="94"/>
      <c r="AG1105" s="94"/>
      <c r="AH1105" s="94"/>
      <c r="AI1105" s="94"/>
      <c r="AJ1105" s="94"/>
      <c r="AK1105" s="94"/>
      <c r="AL1105" s="94"/>
      <c r="AM1105" s="94"/>
    </row>
    <row r="1106" spans="1:39" s="95" customFormat="1" ht="25.5" x14ac:dyDescent="0.2">
      <c r="A1106" s="57"/>
      <c r="B1106" s="48" t="s">
        <v>665</v>
      </c>
      <c r="C1106" s="75"/>
      <c r="D1106" s="75"/>
      <c r="E1106" s="75"/>
      <c r="F1106" s="75"/>
      <c r="G1106" s="75"/>
      <c r="H1106" s="334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4"/>
      <c r="Z1106" s="94"/>
      <c r="AA1106" s="94"/>
      <c r="AB1106" s="94"/>
      <c r="AC1106" s="94"/>
      <c r="AD1106" s="94"/>
      <c r="AE1106" s="94"/>
      <c r="AF1106" s="94"/>
      <c r="AG1106" s="94"/>
      <c r="AH1106" s="94"/>
      <c r="AI1106" s="94"/>
      <c r="AJ1106" s="94"/>
      <c r="AK1106" s="94"/>
      <c r="AL1106" s="94"/>
      <c r="AM1106" s="94"/>
    </row>
    <row r="1107" spans="1:39" s="95" customFormat="1" ht="25.5" x14ac:dyDescent="0.2">
      <c r="A1107" s="57"/>
      <c r="B1107" s="48" t="s">
        <v>666</v>
      </c>
      <c r="C1107" s="75"/>
      <c r="D1107" s="75"/>
      <c r="E1107" s="75"/>
      <c r="F1107" s="75"/>
      <c r="G1107" s="75"/>
      <c r="H1107" s="334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4"/>
      <c r="Z1107" s="94"/>
      <c r="AA1107" s="94"/>
      <c r="AB1107" s="94"/>
      <c r="AC1107" s="94"/>
      <c r="AD1107" s="94"/>
      <c r="AE1107" s="94"/>
      <c r="AF1107" s="94"/>
      <c r="AG1107" s="94"/>
      <c r="AH1107" s="94"/>
      <c r="AI1107" s="94"/>
      <c r="AJ1107" s="94"/>
      <c r="AK1107" s="94"/>
      <c r="AL1107" s="94"/>
      <c r="AM1107" s="94"/>
    </row>
    <row r="1108" spans="1:39" s="95" customFormat="1" x14ac:dyDescent="0.2">
      <c r="A1108" s="57"/>
      <c r="B1108" s="48" t="s">
        <v>667</v>
      </c>
      <c r="C1108" s="75"/>
      <c r="D1108" s="75"/>
      <c r="E1108" s="75"/>
      <c r="F1108" s="75"/>
      <c r="G1108" s="75"/>
      <c r="H1108" s="334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4"/>
      <c r="Z1108" s="94"/>
      <c r="AA1108" s="94"/>
      <c r="AB1108" s="94"/>
      <c r="AC1108" s="94"/>
      <c r="AD1108" s="94"/>
      <c r="AE1108" s="94"/>
      <c r="AF1108" s="94"/>
      <c r="AG1108" s="94"/>
      <c r="AH1108" s="94"/>
      <c r="AI1108" s="94"/>
      <c r="AJ1108" s="94"/>
      <c r="AK1108" s="94"/>
      <c r="AL1108" s="94"/>
      <c r="AM1108" s="94"/>
    </row>
    <row r="1109" spans="1:39" s="95" customFormat="1" x14ac:dyDescent="0.2">
      <c r="A1109" s="57"/>
      <c r="B1109" s="48" t="s">
        <v>668</v>
      </c>
      <c r="C1109" s="96"/>
      <c r="D1109" s="96"/>
      <c r="E1109" s="96"/>
      <c r="F1109" s="96"/>
      <c r="G1109" s="96"/>
      <c r="H1109" s="336"/>
      <c r="I1109" s="94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  <c r="X1109" s="94"/>
      <c r="Y1109" s="94"/>
      <c r="Z1109" s="94"/>
      <c r="AA1109" s="94"/>
      <c r="AB1109" s="94"/>
      <c r="AC1109" s="94"/>
      <c r="AD1109" s="94"/>
      <c r="AE1109" s="94"/>
      <c r="AF1109" s="94"/>
      <c r="AG1109" s="94"/>
      <c r="AH1109" s="94"/>
      <c r="AI1109" s="94"/>
      <c r="AJ1109" s="94"/>
      <c r="AK1109" s="94"/>
      <c r="AL1109" s="94"/>
      <c r="AM1109" s="94"/>
    </row>
    <row r="1110" spans="1:39" s="95" customFormat="1" x14ac:dyDescent="0.2">
      <c r="A1110" s="57"/>
      <c r="B1110" s="48" t="s">
        <v>669</v>
      </c>
      <c r="C1110" s="75"/>
      <c r="D1110" s="75"/>
      <c r="E1110" s="75"/>
      <c r="F1110" s="75"/>
      <c r="G1110" s="75"/>
      <c r="H1110" s="334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4"/>
      <c r="Z1110" s="94"/>
      <c r="AA1110" s="94"/>
      <c r="AB1110" s="94"/>
      <c r="AC1110" s="94"/>
      <c r="AD1110" s="94"/>
      <c r="AE1110" s="94"/>
      <c r="AF1110" s="94"/>
      <c r="AG1110" s="94"/>
      <c r="AH1110" s="94"/>
      <c r="AI1110" s="94"/>
      <c r="AJ1110" s="94"/>
      <c r="AK1110" s="94"/>
      <c r="AL1110" s="94"/>
      <c r="AM1110" s="94"/>
    </row>
    <row r="1111" spans="1:39" s="1" customFormat="1" x14ac:dyDescent="0.2">
      <c r="A1111" s="57"/>
      <c r="B1111" s="84" t="s">
        <v>670</v>
      </c>
      <c r="C1111" s="86"/>
      <c r="D1111" s="86"/>
      <c r="E1111" s="86"/>
      <c r="F1111" s="86"/>
      <c r="G1111" s="86"/>
      <c r="H1111" s="335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</row>
    <row r="1112" spans="1:39" s="1" customFormat="1" x14ac:dyDescent="0.2">
      <c r="A1112" s="57"/>
      <c r="B1112" s="84" t="s">
        <v>671</v>
      </c>
      <c r="C1112" s="86"/>
      <c r="D1112" s="86"/>
      <c r="E1112" s="86"/>
      <c r="F1112" s="86"/>
      <c r="G1112" s="86"/>
      <c r="H1112" s="335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</row>
    <row r="1113" spans="1:39" s="1" customFormat="1" x14ac:dyDescent="0.2">
      <c r="A1113" s="57"/>
      <c r="B1113" s="84"/>
      <c r="C1113" s="86"/>
      <c r="D1113" s="86"/>
      <c r="E1113" s="86"/>
      <c r="F1113" s="86"/>
      <c r="G1113" s="86"/>
      <c r="H1113" s="335"/>
      <c r="I1113" s="93"/>
      <c r="J1113" s="93"/>
      <c r="K1113" s="93"/>
      <c r="L1113" s="93"/>
      <c r="M1113" s="93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</row>
    <row r="1114" spans="1:39" s="95" customFormat="1" x14ac:dyDescent="0.2">
      <c r="A1114" s="57"/>
      <c r="B1114" s="48" t="s">
        <v>672</v>
      </c>
      <c r="C1114" s="75"/>
      <c r="D1114" s="75"/>
      <c r="E1114" s="75"/>
      <c r="F1114" s="75"/>
      <c r="G1114" s="75"/>
      <c r="H1114" s="334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4"/>
      <c r="Z1114" s="94"/>
      <c r="AA1114" s="94"/>
      <c r="AB1114" s="94"/>
      <c r="AC1114" s="94"/>
      <c r="AD1114" s="94"/>
      <c r="AE1114" s="94"/>
      <c r="AF1114" s="94"/>
      <c r="AG1114" s="94"/>
      <c r="AH1114" s="94"/>
      <c r="AI1114" s="94"/>
      <c r="AJ1114" s="94"/>
      <c r="AK1114" s="94"/>
      <c r="AL1114" s="94"/>
      <c r="AM1114" s="94"/>
    </row>
    <row r="1115" spans="1:39" s="95" customFormat="1" x14ac:dyDescent="0.2">
      <c r="A1115" s="57"/>
      <c r="B1115" s="84" t="s">
        <v>572</v>
      </c>
      <c r="C1115" s="88"/>
      <c r="D1115" s="88"/>
      <c r="E1115" s="88"/>
      <c r="F1115" s="88"/>
      <c r="G1115" s="88"/>
      <c r="H1115" s="33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4"/>
      <c r="Z1115" s="94"/>
      <c r="AA1115" s="94"/>
      <c r="AB1115" s="94"/>
      <c r="AC1115" s="94"/>
      <c r="AD1115" s="94"/>
      <c r="AE1115" s="94"/>
      <c r="AF1115" s="94"/>
      <c r="AG1115" s="94"/>
      <c r="AH1115" s="94"/>
      <c r="AI1115" s="94"/>
      <c r="AJ1115" s="94"/>
      <c r="AK1115" s="94"/>
      <c r="AL1115" s="94"/>
      <c r="AM1115" s="94"/>
    </row>
    <row r="1116" spans="1:39" s="95" customFormat="1" x14ac:dyDescent="0.2">
      <c r="A1116" s="57"/>
      <c r="B1116" s="84" t="s">
        <v>673</v>
      </c>
      <c r="C1116" s="88"/>
      <c r="D1116" s="88"/>
      <c r="E1116" s="88"/>
      <c r="F1116" s="88"/>
      <c r="G1116" s="88"/>
      <c r="H1116" s="33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4"/>
      <c r="Z1116" s="94"/>
      <c r="AA1116" s="94"/>
      <c r="AB1116" s="94"/>
      <c r="AC1116" s="94"/>
      <c r="AD1116" s="94"/>
      <c r="AE1116" s="94"/>
      <c r="AF1116" s="94"/>
      <c r="AG1116" s="94"/>
      <c r="AH1116" s="94"/>
      <c r="AI1116" s="94"/>
      <c r="AJ1116" s="94"/>
      <c r="AK1116" s="94"/>
      <c r="AL1116" s="94"/>
      <c r="AM1116" s="94"/>
    </row>
    <row r="1117" spans="1:39" s="95" customFormat="1" x14ac:dyDescent="0.2">
      <c r="A1117" s="57"/>
      <c r="B1117" s="84"/>
      <c r="C1117" s="88"/>
      <c r="D1117" s="88"/>
      <c r="E1117" s="88"/>
      <c r="F1117" s="88"/>
      <c r="G1117" s="88"/>
      <c r="H1117" s="337"/>
      <c r="I1117" s="97"/>
      <c r="J1117" s="97"/>
      <c r="K1117" s="97"/>
      <c r="L1117" s="97"/>
      <c r="M1117" s="97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  <c r="X1117" s="94"/>
      <c r="Y1117" s="94"/>
      <c r="Z1117" s="94"/>
      <c r="AA1117" s="94"/>
      <c r="AB1117" s="94"/>
      <c r="AC1117" s="94"/>
      <c r="AD1117" s="94"/>
      <c r="AE1117" s="94"/>
      <c r="AF1117" s="94"/>
      <c r="AG1117" s="94"/>
      <c r="AH1117" s="94"/>
      <c r="AI1117" s="94"/>
      <c r="AJ1117" s="94"/>
      <c r="AK1117" s="94"/>
      <c r="AL1117" s="94"/>
      <c r="AM1117" s="94"/>
    </row>
    <row r="1118" spans="1:39" s="95" customFormat="1" x14ac:dyDescent="0.2">
      <c r="A1118" s="57"/>
      <c r="B1118" s="48"/>
      <c r="C1118" s="96"/>
      <c r="D1118" s="96"/>
      <c r="E1118" s="96"/>
      <c r="F1118" s="96"/>
      <c r="G1118" s="96"/>
      <c r="H1118" s="336"/>
      <c r="I1118" s="94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  <c r="X1118" s="94"/>
      <c r="Y1118" s="94"/>
      <c r="Z1118" s="94"/>
      <c r="AA1118" s="94"/>
      <c r="AB1118" s="94"/>
      <c r="AC1118" s="94"/>
      <c r="AD1118" s="94"/>
      <c r="AE1118" s="94"/>
      <c r="AF1118" s="94"/>
      <c r="AG1118" s="94"/>
      <c r="AH1118" s="94"/>
      <c r="AI1118" s="94"/>
      <c r="AJ1118" s="94"/>
      <c r="AK1118" s="94"/>
      <c r="AL1118" s="94"/>
      <c r="AM1118" s="94"/>
    </row>
    <row r="1119" spans="1:39" s="95" customFormat="1" x14ac:dyDescent="0.2">
      <c r="A1119" s="57"/>
      <c r="B1119" s="48" t="s">
        <v>674</v>
      </c>
      <c r="C1119" s="75"/>
      <c r="D1119" s="75"/>
      <c r="E1119" s="75"/>
      <c r="F1119" s="75"/>
      <c r="G1119" s="75"/>
      <c r="H1119" s="334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4"/>
      <c r="Z1119" s="94"/>
      <c r="AA1119" s="94"/>
      <c r="AB1119" s="94"/>
      <c r="AC1119" s="94"/>
      <c r="AD1119" s="94"/>
      <c r="AE1119" s="94"/>
      <c r="AF1119" s="94"/>
      <c r="AG1119" s="94"/>
      <c r="AH1119" s="94"/>
      <c r="AI1119" s="94"/>
      <c r="AJ1119" s="94"/>
      <c r="AK1119" s="94"/>
      <c r="AL1119" s="94"/>
      <c r="AM1119" s="94"/>
    </row>
    <row r="1120" spans="1:39" s="1" customFormat="1" x14ac:dyDescent="0.2">
      <c r="A1120" s="57"/>
      <c r="B1120" s="48"/>
      <c r="C1120" s="76"/>
      <c r="D1120" s="76"/>
      <c r="E1120" s="76"/>
      <c r="F1120" s="76"/>
      <c r="G1120" s="76"/>
      <c r="H1120" s="331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</row>
    <row r="1121" spans="1:39" s="1" customFormat="1" x14ac:dyDescent="0.2">
      <c r="A1121" s="57"/>
      <c r="B1121" s="48"/>
      <c r="C1121" s="76"/>
      <c r="D1121" s="76"/>
      <c r="E1121" s="76"/>
      <c r="F1121" s="76"/>
      <c r="G1121" s="76"/>
      <c r="H1121" s="331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</row>
    <row r="1122" spans="1:39" s="1" customFormat="1" x14ac:dyDescent="0.2">
      <c r="A1122" s="57"/>
      <c r="B1122" s="83" t="s">
        <v>675</v>
      </c>
      <c r="C1122" s="98"/>
      <c r="D1122" s="98"/>
      <c r="E1122" s="98"/>
      <c r="F1122" s="98"/>
      <c r="G1122" s="98"/>
      <c r="H1122" s="338"/>
      <c r="I1122" s="99"/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</row>
    <row r="1123" spans="1:39" s="1" customFormat="1" ht="25.5" x14ac:dyDescent="0.2">
      <c r="A1123" s="57"/>
      <c r="B1123" s="83" t="s">
        <v>676</v>
      </c>
      <c r="C1123" s="98"/>
      <c r="D1123" s="98"/>
      <c r="E1123" s="98"/>
      <c r="F1123" s="98"/>
      <c r="G1123" s="98"/>
      <c r="H1123" s="338"/>
      <c r="I1123" s="99"/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</row>
    <row r="1124" spans="1:39" s="1" customFormat="1" x14ac:dyDescent="0.2">
      <c r="A1124" s="57"/>
      <c r="B1124" s="83"/>
      <c r="C1124" s="98"/>
      <c r="D1124" s="98"/>
      <c r="E1124" s="98"/>
      <c r="F1124" s="98"/>
      <c r="G1124" s="98"/>
      <c r="H1124" s="338"/>
      <c r="I1124" s="99"/>
      <c r="J1124" s="99"/>
      <c r="K1124" s="99"/>
      <c r="L1124" s="99"/>
      <c r="M1124" s="99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</row>
    <row r="1125" spans="1:39" s="1" customFormat="1" x14ac:dyDescent="0.2">
      <c r="A1125" s="57"/>
      <c r="B1125" s="83" t="s">
        <v>677</v>
      </c>
      <c r="C1125" s="98"/>
      <c r="D1125" s="98"/>
      <c r="E1125" s="98"/>
      <c r="F1125" s="98"/>
      <c r="G1125" s="98"/>
      <c r="H1125" s="338"/>
      <c r="I1125" s="99"/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</row>
    <row r="1126" spans="1:39" s="1" customFormat="1" x14ac:dyDescent="0.2">
      <c r="A1126" s="57"/>
      <c r="B1126" s="83" t="s">
        <v>678</v>
      </c>
      <c r="C1126" s="98"/>
      <c r="D1126" s="98"/>
      <c r="E1126" s="98"/>
      <c r="F1126" s="98"/>
      <c r="G1126" s="98"/>
      <c r="H1126" s="339"/>
      <c r="I1126" s="100"/>
      <c r="J1126" s="100"/>
      <c r="K1126" s="100"/>
      <c r="L1126" s="100"/>
      <c r="M1126" s="100"/>
      <c r="N1126" s="100"/>
      <c r="O1126" s="100"/>
      <c r="P1126" s="100"/>
      <c r="Q1126" s="100"/>
      <c r="R1126" s="100"/>
      <c r="S1126" s="100"/>
      <c r="T1126" s="100"/>
      <c r="U1126" s="100"/>
      <c r="V1126" s="100"/>
      <c r="W1126" s="100"/>
      <c r="X1126" s="100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</row>
    <row r="1127" spans="1:39" s="1" customFormat="1" x14ac:dyDescent="0.2">
      <c r="A1127" s="57"/>
      <c r="B1127" s="48"/>
      <c r="C1127" s="76"/>
      <c r="D1127" s="76"/>
      <c r="E1127" s="76"/>
      <c r="F1127" s="76"/>
      <c r="G1127" s="76"/>
      <c r="H1127" s="331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</row>
    <row r="1128" spans="1:39" s="1" customFormat="1" x14ac:dyDescent="0.2">
      <c r="A1128" s="57"/>
      <c r="B1128" s="83" t="s">
        <v>679</v>
      </c>
      <c r="C1128" s="98"/>
      <c r="D1128" s="98"/>
      <c r="E1128" s="98"/>
      <c r="F1128" s="98"/>
      <c r="G1128" s="98"/>
      <c r="H1128" s="339"/>
      <c r="I1128" s="100"/>
      <c r="J1128" s="100"/>
      <c r="K1128" s="100"/>
      <c r="L1128" s="100"/>
      <c r="M1128" s="100"/>
      <c r="N1128" s="100"/>
      <c r="O1128" s="100"/>
      <c r="P1128" s="100"/>
      <c r="Q1128" s="100"/>
      <c r="R1128" s="100"/>
      <c r="S1128" s="100"/>
      <c r="T1128" s="100"/>
      <c r="U1128" s="100"/>
      <c r="V1128" s="100"/>
      <c r="W1128" s="100"/>
      <c r="X1128" s="100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</row>
    <row r="1129" spans="1:39" s="1" customFormat="1" x14ac:dyDescent="0.2">
      <c r="A1129" s="57"/>
      <c r="B1129" s="83"/>
      <c r="C1129" s="98"/>
      <c r="D1129" s="98"/>
      <c r="E1129" s="98"/>
      <c r="F1129" s="98"/>
      <c r="G1129" s="98"/>
      <c r="H1129" s="339"/>
      <c r="I1129" s="100"/>
      <c r="J1129" s="100"/>
      <c r="K1129" s="100"/>
      <c r="L1129" s="100"/>
      <c r="M1129" s="100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</row>
    <row r="1130" spans="1:39" s="1" customFormat="1" ht="25.5" x14ac:dyDescent="0.2">
      <c r="A1130" s="57"/>
      <c r="B1130" s="48" t="s">
        <v>680</v>
      </c>
      <c r="C1130" s="75"/>
      <c r="D1130" s="98"/>
      <c r="E1130" s="98"/>
      <c r="F1130" s="98"/>
      <c r="G1130" s="98"/>
      <c r="H1130" s="339"/>
      <c r="I1130" s="100"/>
      <c r="J1130" s="100"/>
      <c r="K1130" s="100"/>
      <c r="L1130" s="100"/>
      <c r="M1130" s="100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</row>
    <row r="1131" spans="1:39" s="1" customFormat="1" x14ac:dyDescent="0.2">
      <c r="A1131" s="57"/>
      <c r="B1131" s="48"/>
      <c r="C1131" s="98"/>
      <c r="D1131" s="98"/>
      <c r="E1131" s="98"/>
      <c r="F1131" s="98"/>
      <c r="G1131" s="98"/>
      <c r="H1131" s="339"/>
      <c r="I1131" s="100"/>
      <c r="J1131" s="100"/>
      <c r="K1131" s="100"/>
      <c r="L1131" s="100"/>
      <c r="M1131" s="100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</row>
    <row r="1132" spans="1:39" s="1" customFormat="1" x14ac:dyDescent="0.2">
      <c r="A1132" s="57"/>
      <c r="B1132" s="74" t="s">
        <v>681</v>
      </c>
      <c r="C1132" s="80"/>
      <c r="D1132" s="80"/>
      <c r="E1132" s="80"/>
      <c r="F1132" s="80"/>
      <c r="G1132" s="80"/>
      <c r="H1132" s="332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</row>
    <row r="1133" spans="1:39" s="1" customFormat="1" x14ac:dyDescent="0.2">
      <c r="A1133" s="57"/>
      <c r="B1133" s="83"/>
      <c r="C1133" s="98"/>
      <c r="D1133" s="98"/>
      <c r="E1133" s="98"/>
      <c r="F1133" s="98"/>
      <c r="G1133" s="98"/>
      <c r="H1133" s="339"/>
      <c r="I1133" s="100"/>
      <c r="J1133" s="100"/>
      <c r="K1133" s="100"/>
      <c r="L1133" s="100"/>
      <c r="M1133" s="100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</row>
    <row r="1134" spans="1:39" s="1" customFormat="1" x14ac:dyDescent="0.2">
      <c r="A1134" s="57"/>
      <c r="B1134" s="83" t="s">
        <v>682</v>
      </c>
      <c r="C1134" s="98"/>
      <c r="D1134" s="98"/>
      <c r="E1134" s="98"/>
      <c r="F1134" s="98"/>
      <c r="G1134" s="98"/>
      <c r="H1134" s="339"/>
      <c r="I1134" s="100"/>
      <c r="J1134" s="100"/>
      <c r="K1134" s="100"/>
      <c r="L1134" s="100"/>
      <c r="M1134" s="100"/>
      <c r="N1134" s="100"/>
      <c r="O1134" s="100"/>
      <c r="P1134" s="100"/>
      <c r="Q1134" s="100"/>
      <c r="R1134" s="100"/>
      <c r="S1134" s="100"/>
      <c r="T1134" s="100"/>
      <c r="U1134" s="100"/>
      <c r="V1134" s="100"/>
      <c r="W1134" s="100"/>
      <c r="X1134" s="100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</row>
    <row r="1135" spans="1:39" s="1" customFormat="1" x14ac:dyDescent="0.2">
      <c r="A1135" s="57"/>
      <c r="B1135" s="83"/>
      <c r="C1135" s="98"/>
      <c r="D1135" s="98"/>
      <c r="E1135" s="98"/>
      <c r="F1135" s="98"/>
      <c r="G1135" s="98"/>
      <c r="H1135" s="339"/>
      <c r="I1135" s="100"/>
      <c r="J1135" s="100"/>
      <c r="K1135" s="100"/>
      <c r="L1135" s="100"/>
      <c r="M1135" s="100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</row>
    <row r="1136" spans="1:39" s="1" customFormat="1" x14ac:dyDescent="0.2">
      <c r="A1136" s="57"/>
      <c r="B1136" s="87" t="s">
        <v>683</v>
      </c>
      <c r="C1136" s="96"/>
      <c r="D1136" s="76"/>
      <c r="E1136" s="76"/>
      <c r="F1136" s="76"/>
      <c r="G1136" s="76"/>
      <c r="H1136" s="331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</row>
    <row r="1137" spans="1:39" s="1" customFormat="1" x14ac:dyDescent="0.2">
      <c r="A1137" s="57"/>
      <c r="B1137" s="101"/>
      <c r="C1137" s="96"/>
      <c r="D1137" s="76"/>
      <c r="E1137" s="76"/>
      <c r="F1137" s="76"/>
      <c r="G1137" s="76"/>
      <c r="H1137" s="331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</row>
    <row r="1138" spans="1:39" s="1" customFormat="1" x14ac:dyDescent="0.2">
      <c r="A1138" s="57"/>
      <c r="B1138" s="87" t="s">
        <v>684</v>
      </c>
      <c r="C1138" s="88"/>
      <c r="D1138" s="76"/>
      <c r="E1138" s="76"/>
      <c r="F1138" s="76"/>
      <c r="G1138" s="76"/>
      <c r="H1138" s="331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</row>
    <row r="1139" spans="1:39" s="1" customFormat="1" x14ac:dyDescent="0.2">
      <c r="A1139" s="57"/>
      <c r="B1139" s="101"/>
      <c r="C1139" s="96"/>
      <c r="D1139" s="76"/>
      <c r="E1139" s="76"/>
      <c r="F1139" s="76"/>
      <c r="G1139" s="76"/>
      <c r="H1139" s="331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</row>
    <row r="1140" spans="1:39" s="1" customFormat="1" x14ac:dyDescent="0.2">
      <c r="A1140" s="57"/>
      <c r="B1140" s="87" t="s">
        <v>685</v>
      </c>
      <c r="C1140" s="88"/>
      <c r="D1140" s="76"/>
      <c r="E1140" s="76"/>
      <c r="F1140" s="76"/>
      <c r="G1140" s="76"/>
      <c r="H1140" s="331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</row>
    <row r="1141" spans="1:39" s="1" customFormat="1" x14ac:dyDescent="0.2">
      <c r="A1141" s="57"/>
      <c r="B1141" s="48"/>
      <c r="C1141" s="76"/>
      <c r="D1141" s="76"/>
      <c r="E1141" s="76"/>
      <c r="F1141" s="76"/>
      <c r="G1141" s="76"/>
      <c r="H1141" s="331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</row>
    <row r="1142" spans="1:39" s="1" customFormat="1" x14ac:dyDescent="0.2">
      <c r="A1142" s="57"/>
      <c r="B1142" s="83"/>
      <c r="C1142" s="76"/>
      <c r="D1142" s="76"/>
      <c r="E1142" s="76"/>
      <c r="F1142" s="76"/>
      <c r="G1142" s="76"/>
      <c r="H1142" s="331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</row>
    <row r="1143" spans="1:39" s="1" customFormat="1" x14ac:dyDescent="0.2">
      <c r="A1143" s="57"/>
      <c r="B1143" s="83" t="s">
        <v>686</v>
      </c>
      <c r="C1143" s="76"/>
      <c r="D1143" s="76"/>
      <c r="E1143" s="76"/>
      <c r="F1143" s="76"/>
      <c r="G1143" s="76"/>
      <c r="H1143" s="331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</row>
    <row r="1144" spans="1:39" s="1" customFormat="1" x14ac:dyDescent="0.2">
      <c r="A1144" s="57"/>
      <c r="B1144" s="83"/>
      <c r="C1144" s="76"/>
      <c r="D1144" s="76"/>
      <c r="E1144" s="76"/>
      <c r="F1144" s="76"/>
      <c r="G1144" s="76"/>
      <c r="H1144" s="331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  <c r="AA1144" s="77"/>
      <c r="AB1144" s="77"/>
      <c r="AC1144" s="77"/>
      <c r="AD1144" s="77"/>
      <c r="AE1144" s="77"/>
      <c r="AF1144" s="77"/>
      <c r="AG1144" s="77"/>
      <c r="AH1144" s="77"/>
      <c r="AI1144" s="77"/>
      <c r="AJ1144" s="77"/>
      <c r="AK1144" s="77"/>
      <c r="AL1144" s="77"/>
      <c r="AM1144" s="77"/>
    </row>
    <row r="1145" spans="1:39" s="1" customFormat="1" ht="25.5" x14ac:dyDescent="0.2">
      <c r="A1145" s="57"/>
      <c r="B1145" s="74" t="s">
        <v>687</v>
      </c>
      <c r="C1145" s="75"/>
      <c r="D1145" s="76"/>
      <c r="E1145" s="76"/>
      <c r="F1145" s="76"/>
      <c r="G1145" s="76"/>
      <c r="H1145" s="331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  <c r="AA1145" s="77"/>
      <c r="AB1145" s="77"/>
      <c r="AC1145" s="77"/>
      <c r="AD1145" s="77"/>
      <c r="AE1145" s="77"/>
      <c r="AF1145" s="77"/>
      <c r="AG1145" s="77"/>
      <c r="AH1145" s="77"/>
      <c r="AI1145" s="77"/>
      <c r="AJ1145" s="77"/>
      <c r="AK1145" s="77"/>
      <c r="AL1145" s="77"/>
      <c r="AM1145" s="77"/>
    </row>
    <row r="1146" spans="1:39" s="1" customFormat="1" ht="25.5" x14ac:dyDescent="0.2">
      <c r="A1146" s="57"/>
      <c r="B1146" s="74" t="s">
        <v>688</v>
      </c>
      <c r="C1146" s="75"/>
      <c r="D1146" s="76"/>
      <c r="E1146" s="76"/>
      <c r="F1146" s="76"/>
      <c r="G1146" s="76"/>
      <c r="H1146" s="331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  <c r="AA1146" s="77"/>
      <c r="AB1146" s="77"/>
      <c r="AC1146" s="77"/>
      <c r="AD1146" s="77"/>
      <c r="AE1146" s="77"/>
      <c r="AF1146" s="77"/>
      <c r="AG1146" s="77"/>
      <c r="AH1146" s="77"/>
      <c r="AI1146" s="77"/>
      <c r="AJ1146" s="77"/>
      <c r="AK1146" s="77"/>
      <c r="AL1146" s="77"/>
      <c r="AM1146" s="77"/>
    </row>
    <row r="1147" spans="1:39" s="1" customFormat="1" x14ac:dyDescent="0.2">
      <c r="A1147" s="57"/>
      <c r="B1147" s="74"/>
      <c r="C1147" s="76"/>
      <c r="D1147" s="76"/>
      <c r="E1147" s="76"/>
      <c r="F1147" s="76"/>
      <c r="G1147" s="76"/>
      <c r="H1147" s="331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  <c r="AA1147" s="77"/>
      <c r="AB1147" s="77"/>
      <c r="AC1147" s="77"/>
      <c r="AD1147" s="77"/>
      <c r="AE1147" s="77"/>
      <c r="AF1147" s="77"/>
      <c r="AG1147" s="77"/>
      <c r="AH1147" s="77"/>
      <c r="AI1147" s="77"/>
      <c r="AJ1147" s="77"/>
      <c r="AK1147" s="77"/>
      <c r="AL1147" s="77"/>
      <c r="AM1147" s="77"/>
    </row>
    <row r="1148" spans="1:39" s="1" customFormat="1" x14ac:dyDescent="0.2">
      <c r="A1148" s="57"/>
      <c r="B1148" s="48"/>
      <c r="C1148" s="76"/>
      <c r="D1148" s="76"/>
      <c r="E1148" s="76"/>
      <c r="F1148" s="76"/>
      <c r="G1148" s="76"/>
      <c r="H1148" s="331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  <c r="AA1148" s="77"/>
      <c r="AB1148" s="77"/>
      <c r="AC1148" s="77"/>
      <c r="AD1148" s="77"/>
      <c r="AE1148" s="77"/>
      <c r="AF1148" s="77"/>
      <c r="AG1148" s="77"/>
      <c r="AH1148" s="77"/>
      <c r="AI1148" s="77"/>
      <c r="AJ1148" s="77"/>
      <c r="AK1148" s="77"/>
      <c r="AL1148" s="77"/>
      <c r="AM1148" s="77"/>
    </row>
    <row r="1149" spans="1:39" s="1" customFormat="1" x14ac:dyDescent="0.2">
      <c r="A1149" s="57"/>
      <c r="B1149" s="74" t="s">
        <v>689</v>
      </c>
      <c r="C1149" s="80"/>
      <c r="D1149" s="80"/>
      <c r="E1149" s="80"/>
      <c r="F1149" s="80"/>
      <c r="G1149" s="80"/>
      <c r="H1149" s="332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77"/>
      <c r="Z1149" s="77"/>
      <c r="AA1149" s="77"/>
      <c r="AB1149" s="77"/>
      <c r="AC1149" s="77"/>
      <c r="AD1149" s="77"/>
      <c r="AE1149" s="77"/>
      <c r="AF1149" s="77"/>
      <c r="AG1149" s="77"/>
      <c r="AH1149" s="77"/>
      <c r="AI1149" s="77"/>
      <c r="AJ1149" s="77"/>
      <c r="AK1149" s="77"/>
      <c r="AL1149" s="77"/>
      <c r="AM1149" s="77"/>
    </row>
    <row r="1150" spans="1:39" s="1" customFormat="1" x14ac:dyDescent="0.2">
      <c r="A1150" s="57"/>
      <c r="B1150" s="74"/>
      <c r="C1150" s="76"/>
      <c r="D1150" s="76"/>
      <c r="E1150" s="76"/>
      <c r="F1150" s="76"/>
      <c r="G1150" s="76"/>
      <c r="H1150" s="331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  <c r="AA1150" s="77"/>
      <c r="AB1150" s="77"/>
      <c r="AC1150" s="77"/>
      <c r="AD1150" s="77"/>
      <c r="AE1150" s="77"/>
      <c r="AF1150" s="77"/>
      <c r="AG1150" s="77"/>
      <c r="AH1150" s="77"/>
      <c r="AI1150" s="77"/>
      <c r="AJ1150" s="77"/>
      <c r="AK1150" s="77"/>
      <c r="AL1150" s="77"/>
      <c r="AM1150" s="77"/>
    </row>
    <row r="1151" spans="1:39" s="1" customFormat="1" x14ac:dyDescent="0.2">
      <c r="A1151" s="57"/>
      <c r="B1151" s="74"/>
      <c r="C1151" s="76"/>
      <c r="D1151" s="76"/>
      <c r="E1151" s="76"/>
      <c r="F1151" s="76"/>
      <c r="G1151" s="76"/>
      <c r="H1151" s="331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  <c r="AA1151" s="77"/>
      <c r="AB1151" s="77"/>
      <c r="AC1151" s="77"/>
      <c r="AD1151" s="77"/>
      <c r="AE1151" s="77"/>
      <c r="AF1151" s="77"/>
      <c r="AG1151" s="77"/>
      <c r="AH1151" s="77"/>
      <c r="AI1151" s="77"/>
      <c r="AJ1151" s="77"/>
      <c r="AK1151" s="77"/>
      <c r="AL1151" s="77"/>
      <c r="AM1151" s="77"/>
    </row>
    <row r="1152" spans="1:39" s="95" customFormat="1" x14ac:dyDescent="0.2">
      <c r="A1152" s="57"/>
      <c r="B1152" s="48" t="s">
        <v>690</v>
      </c>
      <c r="C1152" s="75"/>
      <c r="D1152" s="75"/>
      <c r="E1152" s="75"/>
      <c r="F1152" s="75"/>
      <c r="G1152" s="75"/>
      <c r="H1152" s="334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77"/>
      <c r="Z1152" s="94"/>
      <c r="AA1152" s="94"/>
      <c r="AB1152" s="94"/>
      <c r="AC1152" s="94"/>
      <c r="AD1152" s="94"/>
      <c r="AE1152" s="94"/>
      <c r="AF1152" s="94"/>
      <c r="AG1152" s="94"/>
      <c r="AH1152" s="94"/>
      <c r="AI1152" s="94"/>
      <c r="AJ1152" s="94"/>
      <c r="AK1152" s="94"/>
      <c r="AL1152" s="94"/>
      <c r="AM1152" s="94"/>
    </row>
    <row r="1153" spans="1:39" s="1" customFormat="1" x14ac:dyDescent="0.2">
      <c r="A1153" s="57"/>
      <c r="B1153" s="48" t="s">
        <v>691</v>
      </c>
      <c r="C1153" s="76"/>
      <c r="D1153" s="76"/>
      <c r="E1153" s="76"/>
      <c r="F1153" s="76"/>
      <c r="G1153" s="76"/>
      <c r="H1153" s="331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  <c r="AA1153" s="77"/>
      <c r="AB1153" s="77"/>
      <c r="AC1153" s="77"/>
      <c r="AD1153" s="77"/>
      <c r="AE1153" s="77"/>
      <c r="AF1153" s="77"/>
      <c r="AG1153" s="77"/>
      <c r="AH1153" s="77"/>
      <c r="AI1153" s="77"/>
      <c r="AJ1153" s="77"/>
      <c r="AK1153" s="77"/>
      <c r="AL1153" s="77"/>
      <c r="AM1153" s="77"/>
    </row>
    <row r="1154" spans="1:39" s="1" customFormat="1" ht="25.5" x14ac:dyDescent="0.2">
      <c r="A1154" s="57"/>
      <c r="B1154" s="83" t="s">
        <v>692</v>
      </c>
      <c r="C1154" s="98"/>
      <c r="D1154" s="98"/>
      <c r="E1154" s="98"/>
      <c r="F1154" s="98"/>
      <c r="G1154" s="98"/>
      <c r="H1154" s="339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77"/>
      <c r="Z1154" s="77"/>
      <c r="AA1154" s="77"/>
      <c r="AB1154" s="77"/>
      <c r="AC1154" s="77"/>
      <c r="AD1154" s="77"/>
      <c r="AE1154" s="77"/>
      <c r="AF1154" s="77"/>
      <c r="AG1154" s="77"/>
      <c r="AH1154" s="77"/>
      <c r="AI1154" s="77"/>
      <c r="AJ1154" s="77"/>
      <c r="AK1154" s="77"/>
      <c r="AL1154" s="77"/>
      <c r="AM1154" s="77"/>
    </row>
    <row r="1155" spans="1:39" s="1" customFormat="1" x14ac:dyDescent="0.2">
      <c r="A1155" s="57"/>
      <c r="B1155" s="48" t="s">
        <v>693</v>
      </c>
      <c r="C1155" s="76"/>
      <c r="D1155" s="76"/>
      <c r="E1155" s="76"/>
      <c r="F1155" s="76"/>
      <c r="G1155" s="76"/>
      <c r="H1155" s="331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  <c r="AA1155" s="77"/>
      <c r="AB1155" s="77"/>
      <c r="AC1155" s="77"/>
      <c r="AD1155" s="77"/>
      <c r="AE1155" s="77"/>
      <c r="AF1155" s="77"/>
      <c r="AG1155" s="77"/>
      <c r="AH1155" s="77"/>
      <c r="AI1155" s="77"/>
      <c r="AJ1155" s="77"/>
      <c r="AK1155" s="77"/>
      <c r="AL1155" s="77"/>
      <c r="AM1155" s="77"/>
    </row>
    <row r="1156" spans="1:39" s="1" customFormat="1" ht="25.5" x14ac:dyDescent="0.2">
      <c r="A1156" s="57"/>
      <c r="B1156" s="48" t="s">
        <v>694</v>
      </c>
      <c r="C1156" s="76"/>
      <c r="D1156" s="76"/>
      <c r="E1156" s="76"/>
      <c r="F1156" s="76"/>
      <c r="G1156" s="76"/>
      <c r="H1156" s="331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  <c r="AA1156" s="77"/>
      <c r="AB1156" s="77"/>
      <c r="AC1156" s="77"/>
      <c r="AD1156" s="77"/>
      <c r="AE1156" s="77"/>
      <c r="AF1156" s="77"/>
      <c r="AG1156" s="77"/>
      <c r="AH1156" s="77"/>
      <c r="AI1156" s="77"/>
      <c r="AJ1156" s="77"/>
      <c r="AK1156" s="77"/>
      <c r="AL1156" s="77"/>
      <c r="AM1156" s="77"/>
    </row>
    <row r="1157" spans="1:39" s="1" customFormat="1" x14ac:dyDescent="0.2">
      <c r="A1157" s="57"/>
      <c r="B1157" s="48"/>
      <c r="C1157" s="76"/>
      <c r="D1157" s="76"/>
      <c r="E1157" s="76"/>
      <c r="F1157" s="76"/>
      <c r="G1157" s="76"/>
      <c r="H1157" s="331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  <c r="AA1157" s="77"/>
      <c r="AB1157" s="77"/>
      <c r="AC1157" s="77"/>
      <c r="AD1157" s="77"/>
      <c r="AE1157" s="77"/>
      <c r="AF1157" s="77"/>
      <c r="AG1157" s="77"/>
      <c r="AH1157" s="77"/>
      <c r="AI1157" s="77"/>
      <c r="AJ1157" s="77"/>
      <c r="AK1157" s="77"/>
      <c r="AL1157" s="77"/>
      <c r="AM1157" s="77"/>
    </row>
    <row r="1158" spans="1:39" s="1" customFormat="1" x14ac:dyDescent="0.2">
      <c r="A1158" s="57"/>
      <c r="B1158" s="87" t="s">
        <v>442</v>
      </c>
      <c r="C1158" s="88"/>
      <c r="D1158" s="88"/>
      <c r="E1158" s="88"/>
      <c r="F1158" s="88"/>
      <c r="G1158" s="88"/>
      <c r="H1158" s="340"/>
      <c r="I1158" s="102"/>
      <c r="J1158" s="102"/>
      <c r="K1158" s="102"/>
      <c r="L1158" s="102"/>
      <c r="M1158" s="102"/>
      <c r="N1158" s="102"/>
      <c r="O1158" s="102"/>
      <c r="P1158" s="102"/>
      <c r="Q1158" s="102"/>
      <c r="R1158" s="102"/>
      <c r="S1158" s="102"/>
      <c r="T1158" s="102"/>
      <c r="U1158" s="102"/>
      <c r="V1158" s="102"/>
      <c r="W1158" s="102"/>
      <c r="X1158" s="102"/>
      <c r="Y1158" s="77"/>
      <c r="Z1158" s="77"/>
      <c r="AA1158" s="77"/>
      <c r="AB1158" s="77"/>
      <c r="AC1158" s="77"/>
      <c r="AD1158" s="77"/>
      <c r="AE1158" s="77"/>
      <c r="AF1158" s="77"/>
      <c r="AG1158" s="77"/>
      <c r="AH1158" s="77"/>
      <c r="AI1158" s="77"/>
      <c r="AJ1158" s="77"/>
      <c r="AK1158" s="77"/>
      <c r="AL1158" s="77"/>
      <c r="AM1158" s="77"/>
    </row>
    <row r="1159" spans="1:39" s="1" customFormat="1" x14ac:dyDescent="0.2">
      <c r="A1159" s="57"/>
      <c r="B1159" s="87"/>
      <c r="C1159" s="88"/>
      <c r="D1159" s="88"/>
      <c r="E1159" s="88"/>
      <c r="F1159" s="88"/>
      <c r="G1159" s="88"/>
      <c r="H1159" s="340"/>
      <c r="I1159" s="102"/>
      <c r="J1159" s="102"/>
      <c r="K1159" s="102"/>
      <c r="L1159" s="102"/>
      <c r="M1159" s="102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  <c r="AA1159" s="77"/>
      <c r="AB1159" s="77"/>
      <c r="AC1159" s="77"/>
      <c r="AD1159" s="77"/>
      <c r="AE1159" s="77"/>
      <c r="AF1159" s="77"/>
      <c r="AG1159" s="77"/>
      <c r="AH1159" s="77"/>
      <c r="AI1159" s="77"/>
      <c r="AJ1159" s="77"/>
      <c r="AK1159" s="77"/>
      <c r="AL1159" s="77"/>
      <c r="AM1159" s="77"/>
    </row>
    <row r="1160" spans="1:39" s="1" customFormat="1" x14ac:dyDescent="0.2">
      <c r="A1160" s="57"/>
      <c r="B1160" s="87" t="s">
        <v>695</v>
      </c>
      <c r="C1160" s="88"/>
      <c r="D1160" s="88"/>
      <c r="E1160" s="88"/>
      <c r="F1160" s="88"/>
      <c r="G1160" s="88"/>
      <c r="H1160" s="340"/>
      <c r="I1160" s="102"/>
      <c r="J1160" s="102"/>
      <c r="K1160" s="102"/>
      <c r="L1160" s="102"/>
      <c r="M1160" s="102"/>
      <c r="N1160" s="102"/>
      <c r="O1160" s="102"/>
      <c r="P1160" s="102"/>
      <c r="Q1160" s="102"/>
      <c r="R1160" s="102"/>
      <c r="S1160" s="102"/>
      <c r="T1160" s="102"/>
      <c r="U1160" s="102"/>
      <c r="V1160" s="102"/>
      <c r="W1160" s="102"/>
      <c r="X1160" s="102"/>
      <c r="Y1160" s="77"/>
      <c r="Z1160" s="77"/>
      <c r="AA1160" s="77"/>
      <c r="AB1160" s="77"/>
      <c r="AC1160" s="77"/>
      <c r="AD1160" s="77"/>
      <c r="AE1160" s="77"/>
      <c r="AF1160" s="77"/>
      <c r="AG1160" s="77"/>
      <c r="AH1160" s="77"/>
      <c r="AI1160" s="77"/>
      <c r="AJ1160" s="77"/>
      <c r="AK1160" s="77"/>
      <c r="AL1160" s="77"/>
      <c r="AM1160" s="77"/>
    </row>
    <row r="1161" spans="1:39" s="1" customFormat="1" ht="25.5" x14ac:dyDescent="0.2">
      <c r="A1161" s="57"/>
      <c r="B1161" s="83" t="s">
        <v>696</v>
      </c>
      <c r="C1161" s="76"/>
      <c r="D1161" s="76"/>
      <c r="E1161" s="76"/>
      <c r="F1161" s="76"/>
      <c r="G1161" s="76"/>
      <c r="H1161" s="331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  <c r="AA1161" s="77"/>
      <c r="AB1161" s="77"/>
      <c r="AC1161" s="77"/>
      <c r="AD1161" s="77"/>
      <c r="AE1161" s="77"/>
      <c r="AF1161" s="77"/>
      <c r="AG1161" s="77"/>
      <c r="AH1161" s="77"/>
      <c r="AI1161" s="77"/>
      <c r="AJ1161" s="77"/>
      <c r="AK1161" s="77"/>
      <c r="AL1161" s="77"/>
      <c r="AM1161" s="77"/>
    </row>
    <row r="1162" spans="1:39" s="1" customFormat="1" x14ac:dyDescent="0.2">
      <c r="A1162" s="57"/>
      <c r="B1162" s="48"/>
      <c r="C1162" s="76"/>
      <c r="D1162" s="76"/>
      <c r="E1162" s="76"/>
      <c r="F1162" s="76"/>
      <c r="G1162" s="76"/>
      <c r="H1162" s="331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  <c r="AA1162" s="77"/>
      <c r="AB1162" s="77"/>
      <c r="AC1162" s="77"/>
      <c r="AD1162" s="77"/>
      <c r="AE1162" s="77"/>
      <c r="AF1162" s="77"/>
      <c r="AG1162" s="77"/>
      <c r="AH1162" s="77"/>
      <c r="AI1162" s="77"/>
      <c r="AJ1162" s="77"/>
      <c r="AK1162" s="77"/>
      <c r="AL1162" s="77"/>
      <c r="AM1162" s="77"/>
    </row>
    <row r="1163" spans="1:39" s="1" customFormat="1" x14ac:dyDescent="0.2">
      <c r="A1163" s="57"/>
      <c r="B1163" s="48"/>
      <c r="C1163" s="76"/>
      <c r="D1163" s="76"/>
      <c r="E1163" s="76"/>
      <c r="F1163" s="76"/>
      <c r="G1163" s="76"/>
      <c r="H1163" s="331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  <c r="AA1163" s="77"/>
      <c r="AB1163" s="77"/>
      <c r="AC1163" s="77"/>
      <c r="AD1163" s="77"/>
      <c r="AE1163" s="77"/>
      <c r="AF1163" s="77"/>
      <c r="AG1163" s="77"/>
      <c r="AH1163" s="77"/>
      <c r="AI1163" s="77"/>
      <c r="AJ1163" s="77"/>
      <c r="AK1163" s="77"/>
      <c r="AL1163" s="77"/>
      <c r="AM1163" s="77"/>
    </row>
    <row r="1164" spans="1:39" s="1" customFormat="1" x14ac:dyDescent="0.2">
      <c r="A1164" s="57"/>
      <c r="B1164" s="48"/>
      <c r="C1164" s="76"/>
      <c r="D1164" s="76"/>
      <c r="E1164" s="76"/>
      <c r="F1164" s="76"/>
      <c r="G1164" s="76"/>
      <c r="H1164" s="331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  <c r="AA1164" s="77"/>
      <c r="AB1164" s="77"/>
      <c r="AC1164" s="77"/>
      <c r="AD1164" s="77"/>
      <c r="AE1164" s="77"/>
      <c r="AF1164" s="77"/>
      <c r="AG1164" s="77"/>
      <c r="AH1164" s="77"/>
      <c r="AI1164" s="77"/>
      <c r="AJ1164" s="77"/>
      <c r="AK1164" s="77"/>
      <c r="AL1164" s="77"/>
      <c r="AM1164" s="77"/>
    </row>
    <row r="1165" spans="1:39" s="1" customFormat="1" x14ac:dyDescent="0.2">
      <c r="A1165" s="57"/>
      <c r="B1165" s="48"/>
      <c r="C1165" s="76"/>
      <c r="D1165" s="76"/>
      <c r="E1165" s="76"/>
      <c r="F1165" s="76"/>
      <c r="G1165" s="76"/>
      <c r="H1165" s="331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  <c r="AA1165" s="77"/>
      <c r="AB1165" s="77"/>
      <c r="AC1165" s="77"/>
      <c r="AD1165" s="77"/>
      <c r="AE1165" s="77"/>
      <c r="AF1165" s="77"/>
      <c r="AG1165" s="77"/>
      <c r="AH1165" s="77"/>
      <c r="AI1165" s="77"/>
      <c r="AJ1165" s="77"/>
      <c r="AK1165" s="77"/>
      <c r="AL1165" s="77"/>
      <c r="AM1165" s="77"/>
    </row>
    <row r="1166" spans="1:39" s="1" customFormat="1" x14ac:dyDescent="0.2">
      <c r="A1166" s="57"/>
      <c r="B1166" s="83"/>
      <c r="C1166" s="98"/>
      <c r="D1166" s="76"/>
      <c r="E1166" s="76"/>
      <c r="F1166" s="76"/>
      <c r="G1166" s="76"/>
      <c r="H1166" s="331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  <c r="AA1166" s="77"/>
      <c r="AB1166" s="77"/>
      <c r="AC1166" s="77"/>
      <c r="AD1166" s="77"/>
      <c r="AE1166" s="77"/>
      <c r="AF1166" s="77"/>
      <c r="AG1166" s="77"/>
      <c r="AH1166" s="77"/>
      <c r="AI1166" s="77"/>
      <c r="AJ1166" s="77"/>
      <c r="AK1166" s="77"/>
      <c r="AL1166" s="77"/>
      <c r="AM1166" s="77"/>
    </row>
    <row r="1167" spans="1:39" s="1" customFormat="1" x14ac:dyDescent="0.2">
      <c r="A1167" s="57"/>
      <c r="B1167" s="83"/>
      <c r="C1167" s="98"/>
      <c r="D1167" s="76"/>
      <c r="E1167" s="76"/>
      <c r="F1167" s="76"/>
      <c r="G1167" s="76"/>
      <c r="H1167" s="331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  <c r="AA1167" s="77"/>
      <c r="AB1167" s="77"/>
      <c r="AC1167" s="77"/>
      <c r="AD1167" s="77"/>
      <c r="AE1167" s="77"/>
      <c r="AF1167" s="77"/>
      <c r="AG1167" s="77"/>
      <c r="AH1167" s="77"/>
      <c r="AI1167" s="77"/>
      <c r="AJ1167" s="77"/>
      <c r="AK1167" s="77"/>
      <c r="AL1167" s="77"/>
      <c r="AM1167" s="77"/>
    </row>
    <row r="1168" spans="1:39" s="1" customFormat="1" x14ac:dyDescent="0.2">
      <c r="A1168" s="57"/>
      <c r="B1168" s="83"/>
      <c r="C1168" s="98"/>
      <c r="D1168" s="76"/>
      <c r="E1168" s="76"/>
      <c r="F1168" s="76"/>
      <c r="G1168" s="76"/>
      <c r="H1168" s="331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  <c r="AA1168" s="77"/>
      <c r="AB1168" s="77"/>
      <c r="AC1168" s="77"/>
      <c r="AD1168" s="77"/>
      <c r="AE1168" s="77"/>
      <c r="AF1168" s="77"/>
      <c r="AG1168" s="77"/>
      <c r="AH1168" s="77"/>
      <c r="AI1168" s="77"/>
      <c r="AJ1168" s="77"/>
      <c r="AK1168" s="77"/>
      <c r="AL1168" s="77"/>
      <c r="AM1168" s="77"/>
    </row>
    <row r="1169" spans="1:39" s="1" customFormat="1" x14ac:dyDescent="0.2">
      <c r="A1169" s="57"/>
      <c r="B1169" s="48" t="str">
        <f>B1105</f>
        <v>Revenue from the project</v>
      </c>
      <c r="C1169" s="76"/>
      <c r="D1169" s="76"/>
      <c r="E1169" s="76"/>
      <c r="F1169" s="76"/>
      <c r="G1169" s="76"/>
      <c r="H1169" s="331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  <c r="AA1169" s="77"/>
      <c r="AB1169" s="77"/>
      <c r="AC1169" s="77"/>
      <c r="AD1169" s="77"/>
      <c r="AE1169" s="77"/>
      <c r="AF1169" s="77"/>
      <c r="AG1169" s="77"/>
      <c r="AH1169" s="77"/>
      <c r="AI1169" s="77"/>
      <c r="AJ1169" s="77"/>
      <c r="AK1169" s="77"/>
      <c r="AL1169" s="77"/>
      <c r="AM1169" s="77"/>
    </row>
    <row r="1170" spans="1:39" s="1" customFormat="1" x14ac:dyDescent="0.2">
      <c r="A1170" s="57"/>
      <c r="B1170" s="48" t="str">
        <f>B1115</f>
        <v>PAT</v>
      </c>
      <c r="C1170" s="76"/>
      <c r="D1170" s="76"/>
      <c r="E1170" s="76"/>
      <c r="F1170" s="76"/>
      <c r="G1170" s="76"/>
      <c r="H1170" s="331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  <c r="AA1170" s="77"/>
      <c r="AB1170" s="77"/>
      <c r="AC1170" s="77"/>
      <c r="AD1170" s="77"/>
      <c r="AE1170" s="77"/>
      <c r="AF1170" s="77"/>
      <c r="AG1170" s="77"/>
      <c r="AH1170" s="77"/>
      <c r="AI1170" s="77"/>
      <c r="AJ1170" s="77"/>
      <c r="AK1170" s="77"/>
      <c r="AL1170" s="77"/>
      <c r="AM1170" s="77"/>
    </row>
    <row r="1171" spans="1:39" s="1" customFormat="1" x14ac:dyDescent="0.2">
      <c r="A1171" s="57"/>
      <c r="B1171" s="48"/>
      <c r="C1171" s="76"/>
      <c r="D1171" s="76"/>
      <c r="E1171" s="76"/>
      <c r="F1171" s="76"/>
      <c r="G1171" s="76"/>
      <c r="H1171" s="331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  <c r="AA1171" s="77"/>
      <c r="AB1171" s="77"/>
      <c r="AC1171" s="77"/>
      <c r="AD1171" s="77"/>
      <c r="AE1171" s="77"/>
      <c r="AF1171" s="77"/>
      <c r="AG1171" s="77"/>
      <c r="AH1171" s="77"/>
      <c r="AI1171" s="77"/>
      <c r="AJ1171" s="77"/>
      <c r="AK1171" s="77"/>
      <c r="AL1171" s="77"/>
      <c r="AM1171" s="77"/>
    </row>
    <row r="1172" spans="1:39" s="1" customFormat="1" x14ac:dyDescent="0.2">
      <c r="A1172" s="57"/>
      <c r="B1172" s="87" t="s">
        <v>697</v>
      </c>
      <c r="C1172" s="88"/>
      <c r="D1172" s="88"/>
      <c r="E1172" s="88"/>
      <c r="F1172" s="88"/>
      <c r="G1172" s="88"/>
      <c r="H1172" s="340"/>
      <c r="I1172" s="102"/>
      <c r="J1172" s="102"/>
      <c r="K1172" s="102"/>
      <c r="L1172" s="102"/>
      <c r="M1172" s="102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  <c r="AA1172" s="77"/>
      <c r="AB1172" s="77"/>
      <c r="AC1172" s="77"/>
      <c r="AD1172" s="77"/>
      <c r="AE1172" s="77"/>
      <c r="AF1172" s="77"/>
      <c r="AG1172" s="77"/>
      <c r="AH1172" s="77"/>
      <c r="AI1172" s="77"/>
      <c r="AJ1172" s="77"/>
      <c r="AK1172" s="77"/>
      <c r="AL1172" s="77"/>
      <c r="AM1172" s="77"/>
    </row>
    <row r="1173" spans="1:39" s="1" customFormat="1" ht="25.5" x14ac:dyDescent="0.2">
      <c r="A1173" s="57"/>
      <c r="B1173" s="87" t="s">
        <v>698</v>
      </c>
      <c r="C1173" s="88"/>
      <c r="D1173" s="88"/>
      <c r="E1173" s="88"/>
      <c r="F1173" s="88"/>
      <c r="G1173" s="88"/>
      <c r="H1173" s="340"/>
      <c r="I1173" s="102"/>
      <c r="J1173" s="102"/>
      <c r="K1173" s="102"/>
      <c r="L1173" s="102"/>
      <c r="M1173" s="102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  <c r="AA1173" s="77"/>
      <c r="AB1173" s="77"/>
      <c r="AC1173" s="77"/>
      <c r="AD1173" s="77"/>
      <c r="AE1173" s="77"/>
      <c r="AF1173" s="77"/>
      <c r="AG1173" s="77"/>
      <c r="AH1173" s="77"/>
      <c r="AI1173" s="77"/>
      <c r="AJ1173" s="77"/>
      <c r="AK1173" s="77"/>
      <c r="AL1173" s="77"/>
      <c r="AM1173" s="77"/>
    </row>
    <row r="1174" spans="1:39" s="1" customFormat="1" x14ac:dyDescent="0.2">
      <c r="A1174" s="57"/>
      <c r="B1174" s="87"/>
      <c r="C1174" s="88"/>
      <c r="D1174" s="76"/>
      <c r="E1174" s="76"/>
      <c r="F1174" s="76"/>
      <c r="G1174" s="76"/>
      <c r="H1174" s="331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  <c r="AA1174" s="77"/>
      <c r="AB1174" s="77"/>
      <c r="AC1174" s="77"/>
      <c r="AD1174" s="77"/>
      <c r="AE1174" s="77"/>
      <c r="AF1174" s="77"/>
      <c r="AG1174" s="77"/>
      <c r="AH1174" s="77"/>
      <c r="AI1174" s="77"/>
      <c r="AJ1174" s="77"/>
      <c r="AK1174" s="77"/>
      <c r="AL1174" s="77"/>
      <c r="AM1174" s="77"/>
    </row>
    <row r="1175" spans="1:39" s="1" customFormat="1" x14ac:dyDescent="0.2">
      <c r="A1175" s="57"/>
      <c r="B1175" s="87" t="s">
        <v>699</v>
      </c>
      <c r="C1175" s="88"/>
      <c r="D1175" s="76"/>
      <c r="E1175" s="76"/>
      <c r="F1175" s="76"/>
      <c r="G1175" s="76"/>
      <c r="H1175" s="331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  <c r="AA1175" s="77"/>
      <c r="AB1175" s="77"/>
      <c r="AC1175" s="77"/>
      <c r="AD1175" s="77"/>
      <c r="AE1175" s="77"/>
      <c r="AF1175" s="77"/>
      <c r="AG1175" s="77"/>
      <c r="AH1175" s="77"/>
      <c r="AI1175" s="77"/>
      <c r="AJ1175" s="77"/>
      <c r="AK1175" s="77"/>
      <c r="AL1175" s="77"/>
      <c r="AM1175" s="77"/>
    </row>
    <row r="1176" spans="1:39" s="1" customFormat="1" ht="25.5" x14ac:dyDescent="0.2">
      <c r="A1176" s="57"/>
      <c r="B1176" s="87" t="s">
        <v>700</v>
      </c>
      <c r="C1176" s="88"/>
      <c r="D1176" s="76"/>
      <c r="E1176" s="76"/>
      <c r="F1176" s="76"/>
      <c r="G1176" s="76"/>
      <c r="H1176" s="331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  <c r="AA1176" s="77"/>
      <c r="AB1176" s="77"/>
      <c r="AC1176" s="77"/>
      <c r="AD1176" s="77"/>
      <c r="AE1176" s="77"/>
      <c r="AF1176" s="77"/>
      <c r="AG1176" s="77"/>
      <c r="AH1176" s="77"/>
      <c r="AI1176" s="77"/>
      <c r="AJ1176" s="77"/>
      <c r="AK1176" s="77"/>
      <c r="AL1176" s="77"/>
      <c r="AM1176" s="77"/>
    </row>
    <row r="1177" spans="1:39" s="1" customFormat="1" x14ac:dyDescent="0.2">
      <c r="A1177" s="57"/>
      <c r="B1177" s="87"/>
      <c r="C1177" s="88"/>
      <c r="D1177" s="76"/>
      <c r="E1177" s="76"/>
      <c r="F1177" s="76"/>
      <c r="G1177" s="76"/>
      <c r="H1177" s="331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  <c r="AA1177" s="77"/>
      <c r="AB1177" s="77"/>
      <c r="AC1177" s="77"/>
      <c r="AD1177" s="77"/>
      <c r="AE1177" s="77"/>
      <c r="AF1177" s="77"/>
      <c r="AG1177" s="77"/>
      <c r="AH1177" s="77"/>
      <c r="AI1177" s="77"/>
      <c r="AJ1177" s="77"/>
      <c r="AK1177" s="77"/>
      <c r="AL1177" s="77"/>
      <c r="AM1177" s="77"/>
    </row>
    <row r="1178" spans="1:39" s="1" customFormat="1" x14ac:dyDescent="0.2">
      <c r="A1178" s="57"/>
      <c r="B1178" s="87"/>
      <c r="C1178" s="88"/>
      <c r="D1178" s="76"/>
      <c r="E1178" s="76"/>
      <c r="F1178" s="76"/>
      <c r="G1178" s="76"/>
      <c r="H1178" s="331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  <c r="AA1178" s="77"/>
      <c r="AB1178" s="77"/>
      <c r="AC1178" s="77"/>
      <c r="AD1178" s="77"/>
      <c r="AE1178" s="77"/>
      <c r="AF1178" s="77"/>
      <c r="AG1178" s="77"/>
      <c r="AH1178" s="77"/>
      <c r="AI1178" s="77"/>
      <c r="AJ1178" s="77"/>
      <c r="AK1178" s="77"/>
      <c r="AL1178" s="77"/>
      <c r="AM1178" s="77"/>
    </row>
    <row r="1179" spans="1:39" s="1" customFormat="1" x14ac:dyDescent="0.2">
      <c r="A1179" s="57"/>
      <c r="B1179" s="48"/>
      <c r="C1179" s="76"/>
      <c r="D1179" s="76"/>
      <c r="E1179" s="76"/>
      <c r="F1179" s="76"/>
      <c r="G1179" s="76"/>
      <c r="H1179" s="331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  <c r="AA1179" s="77"/>
      <c r="AB1179" s="77"/>
      <c r="AC1179" s="77"/>
      <c r="AD1179" s="77"/>
      <c r="AE1179" s="77"/>
      <c r="AF1179" s="77"/>
      <c r="AG1179" s="77"/>
      <c r="AH1179" s="77"/>
      <c r="AI1179" s="77"/>
      <c r="AJ1179" s="77"/>
      <c r="AK1179" s="77"/>
      <c r="AL1179" s="77"/>
      <c r="AM1179" s="77"/>
    </row>
    <row r="1180" spans="1:39" s="1" customFormat="1" x14ac:dyDescent="0.2">
      <c r="A1180" s="57"/>
      <c r="B1180" s="103" t="s">
        <v>701</v>
      </c>
      <c r="C1180" s="104"/>
      <c r="D1180" s="104"/>
      <c r="E1180" s="104"/>
      <c r="F1180" s="104"/>
      <c r="G1180" s="104"/>
      <c r="H1180" s="341"/>
      <c r="I1180" s="105"/>
      <c r="J1180" s="105"/>
      <c r="K1180" s="105"/>
      <c r="L1180" s="105"/>
      <c r="M1180" s="105"/>
      <c r="N1180" s="105"/>
      <c r="O1180" s="105"/>
      <c r="P1180" s="105"/>
      <c r="Q1180" s="105"/>
      <c r="R1180" s="105"/>
      <c r="S1180" s="105"/>
      <c r="T1180" s="105"/>
      <c r="U1180" s="105"/>
      <c r="V1180" s="105"/>
      <c r="W1180" s="105"/>
      <c r="X1180" s="105"/>
      <c r="Y1180" s="77"/>
      <c r="Z1180" s="77"/>
      <c r="AA1180" s="77"/>
      <c r="AB1180" s="77"/>
      <c r="AC1180" s="77"/>
      <c r="AD1180" s="77"/>
      <c r="AE1180" s="77"/>
      <c r="AF1180" s="77"/>
      <c r="AG1180" s="77"/>
      <c r="AH1180" s="77"/>
      <c r="AI1180" s="77"/>
      <c r="AJ1180" s="77"/>
      <c r="AK1180" s="77"/>
      <c r="AL1180" s="77"/>
      <c r="AM1180" s="77"/>
    </row>
    <row r="1181" spans="1:39" s="1" customFormat="1" x14ac:dyDescent="0.2">
      <c r="A1181" s="57"/>
      <c r="B1181" s="87" t="s">
        <v>702</v>
      </c>
      <c r="C1181" s="104"/>
      <c r="D1181" s="104"/>
      <c r="E1181" s="104"/>
      <c r="F1181" s="104"/>
      <c r="G1181" s="104"/>
      <c r="H1181" s="341"/>
      <c r="I1181" s="105"/>
      <c r="J1181" s="105"/>
      <c r="K1181" s="105"/>
      <c r="L1181" s="105"/>
      <c r="M1181" s="105"/>
      <c r="N1181" s="105"/>
      <c r="O1181" s="105"/>
      <c r="P1181" s="105"/>
      <c r="Q1181" s="105"/>
      <c r="R1181" s="105"/>
      <c r="S1181" s="105"/>
      <c r="T1181" s="105"/>
      <c r="U1181" s="105"/>
      <c r="V1181" s="105"/>
      <c r="W1181" s="105"/>
      <c r="X1181" s="105"/>
      <c r="Y1181" s="77"/>
      <c r="Z1181" s="77"/>
      <c r="AA1181" s="77"/>
      <c r="AB1181" s="77"/>
      <c r="AC1181" s="77"/>
      <c r="AD1181" s="77"/>
      <c r="AE1181" s="77"/>
      <c r="AF1181" s="77"/>
      <c r="AG1181" s="77"/>
      <c r="AH1181" s="77"/>
      <c r="AI1181" s="77"/>
      <c r="AJ1181" s="77"/>
      <c r="AK1181" s="77"/>
      <c r="AL1181" s="77"/>
      <c r="AM1181" s="77"/>
    </row>
    <row r="1182" spans="1:39" s="1" customFormat="1" x14ac:dyDescent="0.2">
      <c r="A1182" s="57"/>
      <c r="B1182" s="87" t="s">
        <v>703</v>
      </c>
      <c r="C1182" s="104"/>
      <c r="D1182" s="104"/>
      <c r="E1182" s="104"/>
      <c r="F1182" s="104"/>
      <c r="G1182" s="104"/>
      <c r="H1182" s="341"/>
      <c r="I1182" s="105"/>
      <c r="J1182" s="105"/>
      <c r="K1182" s="105"/>
      <c r="L1182" s="105"/>
      <c r="M1182" s="105"/>
      <c r="N1182" s="105"/>
      <c r="O1182" s="105"/>
      <c r="P1182" s="105"/>
      <c r="Q1182" s="105"/>
      <c r="R1182" s="105"/>
      <c r="S1182" s="105"/>
      <c r="T1182" s="105"/>
      <c r="U1182" s="105"/>
      <c r="V1182" s="105"/>
      <c r="W1182" s="105"/>
      <c r="X1182" s="105"/>
      <c r="Y1182" s="77"/>
      <c r="Z1182" s="77"/>
      <c r="AA1182" s="77"/>
      <c r="AB1182" s="77"/>
      <c r="AC1182" s="77"/>
      <c r="AD1182" s="77"/>
      <c r="AE1182" s="77"/>
      <c r="AF1182" s="77"/>
      <c r="AG1182" s="77"/>
      <c r="AH1182" s="77"/>
      <c r="AI1182" s="77"/>
      <c r="AJ1182" s="77"/>
      <c r="AK1182" s="77"/>
      <c r="AL1182" s="77"/>
      <c r="AM1182" s="77"/>
    </row>
    <row r="1183" spans="1:39" s="1" customFormat="1" x14ac:dyDescent="0.2">
      <c r="A1183" s="57"/>
      <c r="B1183" s="87" t="s">
        <v>704</v>
      </c>
      <c r="C1183" s="104"/>
      <c r="D1183" s="104"/>
      <c r="E1183" s="104"/>
      <c r="F1183" s="104"/>
      <c r="G1183" s="104"/>
      <c r="H1183" s="341"/>
      <c r="I1183" s="105"/>
      <c r="J1183" s="105"/>
      <c r="K1183" s="105"/>
      <c r="L1183" s="105"/>
      <c r="M1183" s="105"/>
      <c r="N1183" s="105"/>
      <c r="O1183" s="105"/>
      <c r="P1183" s="105"/>
      <c r="Q1183" s="105"/>
      <c r="R1183" s="105"/>
      <c r="S1183" s="105"/>
      <c r="T1183" s="105"/>
      <c r="U1183" s="105"/>
      <c r="V1183" s="105"/>
      <c r="W1183" s="105"/>
      <c r="X1183" s="105"/>
      <c r="Y1183" s="77"/>
      <c r="Z1183" s="77"/>
      <c r="AA1183" s="77"/>
      <c r="AB1183" s="77"/>
      <c r="AC1183" s="77"/>
      <c r="AD1183" s="77"/>
      <c r="AE1183" s="77"/>
      <c r="AF1183" s="77"/>
      <c r="AG1183" s="77"/>
      <c r="AH1183" s="77"/>
      <c r="AI1183" s="77"/>
      <c r="AJ1183" s="77"/>
      <c r="AK1183" s="77"/>
      <c r="AL1183" s="77"/>
      <c r="AM1183" s="77"/>
    </row>
    <row r="1184" spans="1:39" s="1" customFormat="1" x14ac:dyDescent="0.2">
      <c r="A1184" s="57"/>
      <c r="B1184" s="87" t="s">
        <v>705</v>
      </c>
      <c r="C1184" s="104"/>
      <c r="D1184" s="104"/>
      <c r="E1184" s="104"/>
      <c r="F1184" s="104"/>
      <c r="G1184" s="104"/>
      <c r="H1184" s="341"/>
      <c r="I1184" s="105"/>
      <c r="J1184" s="105"/>
      <c r="K1184" s="105"/>
      <c r="L1184" s="105"/>
      <c r="M1184" s="105"/>
      <c r="N1184" s="105"/>
      <c r="O1184" s="105"/>
      <c r="P1184" s="105"/>
      <c r="Q1184" s="105"/>
      <c r="R1184" s="105"/>
      <c r="S1184" s="105"/>
      <c r="T1184" s="105"/>
      <c r="U1184" s="105"/>
      <c r="V1184" s="105"/>
      <c r="W1184" s="105"/>
      <c r="X1184" s="105"/>
      <c r="Y1184" s="77"/>
      <c r="Z1184" s="77"/>
      <c r="AA1184" s="77"/>
      <c r="AB1184" s="77"/>
      <c r="AC1184" s="77"/>
      <c r="AD1184" s="77"/>
      <c r="AE1184" s="77"/>
      <c r="AF1184" s="77"/>
      <c r="AG1184" s="77"/>
      <c r="AH1184" s="77"/>
      <c r="AI1184" s="77"/>
      <c r="AJ1184" s="77"/>
      <c r="AK1184" s="77"/>
      <c r="AL1184" s="77"/>
      <c r="AM1184" s="77"/>
    </row>
    <row r="1185" spans="1:39" s="1" customFormat="1" x14ac:dyDescent="0.2">
      <c r="A1185" s="57"/>
      <c r="B1185" s="87" t="s">
        <v>706</v>
      </c>
      <c r="C1185" s="104"/>
      <c r="D1185" s="104"/>
      <c r="E1185" s="104"/>
      <c r="F1185" s="104"/>
      <c r="G1185" s="104"/>
      <c r="H1185" s="341"/>
      <c r="I1185" s="105"/>
      <c r="J1185" s="105"/>
      <c r="K1185" s="105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77"/>
      <c r="Z1185" s="77"/>
      <c r="AA1185" s="77"/>
      <c r="AB1185" s="77"/>
      <c r="AC1185" s="77"/>
      <c r="AD1185" s="77"/>
      <c r="AE1185" s="77"/>
      <c r="AF1185" s="77"/>
      <c r="AG1185" s="77"/>
      <c r="AH1185" s="77"/>
      <c r="AI1185" s="77"/>
      <c r="AJ1185" s="77"/>
      <c r="AK1185" s="77"/>
      <c r="AL1185" s="77"/>
      <c r="AM1185" s="77"/>
    </row>
    <row r="1186" spans="1:39" s="1" customFormat="1" x14ac:dyDescent="0.2">
      <c r="A1186" s="57"/>
      <c r="B1186" s="87" t="s">
        <v>707</v>
      </c>
      <c r="C1186" s="104"/>
      <c r="D1186" s="104"/>
      <c r="E1186" s="104"/>
      <c r="F1186" s="104"/>
      <c r="G1186" s="104"/>
      <c r="H1186" s="341"/>
      <c r="I1186" s="105"/>
      <c r="J1186" s="105"/>
      <c r="K1186" s="105"/>
      <c r="L1186" s="105"/>
      <c r="M1186" s="105"/>
      <c r="N1186" s="105"/>
      <c r="O1186" s="105"/>
      <c r="P1186" s="105"/>
      <c r="Q1186" s="105"/>
      <c r="R1186" s="105"/>
      <c r="S1186" s="105"/>
      <c r="T1186" s="105"/>
      <c r="U1186" s="105"/>
      <c r="V1186" s="105"/>
      <c r="W1186" s="105"/>
      <c r="X1186" s="105"/>
      <c r="Y1186" s="77"/>
      <c r="Z1186" s="77"/>
      <c r="AA1186" s="77"/>
      <c r="AB1186" s="77"/>
      <c r="AC1186" s="77"/>
      <c r="AD1186" s="77"/>
      <c r="AE1186" s="77"/>
      <c r="AF1186" s="77"/>
      <c r="AG1186" s="77"/>
      <c r="AH1186" s="77"/>
      <c r="AI1186" s="77"/>
      <c r="AJ1186" s="77"/>
      <c r="AK1186" s="77"/>
      <c r="AL1186" s="77"/>
      <c r="AM1186" s="77"/>
    </row>
    <row r="1187" spans="1:39" s="1" customFormat="1" ht="13.5" thickBot="1" x14ac:dyDescent="0.25">
      <c r="A1187" s="2"/>
      <c r="B1187" s="48"/>
      <c r="C1187" s="76"/>
      <c r="D1187" s="76"/>
      <c r="E1187" s="76"/>
      <c r="F1187" s="76"/>
      <c r="G1187" s="76"/>
      <c r="H1187" s="331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  <c r="AA1187" s="77"/>
      <c r="AB1187" s="77"/>
      <c r="AC1187" s="77"/>
      <c r="AD1187" s="77"/>
      <c r="AE1187" s="77"/>
      <c r="AF1187" s="77"/>
      <c r="AG1187" s="77"/>
      <c r="AH1187" s="77"/>
      <c r="AI1187" s="77"/>
      <c r="AJ1187" s="77"/>
      <c r="AK1187" s="77"/>
      <c r="AL1187" s="77"/>
      <c r="AM1187" s="77"/>
    </row>
    <row r="1188" spans="1:39" s="1" customFormat="1" ht="13.5" thickBot="1" x14ac:dyDescent="0.25">
      <c r="A1188" s="2"/>
      <c r="B1188" s="207" t="s">
        <v>708</v>
      </c>
      <c r="C1188" s="208"/>
      <c r="D1188" s="208"/>
      <c r="E1188" s="208"/>
      <c r="F1188" s="208"/>
      <c r="G1188" s="208"/>
      <c r="H1188" s="331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  <c r="AA1188" s="77"/>
      <c r="AB1188" s="77"/>
      <c r="AC1188" s="77"/>
      <c r="AD1188" s="77"/>
      <c r="AE1188" s="77"/>
      <c r="AF1188" s="77"/>
      <c r="AG1188" s="77"/>
      <c r="AH1188" s="77"/>
      <c r="AI1188" s="77"/>
      <c r="AJ1188" s="77"/>
      <c r="AK1188" s="77"/>
      <c r="AL1188" s="77"/>
      <c r="AM1188" s="77"/>
    </row>
    <row r="1189" spans="1:39" s="1" customFormat="1" ht="13.5" thickBot="1" x14ac:dyDescent="0.25">
      <c r="A1189" s="2"/>
      <c r="B1189" s="48"/>
      <c r="C1189" s="76"/>
      <c r="D1189" s="76"/>
      <c r="E1189" s="76"/>
      <c r="F1189" s="76"/>
      <c r="G1189" s="76"/>
      <c r="H1189" s="331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  <c r="AA1189" s="77"/>
      <c r="AB1189" s="77"/>
      <c r="AC1189" s="77"/>
      <c r="AD1189" s="77"/>
      <c r="AE1189" s="77"/>
      <c r="AF1189" s="77"/>
      <c r="AG1189" s="77"/>
      <c r="AH1189" s="77"/>
      <c r="AI1189" s="77"/>
      <c r="AJ1189" s="77"/>
      <c r="AK1189" s="77"/>
      <c r="AL1189" s="77"/>
      <c r="AM1189" s="77"/>
    </row>
    <row r="1190" spans="1:39" s="1" customFormat="1" ht="13.5" thickBot="1" x14ac:dyDescent="0.25">
      <c r="A1190" s="2"/>
      <c r="B1190" s="106" t="s">
        <v>709</v>
      </c>
      <c r="C1190" s="107">
        <f>C1140</f>
        <v>0</v>
      </c>
      <c r="D1190" s="108">
        <f>C1190*100</f>
        <v>0</v>
      </c>
      <c r="E1190" s="76"/>
      <c r="F1190" s="76"/>
      <c r="G1190" s="76"/>
      <c r="H1190" s="331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  <c r="AA1190" s="77"/>
      <c r="AB1190" s="77"/>
      <c r="AC1190" s="77"/>
      <c r="AD1190" s="77"/>
      <c r="AE1190" s="77"/>
      <c r="AF1190" s="77"/>
      <c r="AG1190" s="77"/>
      <c r="AH1190" s="77"/>
      <c r="AI1190" s="77"/>
      <c r="AJ1190" s="77"/>
      <c r="AK1190" s="77"/>
      <c r="AL1190" s="77"/>
      <c r="AM1190" s="77"/>
    </row>
    <row r="1191" spans="1:39" s="1" customFormat="1" x14ac:dyDescent="0.2">
      <c r="A1191" s="2"/>
      <c r="B1191" s="109" t="s">
        <v>442</v>
      </c>
      <c r="C1191" s="110">
        <f>C1175</f>
        <v>0</v>
      </c>
      <c r="D1191" s="76"/>
      <c r="E1191" s="76"/>
      <c r="F1191" s="76"/>
      <c r="G1191" s="76"/>
      <c r="H1191" s="331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  <c r="AA1191" s="77"/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/>
    </row>
    <row r="1192" spans="1:39" s="1" customFormat="1" x14ac:dyDescent="0.2">
      <c r="A1192" s="2"/>
      <c r="B1192" s="109" t="s">
        <v>643</v>
      </c>
      <c r="C1192" s="110">
        <f>C1089</f>
        <v>0</v>
      </c>
      <c r="D1192" s="76"/>
      <c r="E1192" s="76"/>
      <c r="F1192" s="76"/>
      <c r="G1192" s="76"/>
      <c r="H1192" s="331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  <c r="AA1192" s="77"/>
      <c r="AB1192" s="77"/>
      <c r="AC1192" s="77"/>
      <c r="AD1192" s="77"/>
      <c r="AE1192" s="77"/>
      <c r="AF1192" s="77"/>
      <c r="AG1192" s="77"/>
      <c r="AH1192" s="77"/>
      <c r="AI1192" s="77"/>
      <c r="AJ1192" s="77"/>
      <c r="AK1192" s="77"/>
      <c r="AL1192" s="77"/>
      <c r="AM1192" s="77"/>
    </row>
    <row r="1193" spans="1:39" s="1" customFormat="1" x14ac:dyDescent="0.2">
      <c r="A1193" s="2"/>
      <c r="B1193" s="109" t="s">
        <v>710</v>
      </c>
      <c r="C1193" s="110">
        <f>IF(ISERROR(MAX(C1180:M1180)),100,(MAX(C1180:M1180)))</f>
        <v>0</v>
      </c>
      <c r="D1193" s="76"/>
      <c r="E1193" s="76"/>
      <c r="F1193" s="76"/>
      <c r="G1193" s="76"/>
      <c r="H1193" s="331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  <c r="AA1193" s="77"/>
      <c r="AB1193" s="77"/>
      <c r="AC1193" s="77"/>
      <c r="AD1193" s="77"/>
      <c r="AE1193" s="77"/>
      <c r="AF1193" s="77"/>
      <c r="AG1193" s="77"/>
      <c r="AH1193" s="77"/>
      <c r="AI1193" s="77"/>
      <c r="AJ1193" s="77"/>
      <c r="AK1193" s="77"/>
      <c r="AL1193" s="77"/>
      <c r="AM1193" s="77"/>
    </row>
    <row r="1194" spans="1:39" s="1" customFormat="1" x14ac:dyDescent="0.2">
      <c r="A1194" s="2"/>
      <c r="B1194" s="109" t="s">
        <v>711</v>
      </c>
      <c r="C1194" s="110">
        <f>C1176</f>
        <v>0</v>
      </c>
      <c r="D1194" s="76"/>
      <c r="E1194" s="76"/>
      <c r="F1194" s="76"/>
      <c r="G1194" s="76"/>
      <c r="H1194" s="331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  <c r="AA1194" s="77"/>
      <c r="AB1194" s="77"/>
      <c r="AC1194" s="77"/>
      <c r="AD1194" s="77"/>
      <c r="AE1194" s="77"/>
      <c r="AF1194" s="77"/>
      <c r="AG1194" s="77"/>
      <c r="AH1194" s="77"/>
      <c r="AI1194" s="77"/>
      <c r="AJ1194" s="77"/>
      <c r="AK1194" s="77"/>
      <c r="AL1194" s="77"/>
      <c r="AM1194" s="77"/>
    </row>
    <row r="1195" spans="1:39" s="1" customFormat="1" ht="13.5" thickBot="1" x14ac:dyDescent="0.25">
      <c r="A1195" s="2"/>
      <c r="B1195" s="111"/>
      <c r="C1195" s="112"/>
      <c r="D1195" s="76"/>
      <c r="E1195" s="76"/>
      <c r="F1195" s="76"/>
      <c r="G1195" s="76"/>
      <c r="H1195" s="331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  <c r="AA1195" s="77"/>
      <c r="AB1195" s="77"/>
      <c r="AC1195" s="77"/>
      <c r="AD1195" s="77"/>
      <c r="AE1195" s="77"/>
      <c r="AF1195" s="77"/>
      <c r="AG1195" s="77"/>
      <c r="AH1195" s="77"/>
      <c r="AI1195" s="77"/>
      <c r="AJ1195" s="77"/>
      <c r="AK1195" s="77"/>
      <c r="AL1195" s="77"/>
      <c r="AM1195" s="77"/>
    </row>
    <row r="1196" spans="1:39" s="1" customFormat="1" x14ac:dyDescent="0.2">
      <c r="A1196" s="2"/>
      <c r="B1196" s="42"/>
      <c r="C1196" s="43"/>
      <c r="D1196" s="43"/>
      <c r="E1196" s="43"/>
      <c r="F1196" s="43"/>
      <c r="G1196" s="43"/>
      <c r="H1196" s="246"/>
    </row>
    <row r="1197" spans="1:39" s="1" customFormat="1" x14ac:dyDescent="0.2">
      <c r="A1197" s="2"/>
      <c r="B1197" s="42"/>
      <c r="C1197" s="43"/>
      <c r="D1197" s="43"/>
      <c r="E1197" s="43"/>
      <c r="F1197" s="43"/>
      <c r="G1197" s="43"/>
      <c r="H1197" s="246"/>
    </row>
    <row r="1198" spans="1:39" s="1" customFormat="1" ht="13.5" thickBot="1" x14ac:dyDescent="0.25">
      <c r="A1198" s="2"/>
      <c r="B1198" s="42"/>
      <c r="C1198" s="43"/>
      <c r="D1198" s="43"/>
      <c r="E1198" s="43"/>
      <c r="F1198" s="43"/>
      <c r="G1198" s="43"/>
      <c r="H1198" s="246"/>
    </row>
    <row r="1199" spans="1:39" s="1" customFormat="1" ht="13.5" thickBot="1" x14ac:dyDescent="0.25">
      <c r="A1199" s="57"/>
      <c r="B1199" s="206" t="s">
        <v>451</v>
      </c>
      <c r="C1199" s="203"/>
      <c r="D1199" s="203"/>
      <c r="E1199" s="203"/>
      <c r="F1199" s="203"/>
      <c r="G1199" s="203"/>
      <c r="H1199" s="246"/>
    </row>
    <row r="1200" spans="1:39" s="1" customFormat="1" x14ac:dyDescent="0.2">
      <c r="A1200" s="57"/>
      <c r="B1200" s="113"/>
      <c r="C1200" s="28"/>
      <c r="D1200" s="28"/>
      <c r="E1200" s="28"/>
      <c r="F1200" s="28"/>
      <c r="G1200" s="28"/>
      <c r="H1200" s="246"/>
    </row>
    <row r="1201" spans="1:8" s="95" customFormat="1" x14ac:dyDescent="0.2">
      <c r="A1201" s="57"/>
      <c r="B1201" s="114" t="s">
        <v>452</v>
      </c>
      <c r="C1201" s="44">
        <f>'Restated Financials'!C200/'Restated Financials'!C8</f>
        <v>2.448</v>
      </c>
      <c r="D1201" s="44">
        <f>'Restated Financials'!D200/'Restated Financials'!D8</f>
        <v>4.0199999999999996</v>
      </c>
      <c r="E1201" s="44">
        <f>'Restated Financials'!E200/'Restated Financials'!E8</f>
        <v>4.0439999999999996</v>
      </c>
      <c r="F1201" s="44">
        <f>'Restated Financials'!F200/'Restated Financials'!F8</f>
        <v>4.8989298454221162</v>
      </c>
      <c r="G1201" s="44">
        <f>'Restated Financials'!G200/'Restated Financials'!G8</f>
        <v>9.0324879892888088</v>
      </c>
      <c r="H1201" s="342"/>
    </row>
    <row r="1202" spans="1:8" s="95" customFormat="1" x14ac:dyDescent="0.2">
      <c r="A1202" s="57"/>
      <c r="B1202" s="114" t="s">
        <v>453</v>
      </c>
      <c r="C1202" s="44">
        <f>'Restated Financials'!C144/'Key Financials'!C13</f>
        <v>-7.3469387755102042</v>
      </c>
      <c r="D1202" s="44">
        <f>'Restated Financials'!D144/'Key Financials'!D13</f>
        <v>-6.54296875</v>
      </c>
      <c r="E1202" s="44">
        <f>'Restated Financials'!E144/'Key Financials'!E13</f>
        <v>-4.5891965501588743</v>
      </c>
      <c r="F1202" s="44">
        <f>'Restated Financials'!F144/'Key Financials'!F13</f>
        <v>-4.4380610412926389</v>
      </c>
      <c r="G1202" s="44">
        <f>'Restated Financials'!G144/'Key Financials'!G13</f>
        <v>-6.8987909047160727</v>
      </c>
      <c r="H1202" s="342"/>
    </row>
    <row r="1203" spans="1:8" s="95" customFormat="1" x14ac:dyDescent="0.2">
      <c r="A1203" s="57"/>
      <c r="B1203" s="114" t="s">
        <v>454</v>
      </c>
      <c r="C1203" s="115">
        <f>('Key Financials'!C10/'Key Financials'!C5)*100</f>
        <v>0</v>
      </c>
      <c r="D1203" s="115">
        <f>('Key Financials'!D10/'Key Financials'!D5)*100</f>
        <v>-33.576000000000001</v>
      </c>
      <c r="E1203" s="115">
        <f>('Key Financials'!E10/'Key Financials'!E5)*100</f>
        <v>-18.564</v>
      </c>
      <c r="F1203" s="115">
        <f>('Key Financials'!F10/'Key Financials'!F5)*100</f>
        <v>-11.858898137138327</v>
      </c>
      <c r="G1203" s="115">
        <f>('Key Financials'!G10/'Key Financials'!G5)*100</f>
        <v>-6.7732535244545948</v>
      </c>
      <c r="H1203" s="342"/>
    </row>
    <row r="1204" spans="1:8" s="95" customFormat="1" x14ac:dyDescent="0.2">
      <c r="A1204" s="57"/>
      <c r="B1204" s="114" t="s">
        <v>455</v>
      </c>
      <c r="C1204" s="44">
        <f>'Key Financials'!C45-'Key Financials'!C46</f>
        <v>0.18</v>
      </c>
      <c r="D1204" s="44">
        <f>'Key Financials'!D45-'Key Financials'!D46</f>
        <v>0.18</v>
      </c>
      <c r="E1204" s="44">
        <f>'Key Financials'!E45-'Key Financials'!E46</f>
        <v>0</v>
      </c>
      <c r="F1204" s="44">
        <f>'Key Financials'!F45-'Key Financials'!F46</f>
        <v>0</v>
      </c>
      <c r="G1204" s="44">
        <f>'Key Financials'!G45-'Key Financials'!G46</f>
        <v>0.17</v>
      </c>
      <c r="H1204" s="342"/>
    </row>
    <row r="1205" spans="1:8" s="95" customFormat="1" x14ac:dyDescent="0.2">
      <c r="A1205" s="57"/>
      <c r="B1205" s="114" t="s">
        <v>456</v>
      </c>
      <c r="C1205" s="115">
        <f>(('Restated Financials'!C61+'Restated Financials'!C34)/'Restated Financials'!C8)*100</f>
        <v>-30.319999999999997</v>
      </c>
      <c r="D1205" s="115">
        <f>(('Restated Financials'!D61+'Restated Financials'!D34)/'Restated Financials'!D8)*100</f>
        <v>-56.64</v>
      </c>
      <c r="E1205" s="115">
        <f>(('Restated Financials'!E61+'Restated Financials'!E34)/'Restated Financials'!E8)*100</f>
        <v>-81.88</v>
      </c>
      <c r="F1205" s="115">
        <f>(('Restated Financials'!F61+'Restated Financials'!F34)/'Restated Financials'!F8)*100</f>
        <v>-106.06420927467302</v>
      </c>
      <c r="G1205" s="115">
        <f>(('Restated Financials'!G61+'Restated Financials'!G34)/'Restated Financials'!G8)*100</f>
        <v>-123.90092147751437</v>
      </c>
      <c r="H1205" s="342"/>
    </row>
    <row r="1206" spans="1:8" s="95" customFormat="1" x14ac:dyDescent="0.2">
      <c r="A1206" s="57"/>
      <c r="B1206" s="114" t="s">
        <v>457</v>
      </c>
      <c r="C1206" s="44">
        <f>('Key Financials'!C14/'Key Financials'!C5)*100</f>
        <v>-30.8</v>
      </c>
      <c r="D1206" s="44">
        <f>('Key Financials'!D14/'Key Financials'!D5)*100</f>
        <v>-58.48</v>
      </c>
      <c r="E1206" s="44">
        <f>('Key Financials'!E14/'Key Financials'!E5)*100</f>
        <v>-85</v>
      </c>
      <c r="F1206" s="44">
        <f>('Key Financials'!F14/'Key Financials'!F5)*100</f>
        <v>-112.60404280618313</v>
      </c>
      <c r="G1206" s="44">
        <f>('Key Financials'!G14/'Key Financials'!G5)*100</f>
        <v>-131.99968496495237</v>
      </c>
      <c r="H1206" s="342"/>
    </row>
    <row r="1207" spans="1:8" s="95" customFormat="1" x14ac:dyDescent="0.2">
      <c r="A1207" s="57"/>
      <c r="B1207" s="114" t="s">
        <v>458</v>
      </c>
      <c r="C1207" s="44" t="e">
        <f>IF(('Restated Financials'!C154-'Restated Financials'!B154)&gt;0,('Restated Financials'!C154-'Restated Financials'!B154),0)</f>
        <v>#VALUE!</v>
      </c>
      <c r="D1207" s="44">
        <f>IF(('Restated Financials'!D154-'Restated Financials'!C154)&gt;0,('Restated Financials'!D154-'Restated Financials'!C154),0)</f>
        <v>305</v>
      </c>
      <c r="E1207" s="44">
        <f>IF(('Restated Financials'!E154-'Restated Financials'!D154)&gt;0,('Restated Financials'!E154-'Restated Financials'!D154),0)</f>
        <v>242</v>
      </c>
      <c r="F1207" s="44">
        <f>IF(('Restated Financials'!F154-'Restated Financials'!E154)&gt;0,('Restated Financials'!F154-'Restated Financials'!E154),0)</f>
        <v>345</v>
      </c>
      <c r="G1207" s="44">
        <f>IF(('Restated Financials'!G154-'Restated Financials'!F154)&gt;0,('Restated Financials'!G154-'Restated Financials'!F154),0)</f>
        <v>749.6400000000001</v>
      </c>
      <c r="H1207" s="342"/>
    </row>
    <row r="1208" spans="1:8" s="95" customFormat="1" x14ac:dyDescent="0.2">
      <c r="A1208" s="57"/>
      <c r="B1208" s="114" t="s">
        <v>474</v>
      </c>
      <c r="C1208" s="44" t="e">
        <f>'Key Financials'!C52-'Key Financials'!B52</f>
        <v>#VALUE!</v>
      </c>
      <c r="D1208" s="44">
        <f>'Key Financials'!D52-'Key Financials'!C52</f>
        <v>-0.88999999999999968</v>
      </c>
      <c r="E1208" s="44">
        <f>'Key Financials'!E52-'Key Financials'!D52</f>
        <v>-1.0000000000000002</v>
      </c>
      <c r="F1208" s="44">
        <f>'Key Financials'!F52-'Key Financials'!E52</f>
        <v>-0.35999999999999988</v>
      </c>
      <c r="G1208" s="44">
        <f>'Key Financials'!G52-'Key Financials'!F52</f>
        <v>0.5</v>
      </c>
      <c r="H1208" s="342"/>
    </row>
    <row r="1209" spans="1:8" s="95" customFormat="1" x14ac:dyDescent="0.2">
      <c r="A1209" s="57"/>
      <c r="B1209" s="114" t="s">
        <v>460</v>
      </c>
      <c r="C1209" s="44">
        <f>'Restated Financials'!C8/'Restated Financials'!C170</f>
        <v>3.4246575342465753</v>
      </c>
      <c r="D1209" s="44">
        <f>'Restated Financials'!D8/'Restated Financials'!D170</f>
        <v>2.358490566037736</v>
      </c>
      <c r="E1209" s="44" t="e">
        <f>'Restated Financials'!E8/'Restated Financials'!E170</f>
        <v>#DIV/0!</v>
      </c>
      <c r="F1209" s="44" t="e">
        <f>'Restated Financials'!F8/'Restated Financials'!F170</f>
        <v>#DIV/0!</v>
      </c>
      <c r="G1209" s="44">
        <f>'Restated Financials'!G8/'Restated Financials'!G170</f>
        <v>1.3171845012708128</v>
      </c>
      <c r="H1209" s="342"/>
    </row>
    <row r="1210" spans="1:8" s="1" customFormat="1" x14ac:dyDescent="0.2">
      <c r="A1210" s="57"/>
      <c r="B1210" s="63" t="s">
        <v>461</v>
      </c>
      <c r="C1210" s="28">
        <f>'Restated Financials'!C112+'Restated Financials'!C113</f>
        <v>207</v>
      </c>
      <c r="D1210" s="28">
        <f>'Restated Financials'!D112+'Restated Financials'!D113</f>
        <v>202</v>
      </c>
      <c r="E1210" s="28">
        <f>'Restated Financials'!E112+'Restated Financials'!E113</f>
        <v>201</v>
      </c>
      <c r="F1210" s="28">
        <f>'Restated Financials'!F112+'Restated Financials'!F113</f>
        <v>293</v>
      </c>
      <c r="G1210" s="28">
        <f>'Restated Financials'!G112+'Restated Financials'!G113</f>
        <v>69.73</v>
      </c>
      <c r="H1210" s="246"/>
    </row>
    <row r="1211" spans="1:8" s="1" customFormat="1" x14ac:dyDescent="0.2">
      <c r="A1211" s="57"/>
      <c r="B1211" s="63" t="s">
        <v>462</v>
      </c>
      <c r="C1211" s="28" t="e">
        <f>C1210-B1210</f>
        <v>#VALUE!</v>
      </c>
      <c r="D1211" s="28">
        <f>D1210-C1210</f>
        <v>-5</v>
      </c>
      <c r="E1211" s="28">
        <f>E1210-D1210</f>
        <v>-1</v>
      </c>
      <c r="F1211" s="28">
        <f>F1210-E1210</f>
        <v>92</v>
      </c>
      <c r="G1211" s="28">
        <f>G1210-F1210</f>
        <v>-223.26999999999998</v>
      </c>
      <c r="H1211" s="246"/>
    </row>
    <row r="1212" spans="1:8" s="1" customFormat="1" x14ac:dyDescent="0.2">
      <c r="A1212" s="57"/>
      <c r="B1212" s="63" t="s">
        <v>463</v>
      </c>
      <c r="C1212" s="28" t="e">
        <f>'Restated Financials'!C187-'Restated Financials'!B187</f>
        <v>#VALUE!</v>
      </c>
      <c r="D1212" s="28">
        <f>'Restated Financials'!D187-'Restated Financials'!C187</f>
        <v>31</v>
      </c>
      <c r="E1212" s="28">
        <f>'Restated Financials'!E187-'Restated Financials'!D187</f>
        <v>-107</v>
      </c>
      <c r="F1212" s="28">
        <f>'Restated Financials'!F187-'Restated Financials'!E187</f>
        <v>-9</v>
      </c>
      <c r="G1212" s="28">
        <f>'Restated Financials'!G187-'Restated Financials'!F187</f>
        <v>197.76</v>
      </c>
      <c r="H1212" s="246"/>
    </row>
    <row r="1213" spans="1:8" s="1" customFormat="1" x14ac:dyDescent="0.2">
      <c r="A1213" s="57"/>
      <c r="B1213" s="63" t="s">
        <v>464</v>
      </c>
      <c r="C1213" s="28" t="e">
        <f>(('Restated Financials'!C140-'Restated Financials'!C112-'Restated Financials'!C113)-('Restated Financials'!B140-'Restated Financials'!B112-'Restated Financials'!B113))</f>
        <v>#VALUE!</v>
      </c>
      <c r="D1213" s="28">
        <f>(('Restated Financials'!D140-'Restated Financials'!D112-'Restated Financials'!D113)-('Restated Financials'!C140-'Restated Financials'!C112-'Restated Financials'!C113))</f>
        <v>166</v>
      </c>
      <c r="E1213" s="28">
        <f>(('Restated Financials'!E140-'Restated Financials'!E112-'Restated Financials'!E113)-('Restated Financials'!D140-'Restated Financials'!D112-'Restated Financials'!D113))</f>
        <v>-5</v>
      </c>
      <c r="F1213" s="28">
        <f>(('Restated Financials'!F140-'Restated Financials'!F112-'Restated Financials'!F113)-('Restated Financials'!E140-'Restated Financials'!E112-'Restated Financials'!E113))</f>
        <v>-28</v>
      </c>
      <c r="G1213" s="28">
        <f>(('Restated Financials'!G140-'Restated Financials'!G112-'Restated Financials'!G113)-('Restated Financials'!F140-'Restated Financials'!F112-'Restated Financials'!F113))</f>
        <v>694.37999999999988</v>
      </c>
      <c r="H1213" s="246"/>
    </row>
    <row r="1214" spans="1:8" s="1" customFormat="1" x14ac:dyDescent="0.2">
      <c r="A1214" s="57"/>
      <c r="B1214" s="63" t="s">
        <v>468</v>
      </c>
      <c r="C1214" s="116" t="e">
        <f>IF(C1212&gt;0,(C1212/'Restated Financials'!B187)*100," ")</f>
        <v>#VALUE!</v>
      </c>
      <c r="D1214" s="116">
        <f>IF(D1212&gt;0,(D1212/'Restated Financials'!C187)*100," ")</f>
        <v>17.613636363636363</v>
      </c>
      <c r="E1214" s="116" t="str">
        <f>IF(E1212&gt;0,(E1212/'Restated Financials'!D187)*100," ")</f>
        <v xml:space="preserve"> </v>
      </c>
      <c r="F1214" s="116" t="str">
        <f>IF(F1212&gt;0,(F1212/'Restated Financials'!E187)*100," ")</f>
        <v xml:space="preserve"> </v>
      </c>
      <c r="G1214" s="116">
        <f>IF(G1212&gt;0,(G1212/'Restated Financials'!F187)*100," ")</f>
        <v>217.31868131868134</v>
      </c>
      <c r="H1214" s="246"/>
    </row>
    <row r="1215" spans="1:8" s="1" customFormat="1" x14ac:dyDescent="0.2">
      <c r="A1215" s="57"/>
      <c r="B1215" s="63" t="s">
        <v>469</v>
      </c>
      <c r="C1215" s="116" t="e">
        <f>IF(C1213&gt;0,(C1213/('Restated Financials'!B140-'Restated Financials'!B112-'Restated Financials'!B113))*100," ")</f>
        <v>#VALUE!</v>
      </c>
      <c r="D1215" s="116">
        <f>IF(D1213&gt;0,(D1213/('Restated Financials'!C140-'Restated Financials'!C112-'Restated Financials'!C113))*100," ")</f>
        <v>80.582524271844662</v>
      </c>
      <c r="E1215" s="116" t="str">
        <f>IF(E1213&gt;0,(E1213/('Restated Financials'!D140-'Restated Financials'!D112-'Restated Financials'!D113))*100," ")</f>
        <v xml:space="preserve"> </v>
      </c>
      <c r="F1215" s="116" t="str">
        <f>IF(F1213&gt;0,(F1213/('Restated Financials'!E140-'Restated Financials'!E112-'Restated Financials'!E113))*100," ")</f>
        <v xml:space="preserve"> </v>
      </c>
      <c r="G1215" s="116">
        <f>IF(G1213&gt;0,(G1213/('Restated Financials'!F140-'Restated Financials'!F112-'Restated Financials'!F113))*100," ")</f>
        <v>204.83185840707964</v>
      </c>
      <c r="H1215" s="246"/>
    </row>
    <row r="1216" spans="1:8" s="1" customFormat="1" x14ac:dyDescent="0.2">
      <c r="A1216" s="57"/>
      <c r="B1216" s="63" t="s">
        <v>471</v>
      </c>
      <c r="C1216" s="116" t="e">
        <f>IF(C1212&lt;0,-(C1212/'Restated Financials'!B187)*100," ")</f>
        <v>#VALUE!</v>
      </c>
      <c r="D1216" s="116" t="str">
        <f>IF(D1212&lt;0,-(D1212/'Restated Financials'!C187)*100," ")</f>
        <v xml:space="preserve"> </v>
      </c>
      <c r="E1216" s="116">
        <f>IF(E1212&lt;0,-(E1212/'Restated Financials'!D187)*100," ")</f>
        <v>51.690821256038646</v>
      </c>
      <c r="F1216" s="116">
        <f>IF(F1212&lt;0,-(F1212/'Restated Financials'!E187)*100," ")</f>
        <v>9</v>
      </c>
      <c r="G1216" s="116" t="str">
        <f>IF(G1212&lt;0,-(G1212/'Restated Financials'!F187)*100," ")</f>
        <v xml:space="preserve"> </v>
      </c>
      <c r="H1216" s="246"/>
    </row>
    <row r="1217" spans="1:8" s="1" customFormat="1" x14ac:dyDescent="0.2">
      <c r="A1217" s="57"/>
      <c r="B1217" s="63" t="s">
        <v>470</v>
      </c>
      <c r="C1217" s="116" t="e">
        <f>IF(C1213&lt;0,-(C1213/('Restated Financials'!B140-'Restated Financials'!B112-'Restated Financials'!B113))*100," ")</f>
        <v>#VALUE!</v>
      </c>
      <c r="D1217" s="116" t="str">
        <f>IF(D1213&lt;0,-(D1213/('Restated Financials'!C140-'Restated Financials'!C112-'Restated Financials'!C113))*100," ")</f>
        <v xml:space="preserve"> </v>
      </c>
      <c r="E1217" s="116">
        <f>IF(E1213&lt;0,-(E1213/('Restated Financials'!D140-'Restated Financials'!D112-'Restated Financials'!D113))*100," ")</f>
        <v>1.3440860215053763</v>
      </c>
      <c r="F1217" s="116">
        <f>IF(F1213&lt;0,-(F1213/('Restated Financials'!E140-'Restated Financials'!E112-'Restated Financials'!E113))*100," ")</f>
        <v>7.6294277929155312</v>
      </c>
      <c r="G1217" s="116" t="str">
        <f>IF(G1213&lt;0,-(G1213/('Restated Financials'!F140-'Restated Financials'!F112-'Restated Financials'!F113))*100," ")</f>
        <v xml:space="preserve"> </v>
      </c>
      <c r="H1217" s="246"/>
    </row>
    <row r="1218" spans="1:8" s="1" customFormat="1" x14ac:dyDescent="0.2">
      <c r="A1218" s="57"/>
      <c r="B1218" s="63" t="s">
        <v>472</v>
      </c>
      <c r="C1218" s="116" t="e">
        <f>IF(C1211&gt;0,(C1211/('Restated Financials'!B112+'Restated Financials'!B113))*100," ")</f>
        <v>#VALUE!</v>
      </c>
      <c r="D1218" s="116" t="str">
        <f>IF(D1211&gt;0,(D1211/('Restated Financials'!C112+'Restated Financials'!C113))*100," ")</f>
        <v xml:space="preserve"> </v>
      </c>
      <c r="E1218" s="116" t="str">
        <f>IF(E1211&gt;0,(E1211/('Restated Financials'!D112+'Restated Financials'!D113))*100," ")</f>
        <v xml:space="preserve"> </v>
      </c>
      <c r="F1218" s="116">
        <f>IF(F1211&gt;0,(F1211/('Restated Financials'!E112+'Restated Financials'!E113))*100," ")</f>
        <v>45.771144278606968</v>
      </c>
      <c r="G1218" s="116" t="str">
        <f>IF(G1211&gt;0,(G1211/('Restated Financials'!F112+'Restated Financials'!F113))*100," ")</f>
        <v xml:space="preserve"> </v>
      </c>
      <c r="H1218" s="246"/>
    </row>
    <row r="1219" spans="1:8" s="1" customFormat="1" x14ac:dyDescent="0.2">
      <c r="A1219" s="57"/>
      <c r="B1219" s="63" t="s">
        <v>473</v>
      </c>
      <c r="C1219" s="116" t="e">
        <f>IF(C1211&lt;0,-(C1211/('Restated Financials'!B112+'Restated Financials'!B113))*100," ")</f>
        <v>#VALUE!</v>
      </c>
      <c r="D1219" s="116">
        <f>IF(D1211&lt;0,-(D1211/('Restated Financials'!C112+'Restated Financials'!C113))*100," ")</f>
        <v>2.4154589371980677</v>
      </c>
      <c r="E1219" s="116">
        <f>IF(E1211&lt;0,-(E1211/('Restated Financials'!D112+'Restated Financials'!D113))*100," ")</f>
        <v>0.49504950495049505</v>
      </c>
      <c r="F1219" s="116" t="str">
        <f>IF(F1211&lt;0,-(F1211/('Restated Financials'!E112+'Restated Financials'!E113))*100," ")</f>
        <v xml:space="preserve"> </v>
      </c>
      <c r="G1219" s="116">
        <f>IF(G1211&lt;0,-(G1211/('Restated Financials'!F112+'Restated Financials'!F113))*100," ")</f>
        <v>76.201365187713293</v>
      </c>
      <c r="H1219" s="246"/>
    </row>
    <row r="1220" spans="1:8" s="1" customFormat="1" x14ac:dyDescent="0.2">
      <c r="A1220" s="57"/>
      <c r="B1220" s="63" t="s">
        <v>475</v>
      </c>
      <c r="C1220" s="28" t="e">
        <f>IF(C1211&gt;0,C1211," ")</f>
        <v>#VALUE!</v>
      </c>
      <c r="D1220" s="28" t="str">
        <f>IF(D1211&gt;0,D1211," ")</f>
        <v xml:space="preserve"> </v>
      </c>
      <c r="E1220" s="28" t="str">
        <f>IF(E1211&gt;0,E1211," ")</f>
        <v xml:space="preserve"> </v>
      </c>
      <c r="F1220" s="28">
        <f>IF(F1211&gt;0,F1211," ")</f>
        <v>92</v>
      </c>
      <c r="G1220" s="28" t="str">
        <f>IF(G1211&gt;0,G1211," ")</f>
        <v xml:space="preserve"> </v>
      </c>
      <c r="H1220" s="246"/>
    </row>
    <row r="1221" spans="1:8" s="1" customFormat="1" x14ac:dyDescent="0.2">
      <c r="A1221" s="57"/>
      <c r="B1221" s="63" t="s">
        <v>476</v>
      </c>
      <c r="C1221" s="28" t="e">
        <f>IF(C1211&lt;0,-(C1211)," ")</f>
        <v>#VALUE!</v>
      </c>
      <c r="D1221" s="28">
        <f>IF(D1211&lt;0,-(D1211)," ")</f>
        <v>5</v>
      </c>
      <c r="E1221" s="28">
        <f>IF(E1211&lt;0,-(E1211)," ")</f>
        <v>1</v>
      </c>
      <c r="F1221" s="28" t="str">
        <f>IF(F1211&lt;0,-(F1211)," ")</f>
        <v xml:space="preserve"> </v>
      </c>
      <c r="G1221" s="28">
        <f>IF(G1211&lt;0,-(G1211)," ")</f>
        <v>223.26999999999998</v>
      </c>
      <c r="H1221" s="246"/>
    </row>
    <row r="1222" spans="1:8" s="1" customFormat="1" x14ac:dyDescent="0.2">
      <c r="A1222" s="57"/>
      <c r="B1222" s="63" t="s">
        <v>467</v>
      </c>
      <c r="C1222" s="43" t="e">
        <f>IF(C1212&gt;0,C1212," ")</f>
        <v>#VALUE!</v>
      </c>
      <c r="D1222" s="43">
        <f>IF(D1212&gt;0,D1212," ")</f>
        <v>31</v>
      </c>
      <c r="E1222" s="43" t="str">
        <f>IF(E1212&gt;0,E1212," ")</f>
        <v xml:space="preserve"> </v>
      </c>
      <c r="F1222" s="43" t="str">
        <f>IF(F1212&gt;0,F1212," ")</f>
        <v xml:space="preserve"> </v>
      </c>
      <c r="G1222" s="43">
        <f>IF(G1212&gt;0,G1212," ")</f>
        <v>197.76</v>
      </c>
      <c r="H1222" s="246"/>
    </row>
    <row r="1223" spans="1:8" s="1" customFormat="1" x14ac:dyDescent="0.2">
      <c r="A1223" s="57"/>
      <c r="B1223" s="63" t="s">
        <v>477</v>
      </c>
      <c r="C1223" s="43" t="e">
        <f>IF(C1212&lt;0,-(C1212)," ")</f>
        <v>#VALUE!</v>
      </c>
      <c r="D1223" s="43" t="str">
        <f>IF(D1212&lt;0,-(D1212)," ")</f>
        <v xml:space="preserve"> </v>
      </c>
      <c r="E1223" s="43">
        <f>IF(E1212&lt;0,-(E1212)," ")</f>
        <v>107</v>
      </c>
      <c r="F1223" s="43">
        <f>IF(F1212&lt;0,-(F1212)," ")</f>
        <v>9</v>
      </c>
      <c r="G1223" s="43" t="str">
        <f>IF(G1212&lt;0,-(G1212)," ")</f>
        <v xml:space="preserve"> </v>
      </c>
      <c r="H1223" s="246"/>
    </row>
    <row r="1224" spans="1:8" s="1" customFormat="1" x14ac:dyDescent="0.2">
      <c r="A1224" s="57"/>
      <c r="B1224" s="63" t="s">
        <v>478</v>
      </c>
      <c r="C1224" s="43" t="e">
        <f>IF(C1213&gt;0,(C1213)," ")</f>
        <v>#VALUE!</v>
      </c>
      <c r="D1224" s="43">
        <f>IF(D1213&gt;0,(D1213)," ")</f>
        <v>166</v>
      </c>
      <c r="E1224" s="43" t="str">
        <f>IF(E1213&gt;0,(E1213)," ")</f>
        <v xml:space="preserve"> </v>
      </c>
      <c r="F1224" s="43" t="str">
        <f>IF(F1213&gt;0,(F1213)," ")</f>
        <v xml:space="preserve"> </v>
      </c>
      <c r="G1224" s="43">
        <f>IF(G1213&gt;0,(G1213)," ")</f>
        <v>694.37999999999988</v>
      </c>
      <c r="H1224" s="246"/>
    </row>
    <row r="1225" spans="1:8" s="1" customFormat="1" x14ac:dyDescent="0.2">
      <c r="A1225" s="57"/>
      <c r="B1225" s="63" t="s">
        <v>479</v>
      </c>
      <c r="C1225" s="43" t="e">
        <f>IF(C1213&lt;0,-(C1213)," ")</f>
        <v>#VALUE!</v>
      </c>
      <c r="D1225" s="43" t="str">
        <f>IF(D1213&lt;0,-(D1213)," ")</f>
        <v xml:space="preserve"> </v>
      </c>
      <c r="E1225" s="43">
        <f>IF(E1213&lt;0,-(E1213)," ")</f>
        <v>5</v>
      </c>
      <c r="F1225" s="43">
        <f>IF(F1213&lt;0,-(F1213)," ")</f>
        <v>28</v>
      </c>
      <c r="G1225" s="43" t="str">
        <f>IF(G1213&lt;0,-(G1213)," ")</f>
        <v xml:space="preserve"> </v>
      </c>
      <c r="H1225" s="246"/>
    </row>
    <row r="1226" spans="1:8" s="1" customFormat="1" x14ac:dyDescent="0.2">
      <c r="A1226" s="57"/>
      <c r="B1226" s="63" t="s">
        <v>459</v>
      </c>
      <c r="C1226" s="43" t="e">
        <f>IF(C1208&gt;0,C1208," ")</f>
        <v>#VALUE!</v>
      </c>
      <c r="D1226" s="43" t="str">
        <f>IF(D1208&gt;0,D1208," ")</f>
        <v xml:space="preserve"> </v>
      </c>
      <c r="E1226" s="43" t="str">
        <f>IF(E1208&gt;0,E1208," ")</f>
        <v xml:space="preserve"> </v>
      </c>
      <c r="F1226" s="43" t="str">
        <f>IF(F1208&gt;0,F1208," ")</f>
        <v xml:space="preserve"> </v>
      </c>
      <c r="G1226" s="43">
        <f>IF(G1208&gt;0,G1208," ")</f>
        <v>0.5</v>
      </c>
      <c r="H1226" s="246"/>
    </row>
    <row r="1227" spans="1:8" s="1" customFormat="1" x14ac:dyDescent="0.2">
      <c r="A1227" s="57"/>
      <c r="B1227" s="63" t="s">
        <v>480</v>
      </c>
      <c r="C1227" s="43" t="e">
        <f>IF(C1208&lt;0,-C1208," ")</f>
        <v>#VALUE!</v>
      </c>
      <c r="D1227" s="43">
        <f>IF(D1208&lt;0,-D1208," ")</f>
        <v>0.88999999999999968</v>
      </c>
      <c r="E1227" s="43">
        <f>IF(E1208&lt;0,-E1208," ")</f>
        <v>1.0000000000000002</v>
      </c>
      <c r="F1227" s="43">
        <f>IF(F1208&lt;0,-F1208," ")</f>
        <v>0.35999999999999988</v>
      </c>
      <c r="G1227" s="43" t="str">
        <f>IF(G1208&lt;0,-G1208," ")</f>
        <v xml:space="preserve"> </v>
      </c>
      <c r="H1227" s="246"/>
    </row>
    <row r="1228" spans="1:8" s="1" customFormat="1" x14ac:dyDescent="0.2">
      <c r="A1228" s="57"/>
      <c r="B1228" s="63" t="s">
        <v>483</v>
      </c>
      <c r="C1228" s="43" t="e">
        <f>'Restated Financials'!C52-'Restated Financials'!B52</f>
        <v>#VALUE!</v>
      </c>
      <c r="D1228" s="43">
        <f>'Restated Financials'!D52-'Restated Financials'!C52</f>
        <v>0.69999999999999973</v>
      </c>
      <c r="E1228" s="43">
        <f>'Restated Financials'!E52-'Restated Financials'!D52</f>
        <v>2.1000000000000005</v>
      </c>
      <c r="F1228" s="43">
        <f>'Restated Financials'!F52-'Restated Financials'!E52</f>
        <v>-0.70000000000000018</v>
      </c>
      <c r="G1228" s="43">
        <f>'Restated Financials'!G52-'Restated Financials'!F52</f>
        <v>0.13999999999999968</v>
      </c>
      <c r="H1228" s="246"/>
    </row>
    <row r="1229" spans="1:8" s="1" customFormat="1" x14ac:dyDescent="0.2">
      <c r="A1229" s="57"/>
      <c r="B1229" s="63" t="s">
        <v>481</v>
      </c>
      <c r="C1229" s="117" t="e">
        <f>IF(C1228&gt;0,(C1228/'Restated Financials'!B52)," ")</f>
        <v>#VALUE!</v>
      </c>
      <c r="D1229" s="117">
        <f>IF(D1228&gt;0,(D1228/'Restated Financials'!C52)," ")</f>
        <v>0.43749999999999983</v>
      </c>
      <c r="E1229" s="117">
        <f>IF(E1228&gt;0,(E1228/'Restated Financials'!D52)," ")</f>
        <v>0.91304347826086985</v>
      </c>
      <c r="F1229" s="117" t="str">
        <f>IF(F1228&gt;0,(F1228/'Restated Financials'!E52)," ")</f>
        <v xml:space="preserve"> </v>
      </c>
      <c r="G1229" s="117">
        <f>IF(G1228&gt;0,(G1228/'Restated Financials'!F52)," ")</f>
        <v>3.783783783783775E-2</v>
      </c>
      <c r="H1229" s="246"/>
    </row>
    <row r="1230" spans="1:8" s="1" customFormat="1" x14ac:dyDescent="0.2">
      <c r="A1230" s="57"/>
      <c r="B1230" s="63" t="s">
        <v>482</v>
      </c>
      <c r="C1230" s="117" t="e">
        <f>IF(C1228&lt;0,-(C1228/'Restated Financials'!B52)," ")</f>
        <v>#VALUE!</v>
      </c>
      <c r="D1230" s="117" t="str">
        <f>IF(D1228&lt;0,-(D1228/'Restated Financials'!C52)," ")</f>
        <v xml:space="preserve"> </v>
      </c>
      <c r="E1230" s="117" t="str">
        <f>IF(E1228&lt;0,-(E1228/'Restated Financials'!D52)," ")</f>
        <v xml:space="preserve"> </v>
      </c>
      <c r="F1230" s="117">
        <f>IF(F1228&lt;0,-(F1228/'Restated Financials'!E52)," ")</f>
        <v>0.15909090909090912</v>
      </c>
      <c r="G1230" s="117" t="str">
        <f>IF(G1228&lt;0,-(G1228/'Restated Financials'!F52)," ")</f>
        <v xml:space="preserve"> </v>
      </c>
      <c r="H1230" s="246"/>
    </row>
    <row r="1231" spans="1:8" s="1" customFormat="1" x14ac:dyDescent="0.2">
      <c r="A1231" s="57"/>
      <c r="B1231" s="118" t="s">
        <v>465</v>
      </c>
      <c r="C1231" s="119"/>
      <c r="D1231" s="119"/>
      <c r="E1231" s="119"/>
      <c r="F1231" s="119"/>
      <c r="G1231" s="119"/>
      <c r="H1231" s="246"/>
    </row>
    <row r="1232" spans="1:8" s="121" customFormat="1" x14ac:dyDescent="0.2">
      <c r="A1232" s="120"/>
      <c r="B1232" s="118" t="s">
        <v>466</v>
      </c>
      <c r="C1232" s="119"/>
      <c r="D1232" s="119"/>
      <c r="E1232" s="119"/>
      <c r="F1232" s="119"/>
      <c r="G1232" s="119"/>
      <c r="H1232" s="343"/>
    </row>
    <row r="1233" spans="1:8" s="121" customFormat="1" x14ac:dyDescent="0.2">
      <c r="A1233" s="120"/>
      <c r="B1233" s="118" t="s">
        <v>484</v>
      </c>
      <c r="C1233" s="119"/>
      <c r="D1233" s="119"/>
      <c r="E1233" s="119"/>
      <c r="F1233" s="119"/>
      <c r="G1233" s="119"/>
      <c r="H1233" s="343"/>
    </row>
    <row r="1234" spans="1:8" s="121" customFormat="1" x14ac:dyDescent="0.2">
      <c r="A1234" s="120"/>
      <c r="B1234" s="63" t="s">
        <v>494</v>
      </c>
      <c r="C1234" s="43">
        <v>0</v>
      </c>
      <c r="D1234" s="43">
        <v>0</v>
      </c>
      <c r="E1234" s="43">
        <v>0</v>
      </c>
      <c r="F1234" s="43">
        <v>0</v>
      </c>
      <c r="G1234" s="43">
        <v>0</v>
      </c>
      <c r="H1234" s="343"/>
    </row>
    <row r="1235" spans="1:8" s="121" customFormat="1" x14ac:dyDescent="0.2">
      <c r="A1235" s="120"/>
      <c r="B1235" s="63" t="s">
        <v>495</v>
      </c>
      <c r="C1235" s="43">
        <v>0</v>
      </c>
      <c r="D1235" s="43">
        <v>0</v>
      </c>
      <c r="E1235" s="43">
        <v>0</v>
      </c>
      <c r="F1235" s="43">
        <v>0</v>
      </c>
      <c r="G1235" s="43">
        <v>0</v>
      </c>
      <c r="H1235" s="343"/>
    </row>
    <row r="1236" spans="1:8" s="121" customFormat="1" x14ac:dyDescent="0.2">
      <c r="A1236" s="120"/>
      <c r="B1236" s="63" t="s">
        <v>496</v>
      </c>
      <c r="C1236" s="43">
        <v>0</v>
      </c>
      <c r="D1236" s="43">
        <v>0</v>
      </c>
      <c r="E1236" s="43">
        <v>0</v>
      </c>
      <c r="F1236" s="43">
        <v>0</v>
      </c>
      <c r="G1236" s="43">
        <v>0</v>
      </c>
      <c r="H1236" s="343"/>
    </row>
    <row r="1237" spans="1:8" s="121" customFormat="1" x14ac:dyDescent="0.2">
      <c r="A1237" s="120"/>
      <c r="B1237" s="63" t="s">
        <v>497</v>
      </c>
      <c r="C1237" s="43">
        <v>0</v>
      </c>
      <c r="D1237" s="43">
        <v>0</v>
      </c>
      <c r="E1237" s="43">
        <v>0</v>
      </c>
      <c r="F1237" s="43">
        <v>0</v>
      </c>
      <c r="G1237" s="43">
        <v>0</v>
      </c>
      <c r="H1237" s="343"/>
    </row>
    <row r="1238" spans="1:8" s="121" customFormat="1" x14ac:dyDescent="0.2">
      <c r="A1238" s="120"/>
      <c r="B1238" s="63" t="s">
        <v>498</v>
      </c>
      <c r="C1238" s="43">
        <v>0</v>
      </c>
      <c r="D1238" s="43">
        <v>0</v>
      </c>
      <c r="E1238" s="43">
        <v>0</v>
      </c>
      <c r="F1238" s="43">
        <v>0</v>
      </c>
      <c r="G1238" s="43">
        <v>0</v>
      </c>
      <c r="H1238" s="343"/>
    </row>
    <row r="1239" spans="1:8" s="121" customFormat="1" x14ac:dyDescent="0.2">
      <c r="A1239" s="120"/>
      <c r="B1239" s="122"/>
      <c r="C1239" s="119"/>
      <c r="D1239" s="119"/>
      <c r="E1239" s="119"/>
      <c r="F1239" s="119"/>
      <c r="G1239" s="119"/>
      <c r="H1239" s="343"/>
    </row>
    <row r="1240" spans="1:8" s="1" customFormat="1" x14ac:dyDescent="0.2">
      <c r="A1240" s="57"/>
      <c r="B1240" s="42"/>
      <c r="C1240" s="43"/>
      <c r="D1240" s="43"/>
      <c r="E1240" s="43"/>
      <c r="F1240" s="43"/>
      <c r="G1240" s="43"/>
      <c r="H1240" s="246"/>
    </row>
    <row r="1241" spans="1:8" s="1" customFormat="1" x14ac:dyDescent="0.2">
      <c r="A1241" s="57"/>
      <c r="B1241" s="42"/>
      <c r="C1241" s="43"/>
      <c r="D1241" s="43"/>
      <c r="E1241" s="43"/>
      <c r="F1241" s="43"/>
      <c r="G1241" s="43"/>
      <c r="H1241" s="246"/>
    </row>
    <row r="1242" spans="1:8" s="1" customFormat="1" x14ac:dyDescent="0.2">
      <c r="A1242" s="57"/>
      <c r="B1242" s="42"/>
      <c r="C1242" s="43"/>
      <c r="D1242" s="43"/>
      <c r="E1242" s="43"/>
      <c r="F1242" s="43"/>
      <c r="G1242" s="43"/>
      <c r="H1242" s="246"/>
    </row>
    <row r="1243" spans="1:8" s="1" customFormat="1" x14ac:dyDescent="0.2">
      <c r="A1243" s="57"/>
      <c r="B1243" s="42"/>
      <c r="C1243" s="43"/>
      <c r="D1243" s="43"/>
      <c r="E1243" s="43"/>
      <c r="F1243" s="43"/>
      <c r="G1243" s="43"/>
      <c r="H1243" s="246"/>
    </row>
    <row r="1244" spans="1:8" s="1" customFormat="1" x14ac:dyDescent="0.2">
      <c r="A1244" s="57"/>
      <c r="B1244" s="42" t="s">
        <v>492</v>
      </c>
      <c r="C1244" s="43"/>
      <c r="D1244" s="43"/>
      <c r="E1244" s="43"/>
      <c r="F1244" s="43"/>
      <c r="G1244" s="43"/>
      <c r="H1244" s="246"/>
    </row>
    <row r="1245" spans="1:8" s="1" customFormat="1" x14ac:dyDescent="0.2">
      <c r="A1245" s="57"/>
      <c r="B1245" s="42" t="s">
        <v>493</v>
      </c>
      <c r="C1245" s="43"/>
      <c r="D1245" s="43"/>
      <c r="E1245" s="43"/>
      <c r="F1245" s="43"/>
      <c r="G1245" s="43"/>
      <c r="H1245" s="246"/>
    </row>
    <row r="1246" spans="1:8" s="1" customFormat="1" x14ac:dyDescent="0.2">
      <c r="A1246" s="57"/>
      <c r="B1246" s="42"/>
      <c r="C1246" s="43"/>
      <c r="D1246" s="43"/>
      <c r="E1246" s="43"/>
      <c r="F1246" s="43"/>
      <c r="G1246" s="43"/>
      <c r="H1246" s="246"/>
    </row>
    <row r="1247" spans="1:8" s="1" customFormat="1" x14ac:dyDescent="0.2">
      <c r="A1247" s="57"/>
      <c r="B1247" s="42" t="s">
        <v>490</v>
      </c>
      <c r="C1247" s="40"/>
      <c r="D1247" s="43"/>
      <c r="E1247" s="43"/>
      <c r="F1247" s="43"/>
      <c r="G1247" s="43"/>
      <c r="H1247" s="246"/>
    </row>
    <row r="1248" spans="1:8" s="1" customFormat="1" x14ac:dyDescent="0.2">
      <c r="A1248" s="57"/>
      <c r="B1248" s="42" t="s">
        <v>491</v>
      </c>
      <c r="C1248" s="40"/>
      <c r="D1248" s="43"/>
      <c r="E1248" s="43"/>
      <c r="F1248" s="43"/>
      <c r="G1248" s="43"/>
      <c r="H1248" s="246"/>
    </row>
    <row r="1249" spans="1:8" s="1" customFormat="1" x14ac:dyDescent="0.2">
      <c r="A1249" s="42"/>
      <c r="B1249" s="42"/>
      <c r="C1249" s="43"/>
      <c r="D1249" s="43"/>
      <c r="E1249" s="43"/>
      <c r="F1249" s="43"/>
      <c r="G1249" s="43"/>
      <c r="H1249" s="246"/>
    </row>
    <row r="1250" spans="1:8" s="1" customFormat="1" x14ac:dyDescent="0.2">
      <c r="A1250" s="42"/>
      <c r="B1250" s="42"/>
      <c r="C1250" s="43"/>
      <c r="D1250" s="43"/>
      <c r="E1250" s="43"/>
      <c r="F1250" s="43"/>
      <c r="G1250" s="43"/>
      <c r="H1250" s="246"/>
    </row>
    <row r="1251" spans="1:8" s="1" customFormat="1" x14ac:dyDescent="0.2">
      <c r="H1251" s="246"/>
    </row>
    <row r="1252" spans="1:8" s="1" customFormat="1" x14ac:dyDescent="0.2">
      <c r="H1252" s="246"/>
    </row>
    <row r="1253" spans="1:8" s="1" customFormat="1" x14ac:dyDescent="0.2">
      <c r="H1253" s="246"/>
    </row>
    <row r="1254" spans="1:8" s="1" customFormat="1" x14ac:dyDescent="0.2">
      <c r="H1254" s="246"/>
    </row>
    <row r="1255" spans="1:8" s="1" customFormat="1" x14ac:dyDescent="0.2">
      <c r="H1255" s="246"/>
    </row>
    <row r="1256" spans="1:8" s="1" customFormat="1" x14ac:dyDescent="0.2">
      <c r="H1256" s="246"/>
    </row>
    <row r="1257" spans="1:8" s="1" customFormat="1" x14ac:dyDescent="0.2">
      <c r="H1257" s="246"/>
    </row>
    <row r="1258" spans="1:8" s="1" customFormat="1" x14ac:dyDescent="0.2">
      <c r="H1258" s="246"/>
    </row>
    <row r="1259" spans="1:8" s="1" customFormat="1" x14ac:dyDescent="0.2">
      <c r="H1259" s="246"/>
    </row>
    <row r="1260" spans="1:8" s="1" customFormat="1" x14ac:dyDescent="0.2">
      <c r="H1260" s="246"/>
    </row>
    <row r="1261" spans="1:8" s="1" customFormat="1" x14ac:dyDescent="0.2">
      <c r="H1261" s="246"/>
    </row>
    <row r="1262" spans="1:8" s="1" customFormat="1" x14ac:dyDescent="0.2">
      <c r="H1262" s="246"/>
    </row>
    <row r="1263" spans="1:8" s="1" customFormat="1" x14ac:dyDescent="0.2">
      <c r="H1263" s="246"/>
    </row>
    <row r="1264" spans="1:8" s="1" customFormat="1" x14ac:dyDescent="0.2">
      <c r="H1264" s="246"/>
    </row>
    <row r="1265" spans="8:8" s="1" customFormat="1" x14ac:dyDescent="0.2">
      <c r="H1265" s="246"/>
    </row>
    <row r="1266" spans="8:8" s="1" customFormat="1" x14ac:dyDescent="0.2">
      <c r="H1266" s="246"/>
    </row>
    <row r="1267" spans="8:8" s="1" customFormat="1" x14ac:dyDescent="0.2">
      <c r="H1267" s="246"/>
    </row>
    <row r="1268" spans="8:8" s="1" customFormat="1" x14ac:dyDescent="0.2">
      <c r="H1268" s="246"/>
    </row>
    <row r="1269" spans="8:8" s="1" customFormat="1" x14ac:dyDescent="0.2">
      <c r="H1269" s="246"/>
    </row>
    <row r="1270" spans="8:8" s="1" customFormat="1" x14ac:dyDescent="0.2">
      <c r="H1270" s="246"/>
    </row>
    <row r="1271" spans="8:8" s="1" customFormat="1" x14ac:dyDescent="0.2">
      <c r="H1271" s="246"/>
    </row>
    <row r="1272" spans="8:8" s="1" customFormat="1" x14ac:dyDescent="0.2">
      <c r="H1272" s="246"/>
    </row>
    <row r="1273" spans="8:8" s="1" customFormat="1" x14ac:dyDescent="0.2">
      <c r="H1273" s="246"/>
    </row>
    <row r="1274" spans="8:8" s="1" customFormat="1" x14ac:dyDescent="0.2">
      <c r="H1274" s="246"/>
    </row>
    <row r="1275" spans="8:8" s="1" customFormat="1" x14ac:dyDescent="0.2">
      <c r="H1275" s="246"/>
    </row>
    <row r="1276" spans="8:8" s="1" customFormat="1" x14ac:dyDescent="0.2">
      <c r="H1276" s="246"/>
    </row>
    <row r="1277" spans="8:8" s="1" customFormat="1" x14ac:dyDescent="0.2">
      <c r="H1277" s="246"/>
    </row>
    <row r="1278" spans="8:8" s="1" customFormat="1" x14ac:dyDescent="0.2">
      <c r="H1278" s="246"/>
    </row>
    <row r="1279" spans="8:8" s="1" customFormat="1" x14ac:dyDescent="0.2">
      <c r="H1279" s="246"/>
    </row>
    <row r="1280" spans="8:8" s="1" customFormat="1" x14ac:dyDescent="0.2">
      <c r="H1280" s="246"/>
    </row>
    <row r="1281" spans="8:8" s="1" customFormat="1" x14ac:dyDescent="0.2">
      <c r="H1281" s="246"/>
    </row>
    <row r="1282" spans="8:8" s="1" customFormat="1" x14ac:dyDescent="0.2">
      <c r="H1282" s="246"/>
    </row>
    <row r="1283" spans="8:8" s="1" customFormat="1" x14ac:dyDescent="0.2">
      <c r="H1283" s="246"/>
    </row>
    <row r="1284" spans="8:8" s="1" customFormat="1" x14ac:dyDescent="0.2">
      <c r="H1284" s="246"/>
    </row>
    <row r="1285" spans="8:8" s="1" customFormat="1" x14ac:dyDescent="0.2">
      <c r="H1285" s="246"/>
    </row>
    <row r="1286" spans="8:8" s="1" customFormat="1" x14ac:dyDescent="0.2">
      <c r="H1286" s="246"/>
    </row>
    <row r="1287" spans="8:8" s="1" customFormat="1" x14ac:dyDescent="0.2">
      <c r="H1287" s="246"/>
    </row>
    <row r="1288" spans="8:8" s="1" customFormat="1" x14ac:dyDescent="0.2">
      <c r="H1288" s="246"/>
    </row>
    <row r="1289" spans="8:8" s="1" customFormat="1" x14ac:dyDescent="0.2">
      <c r="H1289" s="246"/>
    </row>
    <row r="1290" spans="8:8" s="1" customFormat="1" x14ac:dyDescent="0.2">
      <c r="H1290" s="246"/>
    </row>
    <row r="1291" spans="8:8" s="1" customFormat="1" x14ac:dyDescent="0.2">
      <c r="H1291" s="246"/>
    </row>
    <row r="1292" spans="8:8" s="1" customFormat="1" x14ac:dyDescent="0.2">
      <c r="H1292" s="246"/>
    </row>
    <row r="1293" spans="8:8" s="1" customFormat="1" x14ac:dyDescent="0.2">
      <c r="H1293" s="246"/>
    </row>
    <row r="1294" spans="8:8" s="1" customFormat="1" x14ac:dyDescent="0.2">
      <c r="H1294" s="246"/>
    </row>
    <row r="1295" spans="8:8" s="1" customFormat="1" x14ac:dyDescent="0.2">
      <c r="H1295" s="246"/>
    </row>
    <row r="1296" spans="8:8" s="1" customFormat="1" x14ac:dyDescent="0.2">
      <c r="H1296" s="246"/>
    </row>
    <row r="1297" spans="8:8" s="1" customFormat="1" x14ac:dyDescent="0.2">
      <c r="H1297" s="246"/>
    </row>
    <row r="1298" spans="8:8" s="1" customFormat="1" x14ac:dyDescent="0.2">
      <c r="H1298" s="246"/>
    </row>
    <row r="1299" spans="8:8" s="1" customFormat="1" x14ac:dyDescent="0.2">
      <c r="H1299" s="246"/>
    </row>
    <row r="1300" spans="8:8" s="1" customFormat="1" x14ac:dyDescent="0.2">
      <c r="H1300" s="246"/>
    </row>
    <row r="1301" spans="8:8" s="1" customFormat="1" x14ac:dyDescent="0.2">
      <c r="H1301" s="246"/>
    </row>
    <row r="1302" spans="8:8" s="1" customFormat="1" x14ac:dyDescent="0.2">
      <c r="H1302" s="246"/>
    </row>
    <row r="1303" spans="8:8" s="1" customFormat="1" x14ac:dyDescent="0.2">
      <c r="H1303" s="246"/>
    </row>
    <row r="1304" spans="8:8" s="1" customFormat="1" x14ac:dyDescent="0.2">
      <c r="H1304" s="246"/>
    </row>
    <row r="1305" spans="8:8" s="1" customFormat="1" x14ac:dyDescent="0.2">
      <c r="H1305" s="246"/>
    </row>
    <row r="1306" spans="8:8" s="1" customFormat="1" x14ac:dyDescent="0.2">
      <c r="H1306" s="246"/>
    </row>
    <row r="1307" spans="8:8" s="1" customFormat="1" x14ac:dyDescent="0.2">
      <c r="H1307" s="246"/>
    </row>
    <row r="1308" spans="8:8" s="1" customFormat="1" x14ac:dyDescent="0.2">
      <c r="H1308" s="246"/>
    </row>
    <row r="1309" spans="8:8" s="1" customFormat="1" x14ac:dyDescent="0.2">
      <c r="H1309" s="246"/>
    </row>
    <row r="1310" spans="8:8" s="1" customFormat="1" x14ac:dyDescent="0.2">
      <c r="H1310" s="246"/>
    </row>
    <row r="1311" spans="8:8" s="1" customFormat="1" x14ac:dyDescent="0.2">
      <c r="H1311" s="246"/>
    </row>
    <row r="1312" spans="8:8" s="1" customFormat="1" x14ac:dyDescent="0.2">
      <c r="H1312" s="246"/>
    </row>
    <row r="1313" spans="8:8" s="1" customFormat="1" x14ac:dyDescent="0.2">
      <c r="H1313" s="246"/>
    </row>
    <row r="1314" spans="8:8" s="1" customFormat="1" x14ac:dyDescent="0.2">
      <c r="H1314" s="246"/>
    </row>
    <row r="1315" spans="8:8" s="1" customFormat="1" x14ac:dyDescent="0.2">
      <c r="H1315" s="246"/>
    </row>
    <row r="1316" spans="8:8" s="1" customFormat="1" x14ac:dyDescent="0.2">
      <c r="H1316" s="246"/>
    </row>
    <row r="1317" spans="8:8" s="1" customFormat="1" x14ac:dyDescent="0.2">
      <c r="H1317" s="246"/>
    </row>
    <row r="1318" spans="8:8" s="1" customFormat="1" x14ac:dyDescent="0.2">
      <c r="H1318" s="246"/>
    </row>
    <row r="1319" spans="8:8" s="1" customFormat="1" x14ac:dyDescent="0.2">
      <c r="H1319" s="246"/>
    </row>
    <row r="1320" spans="8:8" s="1" customFormat="1" x14ac:dyDescent="0.2">
      <c r="H1320" s="246"/>
    </row>
    <row r="1321" spans="8:8" s="1" customFormat="1" x14ac:dyDescent="0.2">
      <c r="H1321" s="246"/>
    </row>
    <row r="1322" spans="8:8" s="1" customFormat="1" x14ac:dyDescent="0.2">
      <c r="H1322" s="246"/>
    </row>
    <row r="1323" spans="8:8" s="1" customFormat="1" x14ac:dyDescent="0.2">
      <c r="H1323" s="246"/>
    </row>
    <row r="1324" spans="8:8" s="1" customFormat="1" x14ac:dyDescent="0.2">
      <c r="H1324" s="246"/>
    </row>
    <row r="1325" spans="8:8" s="1" customFormat="1" x14ac:dyDescent="0.2">
      <c r="H1325" s="246"/>
    </row>
    <row r="1326" spans="8:8" s="1" customFormat="1" x14ac:dyDescent="0.2">
      <c r="H1326" s="246"/>
    </row>
    <row r="1327" spans="8:8" s="1" customFormat="1" x14ac:dyDescent="0.2">
      <c r="H1327" s="246"/>
    </row>
    <row r="1328" spans="8:8" s="1" customFormat="1" x14ac:dyDescent="0.2">
      <c r="H1328" s="246"/>
    </row>
    <row r="1329" spans="8:8" s="1" customFormat="1" x14ac:dyDescent="0.2">
      <c r="H1329" s="246"/>
    </row>
    <row r="1330" spans="8:8" s="1" customFormat="1" x14ac:dyDescent="0.2">
      <c r="H1330" s="246"/>
    </row>
    <row r="1331" spans="8:8" s="1" customFormat="1" x14ac:dyDescent="0.2">
      <c r="H1331" s="246"/>
    </row>
    <row r="1332" spans="8:8" s="1" customFormat="1" x14ac:dyDescent="0.2">
      <c r="H1332" s="246"/>
    </row>
    <row r="1333" spans="8:8" s="1" customFormat="1" x14ac:dyDescent="0.2">
      <c r="H1333" s="246"/>
    </row>
    <row r="1334" spans="8:8" s="1" customFormat="1" x14ac:dyDescent="0.2">
      <c r="H1334" s="246"/>
    </row>
    <row r="1335" spans="8:8" s="1" customFormat="1" x14ac:dyDescent="0.2">
      <c r="H1335" s="246"/>
    </row>
    <row r="1336" spans="8:8" s="1" customFormat="1" x14ac:dyDescent="0.2">
      <c r="H1336" s="246"/>
    </row>
    <row r="1337" spans="8:8" s="1" customFormat="1" x14ac:dyDescent="0.2">
      <c r="H1337" s="246"/>
    </row>
    <row r="1338" spans="8:8" s="1" customFormat="1" x14ac:dyDescent="0.2">
      <c r="H1338" s="246"/>
    </row>
    <row r="1339" spans="8:8" s="1" customFormat="1" x14ac:dyDescent="0.2">
      <c r="H1339" s="246"/>
    </row>
    <row r="1340" spans="8:8" s="1" customFormat="1" x14ac:dyDescent="0.2">
      <c r="H1340" s="246"/>
    </row>
    <row r="1341" spans="8:8" s="1" customFormat="1" x14ac:dyDescent="0.2">
      <c r="H1341" s="246"/>
    </row>
    <row r="1342" spans="8:8" s="1" customFormat="1" x14ac:dyDescent="0.2">
      <c r="H1342" s="246"/>
    </row>
    <row r="1343" spans="8:8" s="1" customFormat="1" x14ac:dyDescent="0.2">
      <c r="H1343" s="246"/>
    </row>
    <row r="1344" spans="8:8" s="1" customFormat="1" x14ac:dyDescent="0.2">
      <c r="H1344" s="246"/>
    </row>
    <row r="1345" spans="8:8" s="1" customFormat="1" x14ac:dyDescent="0.2">
      <c r="H1345" s="246"/>
    </row>
    <row r="1346" spans="8:8" s="1" customFormat="1" x14ac:dyDescent="0.2">
      <c r="H1346" s="246"/>
    </row>
    <row r="1347" spans="8:8" s="1" customFormat="1" x14ac:dyDescent="0.2">
      <c r="H1347" s="246"/>
    </row>
    <row r="1348" spans="8:8" s="1" customFormat="1" x14ac:dyDescent="0.2">
      <c r="H1348" s="246"/>
    </row>
    <row r="1349" spans="8:8" s="1" customFormat="1" x14ac:dyDescent="0.2">
      <c r="H1349" s="246"/>
    </row>
    <row r="1350" spans="8:8" s="1" customFormat="1" x14ac:dyDescent="0.2">
      <c r="H1350" s="246"/>
    </row>
    <row r="1351" spans="8:8" s="1" customFormat="1" x14ac:dyDescent="0.2">
      <c r="H1351" s="246"/>
    </row>
    <row r="1352" spans="8:8" s="1" customFormat="1" x14ac:dyDescent="0.2">
      <c r="H1352" s="246"/>
    </row>
    <row r="1353" spans="8:8" s="1" customFormat="1" x14ac:dyDescent="0.2">
      <c r="H1353" s="246"/>
    </row>
    <row r="1354" spans="8:8" s="1" customFormat="1" x14ac:dyDescent="0.2">
      <c r="H1354" s="246"/>
    </row>
    <row r="1355" spans="8:8" s="1" customFormat="1" x14ac:dyDescent="0.2">
      <c r="H1355" s="246"/>
    </row>
    <row r="1356" spans="8:8" s="1" customFormat="1" x14ac:dyDescent="0.2">
      <c r="H1356" s="246"/>
    </row>
    <row r="1357" spans="8:8" s="1" customFormat="1" x14ac:dyDescent="0.2">
      <c r="H1357" s="246"/>
    </row>
    <row r="1358" spans="8:8" s="1" customFormat="1" x14ac:dyDescent="0.2">
      <c r="H1358" s="246"/>
    </row>
    <row r="1359" spans="8:8" s="1" customFormat="1" x14ac:dyDescent="0.2">
      <c r="H1359" s="246"/>
    </row>
    <row r="1360" spans="8:8" s="1" customFormat="1" x14ac:dyDescent="0.2">
      <c r="H1360" s="246"/>
    </row>
    <row r="1361" spans="8:8" s="1" customFormat="1" x14ac:dyDescent="0.2">
      <c r="H1361" s="246"/>
    </row>
    <row r="1362" spans="8:8" s="1" customFormat="1" x14ac:dyDescent="0.2">
      <c r="H1362" s="246"/>
    </row>
    <row r="1363" spans="8:8" s="1" customFormat="1" x14ac:dyDescent="0.2">
      <c r="H1363" s="246"/>
    </row>
    <row r="1364" spans="8:8" s="1" customFormat="1" x14ac:dyDescent="0.2">
      <c r="H1364" s="246"/>
    </row>
    <row r="1365" spans="8:8" s="1" customFormat="1" x14ac:dyDescent="0.2">
      <c r="H1365" s="246"/>
    </row>
    <row r="1366" spans="8:8" s="1" customFormat="1" x14ac:dyDescent="0.2">
      <c r="H1366" s="246"/>
    </row>
    <row r="1367" spans="8:8" s="1" customFormat="1" x14ac:dyDescent="0.2">
      <c r="H1367" s="246"/>
    </row>
    <row r="1368" spans="8:8" s="1" customFormat="1" x14ac:dyDescent="0.2">
      <c r="H1368" s="246"/>
    </row>
    <row r="1369" spans="8:8" s="1" customFormat="1" x14ac:dyDescent="0.2">
      <c r="H1369" s="246"/>
    </row>
    <row r="1370" spans="8:8" s="1" customFormat="1" x14ac:dyDescent="0.2">
      <c r="H1370" s="246"/>
    </row>
    <row r="1371" spans="8:8" s="1" customFormat="1" x14ac:dyDescent="0.2">
      <c r="H1371" s="246"/>
    </row>
    <row r="1372" spans="8:8" s="1" customFormat="1" x14ac:dyDescent="0.2">
      <c r="H1372" s="246"/>
    </row>
    <row r="1373" spans="8:8" s="1" customFormat="1" x14ac:dyDescent="0.2">
      <c r="H1373" s="246"/>
    </row>
    <row r="1374" spans="8:8" s="1" customFormat="1" x14ac:dyDescent="0.2">
      <c r="H1374" s="246"/>
    </row>
    <row r="1375" spans="8:8" s="1" customFormat="1" x14ac:dyDescent="0.2">
      <c r="H1375" s="246"/>
    </row>
    <row r="1376" spans="8:8" s="1" customFormat="1" x14ac:dyDescent="0.2">
      <c r="H1376" s="246"/>
    </row>
    <row r="1377" spans="8:8" s="1" customFormat="1" x14ac:dyDescent="0.2">
      <c r="H1377" s="246"/>
    </row>
    <row r="1378" spans="8:8" s="1" customFormat="1" x14ac:dyDescent="0.2">
      <c r="H1378" s="246"/>
    </row>
    <row r="1379" spans="8:8" s="1" customFormat="1" x14ac:dyDescent="0.2">
      <c r="H1379" s="246"/>
    </row>
    <row r="1380" spans="8:8" s="1" customFormat="1" x14ac:dyDescent="0.2">
      <c r="H1380" s="246"/>
    </row>
    <row r="1381" spans="8:8" s="1" customFormat="1" x14ac:dyDescent="0.2">
      <c r="H1381" s="246"/>
    </row>
    <row r="1382" spans="8:8" s="1" customFormat="1" x14ac:dyDescent="0.2">
      <c r="H1382" s="246"/>
    </row>
    <row r="1383" spans="8:8" s="1" customFormat="1" x14ac:dyDescent="0.2">
      <c r="H1383" s="246"/>
    </row>
    <row r="1384" spans="8:8" s="1" customFormat="1" x14ac:dyDescent="0.2">
      <c r="H1384" s="246"/>
    </row>
    <row r="1385" spans="8:8" s="1" customFormat="1" x14ac:dyDescent="0.2">
      <c r="H1385" s="246"/>
    </row>
    <row r="1386" spans="8:8" s="1" customFormat="1" x14ac:dyDescent="0.2">
      <c r="H1386" s="246"/>
    </row>
    <row r="1387" spans="8:8" s="1" customFormat="1" x14ac:dyDescent="0.2">
      <c r="H1387" s="246"/>
    </row>
    <row r="1388" spans="8:8" s="1" customFormat="1" x14ac:dyDescent="0.2">
      <c r="H1388" s="246"/>
    </row>
    <row r="1389" spans="8:8" s="1" customFormat="1" x14ac:dyDescent="0.2">
      <c r="H1389" s="246"/>
    </row>
    <row r="1390" spans="8:8" s="1" customFormat="1" x14ac:dyDescent="0.2">
      <c r="H1390" s="246"/>
    </row>
    <row r="1391" spans="8:8" s="1" customFormat="1" x14ac:dyDescent="0.2">
      <c r="H1391" s="246"/>
    </row>
    <row r="1392" spans="8:8" s="1" customFormat="1" x14ac:dyDescent="0.2">
      <c r="H1392" s="246"/>
    </row>
    <row r="1393" spans="8:8" s="1" customFormat="1" x14ac:dyDescent="0.2">
      <c r="H1393" s="246"/>
    </row>
    <row r="1394" spans="8:8" s="1" customFormat="1" x14ac:dyDescent="0.2">
      <c r="H1394" s="246"/>
    </row>
    <row r="1395" spans="8:8" s="1" customFormat="1" x14ac:dyDescent="0.2">
      <c r="H1395" s="246"/>
    </row>
    <row r="1396" spans="8:8" s="1" customFormat="1" x14ac:dyDescent="0.2">
      <c r="H1396" s="246"/>
    </row>
    <row r="1397" spans="8:8" s="1" customFormat="1" x14ac:dyDescent="0.2">
      <c r="H1397" s="246"/>
    </row>
    <row r="1398" spans="8:8" s="1" customFormat="1" x14ac:dyDescent="0.2">
      <c r="H1398" s="246"/>
    </row>
    <row r="1399" spans="8:8" s="1" customFormat="1" x14ac:dyDescent="0.2">
      <c r="H1399" s="246"/>
    </row>
    <row r="1400" spans="8:8" s="1" customFormat="1" x14ac:dyDescent="0.2">
      <c r="H1400" s="246"/>
    </row>
    <row r="1401" spans="8:8" s="1" customFormat="1" x14ac:dyDescent="0.2">
      <c r="H1401" s="246"/>
    </row>
    <row r="1402" spans="8:8" s="1" customFormat="1" x14ac:dyDescent="0.2">
      <c r="H1402" s="246"/>
    </row>
    <row r="1403" spans="8:8" s="1" customFormat="1" x14ac:dyDescent="0.2">
      <c r="H1403" s="246"/>
    </row>
    <row r="1404" spans="8:8" s="1" customFormat="1" x14ac:dyDescent="0.2">
      <c r="H1404" s="246"/>
    </row>
    <row r="1405" spans="8:8" s="1" customFormat="1" x14ac:dyDescent="0.2">
      <c r="H1405" s="246"/>
    </row>
    <row r="1406" spans="8:8" s="1" customFormat="1" x14ac:dyDescent="0.2">
      <c r="H1406" s="246"/>
    </row>
    <row r="1407" spans="8:8" s="1" customFormat="1" x14ac:dyDescent="0.2">
      <c r="H1407" s="246"/>
    </row>
    <row r="1408" spans="8:8" s="1" customFormat="1" x14ac:dyDescent="0.2">
      <c r="H1408" s="246"/>
    </row>
    <row r="1409" spans="8:8" s="1" customFormat="1" x14ac:dyDescent="0.2">
      <c r="H1409" s="246"/>
    </row>
    <row r="1410" spans="8:8" s="1" customFormat="1" x14ac:dyDescent="0.2">
      <c r="H1410" s="246"/>
    </row>
    <row r="1411" spans="8:8" s="1" customFormat="1" x14ac:dyDescent="0.2">
      <c r="H1411" s="246"/>
    </row>
    <row r="1455" spans="1:7" x14ac:dyDescent="0.2">
      <c r="A1455" s="43"/>
      <c r="B1455" s="42"/>
      <c r="C1455" s="43"/>
      <c r="D1455" s="43"/>
      <c r="E1455" s="43"/>
      <c r="F1455" s="43"/>
      <c r="G1455" s="43"/>
    </row>
    <row r="1456" spans="1:7" x14ac:dyDescent="0.2">
      <c r="A1456" s="43"/>
      <c r="B1456" s="42"/>
      <c r="C1456" s="43"/>
      <c r="D1456" s="43"/>
      <c r="E1456" s="43"/>
      <c r="F1456" s="43"/>
      <c r="G1456" s="43"/>
    </row>
    <row r="1457" spans="1:7" x14ac:dyDescent="0.2">
      <c r="A1457" s="43"/>
      <c r="B1457" s="42"/>
      <c r="C1457" s="43"/>
      <c r="D1457" s="43"/>
      <c r="E1457" s="43"/>
      <c r="F1457" s="43"/>
      <c r="G1457" s="43"/>
    </row>
    <row r="1458" spans="1:7" x14ac:dyDescent="0.2">
      <c r="A1458" s="43"/>
      <c r="B1458" s="42"/>
      <c r="C1458" s="43"/>
      <c r="D1458" s="43"/>
      <c r="E1458" s="43"/>
      <c r="F1458" s="43"/>
      <c r="G1458" s="43"/>
    </row>
    <row r="1459" spans="1:7" x14ac:dyDescent="0.2">
      <c r="A1459" s="43"/>
      <c r="B1459" s="42"/>
      <c r="C1459" s="43"/>
      <c r="D1459" s="43"/>
      <c r="E1459" s="43"/>
      <c r="F1459" s="43"/>
      <c r="G1459" s="43"/>
    </row>
    <row r="1460" spans="1:7" x14ac:dyDescent="0.2">
      <c r="A1460" s="43"/>
      <c r="B1460" s="42"/>
      <c r="C1460" s="43"/>
      <c r="D1460" s="43"/>
      <c r="E1460" s="43"/>
      <c r="F1460" s="43"/>
      <c r="G1460" s="43"/>
    </row>
    <row r="1461" spans="1:7" x14ac:dyDescent="0.2">
      <c r="A1461" s="43"/>
      <c r="B1461" s="42"/>
      <c r="C1461" s="43"/>
      <c r="D1461" s="43"/>
      <c r="E1461" s="43"/>
      <c r="F1461" s="43"/>
      <c r="G1461" s="43"/>
    </row>
    <row r="1462" spans="1:7" x14ac:dyDescent="0.2">
      <c r="A1462" s="43"/>
      <c r="B1462" s="42"/>
      <c r="C1462" s="43"/>
      <c r="D1462" s="43"/>
      <c r="E1462" s="43"/>
      <c r="F1462" s="43"/>
      <c r="G1462" s="43"/>
    </row>
    <row r="1463" spans="1:7" x14ac:dyDescent="0.2">
      <c r="A1463" s="43"/>
      <c r="B1463" s="42"/>
      <c r="C1463" s="43"/>
      <c r="D1463" s="43"/>
      <c r="E1463" s="43"/>
      <c r="F1463" s="43"/>
      <c r="G1463" s="43"/>
    </row>
    <row r="1464" spans="1:7" x14ac:dyDescent="0.2">
      <c r="A1464" s="43"/>
      <c r="B1464" s="42"/>
      <c r="C1464" s="43"/>
      <c r="D1464" s="43"/>
      <c r="E1464" s="43"/>
      <c r="F1464" s="43"/>
      <c r="G1464" s="43"/>
    </row>
    <row r="1465" spans="1:7" x14ac:dyDescent="0.2">
      <c r="A1465" s="43"/>
      <c r="B1465" s="42"/>
      <c r="C1465" s="43"/>
      <c r="D1465" s="43"/>
      <c r="E1465" s="43"/>
      <c r="F1465" s="43"/>
      <c r="G1465" s="43"/>
    </row>
    <row r="1466" spans="1:7" x14ac:dyDescent="0.2">
      <c r="A1466" s="43"/>
      <c r="B1466" s="42"/>
      <c r="C1466" s="43"/>
      <c r="D1466" s="43"/>
      <c r="E1466" s="43"/>
      <c r="F1466" s="43"/>
      <c r="G1466" s="43"/>
    </row>
    <row r="1467" spans="1:7" x14ac:dyDescent="0.2">
      <c r="A1467" s="43"/>
      <c r="B1467" s="42"/>
      <c r="C1467" s="43"/>
      <c r="D1467" s="43"/>
      <c r="E1467" s="43"/>
      <c r="F1467" s="43"/>
      <c r="G1467" s="43"/>
    </row>
    <row r="1468" spans="1:7" x14ac:dyDescent="0.2">
      <c r="A1468" s="43"/>
      <c r="B1468" s="42"/>
      <c r="C1468" s="43"/>
      <c r="D1468" s="43"/>
      <c r="E1468" s="43"/>
      <c r="F1468" s="43"/>
      <c r="G1468" s="43"/>
    </row>
    <row r="1469" spans="1:7" x14ac:dyDescent="0.2">
      <c r="A1469" s="43"/>
      <c r="B1469" s="42"/>
      <c r="C1469" s="43"/>
      <c r="D1469" s="43"/>
      <c r="E1469" s="43"/>
      <c r="F1469" s="43"/>
      <c r="G1469" s="43"/>
    </row>
    <row r="1470" spans="1:7" x14ac:dyDescent="0.2">
      <c r="A1470" s="43"/>
      <c r="B1470" s="42"/>
      <c r="C1470" s="43"/>
      <c r="D1470" s="43"/>
      <c r="E1470" s="43"/>
      <c r="F1470" s="43"/>
      <c r="G1470" s="43"/>
    </row>
    <row r="1471" spans="1:7" x14ac:dyDescent="0.2">
      <c r="A1471" s="43"/>
      <c r="B1471" s="42"/>
      <c r="C1471" s="43"/>
      <c r="D1471" s="43"/>
      <c r="E1471" s="43"/>
      <c r="F1471" s="43"/>
      <c r="G1471" s="43"/>
    </row>
    <row r="1472" spans="1:7" x14ac:dyDescent="0.2">
      <c r="A1472" s="43"/>
      <c r="B1472" s="42"/>
      <c r="C1472" s="43"/>
      <c r="D1472" s="43"/>
      <c r="E1472" s="43"/>
      <c r="F1472" s="43"/>
      <c r="G1472" s="43"/>
    </row>
    <row r="1473" spans="1:7" x14ac:dyDescent="0.2">
      <c r="A1473" s="43"/>
      <c r="B1473" s="42"/>
      <c r="C1473" s="43"/>
      <c r="D1473" s="43"/>
      <c r="E1473" s="43"/>
      <c r="F1473" s="43"/>
      <c r="G1473" s="43"/>
    </row>
    <row r="1474" spans="1:7" x14ac:dyDescent="0.2">
      <c r="A1474" s="43"/>
      <c r="B1474" s="42"/>
      <c r="C1474" s="43"/>
      <c r="D1474" s="43"/>
      <c r="E1474" s="43"/>
      <c r="F1474" s="43"/>
      <c r="G1474" s="43"/>
    </row>
    <row r="1475" spans="1:7" x14ac:dyDescent="0.2">
      <c r="A1475" s="43"/>
      <c r="B1475" s="42"/>
      <c r="C1475" s="43"/>
      <c r="D1475" s="43"/>
      <c r="E1475" s="43"/>
      <c r="F1475" s="43"/>
      <c r="G1475" s="43"/>
    </row>
    <row r="1476" spans="1:7" x14ac:dyDescent="0.2">
      <c r="A1476" s="43"/>
      <c r="B1476" s="42"/>
      <c r="C1476" s="43"/>
      <c r="D1476" s="43"/>
      <c r="E1476" s="43"/>
      <c r="F1476" s="43"/>
      <c r="G1476" s="43"/>
    </row>
    <row r="1477" spans="1:7" x14ac:dyDescent="0.2">
      <c r="A1477" s="43"/>
      <c r="B1477" s="42"/>
      <c r="C1477" s="43"/>
      <c r="D1477" s="43"/>
      <c r="E1477" s="43"/>
      <c r="F1477" s="43"/>
      <c r="G1477" s="43"/>
    </row>
    <row r="1478" spans="1:7" x14ac:dyDescent="0.2">
      <c r="A1478" s="43"/>
      <c r="B1478" s="42"/>
      <c r="C1478" s="43"/>
      <c r="D1478" s="43"/>
      <c r="E1478" s="43"/>
      <c r="F1478" s="43"/>
      <c r="G1478" s="43"/>
    </row>
    <row r="1479" spans="1:7" x14ac:dyDescent="0.2">
      <c r="A1479" s="43"/>
      <c r="B1479" s="42"/>
      <c r="C1479" s="43"/>
      <c r="D1479" s="43"/>
      <c r="E1479" s="43"/>
      <c r="F1479" s="43"/>
      <c r="G1479" s="43"/>
    </row>
    <row r="1480" spans="1:7" x14ac:dyDescent="0.2">
      <c r="A1480" s="43"/>
      <c r="B1480" s="42"/>
      <c r="C1480" s="43"/>
      <c r="D1480" s="43"/>
      <c r="E1480" s="43"/>
      <c r="F1480" s="43"/>
      <c r="G1480" s="43"/>
    </row>
    <row r="1481" spans="1:7" x14ac:dyDescent="0.2">
      <c r="A1481" s="43"/>
      <c r="B1481" s="42"/>
      <c r="C1481" s="43"/>
      <c r="D1481" s="43"/>
      <c r="E1481" s="43"/>
      <c r="F1481" s="43"/>
      <c r="G1481" s="43"/>
    </row>
    <row r="1482" spans="1:7" x14ac:dyDescent="0.2">
      <c r="A1482" s="43"/>
      <c r="B1482" s="42"/>
      <c r="C1482" s="43"/>
      <c r="D1482" s="43"/>
      <c r="E1482" s="43"/>
      <c r="F1482" s="43"/>
      <c r="G1482" s="43"/>
    </row>
    <row r="1483" spans="1:7" x14ac:dyDescent="0.2">
      <c r="A1483" s="43"/>
      <c r="B1483" s="42"/>
      <c r="C1483" s="43"/>
      <c r="D1483" s="43"/>
      <c r="E1483" s="43"/>
      <c r="F1483" s="43"/>
      <c r="G1483" s="43"/>
    </row>
    <row r="1484" spans="1:7" x14ac:dyDescent="0.2">
      <c r="A1484" s="43"/>
      <c r="B1484" s="42"/>
      <c r="C1484" s="43"/>
      <c r="D1484" s="43"/>
      <c r="E1484" s="43"/>
      <c r="F1484" s="43"/>
      <c r="G1484" s="43"/>
    </row>
    <row r="1485" spans="1:7" x14ac:dyDescent="0.2">
      <c r="A1485" s="43"/>
      <c r="B1485" s="42"/>
      <c r="C1485" s="43"/>
      <c r="D1485" s="43"/>
      <c r="E1485" s="43"/>
      <c r="F1485" s="43"/>
      <c r="G1485" s="43"/>
    </row>
    <row r="1486" spans="1:7" x14ac:dyDescent="0.2">
      <c r="A1486" s="43"/>
      <c r="B1486" s="42"/>
      <c r="C1486" s="43"/>
      <c r="D1486" s="43"/>
      <c r="E1486" s="43"/>
      <c r="F1486" s="43"/>
      <c r="G1486" s="43"/>
    </row>
    <row r="1487" spans="1:7" x14ac:dyDescent="0.2">
      <c r="A1487" s="43"/>
      <c r="B1487" s="42"/>
      <c r="C1487" s="43"/>
      <c r="D1487" s="43"/>
      <c r="E1487" s="43"/>
      <c r="F1487" s="43"/>
      <c r="G1487" s="43"/>
    </row>
    <row r="1488" spans="1:7" x14ac:dyDescent="0.2">
      <c r="A1488" s="43"/>
      <c r="B1488" s="42"/>
      <c r="C1488" s="43"/>
      <c r="D1488" s="43"/>
      <c r="E1488" s="43"/>
      <c r="F1488" s="43"/>
      <c r="G1488" s="43"/>
    </row>
    <row r="1489" spans="1:7" x14ac:dyDescent="0.2">
      <c r="A1489" s="43"/>
      <c r="B1489" s="42"/>
      <c r="C1489" s="43"/>
      <c r="D1489" s="43"/>
      <c r="E1489" s="43"/>
      <c r="F1489" s="43"/>
      <c r="G1489" s="43"/>
    </row>
    <row r="1490" spans="1:7" x14ac:dyDescent="0.2">
      <c r="A1490" s="43"/>
      <c r="B1490" s="42"/>
      <c r="C1490" s="43"/>
      <c r="D1490" s="43"/>
      <c r="E1490" s="43"/>
      <c r="F1490" s="43"/>
      <c r="G1490" s="43"/>
    </row>
    <row r="1491" spans="1:7" x14ac:dyDescent="0.2">
      <c r="A1491" s="43"/>
      <c r="B1491" s="42"/>
      <c r="C1491" s="43"/>
      <c r="D1491" s="43"/>
      <c r="E1491" s="43"/>
      <c r="F1491" s="43"/>
      <c r="G1491" s="43"/>
    </row>
    <row r="1492" spans="1:7" x14ac:dyDescent="0.2">
      <c r="A1492" s="43"/>
      <c r="B1492" s="42"/>
      <c r="C1492" s="43"/>
      <c r="D1492" s="43"/>
      <c r="E1492" s="43"/>
      <c r="F1492" s="43"/>
      <c r="G1492" s="43"/>
    </row>
    <row r="1493" spans="1:7" x14ac:dyDescent="0.2">
      <c r="A1493" s="43"/>
      <c r="B1493" s="42"/>
      <c r="C1493" s="43"/>
      <c r="D1493" s="43"/>
      <c r="E1493" s="43"/>
      <c r="F1493" s="43"/>
      <c r="G1493" s="43"/>
    </row>
    <row r="1494" spans="1:7" x14ac:dyDescent="0.2">
      <c r="A1494" s="43"/>
      <c r="B1494" s="42"/>
      <c r="C1494" s="43"/>
      <c r="D1494" s="43"/>
      <c r="E1494" s="43"/>
      <c r="F1494" s="43"/>
      <c r="G1494" s="43"/>
    </row>
    <row r="1495" spans="1:7" x14ac:dyDescent="0.2">
      <c r="A1495" s="43"/>
      <c r="B1495" s="42"/>
      <c r="C1495" s="43"/>
      <c r="D1495" s="43"/>
      <c r="E1495" s="43"/>
      <c r="F1495" s="43"/>
      <c r="G1495" s="43"/>
    </row>
    <row r="1496" spans="1:7" x14ac:dyDescent="0.2">
      <c r="A1496" s="43"/>
      <c r="B1496" s="42"/>
      <c r="C1496" s="43"/>
      <c r="D1496" s="43"/>
      <c r="E1496" s="43"/>
      <c r="F1496" s="43"/>
      <c r="G1496" s="43"/>
    </row>
    <row r="1497" spans="1:7" x14ac:dyDescent="0.2">
      <c r="A1497" s="43"/>
      <c r="B1497" s="42"/>
      <c r="C1497" s="43"/>
      <c r="D1497" s="43"/>
      <c r="E1497" s="43"/>
      <c r="F1497" s="43"/>
      <c r="G1497" s="43"/>
    </row>
    <row r="1498" spans="1:7" x14ac:dyDescent="0.2">
      <c r="A1498" s="43"/>
      <c r="B1498" s="42"/>
      <c r="C1498" s="43"/>
      <c r="D1498" s="43"/>
      <c r="E1498" s="43"/>
      <c r="F1498" s="43"/>
      <c r="G1498" s="43"/>
    </row>
    <row r="1499" spans="1:7" x14ac:dyDescent="0.2">
      <c r="A1499" s="43"/>
      <c r="B1499" s="42"/>
      <c r="C1499" s="43"/>
      <c r="D1499" s="43"/>
      <c r="E1499" s="43"/>
      <c r="F1499" s="43"/>
      <c r="G1499" s="43"/>
    </row>
    <row r="1500" spans="1:7" x14ac:dyDescent="0.2">
      <c r="A1500" s="43"/>
      <c r="B1500" s="42"/>
      <c r="C1500" s="43"/>
      <c r="D1500" s="43"/>
      <c r="E1500" s="43"/>
      <c r="F1500" s="43"/>
      <c r="G1500" s="43"/>
    </row>
    <row r="1501" spans="1:7" x14ac:dyDescent="0.2">
      <c r="A1501" s="43"/>
      <c r="B1501" s="42"/>
      <c r="C1501" s="43"/>
      <c r="D1501" s="43"/>
      <c r="E1501" s="43"/>
      <c r="F1501" s="43"/>
      <c r="G1501" s="43"/>
    </row>
    <row r="1502" spans="1:7" x14ac:dyDescent="0.2">
      <c r="A1502" s="43"/>
      <c r="B1502" s="42"/>
      <c r="C1502" s="43"/>
      <c r="D1502" s="43"/>
      <c r="E1502" s="43"/>
      <c r="F1502" s="43"/>
      <c r="G1502" s="43"/>
    </row>
    <row r="1503" spans="1:7" x14ac:dyDescent="0.2">
      <c r="A1503" s="43"/>
      <c r="B1503" s="42"/>
      <c r="C1503" s="43"/>
      <c r="D1503" s="43"/>
      <c r="E1503" s="43"/>
      <c r="F1503" s="43"/>
      <c r="G1503" s="43"/>
    </row>
    <row r="1504" spans="1:7" x14ac:dyDescent="0.2">
      <c r="A1504" s="43"/>
      <c r="B1504" s="42"/>
      <c r="C1504" s="43"/>
      <c r="D1504" s="43"/>
      <c r="E1504" s="43"/>
      <c r="F1504" s="43"/>
      <c r="G1504" s="43"/>
    </row>
    <row r="1505" spans="1:7" x14ac:dyDescent="0.2">
      <c r="A1505" s="43"/>
      <c r="B1505" s="42"/>
      <c r="C1505" s="43"/>
      <c r="D1505" s="43"/>
      <c r="E1505" s="43"/>
      <c r="F1505" s="43"/>
      <c r="G1505" s="43"/>
    </row>
    <row r="1506" spans="1:7" x14ac:dyDescent="0.2">
      <c r="A1506" s="43"/>
      <c r="B1506" s="42"/>
      <c r="C1506" s="43"/>
      <c r="D1506" s="43"/>
      <c r="E1506" s="43"/>
      <c r="F1506" s="43"/>
      <c r="G1506" s="43"/>
    </row>
    <row r="1507" spans="1:7" x14ac:dyDescent="0.2">
      <c r="A1507" s="43"/>
      <c r="B1507" s="42"/>
      <c r="C1507" s="43"/>
      <c r="D1507" s="43"/>
      <c r="E1507" s="43"/>
      <c r="F1507" s="43"/>
      <c r="G1507" s="43"/>
    </row>
    <row r="1508" spans="1:7" x14ac:dyDescent="0.2">
      <c r="A1508" s="43"/>
      <c r="B1508" s="42"/>
      <c r="C1508" s="43"/>
      <c r="D1508" s="43"/>
      <c r="E1508" s="43"/>
      <c r="F1508" s="43"/>
      <c r="G1508" s="43"/>
    </row>
    <row r="1509" spans="1:7" x14ac:dyDescent="0.2">
      <c r="A1509" s="43"/>
      <c r="B1509" s="42"/>
      <c r="C1509" s="43"/>
      <c r="D1509" s="43"/>
      <c r="E1509" s="43"/>
      <c r="F1509" s="43"/>
      <c r="G1509" s="43"/>
    </row>
    <row r="1510" spans="1:7" x14ac:dyDescent="0.2">
      <c r="A1510" s="43"/>
      <c r="B1510" s="42"/>
      <c r="C1510" s="43"/>
      <c r="D1510" s="43"/>
      <c r="E1510" s="43"/>
      <c r="F1510" s="43"/>
      <c r="G1510" s="43"/>
    </row>
    <row r="1511" spans="1:7" x14ac:dyDescent="0.2">
      <c r="A1511" s="43"/>
      <c r="B1511" s="42"/>
      <c r="C1511" s="43"/>
      <c r="D1511" s="43"/>
      <c r="E1511" s="43"/>
      <c r="F1511" s="43"/>
      <c r="G1511" s="43"/>
    </row>
    <row r="1512" spans="1:7" x14ac:dyDescent="0.2">
      <c r="A1512" s="43"/>
      <c r="B1512" s="42"/>
      <c r="C1512" s="43"/>
      <c r="D1512" s="43"/>
      <c r="E1512" s="43"/>
      <c r="F1512" s="43"/>
      <c r="G1512" s="43"/>
    </row>
    <row r="1513" spans="1:7" x14ac:dyDescent="0.2">
      <c r="A1513" s="43"/>
      <c r="B1513" s="42"/>
      <c r="C1513" s="43"/>
      <c r="D1513" s="43"/>
      <c r="E1513" s="43"/>
      <c r="F1513" s="43"/>
      <c r="G1513" s="43"/>
    </row>
    <row r="1514" spans="1:7" x14ac:dyDescent="0.2">
      <c r="A1514" s="43"/>
      <c r="B1514" s="42"/>
      <c r="C1514" s="43"/>
      <c r="D1514" s="43"/>
      <c r="E1514" s="43"/>
      <c r="F1514" s="43"/>
      <c r="G1514" s="43"/>
    </row>
    <row r="1515" spans="1:7" x14ac:dyDescent="0.2">
      <c r="A1515" s="43"/>
      <c r="B1515" s="42"/>
      <c r="C1515" s="43"/>
      <c r="D1515" s="43"/>
      <c r="E1515" s="43"/>
      <c r="F1515" s="43"/>
      <c r="G1515" s="43"/>
    </row>
    <row r="1516" spans="1:7" x14ac:dyDescent="0.2">
      <c r="A1516" s="43"/>
      <c r="B1516" s="42"/>
      <c r="C1516" s="43"/>
      <c r="D1516" s="43"/>
      <c r="E1516" s="43"/>
      <c r="F1516" s="43"/>
      <c r="G1516" s="43"/>
    </row>
    <row r="1517" spans="1:7" x14ac:dyDescent="0.2">
      <c r="A1517" s="43"/>
      <c r="B1517" s="42"/>
      <c r="C1517" s="43"/>
      <c r="D1517" s="43"/>
      <c r="E1517" s="43"/>
      <c r="F1517" s="43"/>
      <c r="G1517" s="43"/>
    </row>
    <row r="1518" spans="1:7" x14ac:dyDescent="0.2">
      <c r="A1518" s="43"/>
      <c r="B1518" s="42"/>
      <c r="C1518" s="43"/>
      <c r="D1518" s="43"/>
      <c r="E1518" s="43"/>
      <c r="F1518" s="43"/>
      <c r="G1518" s="43"/>
    </row>
    <row r="1519" spans="1:7" x14ac:dyDescent="0.2">
      <c r="A1519" s="43"/>
      <c r="B1519" s="42"/>
      <c r="C1519" s="43"/>
      <c r="D1519" s="43"/>
      <c r="E1519" s="43"/>
      <c r="F1519" s="43"/>
      <c r="G1519" s="43"/>
    </row>
    <row r="1520" spans="1:7" x14ac:dyDescent="0.2">
      <c r="A1520" s="43"/>
      <c r="B1520" s="42"/>
      <c r="C1520" s="43"/>
      <c r="D1520" s="43"/>
      <c r="E1520" s="43"/>
      <c r="F1520" s="43"/>
      <c r="G1520" s="43"/>
    </row>
    <row r="1521" spans="1:7" x14ac:dyDescent="0.2">
      <c r="A1521" s="43"/>
      <c r="B1521" s="42"/>
      <c r="C1521" s="43"/>
      <c r="D1521" s="43"/>
      <c r="E1521" s="43"/>
      <c r="F1521" s="43"/>
      <c r="G1521" s="43"/>
    </row>
    <row r="1522" spans="1:7" x14ac:dyDescent="0.2">
      <c r="A1522" s="43"/>
      <c r="B1522" s="42"/>
      <c r="C1522" s="43"/>
      <c r="D1522" s="43"/>
      <c r="E1522" s="43"/>
      <c r="F1522" s="43"/>
      <c r="G1522" s="43"/>
    </row>
    <row r="1523" spans="1:7" x14ac:dyDescent="0.2">
      <c r="A1523" s="43"/>
      <c r="B1523" s="42"/>
      <c r="C1523" s="43"/>
      <c r="D1523" s="43"/>
      <c r="E1523" s="43"/>
      <c r="F1523" s="43"/>
      <c r="G1523" s="43"/>
    </row>
    <row r="1524" spans="1:7" x14ac:dyDescent="0.2">
      <c r="A1524" s="43"/>
      <c r="B1524" s="42"/>
      <c r="C1524" s="43"/>
      <c r="D1524" s="43"/>
      <c r="E1524" s="43"/>
      <c r="F1524" s="43"/>
      <c r="G1524" s="43"/>
    </row>
    <row r="1525" spans="1:7" x14ac:dyDescent="0.2">
      <c r="A1525" s="43"/>
      <c r="B1525" s="42"/>
      <c r="C1525" s="43"/>
      <c r="D1525" s="43"/>
      <c r="E1525" s="43"/>
      <c r="F1525" s="43"/>
      <c r="G1525" s="43"/>
    </row>
    <row r="1526" spans="1:7" x14ac:dyDescent="0.2">
      <c r="A1526" s="43"/>
      <c r="B1526" s="42"/>
      <c r="C1526" s="43"/>
      <c r="D1526" s="43"/>
      <c r="E1526" s="43"/>
      <c r="F1526" s="43"/>
      <c r="G1526" s="43"/>
    </row>
    <row r="1527" spans="1:7" x14ac:dyDescent="0.2">
      <c r="A1527" s="43"/>
      <c r="B1527" s="42"/>
      <c r="C1527" s="43"/>
      <c r="D1527" s="43"/>
      <c r="E1527" s="43"/>
      <c r="F1527" s="43"/>
      <c r="G1527" s="43"/>
    </row>
    <row r="1528" spans="1:7" x14ac:dyDescent="0.2">
      <c r="A1528" s="43"/>
      <c r="B1528" s="42"/>
      <c r="C1528" s="43"/>
      <c r="D1528" s="43"/>
      <c r="E1528" s="43"/>
      <c r="F1528" s="43"/>
      <c r="G1528" s="43"/>
    </row>
    <row r="1529" spans="1:7" x14ac:dyDescent="0.2">
      <c r="A1529" s="43"/>
      <c r="B1529" s="42"/>
      <c r="C1529" s="43"/>
      <c r="D1529" s="43"/>
      <c r="E1529" s="43"/>
      <c r="F1529" s="43"/>
      <c r="G1529" s="43"/>
    </row>
    <row r="1530" spans="1:7" x14ac:dyDescent="0.2">
      <c r="A1530" s="43"/>
      <c r="B1530" s="42"/>
      <c r="C1530" s="43"/>
      <c r="D1530" s="43"/>
      <c r="E1530" s="43"/>
      <c r="F1530" s="43"/>
      <c r="G1530" s="43"/>
    </row>
    <row r="1531" spans="1:7" x14ac:dyDescent="0.2">
      <c r="A1531" s="43"/>
      <c r="B1531" s="42"/>
      <c r="C1531" s="43"/>
      <c r="D1531" s="43"/>
      <c r="E1531" s="43"/>
      <c r="F1531" s="43"/>
      <c r="G1531" s="43"/>
    </row>
    <row r="1532" spans="1:7" x14ac:dyDescent="0.2">
      <c r="A1532" s="43"/>
      <c r="B1532" s="42"/>
      <c r="C1532" s="43"/>
      <c r="D1532" s="43"/>
      <c r="E1532" s="43"/>
      <c r="F1532" s="43"/>
      <c r="G1532" s="43"/>
    </row>
    <row r="1533" spans="1:7" x14ac:dyDescent="0.2">
      <c r="A1533" s="43"/>
      <c r="B1533" s="42"/>
      <c r="C1533" s="43"/>
      <c r="D1533" s="43"/>
      <c r="E1533" s="43"/>
      <c r="F1533" s="43"/>
      <c r="G1533" s="43"/>
    </row>
    <row r="1534" spans="1:7" x14ac:dyDescent="0.2">
      <c r="A1534" s="43"/>
      <c r="B1534" s="42"/>
      <c r="C1534" s="43"/>
      <c r="D1534" s="43"/>
      <c r="E1534" s="43"/>
      <c r="F1534" s="43"/>
      <c r="G1534" s="43"/>
    </row>
    <row r="1535" spans="1:7" x14ac:dyDescent="0.2">
      <c r="A1535" s="43"/>
      <c r="B1535" s="42"/>
      <c r="C1535" s="43"/>
      <c r="D1535" s="43"/>
      <c r="E1535" s="43"/>
      <c r="F1535" s="43"/>
      <c r="G1535" s="43"/>
    </row>
    <row r="1536" spans="1:7" x14ac:dyDescent="0.2">
      <c r="A1536" s="43"/>
      <c r="B1536" s="42"/>
      <c r="C1536" s="43"/>
      <c r="D1536" s="43"/>
      <c r="E1536" s="43"/>
      <c r="F1536" s="43"/>
      <c r="G1536" s="43"/>
    </row>
    <row r="1537" spans="1:7" x14ac:dyDescent="0.2">
      <c r="A1537" s="43"/>
      <c r="B1537" s="42"/>
      <c r="C1537" s="43"/>
      <c r="D1537" s="43"/>
      <c r="E1537" s="43"/>
      <c r="F1537" s="43"/>
      <c r="G1537" s="43"/>
    </row>
    <row r="1538" spans="1:7" x14ac:dyDescent="0.2">
      <c r="A1538" s="43"/>
      <c r="B1538" s="42"/>
      <c r="C1538" s="43"/>
      <c r="D1538" s="43"/>
      <c r="E1538" s="43"/>
      <c r="F1538" s="43"/>
      <c r="G1538" s="43"/>
    </row>
    <row r="1539" spans="1:7" x14ac:dyDescent="0.2">
      <c r="A1539" s="43"/>
      <c r="B1539" s="42"/>
      <c r="C1539" s="43"/>
      <c r="D1539" s="43"/>
      <c r="E1539" s="43"/>
      <c r="F1539" s="43"/>
      <c r="G1539" s="43"/>
    </row>
    <row r="1540" spans="1:7" x14ac:dyDescent="0.2">
      <c r="A1540" s="43"/>
      <c r="B1540" s="42"/>
      <c r="C1540" s="43"/>
      <c r="D1540" s="43"/>
      <c r="E1540" s="43"/>
      <c r="F1540" s="43"/>
      <c r="G1540" s="43"/>
    </row>
    <row r="1541" spans="1:7" x14ac:dyDescent="0.2">
      <c r="A1541" s="43"/>
      <c r="B1541" s="42"/>
      <c r="C1541" s="43"/>
      <c r="D1541" s="43"/>
      <c r="E1541" s="43"/>
      <c r="F1541" s="43"/>
      <c r="G1541" s="43"/>
    </row>
    <row r="1542" spans="1:7" x14ac:dyDescent="0.2">
      <c r="A1542" s="43"/>
      <c r="B1542" s="42"/>
      <c r="C1542" s="43"/>
      <c r="D1542" s="43"/>
      <c r="E1542" s="43"/>
      <c r="F1542" s="43"/>
      <c r="G1542" s="43"/>
    </row>
    <row r="1543" spans="1:7" x14ac:dyDescent="0.2">
      <c r="A1543" s="43"/>
      <c r="B1543" s="42"/>
      <c r="C1543" s="43"/>
      <c r="D1543" s="43"/>
      <c r="E1543" s="43"/>
      <c r="F1543" s="43"/>
      <c r="G1543" s="43"/>
    </row>
    <row r="1544" spans="1:7" x14ac:dyDescent="0.2">
      <c r="A1544" s="43"/>
      <c r="B1544" s="42"/>
      <c r="C1544" s="43"/>
      <c r="D1544" s="43"/>
      <c r="E1544" s="43"/>
      <c r="F1544" s="43"/>
      <c r="G1544" s="43"/>
    </row>
    <row r="1545" spans="1:7" x14ac:dyDescent="0.2">
      <c r="A1545" s="43"/>
      <c r="B1545" s="42"/>
      <c r="C1545" s="43"/>
      <c r="D1545" s="43"/>
      <c r="E1545" s="43"/>
      <c r="F1545" s="43"/>
      <c r="G1545" s="43"/>
    </row>
    <row r="1546" spans="1:7" x14ac:dyDescent="0.2">
      <c r="A1546" s="43"/>
      <c r="B1546" s="42"/>
      <c r="C1546" s="43"/>
      <c r="D1546" s="43"/>
      <c r="E1546" s="43"/>
      <c r="F1546" s="43"/>
      <c r="G1546" s="43"/>
    </row>
    <row r="1547" spans="1:7" x14ac:dyDescent="0.2">
      <c r="A1547" s="43"/>
      <c r="B1547" s="42"/>
      <c r="C1547" s="43"/>
      <c r="D1547" s="43"/>
      <c r="E1547" s="43"/>
      <c r="F1547" s="43"/>
      <c r="G1547" s="43"/>
    </row>
    <row r="1548" spans="1:7" x14ac:dyDescent="0.2">
      <c r="A1548" s="43"/>
      <c r="B1548" s="42"/>
      <c r="C1548" s="43"/>
      <c r="D1548" s="43"/>
      <c r="E1548" s="43"/>
      <c r="F1548" s="43"/>
      <c r="G1548" s="43"/>
    </row>
    <row r="1549" spans="1:7" x14ac:dyDescent="0.2">
      <c r="A1549" s="43"/>
      <c r="B1549" s="42"/>
      <c r="C1549" s="43"/>
      <c r="D1549" s="43"/>
      <c r="E1549" s="43"/>
      <c r="F1549" s="43"/>
      <c r="G1549" s="43"/>
    </row>
    <row r="1550" spans="1:7" x14ac:dyDescent="0.2">
      <c r="A1550" s="43"/>
      <c r="B1550" s="42"/>
      <c r="C1550" s="43"/>
      <c r="D1550" s="43"/>
      <c r="E1550" s="43"/>
      <c r="F1550" s="43"/>
      <c r="G1550" s="43"/>
    </row>
    <row r="1551" spans="1:7" x14ac:dyDescent="0.2">
      <c r="A1551" s="43"/>
      <c r="B1551" s="42"/>
      <c r="C1551" s="43"/>
      <c r="D1551" s="43"/>
      <c r="E1551" s="43"/>
      <c r="F1551" s="43"/>
      <c r="G1551" s="43"/>
    </row>
    <row r="1552" spans="1:7" x14ac:dyDescent="0.2">
      <c r="A1552" s="43"/>
      <c r="B1552" s="42"/>
      <c r="C1552" s="43"/>
      <c r="D1552" s="43"/>
      <c r="E1552" s="43"/>
      <c r="F1552" s="43"/>
      <c r="G1552" s="43"/>
    </row>
    <row r="1553" spans="1:7" x14ac:dyDescent="0.2">
      <c r="A1553" s="43"/>
      <c r="B1553" s="42"/>
      <c r="C1553" s="43"/>
      <c r="D1553" s="43"/>
      <c r="E1553" s="43"/>
      <c r="F1553" s="43"/>
      <c r="G1553" s="43"/>
    </row>
    <row r="1554" spans="1:7" x14ac:dyDescent="0.2">
      <c r="A1554" s="43"/>
      <c r="B1554" s="42"/>
      <c r="C1554" s="43"/>
      <c r="D1554" s="43"/>
      <c r="E1554" s="43"/>
      <c r="F1554" s="43"/>
      <c r="G1554" s="43"/>
    </row>
    <row r="1555" spans="1:7" x14ac:dyDescent="0.2">
      <c r="A1555" s="43"/>
      <c r="B1555" s="42"/>
      <c r="C1555" s="43"/>
      <c r="D1555" s="43"/>
      <c r="E1555" s="43"/>
      <c r="F1555" s="43"/>
      <c r="G1555" s="43"/>
    </row>
    <row r="1556" spans="1:7" x14ac:dyDescent="0.2">
      <c r="A1556" s="43"/>
      <c r="B1556" s="42"/>
      <c r="C1556" s="43"/>
      <c r="D1556" s="43"/>
      <c r="E1556" s="43"/>
      <c r="F1556" s="43"/>
      <c r="G1556" s="43"/>
    </row>
    <row r="1557" spans="1:7" x14ac:dyDescent="0.2">
      <c r="A1557" s="43"/>
      <c r="B1557" s="42"/>
      <c r="C1557" s="43"/>
      <c r="D1557" s="43"/>
      <c r="E1557" s="43"/>
      <c r="F1557" s="43"/>
      <c r="G1557" s="43"/>
    </row>
    <row r="1558" spans="1:7" x14ac:dyDescent="0.2">
      <c r="A1558" s="43"/>
      <c r="B1558" s="42"/>
      <c r="C1558" s="43"/>
      <c r="D1558" s="43"/>
      <c r="E1558" s="43"/>
      <c r="F1558" s="43"/>
      <c r="G1558" s="43"/>
    </row>
    <row r="1559" spans="1:7" x14ac:dyDescent="0.2">
      <c r="A1559" s="43"/>
      <c r="B1559" s="42"/>
      <c r="C1559" s="43"/>
      <c r="D1559" s="43"/>
      <c r="E1559" s="43"/>
      <c r="F1559" s="43"/>
      <c r="G1559" s="43"/>
    </row>
    <row r="1560" spans="1:7" x14ac:dyDescent="0.2">
      <c r="A1560" s="43"/>
      <c r="B1560" s="42"/>
      <c r="C1560" s="43"/>
      <c r="D1560" s="43"/>
      <c r="E1560" s="43"/>
      <c r="F1560" s="43"/>
      <c r="G1560" s="43"/>
    </row>
    <row r="1561" spans="1:7" x14ac:dyDescent="0.2">
      <c r="A1561" s="43"/>
      <c r="B1561" s="42"/>
      <c r="C1561" s="43"/>
      <c r="D1561" s="43"/>
      <c r="E1561" s="43"/>
      <c r="F1561" s="43"/>
      <c r="G1561" s="43"/>
    </row>
    <row r="1562" spans="1:7" x14ac:dyDescent="0.2">
      <c r="A1562" s="43"/>
      <c r="B1562" s="42"/>
      <c r="C1562" s="43"/>
      <c r="D1562" s="43"/>
      <c r="E1562" s="43"/>
      <c r="F1562" s="43"/>
      <c r="G1562" s="43"/>
    </row>
    <row r="1563" spans="1:7" x14ac:dyDescent="0.2">
      <c r="A1563" s="43"/>
      <c r="B1563" s="42"/>
      <c r="C1563" s="43"/>
      <c r="D1563" s="43"/>
      <c r="E1563" s="43"/>
      <c r="F1563" s="43"/>
      <c r="G1563" s="43"/>
    </row>
    <row r="1564" spans="1:7" x14ac:dyDescent="0.2">
      <c r="A1564" s="43"/>
      <c r="B1564" s="42"/>
      <c r="C1564" s="43"/>
      <c r="D1564" s="43"/>
      <c r="E1564" s="43"/>
      <c r="F1564" s="43"/>
      <c r="G1564" s="43"/>
    </row>
    <row r="1565" spans="1:7" x14ac:dyDescent="0.2">
      <c r="A1565" s="43"/>
      <c r="B1565" s="42"/>
      <c r="C1565" s="43"/>
      <c r="D1565" s="43"/>
      <c r="E1565" s="43"/>
      <c r="F1565" s="43"/>
      <c r="G1565" s="43"/>
    </row>
    <row r="1566" spans="1:7" x14ac:dyDescent="0.2">
      <c r="A1566" s="43"/>
      <c r="B1566" s="42"/>
      <c r="C1566" s="43"/>
      <c r="D1566" s="43"/>
      <c r="E1566" s="43"/>
      <c r="F1566" s="43"/>
      <c r="G1566" s="43"/>
    </row>
    <row r="1567" spans="1:7" x14ac:dyDescent="0.2">
      <c r="A1567" s="43"/>
      <c r="B1567" s="42"/>
      <c r="C1567" s="43"/>
      <c r="D1567" s="43"/>
      <c r="E1567" s="43"/>
      <c r="F1567" s="43"/>
      <c r="G1567" s="43"/>
    </row>
    <row r="1568" spans="1:7" x14ac:dyDescent="0.2">
      <c r="A1568" s="43"/>
      <c r="B1568" s="42"/>
      <c r="C1568" s="43"/>
      <c r="D1568" s="43"/>
      <c r="E1568" s="43"/>
      <c r="F1568" s="43"/>
      <c r="G1568" s="43"/>
    </row>
    <row r="1569" spans="1:7" x14ac:dyDescent="0.2">
      <c r="A1569" s="43"/>
      <c r="B1569" s="42"/>
      <c r="C1569" s="43"/>
      <c r="D1569" s="43"/>
      <c r="E1569" s="43"/>
      <c r="F1569" s="43"/>
      <c r="G1569" s="43"/>
    </row>
    <row r="1570" spans="1:7" x14ac:dyDescent="0.2">
      <c r="A1570" s="43"/>
      <c r="B1570" s="42"/>
      <c r="C1570" s="43"/>
      <c r="D1570" s="43"/>
      <c r="E1570" s="43"/>
      <c r="F1570" s="43"/>
      <c r="G1570" s="43"/>
    </row>
    <row r="1571" spans="1:7" x14ac:dyDescent="0.2">
      <c r="A1571" s="43"/>
      <c r="B1571" s="42"/>
      <c r="C1571" s="43"/>
      <c r="D1571" s="43"/>
      <c r="E1571" s="43"/>
      <c r="F1571" s="43"/>
      <c r="G1571" s="43"/>
    </row>
    <row r="1572" spans="1:7" x14ac:dyDescent="0.2">
      <c r="A1572" s="43"/>
      <c r="B1572" s="42"/>
      <c r="C1572" s="43"/>
      <c r="D1572" s="43"/>
      <c r="E1572" s="43"/>
      <c r="F1572" s="43"/>
      <c r="G1572" s="43"/>
    </row>
    <row r="1573" spans="1:7" x14ac:dyDescent="0.2">
      <c r="A1573" s="43"/>
      <c r="B1573" s="42"/>
      <c r="C1573" s="43"/>
      <c r="D1573" s="43"/>
      <c r="E1573" s="43"/>
      <c r="F1573" s="43"/>
      <c r="G1573" s="43"/>
    </row>
    <row r="1574" spans="1:7" x14ac:dyDescent="0.2">
      <c r="A1574" s="43"/>
      <c r="B1574" s="42"/>
      <c r="C1574" s="43"/>
      <c r="D1574" s="43"/>
      <c r="E1574" s="43"/>
      <c r="F1574" s="43"/>
      <c r="G1574" s="43"/>
    </row>
    <row r="1575" spans="1:7" x14ac:dyDescent="0.2">
      <c r="A1575" s="43"/>
      <c r="B1575" s="42"/>
      <c r="C1575" s="43"/>
      <c r="D1575" s="43"/>
      <c r="E1575" s="43"/>
      <c r="F1575" s="43"/>
      <c r="G1575" s="43"/>
    </row>
    <row r="1576" spans="1:7" x14ac:dyDescent="0.2">
      <c r="A1576" s="43"/>
      <c r="B1576" s="42"/>
      <c r="C1576" s="43"/>
      <c r="D1576" s="43"/>
      <c r="E1576" s="43"/>
      <c r="F1576" s="43"/>
      <c r="G1576" s="43"/>
    </row>
    <row r="1577" spans="1:7" x14ac:dyDescent="0.2">
      <c r="A1577" s="43"/>
      <c r="B1577" s="42"/>
      <c r="C1577" s="43"/>
      <c r="D1577" s="43"/>
      <c r="E1577" s="43"/>
      <c r="F1577" s="43"/>
      <c r="G1577" s="43"/>
    </row>
    <row r="1578" spans="1:7" x14ac:dyDescent="0.2">
      <c r="A1578" s="43"/>
      <c r="B1578" s="42"/>
      <c r="C1578" s="43"/>
      <c r="D1578" s="43"/>
      <c r="E1578" s="43"/>
      <c r="F1578" s="43"/>
      <c r="G1578" s="43"/>
    </row>
    <row r="1579" spans="1:7" x14ac:dyDescent="0.2">
      <c r="A1579" s="43"/>
      <c r="B1579" s="42"/>
      <c r="C1579" s="43"/>
      <c r="D1579" s="43"/>
      <c r="E1579" s="43"/>
      <c r="F1579" s="43"/>
      <c r="G1579" s="43"/>
    </row>
    <row r="1580" spans="1:7" x14ac:dyDescent="0.2">
      <c r="A1580" s="43"/>
      <c r="B1580" s="42"/>
      <c r="C1580" s="43"/>
      <c r="D1580" s="43"/>
      <c r="E1580" s="43"/>
      <c r="F1580" s="43"/>
      <c r="G1580" s="43"/>
    </row>
    <row r="1581" spans="1:7" x14ac:dyDescent="0.2">
      <c r="A1581" s="43"/>
      <c r="B1581" s="42"/>
      <c r="C1581" s="43"/>
      <c r="D1581" s="43"/>
      <c r="E1581" s="43"/>
      <c r="F1581" s="43"/>
      <c r="G1581" s="43"/>
    </row>
    <row r="1582" spans="1:7" x14ac:dyDescent="0.2">
      <c r="A1582" s="43"/>
      <c r="B1582" s="42"/>
      <c r="C1582" s="43"/>
      <c r="D1582" s="43"/>
      <c r="E1582" s="43"/>
      <c r="F1582" s="43"/>
      <c r="G1582" s="43"/>
    </row>
    <row r="1583" spans="1:7" x14ac:dyDescent="0.2">
      <c r="A1583" s="43"/>
      <c r="B1583" s="42"/>
      <c r="C1583" s="43"/>
      <c r="D1583" s="43"/>
      <c r="E1583" s="43"/>
      <c r="F1583" s="43"/>
      <c r="G1583" s="43"/>
    </row>
    <row r="1584" spans="1:7" x14ac:dyDescent="0.2">
      <c r="A1584" s="43"/>
      <c r="B1584" s="42"/>
      <c r="C1584" s="43"/>
      <c r="D1584" s="43"/>
      <c r="E1584" s="43"/>
      <c r="F1584" s="43"/>
      <c r="G1584" s="43"/>
    </row>
    <row r="1585" spans="1:7" x14ac:dyDescent="0.2">
      <c r="A1585" s="43"/>
      <c r="B1585" s="42"/>
      <c r="C1585" s="43"/>
      <c r="D1585" s="43"/>
      <c r="E1585" s="43"/>
      <c r="F1585" s="43"/>
      <c r="G1585" s="43"/>
    </row>
    <row r="1586" spans="1:7" x14ac:dyDescent="0.2">
      <c r="A1586" s="43"/>
      <c r="B1586" s="42"/>
      <c r="C1586" s="43"/>
      <c r="D1586" s="43"/>
      <c r="E1586" s="43"/>
      <c r="F1586" s="43"/>
      <c r="G1586" s="43"/>
    </row>
    <row r="1587" spans="1:7" x14ac:dyDescent="0.2">
      <c r="A1587" s="43"/>
      <c r="B1587" s="42"/>
      <c r="C1587" s="43"/>
      <c r="D1587" s="43"/>
      <c r="E1587" s="43"/>
      <c r="F1587" s="43"/>
      <c r="G1587" s="43"/>
    </row>
    <row r="1588" spans="1:7" x14ac:dyDescent="0.2">
      <c r="A1588" s="43"/>
      <c r="B1588" s="42"/>
      <c r="C1588" s="43"/>
      <c r="D1588" s="43"/>
      <c r="E1588" s="43"/>
      <c r="F1588" s="43"/>
      <c r="G1588" s="43"/>
    </row>
    <row r="1589" spans="1:7" x14ac:dyDescent="0.2">
      <c r="A1589" s="43"/>
      <c r="B1589" s="42"/>
      <c r="C1589" s="43"/>
      <c r="D1589" s="43"/>
      <c r="E1589" s="43"/>
      <c r="F1589" s="43"/>
      <c r="G1589" s="43"/>
    </row>
    <row r="1590" spans="1:7" x14ac:dyDescent="0.2">
      <c r="A1590" s="43"/>
      <c r="B1590" s="42"/>
      <c r="C1590" s="43"/>
      <c r="D1590" s="43"/>
      <c r="E1590" s="43"/>
      <c r="F1590" s="43"/>
      <c r="G1590" s="43"/>
    </row>
    <row r="1591" spans="1:7" x14ac:dyDescent="0.2">
      <c r="A1591" s="43"/>
      <c r="B1591" s="42"/>
      <c r="C1591" s="43"/>
      <c r="D1591" s="43"/>
      <c r="E1591" s="43"/>
      <c r="F1591" s="43"/>
      <c r="G1591" s="43"/>
    </row>
    <row r="1592" spans="1:7" x14ac:dyDescent="0.2">
      <c r="A1592" s="43"/>
      <c r="B1592" s="42"/>
      <c r="C1592" s="43"/>
      <c r="D1592" s="43"/>
      <c r="E1592" s="43"/>
      <c r="F1592" s="43"/>
      <c r="G1592" s="43"/>
    </row>
    <row r="1593" spans="1:7" x14ac:dyDescent="0.2">
      <c r="A1593" s="43"/>
      <c r="B1593" s="42"/>
      <c r="C1593" s="43"/>
      <c r="D1593" s="43"/>
      <c r="E1593" s="43"/>
      <c r="F1593" s="43"/>
      <c r="G1593" s="43"/>
    </row>
    <row r="1594" spans="1:7" x14ac:dyDescent="0.2">
      <c r="A1594" s="43"/>
      <c r="B1594" s="42"/>
      <c r="C1594" s="43"/>
      <c r="D1594" s="43"/>
      <c r="E1594" s="43"/>
      <c r="F1594" s="43"/>
      <c r="G1594" s="43"/>
    </row>
    <row r="1595" spans="1:7" x14ac:dyDescent="0.2">
      <c r="A1595" s="43"/>
      <c r="B1595" s="42"/>
      <c r="C1595" s="43"/>
      <c r="D1595" s="43"/>
      <c r="E1595" s="43"/>
      <c r="F1595" s="43"/>
      <c r="G1595" s="43"/>
    </row>
    <row r="1596" spans="1:7" x14ac:dyDescent="0.2">
      <c r="A1596" s="43"/>
      <c r="B1596" s="42"/>
      <c r="C1596" s="43"/>
      <c r="D1596" s="43"/>
      <c r="E1596" s="43"/>
      <c r="F1596" s="43"/>
      <c r="G1596" s="43"/>
    </row>
    <row r="1597" spans="1:7" x14ac:dyDescent="0.2">
      <c r="A1597" s="43"/>
      <c r="B1597" s="42"/>
      <c r="C1597" s="43"/>
      <c r="D1597" s="43"/>
      <c r="E1597" s="43"/>
      <c r="F1597" s="43"/>
      <c r="G1597" s="43"/>
    </row>
    <row r="1598" spans="1:7" x14ac:dyDescent="0.2">
      <c r="A1598" s="43"/>
      <c r="B1598" s="42"/>
      <c r="C1598" s="43"/>
      <c r="D1598" s="43"/>
      <c r="E1598" s="43"/>
      <c r="F1598" s="43"/>
      <c r="G1598" s="43"/>
    </row>
    <row r="1599" spans="1:7" x14ac:dyDescent="0.2">
      <c r="A1599" s="43"/>
      <c r="B1599" s="42"/>
      <c r="C1599" s="43"/>
      <c r="D1599" s="43"/>
      <c r="E1599" s="43"/>
      <c r="F1599" s="43"/>
      <c r="G1599" s="43"/>
    </row>
    <row r="1600" spans="1:7" x14ac:dyDescent="0.2">
      <c r="A1600" s="43"/>
      <c r="B1600" s="42"/>
      <c r="C1600" s="43"/>
      <c r="D1600" s="43"/>
      <c r="E1600" s="43"/>
      <c r="F1600" s="43"/>
      <c r="G1600" s="43"/>
    </row>
    <row r="1601" spans="1:7" x14ac:dyDescent="0.2">
      <c r="A1601" s="43"/>
      <c r="B1601" s="42"/>
      <c r="C1601" s="43"/>
      <c r="D1601" s="43"/>
      <c r="E1601" s="43"/>
      <c r="F1601" s="43"/>
      <c r="G1601" s="43"/>
    </row>
    <row r="1602" spans="1:7" x14ac:dyDescent="0.2">
      <c r="A1602" s="43"/>
      <c r="B1602" s="42"/>
      <c r="C1602" s="43"/>
      <c r="D1602" s="43"/>
      <c r="E1602" s="43"/>
      <c r="F1602" s="43"/>
      <c r="G1602" s="43"/>
    </row>
    <row r="1603" spans="1:7" x14ac:dyDescent="0.2">
      <c r="A1603" s="43"/>
      <c r="B1603" s="42"/>
      <c r="C1603" s="43"/>
      <c r="D1603" s="43"/>
      <c r="E1603" s="43"/>
      <c r="F1603" s="43"/>
      <c r="G1603" s="43"/>
    </row>
    <row r="1604" spans="1:7" x14ac:dyDescent="0.2">
      <c r="A1604" s="43"/>
      <c r="B1604" s="42"/>
      <c r="C1604" s="43"/>
      <c r="D1604" s="43"/>
      <c r="E1604" s="43"/>
      <c r="F1604" s="43"/>
      <c r="G1604" s="43"/>
    </row>
    <row r="1605" spans="1:7" x14ac:dyDescent="0.2">
      <c r="A1605" s="43"/>
      <c r="B1605" s="42"/>
      <c r="C1605" s="43"/>
      <c r="D1605" s="43"/>
      <c r="E1605" s="43"/>
      <c r="F1605" s="43"/>
      <c r="G1605" s="43"/>
    </row>
    <row r="1606" spans="1:7" x14ac:dyDescent="0.2">
      <c r="A1606" s="43"/>
      <c r="B1606" s="42"/>
      <c r="C1606" s="43"/>
      <c r="D1606" s="43"/>
      <c r="E1606" s="43"/>
      <c r="F1606" s="43"/>
      <c r="G1606" s="43"/>
    </row>
    <row r="1607" spans="1:7" x14ac:dyDescent="0.2">
      <c r="A1607" s="43"/>
      <c r="B1607" s="42"/>
      <c r="C1607" s="43"/>
      <c r="D1607" s="43"/>
      <c r="E1607" s="43"/>
      <c r="F1607" s="43"/>
      <c r="G1607" s="43"/>
    </row>
    <row r="1608" spans="1:7" x14ac:dyDescent="0.2">
      <c r="A1608" s="43"/>
      <c r="B1608" s="42"/>
      <c r="C1608" s="43"/>
      <c r="D1608" s="43"/>
      <c r="E1608" s="43"/>
      <c r="F1608" s="43"/>
      <c r="G1608" s="43"/>
    </row>
    <row r="1609" spans="1:7" x14ac:dyDescent="0.2">
      <c r="A1609" s="43"/>
      <c r="B1609" s="42"/>
      <c r="C1609" s="43"/>
      <c r="D1609" s="43"/>
      <c r="E1609" s="43"/>
      <c r="F1609" s="43"/>
      <c r="G1609" s="43"/>
    </row>
    <row r="1610" spans="1:7" x14ac:dyDescent="0.2">
      <c r="A1610" s="43"/>
      <c r="B1610" s="42"/>
      <c r="C1610" s="43"/>
      <c r="D1610" s="43"/>
      <c r="E1610" s="43"/>
      <c r="F1610" s="43"/>
      <c r="G1610" s="43"/>
    </row>
    <row r="1611" spans="1:7" x14ac:dyDescent="0.2">
      <c r="A1611" s="43"/>
      <c r="B1611" s="42"/>
      <c r="C1611" s="43"/>
      <c r="D1611" s="43"/>
      <c r="E1611" s="43"/>
      <c r="F1611" s="43"/>
      <c r="G1611" s="43"/>
    </row>
    <row r="1612" spans="1:7" x14ac:dyDescent="0.2">
      <c r="A1612" s="43"/>
      <c r="B1612" s="42"/>
      <c r="C1612" s="43"/>
      <c r="D1612" s="43"/>
      <c r="E1612" s="43"/>
      <c r="F1612" s="43"/>
      <c r="G1612" s="43"/>
    </row>
    <row r="1613" spans="1:7" x14ac:dyDescent="0.2">
      <c r="A1613" s="43"/>
      <c r="B1613" s="42"/>
      <c r="C1613" s="43"/>
      <c r="D1613" s="43"/>
      <c r="E1613" s="43"/>
      <c r="F1613" s="43"/>
      <c r="G1613" s="43"/>
    </row>
    <row r="1614" spans="1:7" x14ac:dyDescent="0.2">
      <c r="A1614" s="43"/>
      <c r="B1614" s="42"/>
      <c r="C1614" s="43"/>
      <c r="D1614" s="43"/>
      <c r="E1614" s="43"/>
      <c r="F1614" s="43"/>
      <c r="G1614" s="43"/>
    </row>
    <row r="1615" spans="1:7" x14ac:dyDescent="0.2">
      <c r="A1615" s="43"/>
      <c r="B1615" s="42"/>
      <c r="C1615" s="43"/>
      <c r="D1615" s="43"/>
      <c r="E1615" s="43"/>
      <c r="F1615" s="43"/>
      <c r="G1615" s="43"/>
    </row>
    <row r="1616" spans="1:7" x14ac:dyDescent="0.2">
      <c r="A1616" s="43"/>
      <c r="B1616" s="42"/>
      <c r="C1616" s="43"/>
      <c r="D1616" s="43"/>
      <c r="E1616" s="43"/>
      <c r="F1616" s="43"/>
      <c r="G1616" s="43"/>
    </row>
    <row r="1617" spans="1:7" x14ac:dyDescent="0.2">
      <c r="A1617" s="43"/>
      <c r="B1617" s="42"/>
      <c r="C1617" s="43"/>
      <c r="D1617" s="43"/>
      <c r="E1617" s="43"/>
      <c r="F1617" s="43"/>
      <c r="G1617" s="43"/>
    </row>
    <row r="1618" spans="1:7" x14ac:dyDescent="0.2">
      <c r="A1618" s="43"/>
      <c r="B1618" s="42"/>
      <c r="C1618" s="43"/>
      <c r="D1618" s="43"/>
      <c r="E1618" s="43"/>
      <c r="F1618" s="43"/>
      <c r="G1618" s="43"/>
    </row>
    <row r="1619" spans="1:7" x14ac:dyDescent="0.2">
      <c r="A1619" s="43"/>
      <c r="B1619" s="42"/>
      <c r="C1619" s="43"/>
      <c r="D1619" s="43"/>
      <c r="E1619" s="43"/>
      <c r="F1619" s="43"/>
      <c r="G1619" s="43"/>
    </row>
    <row r="1620" spans="1:7" x14ac:dyDescent="0.2">
      <c r="A1620" s="43"/>
      <c r="B1620" s="42"/>
      <c r="C1620" s="43"/>
      <c r="D1620" s="43"/>
      <c r="E1620" s="43"/>
      <c r="F1620" s="43"/>
      <c r="G1620" s="43"/>
    </row>
    <row r="1621" spans="1:7" x14ac:dyDescent="0.2">
      <c r="A1621" s="43"/>
      <c r="B1621" s="42"/>
      <c r="C1621" s="43"/>
      <c r="D1621" s="43"/>
      <c r="E1621" s="43"/>
      <c r="F1621" s="43"/>
      <c r="G1621" s="43"/>
    </row>
    <row r="1622" spans="1:7" x14ac:dyDescent="0.2">
      <c r="A1622" s="43"/>
      <c r="B1622" s="42"/>
      <c r="C1622" s="43"/>
      <c r="D1622" s="43"/>
      <c r="E1622" s="43"/>
      <c r="F1622" s="43"/>
      <c r="G1622" s="43"/>
    </row>
    <row r="1623" spans="1:7" x14ac:dyDescent="0.2">
      <c r="A1623" s="43"/>
      <c r="B1623" s="42"/>
      <c r="C1623" s="43"/>
      <c r="D1623" s="43"/>
      <c r="E1623" s="43"/>
      <c r="F1623" s="43"/>
      <c r="G1623" s="43"/>
    </row>
    <row r="1624" spans="1:7" x14ac:dyDescent="0.2">
      <c r="A1624" s="43"/>
      <c r="B1624" s="42"/>
      <c r="C1624" s="43"/>
      <c r="D1624" s="43"/>
      <c r="E1624" s="43"/>
      <c r="F1624" s="43"/>
      <c r="G1624" s="43"/>
    </row>
    <row r="1625" spans="1:7" x14ac:dyDescent="0.2">
      <c r="A1625" s="43"/>
      <c r="B1625" s="42"/>
      <c r="C1625" s="43"/>
      <c r="D1625" s="43"/>
      <c r="E1625" s="43"/>
      <c r="F1625" s="43"/>
      <c r="G1625" s="43"/>
    </row>
    <row r="1626" spans="1:7" x14ac:dyDescent="0.2">
      <c r="A1626" s="43"/>
      <c r="B1626" s="42"/>
      <c r="C1626" s="43"/>
      <c r="D1626" s="43"/>
      <c r="E1626" s="43"/>
      <c r="F1626" s="43"/>
      <c r="G1626" s="43"/>
    </row>
    <row r="1627" spans="1:7" x14ac:dyDescent="0.2">
      <c r="A1627" s="43"/>
      <c r="B1627" s="42"/>
      <c r="C1627" s="43"/>
      <c r="D1627" s="43"/>
      <c r="E1627" s="43"/>
      <c r="F1627" s="43"/>
      <c r="G1627" s="43"/>
    </row>
    <row r="1628" spans="1:7" x14ac:dyDescent="0.2">
      <c r="A1628" s="43"/>
      <c r="B1628" s="42"/>
      <c r="C1628" s="43"/>
      <c r="D1628" s="43"/>
      <c r="E1628" s="43"/>
      <c r="F1628" s="43"/>
      <c r="G1628" s="43"/>
    </row>
    <row r="1629" spans="1:7" x14ac:dyDescent="0.2">
      <c r="A1629" s="43"/>
      <c r="B1629" s="42"/>
      <c r="C1629" s="43"/>
      <c r="D1629" s="43"/>
      <c r="E1629" s="43"/>
      <c r="F1629" s="43"/>
      <c r="G1629" s="43"/>
    </row>
    <row r="1630" spans="1:7" x14ac:dyDescent="0.2">
      <c r="A1630" s="43"/>
      <c r="B1630" s="42"/>
      <c r="C1630" s="43"/>
      <c r="D1630" s="43"/>
      <c r="E1630" s="43"/>
      <c r="F1630" s="43"/>
      <c r="G1630" s="43"/>
    </row>
    <row r="1631" spans="1:7" x14ac:dyDescent="0.2">
      <c r="A1631" s="43"/>
      <c r="B1631" s="42"/>
      <c r="C1631" s="43"/>
      <c r="D1631" s="43"/>
      <c r="E1631" s="43"/>
      <c r="F1631" s="43"/>
      <c r="G1631" s="43"/>
    </row>
    <row r="1632" spans="1:7" x14ac:dyDescent="0.2">
      <c r="A1632" s="43"/>
      <c r="B1632" s="42"/>
      <c r="C1632" s="43"/>
      <c r="D1632" s="43"/>
      <c r="E1632" s="43"/>
      <c r="F1632" s="43"/>
      <c r="G1632" s="43"/>
    </row>
    <row r="1633" spans="1:7" x14ac:dyDescent="0.2">
      <c r="A1633" s="43"/>
      <c r="B1633" s="42"/>
      <c r="C1633" s="43"/>
      <c r="D1633" s="43"/>
      <c r="E1633" s="43"/>
      <c r="F1633" s="43"/>
      <c r="G1633" s="43"/>
    </row>
    <row r="1634" spans="1:7" x14ac:dyDescent="0.2">
      <c r="A1634" s="43"/>
      <c r="B1634" s="42"/>
      <c r="C1634" s="43"/>
      <c r="D1634" s="43"/>
      <c r="E1634" s="43"/>
      <c r="F1634" s="43"/>
      <c r="G1634" s="43"/>
    </row>
    <row r="1635" spans="1:7" x14ac:dyDescent="0.2">
      <c r="A1635" s="43"/>
      <c r="B1635" s="42"/>
      <c r="C1635" s="43"/>
      <c r="D1635" s="43"/>
      <c r="E1635" s="43"/>
      <c r="F1635" s="43"/>
      <c r="G1635" s="43"/>
    </row>
    <row r="1636" spans="1:7" x14ac:dyDescent="0.2">
      <c r="A1636" s="43"/>
      <c r="B1636" s="42"/>
      <c r="C1636" s="43"/>
      <c r="D1636" s="43"/>
      <c r="E1636" s="43"/>
      <c r="F1636" s="43"/>
      <c r="G1636" s="43"/>
    </row>
    <row r="1637" spans="1:7" x14ac:dyDescent="0.2">
      <c r="A1637" s="43"/>
      <c r="B1637" s="42"/>
      <c r="C1637" s="43"/>
      <c r="D1637" s="43"/>
      <c r="E1637" s="43"/>
      <c r="F1637" s="43"/>
      <c r="G1637" s="43"/>
    </row>
    <row r="1638" spans="1:7" x14ac:dyDescent="0.2">
      <c r="A1638" s="43"/>
      <c r="B1638" s="42"/>
      <c r="C1638" s="43"/>
      <c r="D1638" s="43"/>
      <c r="E1638" s="43"/>
      <c r="F1638" s="43"/>
      <c r="G1638" s="43"/>
    </row>
    <row r="1639" spans="1:7" x14ac:dyDescent="0.2">
      <c r="A1639" s="43"/>
      <c r="B1639" s="42"/>
      <c r="C1639" s="43"/>
      <c r="D1639" s="43"/>
      <c r="E1639" s="43"/>
      <c r="F1639" s="43"/>
      <c r="G1639" s="43"/>
    </row>
    <row r="1640" spans="1:7" x14ac:dyDescent="0.2">
      <c r="A1640" s="43"/>
      <c r="B1640" s="42"/>
      <c r="C1640" s="43"/>
      <c r="D1640" s="43"/>
      <c r="E1640" s="43"/>
      <c r="F1640" s="43"/>
      <c r="G1640" s="43"/>
    </row>
    <row r="1641" spans="1:7" x14ac:dyDescent="0.2">
      <c r="A1641" s="43"/>
      <c r="B1641" s="42"/>
      <c r="C1641" s="43"/>
      <c r="D1641" s="43"/>
      <c r="E1641" s="43"/>
      <c r="F1641" s="43"/>
      <c r="G1641" s="43"/>
    </row>
    <row r="1642" spans="1:7" x14ac:dyDescent="0.2">
      <c r="A1642" s="43"/>
      <c r="B1642" s="42"/>
      <c r="C1642" s="43"/>
      <c r="D1642" s="43"/>
      <c r="E1642" s="43"/>
      <c r="F1642" s="43"/>
      <c r="G1642" s="43"/>
    </row>
    <row r="1643" spans="1:7" x14ac:dyDescent="0.2">
      <c r="A1643" s="43"/>
      <c r="B1643" s="42"/>
      <c r="C1643" s="43"/>
      <c r="D1643" s="43"/>
      <c r="E1643" s="43"/>
      <c r="F1643" s="43"/>
      <c r="G1643" s="43"/>
    </row>
    <row r="1644" spans="1:7" x14ac:dyDescent="0.2">
      <c r="A1644" s="43"/>
      <c r="B1644" s="42"/>
      <c r="C1644" s="43"/>
      <c r="D1644" s="43"/>
      <c r="E1644" s="43"/>
      <c r="F1644" s="43"/>
      <c r="G1644" s="43"/>
    </row>
    <row r="1645" spans="1:7" x14ac:dyDescent="0.2">
      <c r="A1645" s="43"/>
      <c r="B1645" s="42"/>
      <c r="C1645" s="43"/>
      <c r="D1645" s="43"/>
      <c r="E1645" s="43"/>
      <c r="F1645" s="43"/>
      <c r="G1645" s="43"/>
    </row>
    <row r="1646" spans="1:7" x14ac:dyDescent="0.2">
      <c r="A1646" s="43"/>
      <c r="B1646" s="42"/>
      <c r="C1646" s="43"/>
      <c r="D1646" s="43"/>
      <c r="E1646" s="43"/>
      <c r="F1646" s="43"/>
      <c r="G1646" s="43"/>
    </row>
    <row r="1647" spans="1:7" x14ac:dyDescent="0.2">
      <c r="A1647" s="43"/>
      <c r="B1647" s="42"/>
      <c r="C1647" s="43"/>
      <c r="D1647" s="43"/>
      <c r="E1647" s="43"/>
      <c r="F1647" s="43"/>
      <c r="G1647" s="43"/>
    </row>
    <row r="1648" spans="1:7" x14ac:dyDescent="0.2">
      <c r="A1648" s="43"/>
      <c r="B1648" s="42"/>
      <c r="C1648" s="43"/>
      <c r="D1648" s="43"/>
      <c r="E1648" s="43"/>
      <c r="F1648" s="43"/>
      <c r="G1648" s="43"/>
    </row>
    <row r="1649" spans="1:7" x14ac:dyDescent="0.2">
      <c r="A1649" s="43"/>
      <c r="B1649" s="42"/>
      <c r="C1649" s="43"/>
      <c r="D1649" s="43"/>
      <c r="E1649" s="43"/>
      <c r="F1649" s="43"/>
      <c r="G1649" s="43"/>
    </row>
    <row r="1650" spans="1:7" x14ac:dyDescent="0.2">
      <c r="A1650" s="43"/>
      <c r="B1650" s="42"/>
      <c r="C1650" s="43"/>
      <c r="D1650" s="43"/>
      <c r="E1650" s="43"/>
      <c r="F1650" s="43"/>
      <c r="G1650" s="43"/>
    </row>
    <row r="1651" spans="1:7" x14ac:dyDescent="0.2">
      <c r="A1651" s="43"/>
      <c r="B1651" s="42"/>
      <c r="C1651" s="43"/>
      <c r="D1651" s="43"/>
      <c r="E1651" s="43"/>
      <c r="F1651" s="43"/>
      <c r="G1651" s="43"/>
    </row>
    <row r="1652" spans="1:7" x14ac:dyDescent="0.2">
      <c r="A1652" s="43"/>
      <c r="B1652" s="42"/>
      <c r="C1652" s="43"/>
      <c r="D1652" s="43"/>
      <c r="E1652" s="43"/>
      <c r="F1652" s="43"/>
      <c r="G1652" s="43"/>
    </row>
    <row r="1653" spans="1:7" x14ac:dyDescent="0.2">
      <c r="A1653" s="43"/>
      <c r="B1653" s="42"/>
      <c r="C1653" s="43"/>
      <c r="D1653" s="43"/>
      <c r="E1653" s="43"/>
      <c r="F1653" s="43"/>
      <c r="G1653" s="43"/>
    </row>
    <row r="1654" spans="1:7" x14ac:dyDescent="0.2">
      <c r="A1654" s="43"/>
      <c r="B1654" s="42"/>
      <c r="C1654" s="43"/>
      <c r="D1654" s="43"/>
      <c r="E1654" s="43"/>
      <c r="F1654" s="43"/>
      <c r="G1654" s="43"/>
    </row>
    <row r="1655" spans="1:7" x14ac:dyDescent="0.2">
      <c r="A1655" s="43"/>
      <c r="B1655" s="42"/>
      <c r="C1655" s="43"/>
      <c r="D1655" s="43"/>
      <c r="E1655" s="43"/>
      <c r="F1655" s="43"/>
      <c r="G1655" s="43"/>
    </row>
    <row r="1656" spans="1:7" x14ac:dyDescent="0.2">
      <c r="A1656" s="43"/>
      <c r="B1656" s="42"/>
      <c r="C1656" s="43"/>
      <c r="D1656" s="43"/>
      <c r="E1656" s="43"/>
      <c r="F1656" s="43"/>
      <c r="G1656" s="43"/>
    </row>
    <row r="1657" spans="1:7" x14ac:dyDescent="0.2">
      <c r="A1657" s="43"/>
      <c r="B1657" s="42"/>
      <c r="C1657" s="43"/>
      <c r="D1657" s="43"/>
      <c r="E1657" s="43"/>
      <c r="F1657" s="43"/>
      <c r="G1657" s="43"/>
    </row>
    <row r="1658" spans="1:7" x14ac:dyDescent="0.2">
      <c r="A1658" s="43"/>
      <c r="B1658" s="42"/>
      <c r="C1658" s="43"/>
      <c r="D1658" s="43"/>
      <c r="E1658" s="43"/>
      <c r="F1658" s="43"/>
      <c r="G1658" s="43"/>
    </row>
    <row r="1659" spans="1:7" x14ac:dyDescent="0.2">
      <c r="A1659" s="43"/>
      <c r="B1659" s="42"/>
      <c r="C1659" s="43"/>
      <c r="D1659" s="43"/>
      <c r="E1659" s="43"/>
      <c r="F1659" s="43"/>
      <c r="G1659" s="43"/>
    </row>
    <row r="1660" spans="1:7" x14ac:dyDescent="0.2">
      <c r="A1660" s="43"/>
      <c r="B1660" s="42"/>
      <c r="C1660" s="43"/>
      <c r="D1660" s="43"/>
      <c r="E1660" s="43"/>
      <c r="F1660" s="43"/>
      <c r="G1660" s="43"/>
    </row>
    <row r="1661" spans="1:7" x14ac:dyDescent="0.2">
      <c r="A1661" s="43"/>
      <c r="B1661" s="42"/>
      <c r="C1661" s="43"/>
      <c r="D1661" s="43"/>
      <c r="E1661" s="43"/>
      <c r="F1661" s="43"/>
      <c r="G1661" s="43"/>
    </row>
    <row r="1662" spans="1:7" x14ac:dyDescent="0.2">
      <c r="A1662" s="43"/>
      <c r="B1662" s="42"/>
      <c r="C1662" s="43"/>
      <c r="D1662" s="43"/>
      <c r="E1662" s="43"/>
      <c r="F1662" s="43"/>
      <c r="G1662" s="43"/>
    </row>
    <row r="1663" spans="1:7" x14ac:dyDescent="0.2">
      <c r="A1663" s="43"/>
      <c r="B1663" s="42"/>
      <c r="C1663" s="43"/>
      <c r="D1663" s="43"/>
      <c r="E1663" s="43"/>
      <c r="F1663" s="43"/>
      <c r="G1663" s="43"/>
    </row>
    <row r="1664" spans="1:7" x14ac:dyDescent="0.2">
      <c r="A1664" s="43"/>
      <c r="B1664" s="42"/>
      <c r="C1664" s="43"/>
      <c r="D1664" s="43"/>
      <c r="E1664" s="43"/>
      <c r="F1664" s="43"/>
      <c r="G1664" s="43"/>
    </row>
    <row r="1665" spans="1:7" x14ac:dyDescent="0.2">
      <c r="A1665" s="43"/>
      <c r="B1665" s="42"/>
      <c r="C1665" s="43"/>
      <c r="D1665" s="43"/>
      <c r="E1665" s="43"/>
      <c r="F1665" s="43"/>
      <c r="G1665" s="43"/>
    </row>
    <row r="1666" spans="1:7" x14ac:dyDescent="0.2">
      <c r="A1666" s="43"/>
      <c r="B1666" s="42"/>
      <c r="C1666" s="43"/>
      <c r="D1666" s="43"/>
      <c r="E1666" s="43"/>
      <c r="F1666" s="43"/>
      <c r="G1666" s="43"/>
    </row>
    <row r="1667" spans="1:7" x14ac:dyDescent="0.2">
      <c r="A1667" s="43"/>
      <c r="B1667" s="42"/>
      <c r="C1667" s="43"/>
      <c r="D1667" s="43"/>
      <c r="E1667" s="43"/>
      <c r="F1667" s="43"/>
      <c r="G1667" s="43"/>
    </row>
    <row r="1668" spans="1:7" x14ac:dyDescent="0.2">
      <c r="A1668" s="43"/>
      <c r="B1668" s="42"/>
      <c r="C1668" s="43"/>
      <c r="D1668" s="43"/>
      <c r="E1668" s="43"/>
      <c r="F1668" s="43"/>
      <c r="G1668" s="43"/>
    </row>
    <row r="1669" spans="1:7" x14ac:dyDescent="0.2">
      <c r="A1669" s="43"/>
      <c r="B1669" s="42"/>
      <c r="C1669" s="43"/>
      <c r="D1669" s="43"/>
      <c r="E1669" s="43"/>
      <c r="F1669" s="43"/>
      <c r="G1669" s="43"/>
    </row>
    <row r="1670" spans="1:7" x14ac:dyDescent="0.2">
      <c r="A1670" s="43"/>
      <c r="B1670" s="42"/>
      <c r="C1670" s="43"/>
      <c r="D1670" s="43"/>
      <c r="E1670" s="43"/>
      <c r="F1670" s="43"/>
      <c r="G1670" s="43"/>
    </row>
    <row r="1671" spans="1:7" x14ac:dyDescent="0.2">
      <c r="A1671" s="43"/>
      <c r="B1671" s="42"/>
      <c r="C1671" s="43"/>
      <c r="D1671" s="43"/>
      <c r="E1671" s="43"/>
      <c r="F1671" s="43"/>
      <c r="G1671" s="43"/>
    </row>
    <row r="1672" spans="1:7" x14ac:dyDescent="0.2">
      <c r="A1672" s="43"/>
      <c r="B1672" s="42"/>
      <c r="C1672" s="43"/>
      <c r="D1672" s="43"/>
      <c r="E1672" s="43"/>
      <c r="F1672" s="43"/>
      <c r="G1672" s="43"/>
    </row>
    <row r="1673" spans="1:7" x14ac:dyDescent="0.2">
      <c r="A1673" s="43"/>
      <c r="B1673" s="42"/>
      <c r="C1673" s="43"/>
      <c r="D1673" s="43"/>
      <c r="E1673" s="43"/>
      <c r="F1673" s="43"/>
      <c r="G1673" s="43"/>
    </row>
    <row r="1674" spans="1:7" x14ac:dyDescent="0.2">
      <c r="A1674" s="43"/>
      <c r="B1674" s="42"/>
      <c r="C1674" s="43"/>
      <c r="D1674" s="43"/>
      <c r="E1674" s="43"/>
      <c r="F1674" s="43"/>
      <c r="G1674" s="43"/>
    </row>
    <row r="1675" spans="1:7" x14ac:dyDescent="0.2">
      <c r="A1675" s="43"/>
      <c r="B1675" s="42"/>
      <c r="C1675" s="43"/>
      <c r="D1675" s="43"/>
      <c r="E1675" s="43"/>
      <c r="F1675" s="43"/>
      <c r="G1675" s="43"/>
    </row>
    <row r="1676" spans="1:7" x14ac:dyDescent="0.2">
      <c r="A1676" s="43"/>
      <c r="B1676" s="42"/>
      <c r="C1676" s="43"/>
      <c r="D1676" s="43"/>
      <c r="E1676" s="43"/>
      <c r="F1676" s="43"/>
      <c r="G1676" s="43"/>
    </row>
    <row r="1677" spans="1:7" x14ac:dyDescent="0.2">
      <c r="A1677" s="43"/>
      <c r="B1677" s="42"/>
      <c r="C1677" s="43"/>
      <c r="D1677" s="43"/>
      <c r="E1677" s="43"/>
      <c r="F1677" s="43"/>
      <c r="G1677" s="43"/>
    </row>
    <row r="1678" spans="1:7" x14ac:dyDescent="0.2">
      <c r="A1678" s="43"/>
      <c r="B1678" s="42"/>
      <c r="C1678" s="43"/>
      <c r="D1678" s="43"/>
      <c r="E1678" s="43"/>
      <c r="F1678" s="43"/>
      <c r="G1678" s="43"/>
    </row>
    <row r="1679" spans="1:7" x14ac:dyDescent="0.2">
      <c r="A1679" s="43"/>
      <c r="B1679" s="42"/>
      <c r="C1679" s="43"/>
      <c r="D1679" s="43"/>
      <c r="E1679" s="43"/>
      <c r="F1679" s="43"/>
      <c r="G1679" s="43"/>
    </row>
    <row r="1680" spans="1:7" x14ac:dyDescent="0.2">
      <c r="A1680" s="43"/>
      <c r="B1680" s="42"/>
      <c r="C1680" s="43"/>
      <c r="D1680" s="43"/>
      <c r="E1680" s="43"/>
      <c r="F1680" s="43"/>
      <c r="G1680" s="43"/>
    </row>
    <row r="1681" spans="1:7" x14ac:dyDescent="0.2">
      <c r="A1681" s="43"/>
      <c r="B1681" s="42"/>
      <c r="C1681" s="43"/>
      <c r="D1681" s="43"/>
      <c r="E1681" s="43"/>
      <c r="F1681" s="43"/>
      <c r="G1681" s="43"/>
    </row>
    <row r="1682" spans="1:7" x14ac:dyDescent="0.2">
      <c r="A1682" s="43"/>
      <c r="B1682" s="42"/>
      <c r="C1682" s="43"/>
      <c r="D1682" s="43"/>
      <c r="E1682" s="43"/>
      <c r="F1682" s="43"/>
      <c r="G1682" s="43"/>
    </row>
    <row r="1683" spans="1:7" x14ac:dyDescent="0.2">
      <c r="A1683" s="43"/>
      <c r="B1683" s="42"/>
      <c r="C1683" s="43"/>
      <c r="D1683" s="43"/>
      <c r="E1683" s="43"/>
      <c r="F1683" s="43"/>
      <c r="G1683" s="43"/>
    </row>
    <row r="1684" spans="1:7" x14ac:dyDescent="0.2">
      <c r="A1684" s="43"/>
      <c r="B1684" s="42"/>
      <c r="C1684" s="43"/>
      <c r="D1684" s="43"/>
      <c r="E1684" s="43"/>
      <c r="F1684" s="43"/>
      <c r="G1684" s="43"/>
    </row>
    <row r="1685" spans="1:7" x14ac:dyDescent="0.2">
      <c r="A1685" s="43"/>
      <c r="B1685" s="42"/>
      <c r="C1685" s="43"/>
      <c r="D1685" s="43"/>
      <c r="E1685" s="43"/>
      <c r="F1685" s="43"/>
      <c r="G1685" s="43"/>
    </row>
    <row r="1686" spans="1:7" x14ac:dyDescent="0.2">
      <c r="A1686" s="43"/>
      <c r="B1686" s="42"/>
      <c r="C1686" s="43"/>
      <c r="D1686" s="43"/>
      <c r="E1686" s="43"/>
      <c r="F1686" s="43"/>
      <c r="G1686" s="43"/>
    </row>
    <row r="1687" spans="1:7" x14ac:dyDescent="0.2">
      <c r="A1687" s="43"/>
      <c r="B1687" s="42"/>
      <c r="C1687" s="43"/>
      <c r="D1687" s="43"/>
      <c r="E1687" s="43"/>
      <c r="F1687" s="43"/>
      <c r="G1687" s="43"/>
    </row>
    <row r="1688" spans="1:7" x14ac:dyDescent="0.2">
      <c r="A1688" s="43"/>
      <c r="B1688" s="42"/>
      <c r="C1688" s="43"/>
      <c r="D1688" s="43"/>
      <c r="E1688" s="43"/>
      <c r="F1688" s="43"/>
      <c r="G1688" s="43"/>
    </row>
    <row r="1689" spans="1:7" x14ac:dyDescent="0.2">
      <c r="A1689" s="43"/>
      <c r="B1689" s="42"/>
      <c r="C1689" s="43"/>
      <c r="D1689" s="43"/>
      <c r="E1689" s="43"/>
      <c r="F1689" s="43"/>
      <c r="G1689" s="43"/>
    </row>
    <row r="1690" spans="1:7" x14ac:dyDescent="0.2">
      <c r="A1690" s="43"/>
      <c r="B1690" s="42"/>
      <c r="C1690" s="43"/>
      <c r="D1690" s="43"/>
      <c r="E1690" s="43"/>
      <c r="F1690" s="43"/>
      <c r="G1690" s="43"/>
    </row>
    <row r="1691" spans="1:7" x14ac:dyDescent="0.2">
      <c r="A1691" s="43"/>
      <c r="B1691" s="42"/>
      <c r="C1691" s="43"/>
      <c r="D1691" s="43"/>
      <c r="E1691" s="43"/>
      <c r="F1691" s="43"/>
      <c r="G1691" s="43"/>
    </row>
    <row r="1692" spans="1:7" x14ac:dyDescent="0.2">
      <c r="A1692" s="43"/>
      <c r="B1692" s="42"/>
      <c r="C1692" s="43"/>
      <c r="D1692" s="43"/>
      <c r="E1692" s="43"/>
      <c r="F1692" s="43"/>
      <c r="G1692" s="43"/>
    </row>
    <row r="1693" spans="1:7" x14ac:dyDescent="0.2">
      <c r="A1693" s="43"/>
      <c r="B1693" s="42"/>
      <c r="C1693" s="43"/>
      <c r="D1693" s="43"/>
      <c r="E1693" s="43"/>
      <c r="F1693" s="43"/>
      <c r="G1693" s="43"/>
    </row>
    <row r="1694" spans="1:7" x14ac:dyDescent="0.2">
      <c r="A1694" s="43"/>
      <c r="B1694" s="42"/>
      <c r="C1694" s="43"/>
      <c r="D1694" s="43"/>
      <c r="E1694" s="43"/>
      <c r="F1694" s="43"/>
      <c r="G1694" s="43"/>
    </row>
    <row r="1695" spans="1:7" x14ac:dyDescent="0.2">
      <c r="A1695" s="43"/>
      <c r="B1695" s="42"/>
      <c r="C1695" s="43"/>
      <c r="D1695" s="43"/>
      <c r="E1695" s="43"/>
      <c r="F1695" s="43"/>
      <c r="G1695" s="43"/>
    </row>
    <row r="1696" spans="1:7" x14ac:dyDescent="0.2">
      <c r="A1696" s="43"/>
      <c r="B1696" s="42"/>
      <c r="C1696" s="43"/>
      <c r="D1696" s="43"/>
      <c r="E1696" s="43"/>
      <c r="F1696" s="43"/>
      <c r="G1696" s="43"/>
    </row>
    <row r="1697" spans="1:7" x14ac:dyDescent="0.2">
      <c r="A1697" s="43"/>
      <c r="B1697" s="42"/>
      <c r="C1697" s="43"/>
      <c r="D1697" s="43"/>
      <c r="E1697" s="43"/>
      <c r="F1697" s="43"/>
      <c r="G1697" s="43"/>
    </row>
    <row r="1698" spans="1:7" x14ac:dyDescent="0.2">
      <c r="A1698" s="43"/>
      <c r="B1698" s="42"/>
      <c r="C1698" s="43"/>
      <c r="D1698" s="43"/>
      <c r="E1698" s="43"/>
      <c r="F1698" s="43"/>
      <c r="G1698" s="43"/>
    </row>
    <row r="1699" spans="1:7" x14ac:dyDescent="0.2">
      <c r="A1699" s="43"/>
      <c r="B1699" s="42"/>
      <c r="C1699" s="43"/>
      <c r="D1699" s="43"/>
      <c r="E1699" s="43"/>
      <c r="F1699" s="43"/>
      <c r="G1699" s="43"/>
    </row>
    <row r="1700" spans="1:7" x14ac:dyDescent="0.2">
      <c r="A1700" s="43"/>
      <c r="B1700" s="42"/>
      <c r="C1700" s="43"/>
      <c r="D1700" s="43"/>
      <c r="E1700" s="43"/>
      <c r="F1700" s="43"/>
      <c r="G1700" s="43"/>
    </row>
    <row r="1701" spans="1:7" x14ac:dyDescent="0.2">
      <c r="A1701" s="43"/>
      <c r="B1701" s="42"/>
      <c r="C1701" s="43"/>
      <c r="D1701" s="43"/>
      <c r="E1701" s="43"/>
      <c r="F1701" s="43"/>
      <c r="G1701" s="43"/>
    </row>
    <row r="1702" spans="1:7" x14ac:dyDescent="0.2">
      <c r="A1702" s="43"/>
      <c r="B1702" s="42"/>
      <c r="C1702" s="43"/>
      <c r="D1702" s="43"/>
      <c r="E1702" s="43"/>
      <c r="F1702" s="43"/>
      <c r="G1702" s="43"/>
    </row>
    <row r="1703" spans="1:7" x14ac:dyDescent="0.2">
      <c r="A1703" s="43"/>
      <c r="B1703" s="42"/>
      <c r="C1703" s="43"/>
      <c r="D1703" s="43"/>
      <c r="E1703" s="43"/>
      <c r="F1703" s="43"/>
      <c r="G1703" s="43"/>
    </row>
    <row r="1704" spans="1:7" x14ac:dyDescent="0.2">
      <c r="A1704" s="43"/>
      <c r="B1704" s="42"/>
      <c r="C1704" s="43"/>
      <c r="D1704" s="43"/>
      <c r="E1704" s="43"/>
      <c r="F1704" s="43"/>
      <c r="G1704" s="43"/>
    </row>
    <row r="1705" spans="1:7" x14ac:dyDescent="0.2">
      <c r="A1705" s="43"/>
      <c r="B1705" s="42"/>
      <c r="C1705" s="43"/>
      <c r="D1705" s="43"/>
      <c r="E1705" s="43"/>
      <c r="F1705" s="43"/>
      <c r="G1705" s="43"/>
    </row>
    <row r="1706" spans="1:7" x14ac:dyDescent="0.2">
      <c r="A1706" s="43"/>
      <c r="B1706" s="42"/>
      <c r="C1706" s="43"/>
      <c r="D1706" s="43"/>
      <c r="E1706" s="43"/>
      <c r="F1706" s="43"/>
      <c r="G1706" s="43"/>
    </row>
    <row r="1707" spans="1:7" x14ac:dyDescent="0.2">
      <c r="A1707" s="43"/>
      <c r="B1707" s="42"/>
      <c r="C1707" s="43"/>
      <c r="D1707" s="43"/>
      <c r="E1707" s="43"/>
      <c r="F1707" s="43"/>
      <c r="G1707" s="43"/>
    </row>
    <row r="1708" spans="1:7" x14ac:dyDescent="0.2">
      <c r="A1708" s="43"/>
      <c r="B1708" s="42"/>
      <c r="C1708" s="43"/>
      <c r="D1708" s="43"/>
      <c r="E1708" s="43"/>
      <c r="F1708" s="43"/>
      <c r="G1708" s="43"/>
    </row>
    <row r="1709" spans="1:7" x14ac:dyDescent="0.2">
      <c r="A1709" s="43"/>
      <c r="B1709" s="42"/>
      <c r="C1709" s="43"/>
      <c r="D1709" s="43"/>
      <c r="E1709" s="43"/>
      <c r="F1709" s="43"/>
      <c r="G1709" s="43"/>
    </row>
    <row r="1710" spans="1:7" x14ac:dyDescent="0.2">
      <c r="A1710" s="43"/>
      <c r="B1710" s="42"/>
      <c r="C1710" s="43"/>
      <c r="D1710" s="43"/>
      <c r="E1710" s="43"/>
      <c r="F1710" s="43"/>
      <c r="G1710" s="43"/>
    </row>
    <row r="1711" spans="1:7" x14ac:dyDescent="0.2">
      <c r="A1711" s="43"/>
      <c r="B1711" s="42"/>
      <c r="C1711" s="43"/>
      <c r="D1711" s="43"/>
      <c r="E1711" s="43"/>
      <c r="F1711" s="43"/>
      <c r="G1711" s="43"/>
    </row>
    <row r="1712" spans="1:7" x14ac:dyDescent="0.2">
      <c r="A1712" s="43"/>
      <c r="B1712" s="42"/>
      <c r="C1712" s="43"/>
      <c r="D1712" s="43"/>
      <c r="E1712" s="43"/>
      <c r="F1712" s="43"/>
      <c r="G1712" s="43"/>
    </row>
    <row r="1713" spans="1:7" x14ac:dyDescent="0.2">
      <c r="A1713" s="43"/>
      <c r="B1713" s="42"/>
      <c r="C1713" s="43"/>
      <c r="D1713" s="43"/>
      <c r="E1713" s="43"/>
      <c r="F1713" s="43"/>
      <c r="G1713" s="43"/>
    </row>
    <row r="1714" spans="1:7" x14ac:dyDescent="0.2">
      <c r="A1714" s="43"/>
      <c r="B1714" s="42"/>
      <c r="C1714" s="43"/>
      <c r="D1714" s="43"/>
      <c r="E1714" s="43"/>
      <c r="F1714" s="43"/>
      <c r="G1714" s="43"/>
    </row>
    <row r="1715" spans="1:7" x14ac:dyDescent="0.2">
      <c r="A1715" s="43"/>
      <c r="B1715" s="42"/>
      <c r="C1715" s="43"/>
      <c r="D1715" s="43"/>
      <c r="E1715" s="43"/>
      <c r="F1715" s="43"/>
      <c r="G1715" s="43"/>
    </row>
    <row r="1716" spans="1:7" x14ac:dyDescent="0.2">
      <c r="A1716" s="43"/>
      <c r="B1716" s="42"/>
      <c r="C1716" s="43"/>
      <c r="D1716" s="43"/>
      <c r="E1716" s="43"/>
      <c r="F1716" s="43"/>
      <c r="G1716" s="43"/>
    </row>
    <row r="1717" spans="1:7" x14ac:dyDescent="0.2">
      <c r="A1717" s="43"/>
      <c r="B1717" s="42"/>
      <c r="C1717" s="43"/>
      <c r="D1717" s="43"/>
      <c r="E1717" s="43"/>
      <c r="F1717" s="43"/>
      <c r="G1717" s="43"/>
    </row>
    <row r="1718" spans="1:7" x14ac:dyDescent="0.2">
      <c r="A1718" s="43"/>
      <c r="B1718" s="42"/>
      <c r="C1718" s="43"/>
      <c r="D1718" s="43"/>
      <c r="E1718" s="43"/>
      <c r="F1718" s="43"/>
      <c r="G1718" s="43"/>
    </row>
    <row r="1719" spans="1:7" x14ac:dyDescent="0.2">
      <c r="A1719" s="43"/>
      <c r="B1719" s="42"/>
      <c r="C1719" s="43"/>
      <c r="D1719" s="43"/>
      <c r="E1719" s="43"/>
      <c r="F1719" s="43"/>
      <c r="G1719" s="43"/>
    </row>
    <row r="1720" spans="1:7" x14ac:dyDescent="0.2">
      <c r="A1720" s="43"/>
      <c r="B1720" s="42"/>
      <c r="C1720" s="43"/>
      <c r="D1720" s="43"/>
      <c r="E1720" s="43"/>
      <c r="F1720" s="43"/>
      <c r="G1720" s="43"/>
    </row>
    <row r="1721" spans="1:7" x14ac:dyDescent="0.2">
      <c r="A1721" s="43"/>
      <c r="B1721" s="42"/>
      <c r="C1721" s="43"/>
      <c r="D1721" s="43"/>
      <c r="E1721" s="43"/>
      <c r="F1721" s="43"/>
      <c r="G1721" s="43"/>
    </row>
    <row r="1722" spans="1:7" x14ac:dyDescent="0.2">
      <c r="A1722" s="43"/>
      <c r="B1722" s="42"/>
      <c r="C1722" s="43"/>
      <c r="D1722" s="43"/>
      <c r="E1722" s="43"/>
      <c r="F1722" s="43"/>
      <c r="G1722" s="43"/>
    </row>
    <row r="1723" spans="1:7" x14ac:dyDescent="0.2">
      <c r="A1723" s="43"/>
      <c r="B1723" s="42"/>
      <c r="C1723" s="43"/>
      <c r="D1723" s="43"/>
      <c r="E1723" s="43"/>
      <c r="F1723" s="43"/>
      <c r="G1723" s="43"/>
    </row>
    <row r="1724" spans="1:7" x14ac:dyDescent="0.2">
      <c r="A1724" s="43"/>
      <c r="B1724" s="42"/>
      <c r="C1724" s="43"/>
      <c r="D1724" s="43"/>
      <c r="E1724" s="43"/>
      <c r="F1724" s="43"/>
      <c r="G1724" s="43"/>
    </row>
    <row r="1725" spans="1:7" x14ac:dyDescent="0.2">
      <c r="A1725" s="43"/>
      <c r="B1725" s="42"/>
      <c r="C1725" s="43"/>
      <c r="D1725" s="43"/>
      <c r="E1725" s="43"/>
      <c r="F1725" s="43"/>
      <c r="G1725" s="43"/>
    </row>
    <row r="1726" spans="1:7" x14ac:dyDescent="0.2">
      <c r="A1726" s="43"/>
      <c r="B1726" s="42"/>
      <c r="C1726" s="43"/>
      <c r="D1726" s="43"/>
      <c r="E1726" s="43"/>
      <c r="F1726" s="43"/>
      <c r="G1726" s="43"/>
    </row>
    <row r="1727" spans="1:7" x14ac:dyDescent="0.2">
      <c r="A1727" s="43"/>
      <c r="B1727" s="42"/>
      <c r="C1727" s="43"/>
      <c r="D1727" s="43"/>
      <c r="E1727" s="43"/>
      <c r="F1727" s="43"/>
      <c r="G1727" s="43"/>
    </row>
    <row r="1728" spans="1:7" x14ac:dyDescent="0.2">
      <c r="A1728" s="43"/>
      <c r="B1728" s="42"/>
      <c r="C1728" s="43"/>
      <c r="D1728" s="43"/>
      <c r="E1728" s="43"/>
      <c r="F1728" s="43"/>
      <c r="G1728" s="43"/>
    </row>
    <row r="1729" spans="1:7" x14ac:dyDescent="0.2">
      <c r="A1729" s="43"/>
      <c r="B1729" s="42"/>
      <c r="C1729" s="43"/>
      <c r="D1729" s="43"/>
      <c r="E1729" s="43"/>
      <c r="F1729" s="43"/>
      <c r="G1729" s="43"/>
    </row>
    <row r="1730" spans="1:7" x14ac:dyDescent="0.2">
      <c r="A1730" s="43"/>
      <c r="B1730" s="42"/>
      <c r="C1730" s="43"/>
      <c r="D1730" s="43"/>
      <c r="E1730" s="43"/>
      <c r="F1730" s="43"/>
      <c r="G1730" s="43"/>
    </row>
    <row r="1731" spans="1:7" x14ac:dyDescent="0.2">
      <c r="A1731" s="43"/>
      <c r="B1731" s="42"/>
      <c r="C1731" s="43"/>
      <c r="D1731" s="43"/>
      <c r="E1731" s="43"/>
      <c r="F1731" s="43"/>
      <c r="G1731" s="43"/>
    </row>
    <row r="1732" spans="1:7" x14ac:dyDescent="0.2">
      <c r="A1732" s="43"/>
      <c r="B1732" s="42"/>
      <c r="C1732" s="43"/>
      <c r="D1732" s="43"/>
      <c r="E1732" s="43"/>
      <c r="F1732" s="43"/>
      <c r="G1732" s="43"/>
    </row>
    <row r="1733" spans="1:7" x14ac:dyDescent="0.2">
      <c r="A1733" s="43"/>
      <c r="B1733" s="42"/>
      <c r="C1733" s="43"/>
      <c r="D1733" s="43"/>
      <c r="E1733" s="43"/>
      <c r="F1733" s="43"/>
      <c r="G1733" s="43"/>
    </row>
    <row r="1734" spans="1:7" x14ac:dyDescent="0.2">
      <c r="A1734" s="43"/>
      <c r="B1734" s="42"/>
      <c r="C1734" s="43"/>
      <c r="D1734" s="43"/>
      <c r="E1734" s="43"/>
      <c r="F1734" s="43"/>
      <c r="G1734" s="43"/>
    </row>
    <row r="1735" spans="1:7" x14ac:dyDescent="0.2">
      <c r="A1735" s="43"/>
      <c r="B1735" s="42"/>
      <c r="C1735" s="43"/>
      <c r="D1735" s="43"/>
      <c r="E1735" s="43"/>
      <c r="F1735" s="43"/>
      <c r="G1735" s="43"/>
    </row>
    <row r="1736" spans="1:7" x14ac:dyDescent="0.2">
      <c r="A1736" s="43"/>
      <c r="B1736" s="42"/>
      <c r="C1736" s="43"/>
      <c r="D1736" s="43"/>
      <c r="E1736" s="43"/>
      <c r="F1736" s="43"/>
      <c r="G1736" s="43"/>
    </row>
    <row r="1737" spans="1:7" x14ac:dyDescent="0.2">
      <c r="A1737" s="43"/>
      <c r="B1737" s="42"/>
      <c r="C1737" s="43"/>
      <c r="D1737" s="43"/>
      <c r="E1737" s="43"/>
      <c r="F1737" s="43"/>
      <c r="G1737" s="43"/>
    </row>
    <row r="1738" spans="1:7" x14ac:dyDescent="0.2">
      <c r="A1738" s="43"/>
      <c r="B1738" s="42"/>
      <c r="C1738" s="43"/>
      <c r="D1738" s="43"/>
      <c r="E1738" s="43"/>
      <c r="F1738" s="43"/>
      <c r="G1738" s="43"/>
    </row>
    <row r="1739" spans="1:7" x14ac:dyDescent="0.2">
      <c r="A1739" s="43"/>
      <c r="B1739" s="42"/>
      <c r="C1739" s="43"/>
      <c r="D1739" s="43"/>
      <c r="E1739" s="43"/>
      <c r="F1739" s="43"/>
      <c r="G1739" s="43"/>
    </row>
    <row r="1740" spans="1:7" x14ac:dyDescent="0.2">
      <c r="A1740" s="43"/>
      <c r="B1740" s="42"/>
      <c r="C1740" s="43"/>
      <c r="D1740" s="43"/>
      <c r="E1740" s="43"/>
      <c r="F1740" s="43"/>
      <c r="G1740" s="43"/>
    </row>
    <row r="1741" spans="1:7" x14ac:dyDescent="0.2">
      <c r="A1741" s="43"/>
      <c r="B1741" s="42"/>
      <c r="C1741" s="43"/>
      <c r="D1741" s="43"/>
      <c r="E1741" s="43"/>
      <c r="F1741" s="43"/>
      <c r="G1741" s="43"/>
    </row>
    <row r="1742" spans="1:7" x14ac:dyDescent="0.2">
      <c r="A1742" s="43"/>
      <c r="B1742" s="42"/>
      <c r="C1742" s="43"/>
      <c r="D1742" s="43"/>
      <c r="E1742" s="43"/>
      <c r="F1742" s="43"/>
      <c r="G1742" s="43"/>
    </row>
    <row r="1743" spans="1:7" x14ac:dyDescent="0.2">
      <c r="A1743" s="43"/>
      <c r="B1743" s="42"/>
      <c r="C1743" s="43"/>
      <c r="D1743" s="43"/>
      <c r="E1743" s="43"/>
      <c r="F1743" s="43"/>
      <c r="G1743" s="43"/>
    </row>
    <row r="1744" spans="1:7" x14ac:dyDescent="0.2">
      <c r="A1744" s="43"/>
      <c r="B1744" s="42"/>
      <c r="C1744" s="43"/>
      <c r="D1744" s="43"/>
      <c r="E1744" s="43"/>
      <c r="F1744" s="43"/>
      <c r="G1744" s="43"/>
    </row>
    <row r="1745" spans="1:7" x14ac:dyDescent="0.2">
      <c r="A1745" s="43"/>
      <c r="B1745" s="42"/>
      <c r="C1745" s="43"/>
      <c r="D1745" s="43"/>
      <c r="E1745" s="43"/>
      <c r="F1745" s="43"/>
      <c r="G1745" s="43"/>
    </row>
    <row r="1746" spans="1:7" x14ac:dyDescent="0.2">
      <c r="A1746" s="43"/>
      <c r="B1746" s="42"/>
      <c r="C1746" s="43"/>
      <c r="D1746" s="43"/>
      <c r="E1746" s="43"/>
      <c r="F1746" s="43"/>
      <c r="G1746" s="43"/>
    </row>
    <row r="1747" spans="1:7" x14ac:dyDescent="0.2">
      <c r="A1747" s="43"/>
      <c r="B1747" s="42"/>
      <c r="C1747" s="43"/>
      <c r="D1747" s="43"/>
      <c r="E1747" s="43"/>
      <c r="F1747" s="43"/>
      <c r="G1747" s="43"/>
    </row>
    <row r="1748" spans="1:7" x14ac:dyDescent="0.2">
      <c r="A1748" s="43"/>
      <c r="B1748" s="42"/>
      <c r="C1748" s="43"/>
      <c r="D1748" s="43"/>
      <c r="E1748" s="43"/>
      <c r="F1748" s="43"/>
      <c r="G1748" s="43"/>
    </row>
    <row r="1749" spans="1:7" x14ac:dyDescent="0.2">
      <c r="A1749" s="43"/>
      <c r="B1749" s="42"/>
      <c r="C1749" s="43"/>
      <c r="D1749" s="43"/>
      <c r="E1749" s="43"/>
      <c r="F1749" s="43"/>
      <c r="G1749" s="43"/>
    </row>
    <row r="1750" spans="1:7" x14ac:dyDescent="0.2">
      <c r="A1750" s="43"/>
      <c r="B1750" s="42"/>
      <c r="C1750" s="43"/>
      <c r="D1750" s="43"/>
      <c r="E1750" s="43"/>
      <c r="F1750" s="43"/>
      <c r="G1750" s="43"/>
    </row>
    <row r="1751" spans="1:7" x14ac:dyDescent="0.2">
      <c r="A1751" s="43"/>
      <c r="B1751" s="42"/>
      <c r="C1751" s="43"/>
      <c r="D1751" s="43"/>
      <c r="E1751" s="43"/>
      <c r="F1751" s="43"/>
      <c r="G1751" s="43"/>
    </row>
    <row r="1752" spans="1:7" x14ac:dyDescent="0.2">
      <c r="A1752" s="43"/>
      <c r="B1752" s="42"/>
      <c r="C1752" s="43"/>
      <c r="D1752" s="43"/>
      <c r="E1752" s="43"/>
      <c r="F1752" s="43"/>
      <c r="G1752" s="43"/>
    </row>
    <row r="1753" spans="1:7" x14ac:dyDescent="0.2">
      <c r="A1753" s="43"/>
      <c r="B1753" s="42"/>
      <c r="C1753" s="43"/>
      <c r="D1753" s="43"/>
      <c r="E1753" s="43"/>
      <c r="F1753" s="43"/>
      <c r="G1753" s="43"/>
    </row>
    <row r="1754" spans="1:7" x14ac:dyDescent="0.2">
      <c r="A1754" s="43"/>
      <c r="B1754" s="42"/>
      <c r="C1754" s="43"/>
      <c r="D1754" s="43"/>
      <c r="E1754" s="43"/>
      <c r="F1754" s="43"/>
      <c r="G1754" s="43"/>
    </row>
    <row r="1755" spans="1:7" x14ac:dyDescent="0.2">
      <c r="A1755" s="43"/>
      <c r="B1755" s="42"/>
      <c r="C1755" s="43"/>
      <c r="D1755" s="43"/>
      <c r="E1755" s="43"/>
      <c r="F1755" s="43"/>
      <c r="G1755" s="43"/>
    </row>
    <row r="1756" spans="1:7" x14ac:dyDescent="0.2">
      <c r="A1756" s="43"/>
      <c r="B1756" s="42"/>
      <c r="C1756" s="43"/>
      <c r="D1756" s="43"/>
      <c r="E1756" s="43"/>
      <c r="F1756" s="43"/>
      <c r="G1756" s="43"/>
    </row>
    <row r="1757" spans="1:7" x14ac:dyDescent="0.2">
      <c r="A1757" s="43"/>
      <c r="B1757" s="42"/>
      <c r="C1757" s="43"/>
      <c r="D1757" s="43"/>
      <c r="E1757" s="43"/>
      <c r="F1757" s="43"/>
      <c r="G1757" s="43"/>
    </row>
    <row r="1758" spans="1:7" x14ac:dyDescent="0.2">
      <c r="A1758" s="43"/>
      <c r="B1758" s="42"/>
      <c r="C1758" s="43"/>
      <c r="D1758" s="43"/>
      <c r="E1758" s="43"/>
      <c r="F1758" s="43"/>
      <c r="G1758" s="43"/>
    </row>
    <row r="1759" spans="1:7" x14ac:dyDescent="0.2">
      <c r="A1759" s="43"/>
      <c r="B1759" s="42"/>
      <c r="C1759" s="43"/>
      <c r="D1759" s="43"/>
      <c r="E1759" s="43"/>
      <c r="F1759" s="43"/>
      <c r="G1759" s="43"/>
    </row>
    <row r="1760" spans="1:7" x14ac:dyDescent="0.2">
      <c r="A1760" s="43"/>
      <c r="B1760" s="42"/>
      <c r="C1760" s="43"/>
      <c r="D1760" s="43"/>
      <c r="E1760" s="43"/>
      <c r="F1760" s="43"/>
      <c r="G1760" s="43"/>
    </row>
    <row r="1761" spans="1:7" x14ac:dyDescent="0.2">
      <c r="A1761" s="43"/>
      <c r="B1761" s="42"/>
      <c r="C1761" s="43"/>
      <c r="D1761" s="43"/>
      <c r="E1761" s="43"/>
      <c r="F1761" s="43"/>
      <c r="G1761" s="43"/>
    </row>
    <row r="1762" spans="1:7" x14ac:dyDescent="0.2">
      <c r="A1762" s="43"/>
      <c r="B1762" s="42"/>
      <c r="C1762" s="43"/>
      <c r="D1762" s="43"/>
      <c r="E1762" s="43"/>
      <c r="F1762" s="43"/>
      <c r="G1762" s="43"/>
    </row>
    <row r="1763" spans="1:7" x14ac:dyDescent="0.2">
      <c r="A1763" s="43"/>
      <c r="B1763" s="42"/>
      <c r="C1763" s="43"/>
      <c r="D1763" s="43"/>
      <c r="E1763" s="43"/>
      <c r="F1763" s="43"/>
      <c r="G1763" s="43"/>
    </row>
    <row r="1764" spans="1:7" x14ac:dyDescent="0.2">
      <c r="A1764" s="43"/>
      <c r="B1764" s="42"/>
      <c r="C1764" s="43"/>
      <c r="D1764" s="43"/>
      <c r="E1764" s="43"/>
      <c r="F1764" s="43"/>
      <c r="G1764" s="43"/>
    </row>
    <row r="1765" spans="1:7" x14ac:dyDescent="0.2">
      <c r="A1765" s="43"/>
      <c r="B1765" s="42"/>
      <c r="C1765" s="43"/>
      <c r="D1765" s="43"/>
      <c r="E1765" s="43"/>
      <c r="F1765" s="43"/>
      <c r="G1765" s="43"/>
    </row>
    <row r="1766" spans="1:7" x14ac:dyDescent="0.2">
      <c r="A1766" s="43"/>
      <c r="B1766" s="42"/>
      <c r="C1766" s="43"/>
      <c r="D1766" s="43"/>
      <c r="E1766" s="43"/>
      <c r="F1766" s="43"/>
      <c r="G1766" s="43"/>
    </row>
    <row r="1767" spans="1:7" x14ac:dyDescent="0.2">
      <c r="A1767" s="43"/>
      <c r="B1767" s="42"/>
      <c r="C1767" s="43"/>
      <c r="D1767" s="43"/>
      <c r="E1767" s="43"/>
      <c r="F1767" s="43"/>
      <c r="G1767" s="43"/>
    </row>
    <row r="1768" spans="1:7" x14ac:dyDescent="0.2">
      <c r="A1768" s="43"/>
      <c r="B1768" s="42"/>
      <c r="C1768" s="43"/>
      <c r="D1768" s="43"/>
      <c r="E1768" s="43"/>
      <c r="F1768" s="43"/>
      <c r="G1768" s="43"/>
    </row>
    <row r="1769" spans="1:7" x14ac:dyDescent="0.2">
      <c r="A1769" s="43"/>
      <c r="B1769" s="42"/>
      <c r="C1769" s="43"/>
      <c r="D1769" s="43"/>
      <c r="E1769" s="43"/>
      <c r="F1769" s="43"/>
      <c r="G1769" s="43"/>
    </row>
    <row r="1770" spans="1:7" x14ac:dyDescent="0.2">
      <c r="A1770" s="43"/>
      <c r="B1770" s="42"/>
      <c r="C1770" s="43"/>
      <c r="D1770" s="43"/>
      <c r="E1770" s="43"/>
      <c r="F1770" s="43"/>
      <c r="G1770" s="43"/>
    </row>
    <row r="1771" spans="1:7" x14ac:dyDescent="0.2">
      <c r="A1771" s="43"/>
      <c r="B1771" s="42"/>
      <c r="C1771" s="43"/>
      <c r="D1771" s="43"/>
      <c r="E1771" s="43"/>
      <c r="F1771" s="43"/>
      <c r="G1771" s="43"/>
    </row>
    <row r="1772" spans="1:7" x14ac:dyDescent="0.2">
      <c r="A1772" s="43"/>
      <c r="B1772" s="42"/>
      <c r="C1772" s="43"/>
      <c r="D1772" s="43"/>
      <c r="E1772" s="43"/>
      <c r="F1772" s="43"/>
      <c r="G1772" s="43"/>
    </row>
    <row r="1773" spans="1:7" x14ac:dyDescent="0.2">
      <c r="A1773" s="43"/>
      <c r="B1773" s="42"/>
      <c r="C1773" s="43"/>
      <c r="D1773" s="43"/>
      <c r="E1773" s="43"/>
      <c r="F1773" s="43"/>
      <c r="G1773" s="43"/>
    </row>
    <row r="1774" spans="1:7" x14ac:dyDescent="0.2">
      <c r="A1774" s="43"/>
      <c r="B1774" s="42"/>
      <c r="C1774" s="43"/>
      <c r="D1774" s="43"/>
      <c r="E1774" s="43"/>
      <c r="F1774" s="43"/>
      <c r="G1774" s="43"/>
    </row>
    <row r="1775" spans="1:7" x14ac:dyDescent="0.2">
      <c r="A1775" s="43"/>
      <c r="B1775" s="42"/>
      <c r="C1775" s="43"/>
      <c r="D1775" s="43"/>
      <c r="E1775" s="43"/>
      <c r="F1775" s="43"/>
      <c r="G1775" s="43"/>
    </row>
    <row r="1776" spans="1:7" x14ac:dyDescent="0.2">
      <c r="A1776" s="43"/>
      <c r="B1776" s="42"/>
      <c r="C1776" s="43"/>
      <c r="D1776" s="43"/>
      <c r="E1776" s="43"/>
      <c r="F1776" s="43"/>
      <c r="G1776" s="43"/>
    </row>
    <row r="1777" spans="1:7" x14ac:dyDescent="0.2">
      <c r="A1777" s="43"/>
      <c r="B1777" s="42"/>
      <c r="C1777" s="43"/>
      <c r="D1777" s="43"/>
      <c r="E1777" s="43"/>
      <c r="F1777" s="43"/>
      <c r="G1777" s="43"/>
    </row>
    <row r="1778" spans="1:7" x14ac:dyDescent="0.2">
      <c r="A1778" s="43"/>
      <c r="B1778" s="42"/>
      <c r="C1778" s="43"/>
      <c r="D1778" s="43"/>
      <c r="E1778" s="43"/>
      <c r="F1778" s="43"/>
      <c r="G1778" s="43"/>
    </row>
    <row r="1779" spans="1:7" x14ac:dyDescent="0.2">
      <c r="A1779" s="43"/>
      <c r="B1779" s="42"/>
      <c r="C1779" s="43"/>
      <c r="D1779" s="43"/>
      <c r="E1779" s="43"/>
      <c r="F1779" s="43"/>
      <c r="G1779" s="43"/>
    </row>
    <row r="1780" spans="1:7" x14ac:dyDescent="0.2">
      <c r="A1780" s="43"/>
      <c r="B1780" s="42"/>
      <c r="C1780" s="43"/>
      <c r="D1780" s="43"/>
      <c r="E1780" s="43"/>
      <c r="F1780" s="43"/>
      <c r="G1780" s="43"/>
    </row>
    <row r="1781" spans="1:7" x14ac:dyDescent="0.2">
      <c r="A1781" s="43"/>
      <c r="B1781" s="42"/>
      <c r="C1781" s="43"/>
      <c r="D1781" s="43"/>
      <c r="E1781" s="43"/>
      <c r="F1781" s="43"/>
      <c r="G1781" s="43"/>
    </row>
    <row r="1782" spans="1:7" x14ac:dyDescent="0.2">
      <c r="A1782" s="43"/>
      <c r="B1782" s="42"/>
      <c r="C1782" s="43"/>
      <c r="D1782" s="43"/>
      <c r="E1782" s="43"/>
      <c r="F1782" s="43"/>
      <c r="G1782" s="43"/>
    </row>
    <row r="1783" spans="1:7" x14ac:dyDescent="0.2">
      <c r="A1783" s="43"/>
      <c r="B1783" s="42"/>
      <c r="C1783" s="43"/>
      <c r="D1783" s="43"/>
      <c r="E1783" s="43"/>
      <c r="F1783" s="43"/>
      <c r="G1783" s="43"/>
    </row>
    <row r="1784" spans="1:7" x14ac:dyDescent="0.2">
      <c r="A1784" s="43"/>
      <c r="B1784" s="42"/>
      <c r="C1784" s="43"/>
      <c r="D1784" s="43"/>
      <c r="E1784" s="43"/>
      <c r="F1784" s="43"/>
      <c r="G1784" s="43"/>
    </row>
    <row r="1785" spans="1:7" x14ac:dyDescent="0.2">
      <c r="A1785" s="43"/>
      <c r="B1785" s="42"/>
      <c r="C1785" s="43"/>
      <c r="D1785" s="43"/>
      <c r="E1785" s="43"/>
      <c r="F1785" s="43"/>
      <c r="G1785" s="43"/>
    </row>
    <row r="1786" spans="1:7" x14ac:dyDescent="0.2">
      <c r="A1786" s="43"/>
      <c r="B1786" s="42"/>
      <c r="C1786" s="43"/>
      <c r="D1786" s="43"/>
      <c r="E1786" s="43"/>
      <c r="F1786" s="43"/>
      <c r="G1786" s="43"/>
    </row>
    <row r="1787" spans="1:7" x14ac:dyDescent="0.2">
      <c r="A1787" s="43"/>
      <c r="B1787" s="42"/>
      <c r="C1787" s="43"/>
      <c r="D1787" s="43"/>
      <c r="E1787" s="43"/>
      <c r="F1787" s="43"/>
      <c r="G1787" s="43"/>
    </row>
    <row r="1788" spans="1:7" x14ac:dyDescent="0.2">
      <c r="A1788" s="43"/>
      <c r="B1788" s="42"/>
      <c r="C1788" s="43"/>
      <c r="D1788" s="43"/>
      <c r="E1788" s="43"/>
      <c r="F1788" s="43"/>
      <c r="G1788" s="43"/>
    </row>
    <row r="1789" spans="1:7" x14ac:dyDescent="0.2">
      <c r="A1789" s="43"/>
      <c r="B1789" s="42"/>
      <c r="C1789" s="43"/>
      <c r="D1789" s="43"/>
      <c r="E1789" s="43"/>
      <c r="F1789" s="43"/>
      <c r="G1789" s="43"/>
    </row>
    <row r="1790" spans="1:7" x14ac:dyDescent="0.2">
      <c r="A1790" s="43"/>
      <c r="B1790" s="42"/>
      <c r="C1790" s="43"/>
      <c r="D1790" s="43"/>
      <c r="E1790" s="43"/>
      <c r="F1790" s="43"/>
      <c r="G1790" s="43"/>
    </row>
    <row r="1791" spans="1:7" x14ac:dyDescent="0.2">
      <c r="A1791" s="43"/>
      <c r="B1791" s="42"/>
      <c r="C1791" s="43"/>
      <c r="D1791" s="43"/>
      <c r="E1791" s="43"/>
      <c r="F1791" s="43"/>
      <c r="G1791" s="43"/>
    </row>
    <row r="1792" spans="1:7" x14ac:dyDescent="0.2">
      <c r="A1792" s="43"/>
      <c r="B1792" s="42"/>
      <c r="C1792" s="43"/>
      <c r="D1792" s="43"/>
      <c r="E1792" s="43"/>
      <c r="F1792" s="43"/>
      <c r="G1792" s="43"/>
    </row>
    <row r="1793" spans="1:7" x14ac:dyDescent="0.2">
      <c r="A1793" s="43"/>
      <c r="B1793" s="42"/>
      <c r="C1793" s="43"/>
      <c r="D1793" s="43"/>
      <c r="E1793" s="43"/>
      <c r="F1793" s="43"/>
      <c r="G1793" s="43"/>
    </row>
    <row r="1794" spans="1:7" x14ac:dyDescent="0.2">
      <c r="A1794" s="43"/>
      <c r="B1794" s="42"/>
      <c r="C1794" s="43"/>
      <c r="D1794" s="43"/>
      <c r="E1794" s="43"/>
      <c r="F1794" s="43"/>
      <c r="G1794" s="43"/>
    </row>
    <row r="1795" spans="1:7" x14ac:dyDescent="0.2">
      <c r="A1795" s="43"/>
      <c r="B1795" s="42"/>
      <c r="C1795" s="43"/>
      <c r="D1795" s="43"/>
      <c r="E1795" s="43"/>
      <c r="F1795" s="43"/>
      <c r="G1795" s="43"/>
    </row>
    <row r="1796" spans="1:7" x14ac:dyDescent="0.2">
      <c r="A1796" s="43"/>
      <c r="B1796" s="42"/>
      <c r="C1796" s="43"/>
      <c r="D1796" s="43"/>
      <c r="E1796" s="43"/>
      <c r="F1796" s="43"/>
      <c r="G1796" s="43"/>
    </row>
    <row r="1797" spans="1:7" x14ac:dyDescent="0.2">
      <c r="A1797" s="43"/>
      <c r="B1797" s="42"/>
      <c r="C1797" s="43"/>
      <c r="D1797" s="43"/>
      <c r="E1797" s="43"/>
      <c r="F1797" s="43"/>
      <c r="G1797" s="43"/>
    </row>
    <row r="1798" spans="1:7" x14ac:dyDescent="0.2">
      <c r="A1798" s="43"/>
      <c r="B1798" s="42"/>
      <c r="C1798" s="43"/>
      <c r="D1798" s="43"/>
      <c r="E1798" s="43"/>
      <c r="F1798" s="43"/>
      <c r="G1798" s="43"/>
    </row>
    <row r="1799" spans="1:7" x14ac:dyDescent="0.2">
      <c r="A1799" s="43"/>
      <c r="B1799" s="42"/>
      <c r="C1799" s="43"/>
      <c r="D1799" s="43"/>
      <c r="E1799" s="43"/>
      <c r="F1799" s="43"/>
      <c r="G1799" s="43"/>
    </row>
    <row r="1800" spans="1:7" x14ac:dyDescent="0.2">
      <c r="A1800" s="43"/>
      <c r="B1800" s="42"/>
      <c r="C1800" s="43"/>
      <c r="D1800" s="43"/>
      <c r="E1800" s="43"/>
      <c r="F1800" s="43"/>
      <c r="G1800" s="43"/>
    </row>
    <row r="1801" spans="1:7" x14ac:dyDescent="0.2">
      <c r="A1801" s="43"/>
      <c r="B1801" s="42"/>
      <c r="C1801" s="43"/>
      <c r="D1801" s="43"/>
      <c r="E1801" s="43"/>
      <c r="F1801" s="43"/>
      <c r="G1801" s="43"/>
    </row>
    <row r="1802" spans="1:7" x14ac:dyDescent="0.2">
      <c r="A1802" s="43"/>
      <c r="B1802" s="42"/>
      <c r="C1802" s="43"/>
      <c r="D1802" s="43"/>
      <c r="E1802" s="43"/>
      <c r="F1802" s="43"/>
      <c r="G1802" s="43"/>
    </row>
    <row r="1803" spans="1:7" x14ac:dyDescent="0.2">
      <c r="A1803" s="43"/>
      <c r="B1803" s="42"/>
      <c r="C1803" s="43"/>
      <c r="D1803" s="43"/>
      <c r="E1803" s="43"/>
      <c r="F1803" s="43"/>
      <c r="G1803" s="43"/>
    </row>
    <row r="1804" spans="1:7" x14ac:dyDescent="0.2">
      <c r="A1804" s="43"/>
      <c r="B1804" s="42"/>
      <c r="C1804" s="43"/>
      <c r="D1804" s="43"/>
      <c r="E1804" s="43"/>
      <c r="F1804" s="43"/>
      <c r="G1804" s="43"/>
    </row>
    <row r="1805" spans="1:7" x14ac:dyDescent="0.2">
      <c r="A1805" s="43"/>
      <c r="B1805" s="42"/>
      <c r="C1805" s="43"/>
      <c r="D1805" s="43"/>
      <c r="E1805" s="43"/>
      <c r="F1805" s="43"/>
      <c r="G1805" s="43"/>
    </row>
    <row r="1806" spans="1:7" x14ac:dyDescent="0.2">
      <c r="A1806" s="43"/>
      <c r="B1806" s="42"/>
      <c r="C1806" s="43"/>
      <c r="D1806" s="43"/>
      <c r="E1806" s="43"/>
      <c r="F1806" s="43"/>
      <c r="G1806" s="43"/>
    </row>
    <row r="1807" spans="1:7" x14ac:dyDescent="0.2">
      <c r="A1807" s="43"/>
      <c r="B1807" s="42"/>
      <c r="C1807" s="43"/>
      <c r="D1807" s="43"/>
      <c r="E1807" s="43"/>
      <c r="F1807" s="43"/>
      <c r="G1807" s="43"/>
    </row>
    <row r="1808" spans="1:7" x14ac:dyDescent="0.2">
      <c r="A1808" s="43"/>
      <c r="B1808" s="42"/>
      <c r="C1808" s="43"/>
      <c r="D1808" s="43"/>
      <c r="E1808" s="43"/>
      <c r="F1808" s="43"/>
      <c r="G1808" s="43"/>
    </row>
    <row r="1809" spans="1:7" x14ac:dyDescent="0.2">
      <c r="A1809" s="43"/>
      <c r="B1809" s="42"/>
      <c r="C1809" s="43"/>
      <c r="D1809" s="43"/>
      <c r="E1809" s="43"/>
      <c r="F1809" s="43"/>
      <c r="G1809" s="43"/>
    </row>
    <row r="1810" spans="1:7" x14ac:dyDescent="0.2">
      <c r="A1810" s="43"/>
      <c r="B1810" s="42"/>
      <c r="C1810" s="43"/>
      <c r="D1810" s="43"/>
      <c r="E1810" s="43"/>
      <c r="F1810" s="43"/>
      <c r="G1810" s="43"/>
    </row>
    <row r="1811" spans="1:7" x14ac:dyDescent="0.2">
      <c r="A1811" s="43"/>
      <c r="B1811" s="42"/>
      <c r="C1811" s="43"/>
      <c r="D1811" s="43"/>
      <c r="E1811" s="43"/>
      <c r="F1811" s="43"/>
      <c r="G1811" s="43"/>
    </row>
    <row r="1812" spans="1:7" x14ac:dyDescent="0.2">
      <c r="A1812" s="43"/>
      <c r="B1812" s="42"/>
      <c r="C1812" s="43"/>
      <c r="D1812" s="43"/>
      <c r="E1812" s="43"/>
      <c r="F1812" s="43"/>
      <c r="G1812" s="43"/>
    </row>
    <row r="1813" spans="1:7" x14ac:dyDescent="0.2">
      <c r="A1813" s="43"/>
      <c r="B1813" s="42"/>
      <c r="C1813" s="43"/>
      <c r="D1813" s="43"/>
      <c r="E1813" s="43"/>
      <c r="F1813" s="43"/>
      <c r="G1813" s="43"/>
    </row>
    <row r="1814" spans="1:7" x14ac:dyDescent="0.2">
      <c r="A1814" s="43"/>
      <c r="B1814" s="42"/>
      <c r="C1814" s="43"/>
      <c r="D1814" s="43"/>
      <c r="E1814" s="43"/>
      <c r="F1814" s="43"/>
      <c r="G1814" s="43"/>
    </row>
    <row r="1815" spans="1:7" x14ac:dyDescent="0.2">
      <c r="A1815" s="43"/>
      <c r="B1815" s="42"/>
      <c r="C1815" s="43"/>
      <c r="D1815" s="43"/>
      <c r="E1815" s="43"/>
      <c r="F1815" s="43"/>
      <c r="G1815" s="43"/>
    </row>
    <row r="1816" spans="1:7" x14ac:dyDescent="0.2">
      <c r="A1816" s="43"/>
      <c r="B1816" s="42"/>
      <c r="C1816" s="43"/>
      <c r="D1816" s="43"/>
      <c r="E1816" s="43"/>
      <c r="F1816" s="43"/>
      <c r="G1816" s="43"/>
    </row>
    <row r="1817" spans="1:7" x14ac:dyDescent="0.2">
      <c r="A1817" s="43"/>
      <c r="B1817" s="42"/>
      <c r="C1817" s="43"/>
      <c r="D1817" s="43"/>
      <c r="E1817" s="43"/>
      <c r="F1817" s="43"/>
      <c r="G1817" s="43"/>
    </row>
    <row r="1818" spans="1:7" x14ac:dyDescent="0.2">
      <c r="A1818" s="43"/>
      <c r="B1818" s="42"/>
      <c r="C1818" s="43"/>
      <c r="D1818" s="43"/>
      <c r="E1818" s="43"/>
      <c r="F1818" s="43"/>
      <c r="G1818" s="43"/>
    </row>
    <row r="1819" spans="1:7" x14ac:dyDescent="0.2">
      <c r="A1819" s="43"/>
      <c r="B1819" s="42"/>
      <c r="C1819" s="43"/>
      <c r="D1819" s="43"/>
      <c r="E1819" s="43"/>
      <c r="F1819" s="43"/>
      <c r="G1819" s="43"/>
    </row>
    <row r="1820" spans="1:7" x14ac:dyDescent="0.2">
      <c r="A1820" s="43"/>
      <c r="B1820" s="42"/>
      <c r="C1820" s="43"/>
      <c r="D1820" s="43"/>
      <c r="E1820" s="43"/>
      <c r="F1820" s="43"/>
      <c r="G1820" s="43"/>
    </row>
    <row r="1821" spans="1:7" x14ac:dyDescent="0.2">
      <c r="A1821" s="43"/>
      <c r="B1821" s="42"/>
      <c r="C1821" s="43"/>
      <c r="D1821" s="43"/>
      <c r="E1821" s="43"/>
      <c r="F1821" s="43"/>
      <c r="G1821" s="43"/>
    </row>
    <row r="1822" spans="1:7" x14ac:dyDescent="0.2">
      <c r="A1822" s="43"/>
      <c r="B1822" s="42"/>
      <c r="C1822" s="43"/>
      <c r="D1822" s="43"/>
      <c r="E1822" s="43"/>
      <c r="F1822" s="43"/>
      <c r="G1822" s="43"/>
    </row>
    <row r="1823" spans="1:7" x14ac:dyDescent="0.2">
      <c r="A1823" s="43"/>
      <c r="B1823" s="42"/>
      <c r="C1823" s="43"/>
      <c r="D1823" s="43"/>
      <c r="E1823" s="43"/>
      <c r="F1823" s="43"/>
      <c r="G1823" s="43"/>
    </row>
    <row r="1824" spans="1:7" x14ac:dyDescent="0.2">
      <c r="A1824" s="43"/>
      <c r="B1824" s="42"/>
      <c r="C1824" s="43"/>
      <c r="D1824" s="43"/>
      <c r="E1824" s="43"/>
      <c r="F1824" s="43"/>
      <c r="G1824" s="43"/>
    </row>
    <row r="1825" spans="1:7" x14ac:dyDescent="0.2">
      <c r="A1825" s="43"/>
      <c r="B1825" s="42"/>
      <c r="C1825" s="43"/>
      <c r="D1825" s="43"/>
      <c r="E1825" s="43"/>
      <c r="F1825" s="43"/>
      <c r="G1825" s="43"/>
    </row>
    <row r="1826" spans="1:7" x14ac:dyDescent="0.2">
      <c r="A1826" s="43"/>
      <c r="B1826" s="42"/>
      <c r="C1826" s="43"/>
      <c r="D1826" s="43"/>
      <c r="E1826" s="43"/>
      <c r="F1826" s="43"/>
      <c r="G1826" s="43"/>
    </row>
    <row r="1827" spans="1:7" x14ac:dyDescent="0.2">
      <c r="A1827" s="43"/>
      <c r="B1827" s="42"/>
      <c r="C1827" s="43"/>
      <c r="D1827" s="43"/>
      <c r="E1827" s="43"/>
      <c r="F1827" s="43"/>
      <c r="G1827" s="43"/>
    </row>
    <row r="1828" spans="1:7" x14ac:dyDescent="0.2">
      <c r="A1828" s="43"/>
      <c r="B1828" s="42"/>
      <c r="C1828" s="43"/>
      <c r="D1828" s="43"/>
      <c r="E1828" s="43"/>
      <c r="F1828" s="43"/>
      <c r="G1828" s="43"/>
    </row>
    <row r="1829" spans="1:7" x14ac:dyDescent="0.2">
      <c r="A1829" s="43"/>
      <c r="B1829" s="42"/>
      <c r="C1829" s="43"/>
      <c r="D1829" s="43"/>
      <c r="E1829" s="43"/>
      <c r="F1829" s="43"/>
      <c r="G1829" s="43"/>
    </row>
    <row r="1830" spans="1:7" x14ac:dyDescent="0.2">
      <c r="A1830" s="43"/>
      <c r="B1830" s="42"/>
      <c r="C1830" s="43"/>
      <c r="D1830" s="43"/>
      <c r="E1830" s="43"/>
      <c r="F1830" s="43"/>
      <c r="G1830" s="43"/>
    </row>
    <row r="1831" spans="1:7" x14ac:dyDescent="0.2">
      <c r="A1831" s="43"/>
      <c r="B1831" s="42"/>
      <c r="C1831" s="43"/>
      <c r="D1831" s="43"/>
      <c r="E1831" s="43"/>
      <c r="F1831" s="43"/>
      <c r="G1831" s="43"/>
    </row>
    <row r="1832" spans="1:7" x14ac:dyDescent="0.2">
      <c r="A1832" s="43"/>
      <c r="B1832" s="42"/>
      <c r="C1832" s="43"/>
      <c r="D1832" s="43"/>
      <c r="E1832" s="43"/>
      <c r="F1832" s="43"/>
      <c r="G1832" s="43"/>
    </row>
    <row r="1833" spans="1:7" x14ac:dyDescent="0.2">
      <c r="A1833" s="43"/>
      <c r="B1833" s="42"/>
      <c r="C1833" s="43"/>
      <c r="D1833" s="43"/>
      <c r="E1833" s="43"/>
      <c r="F1833" s="43"/>
      <c r="G1833" s="43"/>
    </row>
    <row r="1834" spans="1:7" x14ac:dyDescent="0.2">
      <c r="A1834" s="43"/>
      <c r="B1834" s="42"/>
      <c r="C1834" s="43"/>
      <c r="D1834" s="43"/>
      <c r="E1834" s="43"/>
      <c r="F1834" s="43"/>
      <c r="G1834" s="43"/>
    </row>
    <row r="1835" spans="1:7" x14ac:dyDescent="0.2">
      <c r="A1835" s="43"/>
      <c r="B1835" s="42"/>
      <c r="C1835" s="43"/>
      <c r="D1835" s="43"/>
      <c r="E1835" s="43"/>
      <c r="F1835" s="43"/>
      <c r="G1835" s="43"/>
    </row>
    <row r="1836" spans="1:7" x14ac:dyDescent="0.2">
      <c r="A1836" s="43"/>
      <c r="B1836" s="42"/>
      <c r="C1836" s="43"/>
      <c r="D1836" s="43"/>
      <c r="E1836" s="43"/>
      <c r="F1836" s="43"/>
      <c r="G1836" s="43"/>
    </row>
    <row r="1837" spans="1:7" x14ac:dyDescent="0.2">
      <c r="A1837" s="43"/>
      <c r="B1837" s="42"/>
      <c r="C1837" s="43"/>
      <c r="D1837" s="43"/>
      <c r="E1837" s="43"/>
      <c r="F1837" s="43"/>
      <c r="G1837" s="43"/>
    </row>
    <row r="1838" spans="1:7" x14ac:dyDescent="0.2">
      <c r="A1838" s="43"/>
      <c r="B1838" s="42"/>
      <c r="C1838" s="43"/>
      <c r="D1838" s="43"/>
      <c r="E1838" s="43"/>
      <c r="F1838" s="43"/>
      <c r="G1838" s="43"/>
    </row>
    <row r="1839" spans="1:7" x14ac:dyDescent="0.2">
      <c r="A1839" s="43"/>
      <c r="B1839" s="42"/>
      <c r="C1839" s="43"/>
      <c r="D1839" s="43"/>
      <c r="E1839" s="43"/>
      <c r="F1839" s="43"/>
      <c r="G1839" s="43"/>
    </row>
    <row r="1840" spans="1:7" x14ac:dyDescent="0.2">
      <c r="A1840" s="43"/>
      <c r="B1840" s="42"/>
      <c r="C1840" s="43"/>
      <c r="D1840" s="43"/>
      <c r="E1840" s="43"/>
      <c r="F1840" s="43"/>
      <c r="G1840" s="43"/>
    </row>
    <row r="1841" spans="1:7" x14ac:dyDescent="0.2">
      <c r="A1841" s="43"/>
      <c r="B1841" s="42"/>
      <c r="C1841" s="43"/>
      <c r="D1841" s="43"/>
      <c r="E1841" s="43"/>
      <c r="F1841" s="43"/>
      <c r="G1841" s="43"/>
    </row>
    <row r="1842" spans="1:7" x14ac:dyDescent="0.2">
      <c r="A1842" s="43"/>
      <c r="B1842" s="42"/>
      <c r="C1842" s="43"/>
      <c r="D1842" s="43"/>
      <c r="E1842" s="43"/>
      <c r="F1842" s="43"/>
      <c r="G1842" s="43"/>
    </row>
    <row r="1843" spans="1:7" x14ac:dyDescent="0.2">
      <c r="A1843" s="43"/>
      <c r="B1843" s="42"/>
      <c r="C1843" s="43"/>
      <c r="D1843" s="43"/>
      <c r="E1843" s="43"/>
      <c r="F1843" s="43"/>
      <c r="G1843" s="43"/>
    </row>
    <row r="1844" spans="1:7" x14ac:dyDescent="0.2">
      <c r="A1844" s="43"/>
      <c r="B1844" s="42"/>
      <c r="C1844" s="43"/>
      <c r="D1844" s="43"/>
      <c r="E1844" s="43"/>
      <c r="F1844" s="43"/>
      <c r="G1844" s="43"/>
    </row>
    <row r="1845" spans="1:7" x14ac:dyDescent="0.2">
      <c r="A1845" s="43"/>
      <c r="B1845" s="42"/>
      <c r="C1845" s="43"/>
      <c r="D1845" s="43"/>
      <c r="E1845" s="43"/>
      <c r="F1845" s="43"/>
      <c r="G1845" s="43"/>
    </row>
    <row r="1846" spans="1:7" x14ac:dyDescent="0.2">
      <c r="A1846" s="43"/>
      <c r="B1846" s="42"/>
      <c r="C1846" s="43"/>
      <c r="D1846" s="43"/>
      <c r="E1846" s="43"/>
      <c r="F1846" s="43"/>
      <c r="G1846" s="43"/>
    </row>
    <row r="1847" spans="1:7" x14ac:dyDescent="0.2">
      <c r="A1847" s="43"/>
      <c r="B1847" s="42"/>
      <c r="C1847" s="43"/>
      <c r="D1847" s="43"/>
      <c r="E1847" s="43"/>
      <c r="F1847" s="43"/>
      <c r="G1847" s="43"/>
    </row>
    <row r="1848" spans="1:7" x14ac:dyDescent="0.2">
      <c r="A1848" s="43"/>
      <c r="B1848" s="42"/>
      <c r="C1848" s="43"/>
      <c r="D1848" s="43"/>
      <c r="E1848" s="43"/>
      <c r="F1848" s="43"/>
      <c r="G1848" s="43"/>
    </row>
    <row r="1849" spans="1:7" x14ac:dyDescent="0.2">
      <c r="A1849" s="43"/>
      <c r="B1849" s="42"/>
      <c r="C1849" s="43"/>
      <c r="D1849" s="43"/>
      <c r="E1849" s="43"/>
      <c r="F1849" s="43"/>
      <c r="G1849" s="43"/>
    </row>
    <row r="1850" spans="1:7" x14ac:dyDescent="0.2">
      <c r="A1850" s="43"/>
      <c r="B1850" s="42"/>
      <c r="C1850" s="43"/>
      <c r="D1850" s="43"/>
      <c r="E1850" s="43"/>
      <c r="F1850" s="43"/>
      <c r="G1850" s="43"/>
    </row>
    <row r="1851" spans="1:7" x14ac:dyDescent="0.2">
      <c r="A1851" s="43"/>
      <c r="B1851" s="42"/>
      <c r="C1851" s="43"/>
      <c r="D1851" s="43"/>
      <c r="E1851" s="43"/>
      <c r="F1851" s="43"/>
      <c r="G1851" s="43"/>
    </row>
    <row r="1852" spans="1:7" x14ac:dyDescent="0.2">
      <c r="A1852" s="43"/>
      <c r="B1852" s="42"/>
      <c r="C1852" s="43"/>
      <c r="D1852" s="43"/>
      <c r="E1852" s="43"/>
      <c r="F1852" s="43"/>
      <c r="G1852" s="43"/>
    </row>
    <row r="1853" spans="1:7" x14ac:dyDescent="0.2">
      <c r="A1853" s="43"/>
      <c r="B1853" s="42"/>
      <c r="C1853" s="43"/>
      <c r="D1853" s="43"/>
      <c r="E1853" s="43"/>
      <c r="F1853" s="43"/>
      <c r="G1853" s="43"/>
    </row>
    <row r="1854" spans="1:7" x14ac:dyDescent="0.2">
      <c r="A1854" s="43"/>
      <c r="B1854" s="42"/>
      <c r="C1854" s="43"/>
      <c r="D1854" s="43"/>
      <c r="E1854" s="43"/>
      <c r="F1854" s="43"/>
      <c r="G1854" s="43"/>
    </row>
    <row r="1855" spans="1:7" x14ac:dyDescent="0.2">
      <c r="A1855" s="43"/>
      <c r="B1855" s="42"/>
      <c r="C1855" s="43"/>
      <c r="D1855" s="43"/>
      <c r="E1855" s="43"/>
      <c r="F1855" s="43"/>
      <c r="G1855" s="43"/>
    </row>
    <row r="1856" spans="1:7" x14ac:dyDescent="0.2">
      <c r="A1856" s="43"/>
      <c r="B1856" s="42"/>
      <c r="C1856" s="43"/>
      <c r="D1856" s="43"/>
      <c r="E1856" s="43"/>
      <c r="F1856" s="43"/>
      <c r="G1856" s="43"/>
    </row>
    <row r="1857" spans="1:7" x14ac:dyDescent="0.2">
      <c r="A1857" s="43"/>
      <c r="B1857" s="42"/>
      <c r="C1857" s="43"/>
      <c r="D1857" s="43"/>
      <c r="E1857" s="43"/>
      <c r="F1857" s="43"/>
      <c r="G1857" s="43"/>
    </row>
    <row r="1858" spans="1:7" x14ac:dyDescent="0.2">
      <c r="A1858" s="43"/>
      <c r="B1858" s="42"/>
      <c r="C1858" s="43"/>
      <c r="D1858" s="43"/>
      <c r="E1858" s="43"/>
      <c r="F1858" s="43"/>
      <c r="G1858" s="43"/>
    </row>
    <row r="1859" spans="1:7" x14ac:dyDescent="0.2">
      <c r="A1859" s="43"/>
      <c r="B1859" s="42"/>
      <c r="C1859" s="43"/>
      <c r="D1859" s="43"/>
      <c r="E1859" s="43"/>
      <c r="F1859" s="43"/>
      <c r="G1859" s="43"/>
    </row>
    <row r="1860" spans="1:7" x14ac:dyDescent="0.2">
      <c r="A1860" s="43"/>
      <c r="B1860" s="42"/>
      <c r="C1860" s="43"/>
      <c r="D1860" s="43"/>
      <c r="E1860" s="43"/>
      <c r="F1860" s="43"/>
      <c r="G1860" s="43"/>
    </row>
    <row r="1861" spans="1:7" x14ac:dyDescent="0.2">
      <c r="A1861" s="43"/>
      <c r="B1861" s="42"/>
      <c r="C1861" s="43"/>
      <c r="D1861" s="43"/>
      <c r="E1861" s="43"/>
      <c r="F1861" s="43"/>
      <c r="G1861" s="43"/>
    </row>
    <row r="1862" spans="1:7" x14ac:dyDescent="0.2">
      <c r="A1862" s="43"/>
      <c r="B1862" s="42"/>
      <c r="C1862" s="43"/>
      <c r="D1862" s="43"/>
      <c r="E1862" s="43"/>
      <c r="F1862" s="43"/>
      <c r="G1862" s="43"/>
    </row>
    <row r="1863" spans="1:7" x14ac:dyDescent="0.2">
      <c r="A1863" s="43"/>
      <c r="B1863" s="42"/>
      <c r="C1863" s="43"/>
      <c r="D1863" s="43"/>
      <c r="E1863" s="43"/>
      <c r="F1863" s="43"/>
      <c r="G1863" s="43"/>
    </row>
    <row r="1864" spans="1:7" x14ac:dyDescent="0.2">
      <c r="A1864" s="43"/>
      <c r="B1864" s="42"/>
      <c r="C1864" s="43"/>
      <c r="D1864" s="43"/>
      <c r="E1864" s="43"/>
      <c r="F1864" s="43"/>
      <c r="G1864" s="43"/>
    </row>
    <row r="1865" spans="1:7" x14ac:dyDescent="0.2">
      <c r="A1865" s="43"/>
      <c r="B1865" s="42"/>
      <c r="C1865" s="43"/>
      <c r="D1865" s="43"/>
      <c r="E1865" s="43"/>
      <c r="F1865" s="43"/>
      <c r="G1865" s="43"/>
    </row>
    <row r="1866" spans="1:7" x14ac:dyDescent="0.2">
      <c r="A1866" s="43"/>
      <c r="B1866" s="42"/>
      <c r="C1866" s="43"/>
      <c r="D1866" s="43"/>
      <c r="E1866" s="43"/>
      <c r="F1866" s="43"/>
      <c r="G1866" s="43"/>
    </row>
    <row r="1867" spans="1:7" x14ac:dyDescent="0.2">
      <c r="A1867" s="43"/>
      <c r="B1867" s="42"/>
      <c r="C1867" s="43"/>
      <c r="D1867" s="43"/>
      <c r="E1867" s="43"/>
      <c r="F1867" s="43"/>
      <c r="G1867" s="43"/>
    </row>
    <row r="1868" spans="1:7" x14ac:dyDescent="0.2">
      <c r="A1868" s="43"/>
      <c r="B1868" s="42"/>
      <c r="C1868" s="43"/>
      <c r="D1868" s="43"/>
      <c r="E1868" s="43"/>
      <c r="F1868" s="43"/>
      <c r="G1868" s="43"/>
    </row>
    <row r="1869" spans="1:7" x14ac:dyDescent="0.2">
      <c r="A1869" s="43"/>
      <c r="B1869" s="42"/>
      <c r="C1869" s="43"/>
      <c r="D1869" s="43"/>
      <c r="E1869" s="43"/>
      <c r="F1869" s="43"/>
      <c r="G1869" s="43"/>
    </row>
    <row r="1870" spans="1:7" x14ac:dyDescent="0.2">
      <c r="A1870" s="43"/>
      <c r="B1870" s="42"/>
      <c r="C1870" s="43"/>
      <c r="D1870" s="43"/>
      <c r="E1870" s="43"/>
      <c r="F1870" s="43"/>
      <c r="G1870" s="43"/>
    </row>
    <row r="1871" spans="1:7" x14ac:dyDescent="0.2">
      <c r="A1871" s="43"/>
      <c r="B1871" s="42"/>
      <c r="C1871" s="43"/>
      <c r="D1871" s="43"/>
      <c r="E1871" s="43"/>
      <c r="F1871" s="43"/>
      <c r="G1871" s="43"/>
    </row>
    <row r="1872" spans="1:7" x14ac:dyDescent="0.2">
      <c r="A1872" s="43"/>
      <c r="B1872" s="42"/>
      <c r="C1872" s="43"/>
      <c r="D1872" s="43"/>
      <c r="E1872" s="43"/>
      <c r="F1872" s="43"/>
      <c r="G1872" s="43"/>
    </row>
    <row r="1873" spans="1:7" x14ac:dyDescent="0.2">
      <c r="A1873" s="43"/>
      <c r="B1873" s="42"/>
      <c r="C1873" s="43"/>
      <c r="D1873" s="43"/>
      <c r="E1873" s="43"/>
      <c r="F1873" s="43"/>
      <c r="G1873" s="43"/>
    </row>
    <row r="1874" spans="1:7" x14ac:dyDescent="0.2">
      <c r="A1874" s="43"/>
      <c r="B1874" s="42"/>
      <c r="C1874" s="43"/>
      <c r="D1874" s="43"/>
      <c r="E1874" s="43"/>
      <c r="F1874" s="43"/>
      <c r="G1874" s="43"/>
    </row>
    <row r="1875" spans="1:7" x14ac:dyDescent="0.2">
      <c r="A1875" s="43"/>
      <c r="B1875" s="42"/>
      <c r="C1875" s="43"/>
      <c r="D1875" s="43"/>
      <c r="E1875" s="43"/>
      <c r="F1875" s="43"/>
      <c r="G1875" s="43"/>
    </row>
    <row r="1876" spans="1:7" x14ac:dyDescent="0.2">
      <c r="A1876" s="43"/>
      <c r="B1876" s="42"/>
      <c r="C1876" s="43"/>
      <c r="D1876" s="43"/>
      <c r="E1876" s="43"/>
      <c r="F1876" s="43"/>
      <c r="G1876" s="43"/>
    </row>
    <row r="1877" spans="1:7" x14ac:dyDescent="0.2">
      <c r="A1877" s="43"/>
      <c r="B1877" s="42"/>
      <c r="C1877" s="43"/>
      <c r="D1877" s="43"/>
      <c r="E1877" s="43"/>
      <c r="F1877" s="43"/>
      <c r="G1877" s="43"/>
    </row>
    <row r="1878" spans="1:7" x14ac:dyDescent="0.2">
      <c r="A1878" s="43"/>
      <c r="B1878" s="42"/>
      <c r="C1878" s="43"/>
      <c r="D1878" s="43"/>
      <c r="E1878" s="43"/>
      <c r="F1878" s="43"/>
      <c r="G1878" s="43"/>
    </row>
    <row r="1879" spans="1:7" x14ac:dyDescent="0.2">
      <c r="A1879" s="43"/>
      <c r="B1879" s="42"/>
      <c r="C1879" s="43"/>
      <c r="D1879" s="43"/>
      <c r="E1879" s="43"/>
      <c r="F1879" s="43"/>
      <c r="G1879" s="43"/>
    </row>
    <row r="1880" spans="1:7" x14ac:dyDescent="0.2">
      <c r="A1880" s="43"/>
      <c r="B1880" s="42"/>
      <c r="C1880" s="43"/>
      <c r="D1880" s="43"/>
      <c r="E1880" s="43"/>
      <c r="F1880" s="43"/>
      <c r="G1880" s="43"/>
    </row>
    <row r="1881" spans="1:7" x14ac:dyDescent="0.2">
      <c r="A1881" s="43"/>
      <c r="B1881" s="42"/>
      <c r="C1881" s="43"/>
      <c r="D1881" s="43"/>
      <c r="E1881" s="43"/>
      <c r="F1881" s="43"/>
      <c r="G1881" s="43"/>
    </row>
    <row r="1882" spans="1:7" x14ac:dyDescent="0.2">
      <c r="A1882" s="43"/>
      <c r="B1882" s="42"/>
      <c r="C1882" s="43"/>
      <c r="D1882" s="43"/>
      <c r="E1882" s="43"/>
      <c r="F1882" s="43"/>
      <c r="G1882" s="43"/>
    </row>
    <row r="1883" spans="1:7" x14ac:dyDescent="0.2">
      <c r="A1883" s="43"/>
      <c r="B1883" s="42"/>
      <c r="C1883" s="43"/>
      <c r="D1883" s="43"/>
      <c r="E1883" s="43"/>
      <c r="F1883" s="43"/>
      <c r="G1883" s="43"/>
    </row>
    <row r="1884" spans="1:7" x14ac:dyDescent="0.2">
      <c r="A1884" s="43"/>
      <c r="B1884" s="42"/>
      <c r="C1884" s="43"/>
      <c r="D1884" s="43"/>
      <c r="E1884" s="43"/>
      <c r="F1884" s="43"/>
      <c r="G1884" s="43"/>
    </row>
    <row r="1885" spans="1:7" x14ac:dyDescent="0.2">
      <c r="A1885" s="43"/>
      <c r="B1885" s="42"/>
      <c r="C1885" s="43"/>
      <c r="D1885" s="43"/>
      <c r="E1885" s="43"/>
      <c r="F1885" s="43"/>
      <c r="G1885" s="43"/>
    </row>
    <row r="1886" spans="1:7" x14ac:dyDescent="0.2">
      <c r="A1886" s="43"/>
      <c r="B1886" s="42"/>
      <c r="C1886" s="43"/>
      <c r="D1886" s="43"/>
      <c r="E1886" s="43"/>
      <c r="F1886" s="43"/>
      <c r="G1886" s="43"/>
    </row>
    <row r="1887" spans="1:7" x14ac:dyDescent="0.2">
      <c r="A1887" s="43"/>
      <c r="B1887" s="42"/>
      <c r="C1887" s="43"/>
      <c r="D1887" s="43"/>
      <c r="E1887" s="43"/>
      <c r="F1887" s="43"/>
      <c r="G1887" s="43"/>
    </row>
    <row r="1888" spans="1:7" x14ac:dyDescent="0.2">
      <c r="A1888" s="43"/>
      <c r="B1888" s="42"/>
      <c r="C1888" s="43"/>
      <c r="D1888" s="43"/>
      <c r="E1888" s="43"/>
      <c r="F1888" s="43"/>
      <c r="G1888" s="43"/>
    </row>
    <row r="1889" spans="1:7" x14ac:dyDescent="0.2">
      <c r="A1889" s="43"/>
      <c r="B1889" s="42"/>
      <c r="C1889" s="43"/>
      <c r="D1889" s="43"/>
      <c r="E1889" s="43"/>
      <c r="F1889" s="43"/>
      <c r="G1889" s="43"/>
    </row>
    <row r="1890" spans="1:7" x14ac:dyDescent="0.2">
      <c r="A1890" s="43"/>
      <c r="B1890" s="42"/>
      <c r="C1890" s="43"/>
      <c r="D1890" s="43"/>
      <c r="E1890" s="43"/>
      <c r="F1890" s="43"/>
      <c r="G1890" s="43"/>
    </row>
    <row r="1891" spans="1:7" x14ac:dyDescent="0.2">
      <c r="A1891" s="43"/>
      <c r="B1891" s="42"/>
      <c r="C1891" s="43"/>
      <c r="D1891" s="43"/>
      <c r="E1891" s="43"/>
      <c r="F1891" s="43"/>
      <c r="G1891" s="43"/>
    </row>
    <row r="1892" spans="1:7" x14ac:dyDescent="0.2">
      <c r="A1892" s="43"/>
      <c r="B1892" s="42"/>
      <c r="C1892" s="43"/>
      <c r="D1892" s="43"/>
      <c r="E1892" s="43"/>
      <c r="F1892" s="43"/>
      <c r="G1892" s="43"/>
    </row>
    <row r="1893" spans="1:7" x14ac:dyDescent="0.2">
      <c r="A1893" s="43"/>
      <c r="B1893" s="42"/>
      <c r="C1893" s="43"/>
      <c r="D1893" s="43"/>
      <c r="E1893" s="43"/>
      <c r="F1893" s="43"/>
      <c r="G1893" s="43"/>
    </row>
    <row r="1894" spans="1:7" x14ac:dyDescent="0.2">
      <c r="A1894" s="43"/>
      <c r="B1894" s="42"/>
      <c r="C1894" s="43"/>
      <c r="D1894" s="43"/>
      <c r="E1894" s="43"/>
      <c r="F1894" s="43"/>
      <c r="G1894" s="43"/>
    </row>
    <row r="1895" spans="1:7" x14ac:dyDescent="0.2">
      <c r="A1895" s="43"/>
      <c r="B1895" s="42"/>
      <c r="C1895" s="43"/>
      <c r="D1895" s="43"/>
      <c r="E1895" s="43"/>
      <c r="F1895" s="43"/>
      <c r="G1895" s="43"/>
    </row>
    <row r="1896" spans="1:7" x14ac:dyDescent="0.2">
      <c r="A1896" s="43"/>
      <c r="B1896" s="42"/>
      <c r="C1896" s="43"/>
      <c r="D1896" s="43"/>
      <c r="E1896" s="43"/>
      <c r="F1896" s="43"/>
      <c r="G1896" s="43"/>
    </row>
    <row r="1897" spans="1:7" x14ac:dyDescent="0.2">
      <c r="A1897" s="43"/>
      <c r="B1897" s="42"/>
      <c r="C1897" s="43"/>
      <c r="D1897" s="43"/>
      <c r="E1897" s="43"/>
      <c r="F1897" s="43"/>
      <c r="G1897" s="43"/>
    </row>
    <row r="1898" spans="1:7" x14ac:dyDescent="0.2">
      <c r="A1898" s="43"/>
      <c r="B1898" s="42"/>
      <c r="C1898" s="43"/>
      <c r="D1898" s="43"/>
      <c r="E1898" s="43"/>
      <c r="F1898" s="43"/>
      <c r="G1898" s="43"/>
    </row>
    <row r="1899" spans="1:7" x14ac:dyDescent="0.2">
      <c r="A1899" s="43"/>
      <c r="B1899" s="42"/>
      <c r="C1899" s="43"/>
      <c r="D1899" s="43"/>
      <c r="E1899" s="43"/>
      <c r="F1899" s="43"/>
      <c r="G1899" s="43"/>
    </row>
    <row r="1900" spans="1:7" x14ac:dyDescent="0.2">
      <c r="A1900" s="43"/>
      <c r="B1900" s="42"/>
      <c r="C1900" s="43"/>
      <c r="D1900" s="43"/>
      <c r="E1900" s="43"/>
      <c r="F1900" s="43"/>
      <c r="G1900" s="43"/>
    </row>
    <row r="1901" spans="1:7" x14ac:dyDescent="0.2">
      <c r="A1901" s="43"/>
      <c r="B1901" s="42"/>
      <c r="C1901" s="43"/>
      <c r="D1901" s="43"/>
      <c r="E1901" s="43"/>
      <c r="F1901" s="43"/>
      <c r="G1901" s="43"/>
    </row>
    <row r="1902" spans="1:7" x14ac:dyDescent="0.2">
      <c r="A1902" s="43"/>
      <c r="B1902" s="42"/>
      <c r="C1902" s="43"/>
      <c r="D1902" s="43"/>
      <c r="E1902" s="43"/>
      <c r="F1902" s="43"/>
      <c r="G1902" s="43"/>
    </row>
    <row r="1903" spans="1:7" x14ac:dyDescent="0.2">
      <c r="A1903" s="43"/>
      <c r="B1903" s="42"/>
      <c r="C1903" s="43"/>
      <c r="D1903" s="43"/>
      <c r="E1903" s="43"/>
      <c r="F1903" s="43"/>
      <c r="G1903" s="43"/>
    </row>
    <row r="1904" spans="1:7" x14ac:dyDescent="0.2">
      <c r="A1904" s="43"/>
      <c r="B1904" s="42"/>
      <c r="C1904" s="43"/>
      <c r="D1904" s="43"/>
      <c r="E1904" s="43"/>
      <c r="F1904" s="43"/>
      <c r="G1904" s="43"/>
    </row>
    <row r="1905" spans="1:7" x14ac:dyDescent="0.2">
      <c r="A1905" s="43"/>
      <c r="B1905" s="42"/>
      <c r="C1905" s="43"/>
      <c r="D1905" s="43"/>
      <c r="E1905" s="43"/>
      <c r="F1905" s="43"/>
      <c r="G1905" s="43"/>
    </row>
    <row r="1906" spans="1:7" x14ac:dyDescent="0.2">
      <c r="A1906" s="43"/>
      <c r="B1906" s="42"/>
      <c r="C1906" s="43"/>
      <c r="D1906" s="43"/>
      <c r="E1906" s="43"/>
      <c r="F1906" s="43"/>
      <c r="G1906" s="43"/>
    </row>
    <row r="1907" spans="1:7" x14ac:dyDescent="0.2">
      <c r="A1907" s="43"/>
      <c r="B1907" s="42"/>
      <c r="C1907" s="43"/>
      <c r="D1907" s="43"/>
      <c r="E1907" s="43"/>
      <c r="F1907" s="43"/>
      <c r="G1907" s="43"/>
    </row>
    <row r="1908" spans="1:7" x14ac:dyDescent="0.2">
      <c r="A1908" s="43"/>
      <c r="B1908" s="42"/>
      <c r="C1908" s="43"/>
      <c r="D1908" s="43"/>
      <c r="E1908" s="43"/>
      <c r="F1908" s="43"/>
      <c r="G1908" s="43"/>
    </row>
    <row r="1909" spans="1:7" x14ac:dyDescent="0.2">
      <c r="A1909" s="43"/>
      <c r="B1909" s="42"/>
      <c r="C1909" s="43"/>
      <c r="D1909" s="43"/>
      <c r="E1909" s="43"/>
      <c r="F1909" s="43"/>
      <c r="G1909" s="43"/>
    </row>
    <row r="1910" spans="1:7" x14ac:dyDescent="0.2">
      <c r="A1910" s="43"/>
      <c r="B1910" s="42"/>
      <c r="C1910" s="43"/>
      <c r="D1910" s="43"/>
      <c r="E1910" s="43"/>
      <c r="F1910" s="43"/>
      <c r="G1910" s="43"/>
    </row>
    <row r="1911" spans="1:7" x14ac:dyDescent="0.2">
      <c r="A1911" s="43"/>
      <c r="B1911" s="42"/>
      <c r="C1911" s="43"/>
      <c r="D1911" s="43"/>
      <c r="E1911" s="43"/>
      <c r="F1911" s="43"/>
      <c r="G1911" s="43"/>
    </row>
    <row r="1912" spans="1:7" x14ac:dyDescent="0.2">
      <c r="A1912" s="43"/>
      <c r="B1912" s="42"/>
      <c r="C1912" s="43"/>
      <c r="D1912" s="43"/>
      <c r="E1912" s="43"/>
      <c r="F1912" s="43"/>
      <c r="G1912" s="43"/>
    </row>
    <row r="1913" spans="1:7" x14ac:dyDescent="0.2">
      <c r="A1913" s="43"/>
      <c r="B1913" s="42"/>
      <c r="C1913" s="43"/>
      <c r="D1913" s="43"/>
      <c r="E1913" s="43"/>
      <c r="F1913" s="43"/>
      <c r="G1913" s="43"/>
    </row>
    <row r="1914" spans="1:7" x14ac:dyDescent="0.2">
      <c r="A1914" s="43"/>
      <c r="B1914" s="42"/>
      <c r="C1914" s="43"/>
      <c r="D1914" s="43"/>
      <c r="E1914" s="43"/>
      <c r="F1914" s="43"/>
      <c r="G1914" s="43"/>
    </row>
    <row r="1915" spans="1:7" x14ac:dyDescent="0.2">
      <c r="A1915" s="43"/>
      <c r="B1915" s="42"/>
      <c r="C1915" s="43"/>
      <c r="D1915" s="43"/>
      <c r="E1915" s="43"/>
      <c r="F1915" s="43"/>
      <c r="G1915" s="43"/>
    </row>
    <row r="1916" spans="1:7" x14ac:dyDescent="0.2">
      <c r="A1916" s="43"/>
      <c r="B1916" s="42"/>
      <c r="C1916" s="43"/>
      <c r="D1916" s="43"/>
      <c r="E1916" s="43"/>
      <c r="F1916" s="43"/>
      <c r="G1916" s="43"/>
    </row>
    <row r="1917" spans="1:7" x14ac:dyDescent="0.2">
      <c r="A1917" s="43"/>
      <c r="B1917" s="42"/>
      <c r="C1917" s="43"/>
      <c r="D1917" s="43"/>
      <c r="E1917" s="43"/>
      <c r="F1917" s="43"/>
      <c r="G1917" s="43"/>
    </row>
    <row r="1918" spans="1:7" x14ac:dyDescent="0.2">
      <c r="A1918" s="43"/>
      <c r="B1918" s="42"/>
      <c r="C1918" s="43"/>
      <c r="D1918" s="43"/>
      <c r="E1918" s="43"/>
      <c r="F1918" s="43"/>
      <c r="G1918" s="43"/>
    </row>
    <row r="1919" spans="1:7" x14ac:dyDescent="0.2">
      <c r="A1919" s="43"/>
      <c r="B1919" s="42"/>
      <c r="C1919" s="43"/>
      <c r="D1919" s="43"/>
      <c r="E1919" s="43"/>
      <c r="F1919" s="43"/>
      <c r="G1919" s="43"/>
    </row>
    <row r="1920" spans="1:7" x14ac:dyDescent="0.2">
      <c r="A1920" s="43"/>
      <c r="B1920" s="42"/>
      <c r="C1920" s="43"/>
      <c r="D1920" s="43"/>
      <c r="E1920" s="43"/>
      <c r="F1920" s="43"/>
      <c r="G1920" s="43"/>
    </row>
    <row r="1921" spans="1:7" x14ac:dyDescent="0.2">
      <c r="A1921" s="43"/>
      <c r="B1921" s="42"/>
      <c r="C1921" s="43"/>
      <c r="D1921" s="43"/>
      <c r="E1921" s="43"/>
      <c r="F1921" s="43"/>
      <c r="G1921" s="43"/>
    </row>
    <row r="1922" spans="1:7" x14ac:dyDescent="0.2">
      <c r="A1922" s="43"/>
      <c r="B1922" s="42"/>
      <c r="C1922" s="43"/>
      <c r="D1922" s="43"/>
      <c r="E1922" s="43"/>
      <c r="F1922" s="43"/>
      <c r="G1922" s="43"/>
    </row>
    <row r="1923" spans="1:7" x14ac:dyDescent="0.2">
      <c r="A1923" s="43"/>
      <c r="B1923" s="42"/>
      <c r="C1923" s="43"/>
      <c r="D1923" s="43"/>
      <c r="E1923" s="43"/>
      <c r="F1923" s="43"/>
      <c r="G1923" s="43"/>
    </row>
    <row r="1924" spans="1:7" x14ac:dyDescent="0.2">
      <c r="A1924" s="43"/>
      <c r="B1924" s="42"/>
      <c r="C1924" s="43"/>
      <c r="D1924" s="43"/>
      <c r="E1924" s="43"/>
      <c r="F1924" s="43"/>
      <c r="G1924" s="43"/>
    </row>
    <row r="1925" spans="1:7" x14ac:dyDescent="0.2">
      <c r="A1925" s="43"/>
      <c r="B1925" s="42"/>
      <c r="C1925" s="43"/>
      <c r="D1925" s="43"/>
      <c r="E1925" s="43"/>
      <c r="F1925" s="43"/>
      <c r="G1925" s="43"/>
    </row>
    <row r="1926" spans="1:7" x14ac:dyDescent="0.2">
      <c r="A1926" s="43"/>
      <c r="B1926" s="42"/>
      <c r="C1926" s="43"/>
      <c r="D1926" s="43"/>
      <c r="E1926" s="43"/>
      <c r="F1926" s="43"/>
      <c r="G1926" s="43"/>
    </row>
    <row r="1927" spans="1:7" x14ac:dyDescent="0.2">
      <c r="A1927" s="43"/>
      <c r="B1927" s="42"/>
      <c r="C1927" s="43"/>
      <c r="D1927" s="43"/>
      <c r="E1927" s="43"/>
      <c r="F1927" s="43"/>
      <c r="G1927" s="43"/>
    </row>
    <row r="1928" spans="1:7" x14ac:dyDescent="0.2">
      <c r="A1928" s="43"/>
      <c r="B1928" s="42"/>
      <c r="C1928" s="43"/>
      <c r="D1928" s="43"/>
      <c r="E1928" s="43"/>
      <c r="F1928" s="43"/>
      <c r="G1928" s="43"/>
    </row>
    <row r="1929" spans="1:7" x14ac:dyDescent="0.2">
      <c r="A1929" s="43"/>
      <c r="B1929" s="42"/>
      <c r="C1929" s="43"/>
      <c r="D1929" s="43"/>
      <c r="E1929" s="43"/>
      <c r="F1929" s="43"/>
      <c r="G1929" s="43"/>
    </row>
    <row r="1930" spans="1:7" x14ac:dyDescent="0.2">
      <c r="A1930" s="43"/>
      <c r="B1930" s="42"/>
      <c r="C1930" s="43"/>
      <c r="D1930" s="43"/>
      <c r="E1930" s="43"/>
      <c r="F1930" s="43"/>
      <c r="G1930" s="43"/>
    </row>
    <row r="1931" spans="1:7" x14ac:dyDescent="0.2">
      <c r="A1931" s="43"/>
      <c r="B1931" s="42"/>
      <c r="C1931" s="43"/>
      <c r="D1931" s="43"/>
      <c r="E1931" s="43"/>
      <c r="F1931" s="43"/>
      <c r="G1931" s="43"/>
    </row>
    <row r="1932" spans="1:7" x14ac:dyDescent="0.2">
      <c r="A1932" s="43"/>
      <c r="B1932" s="42"/>
      <c r="C1932" s="43"/>
      <c r="D1932" s="43"/>
      <c r="E1932" s="43"/>
      <c r="F1932" s="43"/>
      <c r="G1932" s="43"/>
    </row>
    <row r="1933" spans="1:7" x14ac:dyDescent="0.2">
      <c r="A1933" s="43"/>
      <c r="B1933" s="42"/>
      <c r="C1933" s="43"/>
      <c r="D1933" s="43"/>
      <c r="E1933" s="43"/>
      <c r="F1933" s="43"/>
      <c r="G1933" s="43"/>
    </row>
    <row r="1934" spans="1:7" x14ac:dyDescent="0.2">
      <c r="A1934" s="43"/>
      <c r="B1934" s="42"/>
      <c r="C1934" s="43"/>
      <c r="D1934" s="43"/>
      <c r="E1934" s="43"/>
      <c r="F1934" s="43"/>
      <c r="G1934" s="43"/>
    </row>
    <row r="1935" spans="1:7" x14ac:dyDescent="0.2">
      <c r="A1935" s="43"/>
      <c r="B1935" s="42"/>
      <c r="C1935" s="43"/>
      <c r="D1935" s="43"/>
      <c r="E1935" s="43"/>
      <c r="F1935" s="43"/>
      <c r="G1935" s="43"/>
    </row>
    <row r="1936" spans="1:7" x14ac:dyDescent="0.2">
      <c r="A1936" s="43"/>
      <c r="B1936" s="42"/>
      <c r="C1936" s="43"/>
      <c r="D1936" s="43"/>
      <c r="E1936" s="43"/>
      <c r="F1936" s="43"/>
      <c r="G1936" s="43"/>
    </row>
    <row r="1937" spans="1:7" x14ac:dyDescent="0.2">
      <c r="A1937" s="43"/>
      <c r="B1937" s="42"/>
      <c r="C1937" s="43"/>
      <c r="D1937" s="43"/>
      <c r="E1937" s="43"/>
      <c r="F1937" s="43"/>
      <c r="G1937" s="43"/>
    </row>
    <row r="1938" spans="1:7" x14ac:dyDescent="0.2">
      <c r="A1938" s="43"/>
      <c r="B1938" s="42"/>
      <c r="C1938" s="43"/>
      <c r="D1938" s="43"/>
      <c r="E1938" s="43"/>
      <c r="F1938" s="43"/>
      <c r="G1938" s="43"/>
    </row>
    <row r="1939" spans="1:7" x14ac:dyDescent="0.2">
      <c r="A1939" s="43"/>
      <c r="B1939" s="42"/>
      <c r="C1939" s="43"/>
      <c r="D1939" s="43"/>
      <c r="E1939" s="43"/>
      <c r="F1939" s="43"/>
      <c r="G1939" s="43"/>
    </row>
    <row r="1940" spans="1:7" x14ac:dyDescent="0.2">
      <c r="A1940" s="43"/>
      <c r="B1940" s="42"/>
      <c r="C1940" s="43"/>
      <c r="D1940" s="43"/>
      <c r="E1940" s="43"/>
      <c r="F1940" s="43"/>
      <c r="G1940" s="43"/>
    </row>
    <row r="1941" spans="1:7" x14ac:dyDescent="0.2">
      <c r="A1941" s="43"/>
      <c r="B1941" s="42"/>
      <c r="C1941" s="43"/>
      <c r="D1941" s="43"/>
      <c r="E1941" s="43"/>
      <c r="F1941" s="43"/>
      <c r="G1941" s="43"/>
    </row>
    <row r="1942" spans="1:7" x14ac:dyDescent="0.2">
      <c r="A1942" s="43"/>
      <c r="B1942" s="42"/>
      <c r="C1942" s="43"/>
      <c r="D1942" s="43"/>
      <c r="E1942" s="43"/>
      <c r="F1942" s="43"/>
      <c r="G1942" s="43"/>
    </row>
    <row r="1943" spans="1:7" x14ac:dyDescent="0.2">
      <c r="A1943" s="43"/>
      <c r="B1943" s="42"/>
      <c r="C1943" s="43"/>
      <c r="D1943" s="43"/>
      <c r="E1943" s="43"/>
      <c r="F1943" s="43"/>
      <c r="G1943" s="43"/>
    </row>
    <row r="1944" spans="1:7" x14ac:dyDescent="0.2">
      <c r="A1944" s="43"/>
      <c r="B1944" s="42"/>
      <c r="C1944" s="43"/>
      <c r="D1944" s="43"/>
      <c r="E1944" s="43"/>
      <c r="F1944" s="43"/>
      <c r="G1944" s="43"/>
    </row>
    <row r="1945" spans="1:7" x14ac:dyDescent="0.2">
      <c r="A1945" s="43"/>
      <c r="B1945" s="42"/>
      <c r="C1945" s="43"/>
      <c r="D1945" s="43"/>
      <c r="E1945" s="43"/>
      <c r="F1945" s="43"/>
      <c r="G1945" s="43"/>
    </row>
    <row r="1946" spans="1:7" x14ac:dyDescent="0.2">
      <c r="A1946" s="43"/>
      <c r="B1946" s="42"/>
      <c r="C1946" s="43"/>
      <c r="D1946" s="43"/>
      <c r="E1946" s="43"/>
      <c r="F1946" s="43"/>
      <c r="G1946" s="43"/>
    </row>
    <row r="1947" spans="1:7" x14ac:dyDescent="0.2">
      <c r="A1947" s="43"/>
      <c r="B1947" s="42"/>
      <c r="C1947" s="43"/>
      <c r="D1947" s="43"/>
      <c r="E1947" s="43"/>
      <c r="F1947" s="43"/>
      <c r="G1947" s="43"/>
    </row>
    <row r="1948" spans="1:7" x14ac:dyDescent="0.2">
      <c r="A1948" s="43"/>
      <c r="B1948" s="42"/>
      <c r="C1948" s="43"/>
      <c r="D1948" s="43"/>
      <c r="E1948" s="43"/>
      <c r="F1948" s="43"/>
      <c r="G1948" s="43"/>
    </row>
    <row r="1949" spans="1:7" x14ac:dyDescent="0.2">
      <c r="A1949" s="43"/>
      <c r="B1949" s="42"/>
      <c r="C1949" s="43"/>
      <c r="D1949" s="43"/>
      <c r="E1949" s="43"/>
      <c r="F1949" s="43"/>
      <c r="G1949" s="43"/>
    </row>
    <row r="1950" spans="1:7" x14ac:dyDescent="0.2">
      <c r="A1950" s="43"/>
      <c r="B1950" s="42"/>
      <c r="C1950" s="43"/>
      <c r="D1950" s="43"/>
      <c r="E1950" s="43"/>
      <c r="F1950" s="43"/>
      <c r="G1950" s="43"/>
    </row>
    <row r="1951" spans="1:7" x14ac:dyDescent="0.2">
      <c r="A1951" s="43"/>
      <c r="B1951" s="42"/>
      <c r="C1951" s="43"/>
      <c r="D1951" s="43"/>
      <c r="E1951" s="43"/>
      <c r="F1951" s="43"/>
      <c r="G1951" s="43"/>
    </row>
    <row r="1952" spans="1:7" x14ac:dyDescent="0.2">
      <c r="A1952" s="43"/>
      <c r="B1952" s="42"/>
      <c r="C1952" s="43"/>
      <c r="D1952" s="43"/>
      <c r="E1952" s="43"/>
      <c r="F1952" s="43"/>
      <c r="G1952" s="43"/>
    </row>
    <row r="1953" spans="1:7" x14ac:dyDescent="0.2">
      <c r="A1953" s="43"/>
      <c r="B1953" s="42"/>
      <c r="C1953" s="43"/>
      <c r="D1953" s="43"/>
      <c r="E1953" s="43"/>
      <c r="F1953" s="43"/>
      <c r="G1953" s="43"/>
    </row>
    <row r="1954" spans="1:7" x14ac:dyDescent="0.2">
      <c r="A1954" s="43"/>
      <c r="B1954" s="42"/>
      <c r="C1954" s="43"/>
      <c r="D1954" s="43"/>
      <c r="E1954" s="43"/>
      <c r="F1954" s="43"/>
      <c r="G1954" s="43"/>
    </row>
    <row r="1955" spans="1:7" x14ac:dyDescent="0.2">
      <c r="A1955" s="43"/>
      <c r="B1955" s="42"/>
      <c r="C1955" s="43"/>
      <c r="D1955" s="43"/>
      <c r="E1955" s="43"/>
      <c r="F1955" s="43"/>
      <c r="G1955" s="43"/>
    </row>
    <row r="1956" spans="1:7" x14ac:dyDescent="0.2">
      <c r="A1956" s="43"/>
      <c r="B1956" s="42"/>
      <c r="C1956" s="43"/>
      <c r="D1956" s="43"/>
      <c r="E1956" s="43"/>
      <c r="F1956" s="43"/>
      <c r="G1956" s="43"/>
    </row>
    <row r="1957" spans="1:7" x14ac:dyDescent="0.2">
      <c r="A1957" s="43"/>
      <c r="B1957" s="42"/>
      <c r="C1957" s="43"/>
      <c r="D1957" s="43"/>
      <c r="E1957" s="43"/>
      <c r="F1957" s="43"/>
      <c r="G1957" s="43"/>
    </row>
    <row r="1958" spans="1:7" x14ac:dyDescent="0.2">
      <c r="A1958" s="43"/>
      <c r="B1958" s="42"/>
      <c r="C1958" s="43"/>
      <c r="D1958" s="43"/>
      <c r="E1958" s="43"/>
      <c r="F1958" s="43"/>
      <c r="G1958" s="43"/>
    </row>
    <row r="1959" spans="1:7" x14ac:dyDescent="0.2">
      <c r="A1959" s="43"/>
      <c r="B1959" s="42"/>
      <c r="C1959" s="43"/>
      <c r="D1959" s="43"/>
      <c r="E1959" s="43"/>
      <c r="F1959" s="43"/>
      <c r="G1959" s="43"/>
    </row>
    <row r="1960" spans="1:7" x14ac:dyDescent="0.2">
      <c r="A1960" s="43"/>
      <c r="B1960" s="42"/>
      <c r="C1960" s="43"/>
      <c r="D1960" s="43"/>
      <c r="E1960" s="43"/>
      <c r="F1960" s="43"/>
      <c r="G1960" s="43"/>
    </row>
    <row r="1961" spans="1:7" x14ac:dyDescent="0.2">
      <c r="A1961" s="43"/>
      <c r="B1961" s="42"/>
      <c r="C1961" s="43"/>
      <c r="D1961" s="43"/>
      <c r="E1961" s="43"/>
      <c r="F1961" s="43"/>
      <c r="G1961" s="43"/>
    </row>
    <row r="1962" spans="1:7" x14ac:dyDescent="0.2">
      <c r="A1962" s="43"/>
      <c r="B1962" s="42"/>
      <c r="C1962" s="43"/>
      <c r="D1962" s="43"/>
      <c r="E1962" s="43"/>
      <c r="F1962" s="43"/>
      <c r="G1962" s="43"/>
    </row>
    <row r="1963" spans="1:7" x14ac:dyDescent="0.2">
      <c r="A1963" s="43"/>
      <c r="B1963" s="42"/>
      <c r="C1963" s="43"/>
      <c r="D1963" s="43"/>
      <c r="E1963" s="43"/>
      <c r="F1963" s="43"/>
      <c r="G1963" s="43"/>
    </row>
    <row r="1964" spans="1:7" x14ac:dyDescent="0.2">
      <c r="A1964" s="43"/>
      <c r="B1964" s="42"/>
      <c r="C1964" s="43"/>
      <c r="D1964" s="43"/>
      <c r="E1964" s="43"/>
      <c r="F1964" s="43"/>
      <c r="G1964" s="43"/>
    </row>
    <row r="1965" spans="1:7" x14ac:dyDescent="0.2">
      <c r="A1965" s="43"/>
      <c r="B1965" s="42"/>
      <c r="C1965" s="43"/>
      <c r="D1965" s="43"/>
      <c r="E1965" s="43"/>
      <c r="F1965" s="43"/>
      <c r="G1965" s="43"/>
    </row>
    <row r="1966" spans="1:7" x14ac:dyDescent="0.2">
      <c r="A1966" s="43"/>
      <c r="B1966" s="42"/>
      <c r="C1966" s="43"/>
      <c r="D1966" s="43"/>
      <c r="E1966" s="43"/>
      <c r="F1966" s="43"/>
      <c r="G1966" s="43"/>
    </row>
    <row r="1967" spans="1:7" x14ac:dyDescent="0.2">
      <c r="A1967" s="43"/>
      <c r="B1967" s="42"/>
      <c r="C1967" s="43"/>
      <c r="D1967" s="43"/>
      <c r="E1967" s="43"/>
      <c r="F1967" s="43"/>
      <c r="G1967" s="43"/>
    </row>
    <row r="1968" spans="1:7" x14ac:dyDescent="0.2">
      <c r="A1968" s="43"/>
      <c r="B1968" s="42"/>
      <c r="C1968" s="43"/>
      <c r="D1968" s="43"/>
      <c r="E1968" s="43"/>
      <c r="F1968" s="43"/>
      <c r="G1968" s="43"/>
    </row>
    <row r="1969" spans="1:7" x14ac:dyDescent="0.2">
      <c r="A1969" s="43"/>
      <c r="B1969" s="42"/>
      <c r="C1969" s="43"/>
      <c r="D1969" s="43"/>
      <c r="E1969" s="43"/>
      <c r="F1969" s="43"/>
      <c r="G1969" s="43"/>
    </row>
    <row r="1970" spans="1:7" x14ac:dyDescent="0.2">
      <c r="A1970" s="43"/>
      <c r="B1970" s="42"/>
      <c r="C1970" s="43"/>
      <c r="D1970" s="43"/>
      <c r="E1970" s="43"/>
      <c r="F1970" s="43"/>
      <c r="G1970" s="43"/>
    </row>
    <row r="1971" spans="1:7" x14ac:dyDescent="0.2">
      <c r="A1971" s="43"/>
      <c r="B1971" s="42"/>
      <c r="C1971" s="43"/>
      <c r="D1971" s="43"/>
      <c r="E1971" s="43"/>
      <c r="F1971" s="43"/>
      <c r="G1971" s="43"/>
    </row>
    <row r="1972" spans="1:7" x14ac:dyDescent="0.2">
      <c r="A1972" s="43"/>
      <c r="B1972" s="42"/>
      <c r="C1972" s="43"/>
      <c r="D1972" s="43"/>
      <c r="E1972" s="43"/>
      <c r="F1972" s="43"/>
      <c r="G1972" s="43"/>
    </row>
    <row r="1973" spans="1:7" x14ac:dyDescent="0.2">
      <c r="A1973" s="43"/>
      <c r="B1973" s="42"/>
      <c r="C1973" s="43"/>
      <c r="D1973" s="43"/>
      <c r="E1973" s="43"/>
      <c r="F1973" s="43"/>
      <c r="G1973" s="43"/>
    </row>
    <row r="1974" spans="1:7" x14ac:dyDescent="0.2">
      <c r="A1974" s="43"/>
      <c r="B1974" s="42"/>
      <c r="C1974" s="43"/>
      <c r="D1974" s="43"/>
      <c r="E1974" s="43"/>
      <c r="F1974" s="43"/>
      <c r="G1974" s="43"/>
    </row>
    <row r="1975" spans="1:7" x14ac:dyDescent="0.2">
      <c r="A1975" s="43"/>
      <c r="B1975" s="42"/>
      <c r="C1975" s="43"/>
      <c r="D1975" s="43"/>
      <c r="E1975" s="43"/>
      <c r="F1975" s="43"/>
      <c r="G1975" s="43"/>
    </row>
    <row r="1976" spans="1:7" x14ac:dyDescent="0.2">
      <c r="A1976" s="43"/>
      <c r="B1976" s="42"/>
      <c r="C1976" s="43"/>
      <c r="D1976" s="43"/>
      <c r="E1976" s="43"/>
      <c r="F1976" s="43"/>
      <c r="G1976" s="43"/>
    </row>
    <row r="1977" spans="1:7" x14ac:dyDescent="0.2">
      <c r="A1977" s="43"/>
      <c r="B1977" s="42"/>
      <c r="C1977" s="43"/>
      <c r="D1977" s="43"/>
      <c r="E1977" s="43"/>
      <c r="F1977" s="43"/>
      <c r="G1977" s="43"/>
    </row>
    <row r="1978" spans="1:7" x14ac:dyDescent="0.2">
      <c r="A1978" s="43"/>
      <c r="B1978" s="42"/>
      <c r="C1978" s="43"/>
      <c r="D1978" s="43"/>
      <c r="E1978" s="43"/>
      <c r="F1978" s="43"/>
      <c r="G1978" s="43"/>
    </row>
    <row r="1979" spans="1:7" x14ac:dyDescent="0.2">
      <c r="A1979" s="43"/>
      <c r="B1979" s="42"/>
      <c r="C1979" s="43"/>
      <c r="D1979" s="43"/>
      <c r="E1979" s="43"/>
      <c r="F1979" s="43"/>
      <c r="G1979" s="43"/>
    </row>
    <row r="1980" spans="1:7" x14ac:dyDescent="0.2">
      <c r="A1980" s="43"/>
      <c r="B1980" s="42"/>
      <c r="C1980" s="43"/>
      <c r="D1980" s="43"/>
      <c r="E1980" s="43"/>
      <c r="F1980" s="43"/>
      <c r="G1980" s="43"/>
    </row>
    <row r="1981" spans="1:7" x14ac:dyDescent="0.2">
      <c r="A1981" s="43"/>
      <c r="B1981" s="42"/>
      <c r="C1981" s="43"/>
      <c r="D1981" s="43"/>
      <c r="E1981" s="43"/>
      <c r="F1981" s="43"/>
      <c r="G1981" s="43"/>
    </row>
    <row r="1982" spans="1:7" x14ac:dyDescent="0.2">
      <c r="A1982" s="43"/>
      <c r="B1982" s="42"/>
      <c r="C1982" s="43"/>
      <c r="D1982" s="43"/>
      <c r="E1982" s="43"/>
      <c r="F1982" s="43"/>
      <c r="G1982" s="43"/>
    </row>
    <row r="1983" spans="1:7" x14ac:dyDescent="0.2">
      <c r="A1983" s="43"/>
      <c r="B1983" s="42"/>
      <c r="C1983" s="43"/>
      <c r="D1983" s="43"/>
      <c r="E1983" s="43"/>
      <c r="F1983" s="43"/>
      <c r="G1983" s="43"/>
    </row>
    <row r="1984" spans="1:7" x14ac:dyDescent="0.2">
      <c r="A1984" s="43"/>
      <c r="B1984" s="42"/>
      <c r="C1984" s="43"/>
      <c r="D1984" s="43"/>
      <c r="E1984" s="43"/>
      <c r="F1984" s="43"/>
      <c r="G1984" s="43"/>
    </row>
    <row r="1985" spans="1:7" x14ac:dyDescent="0.2">
      <c r="A1985" s="43"/>
      <c r="B1985" s="42"/>
      <c r="C1985" s="43"/>
      <c r="D1985" s="43"/>
      <c r="E1985" s="43"/>
      <c r="F1985" s="43"/>
      <c r="G1985" s="43"/>
    </row>
    <row r="1986" spans="1:7" x14ac:dyDescent="0.2">
      <c r="A1986" s="43"/>
      <c r="B1986" s="42"/>
      <c r="C1986" s="43"/>
      <c r="D1986" s="43"/>
      <c r="E1986" s="43"/>
      <c r="F1986" s="43"/>
      <c r="G1986" s="43"/>
    </row>
    <row r="1987" spans="1:7" x14ac:dyDescent="0.2">
      <c r="A1987" s="43"/>
      <c r="B1987" s="42"/>
      <c r="C1987" s="43"/>
      <c r="D1987" s="43"/>
      <c r="E1987" s="43"/>
      <c r="F1987" s="43"/>
      <c r="G1987" s="43"/>
    </row>
    <row r="1988" spans="1:7" x14ac:dyDescent="0.2">
      <c r="A1988" s="43"/>
      <c r="B1988" s="42"/>
      <c r="C1988" s="43"/>
      <c r="D1988" s="43"/>
      <c r="E1988" s="43"/>
      <c r="F1988" s="43"/>
      <c r="G1988" s="43"/>
    </row>
    <row r="1989" spans="1:7" x14ac:dyDescent="0.2">
      <c r="A1989" s="43"/>
      <c r="B1989" s="42"/>
      <c r="C1989" s="43"/>
      <c r="D1989" s="43"/>
      <c r="E1989" s="43"/>
      <c r="F1989" s="43"/>
      <c r="G1989" s="43"/>
    </row>
    <row r="1990" spans="1:7" x14ac:dyDescent="0.2">
      <c r="A1990" s="43"/>
      <c r="B1990" s="42"/>
      <c r="C1990" s="43"/>
      <c r="D1990" s="43"/>
      <c r="E1990" s="43"/>
      <c r="F1990" s="43"/>
      <c r="G1990" s="43"/>
    </row>
    <row r="1991" spans="1:7" x14ac:dyDescent="0.2">
      <c r="A1991" s="43"/>
      <c r="B1991" s="42"/>
      <c r="C1991" s="43"/>
      <c r="D1991" s="43"/>
      <c r="E1991" s="43"/>
      <c r="F1991" s="43"/>
      <c r="G1991" s="43"/>
    </row>
    <row r="1992" spans="1:7" x14ac:dyDescent="0.2">
      <c r="A1992" s="43"/>
      <c r="B1992" s="42"/>
      <c r="C1992" s="43"/>
      <c r="D1992" s="43"/>
      <c r="E1992" s="43"/>
      <c r="F1992" s="43"/>
      <c r="G1992" s="43"/>
    </row>
    <row r="1993" spans="1:7" x14ac:dyDescent="0.2">
      <c r="A1993" s="43"/>
      <c r="B1993" s="42"/>
      <c r="C1993" s="43"/>
      <c r="D1993" s="43"/>
      <c r="E1993" s="43"/>
      <c r="F1993" s="43"/>
      <c r="G1993" s="43"/>
    </row>
    <row r="1994" spans="1:7" x14ac:dyDescent="0.2">
      <c r="A1994" s="43"/>
      <c r="B1994" s="42"/>
      <c r="C1994" s="43"/>
      <c r="D1994" s="43"/>
      <c r="E1994" s="43"/>
      <c r="F1994" s="43"/>
      <c r="G1994" s="43"/>
    </row>
    <row r="1995" spans="1:7" x14ac:dyDescent="0.2">
      <c r="A1995" s="43"/>
      <c r="B1995" s="42"/>
      <c r="C1995" s="43"/>
      <c r="D1995" s="43"/>
      <c r="E1995" s="43"/>
      <c r="F1995" s="43"/>
      <c r="G1995" s="43"/>
    </row>
    <row r="1996" spans="1:7" x14ac:dyDescent="0.2">
      <c r="A1996" s="43"/>
      <c r="B1996" s="42"/>
      <c r="C1996" s="43"/>
      <c r="D1996" s="43"/>
      <c r="E1996" s="43"/>
      <c r="F1996" s="43"/>
      <c r="G1996" s="43"/>
    </row>
    <row r="1997" spans="1:7" x14ac:dyDescent="0.2">
      <c r="A1997" s="43"/>
      <c r="B1997" s="42"/>
      <c r="C1997" s="43"/>
      <c r="D1997" s="43"/>
      <c r="E1997" s="43"/>
      <c r="F1997" s="43"/>
      <c r="G1997" s="43"/>
    </row>
    <row r="1998" spans="1:7" x14ac:dyDescent="0.2">
      <c r="A1998" s="43"/>
      <c r="B1998" s="42"/>
      <c r="C1998" s="43"/>
      <c r="D1998" s="43"/>
      <c r="E1998" s="43"/>
      <c r="F1998" s="43"/>
      <c r="G1998" s="43"/>
    </row>
    <row r="1999" spans="1:7" x14ac:dyDescent="0.2">
      <c r="A1999" s="43"/>
      <c r="B1999" s="42"/>
      <c r="C1999" s="43"/>
      <c r="D1999" s="43"/>
      <c r="E1999" s="43"/>
      <c r="F1999" s="43"/>
      <c r="G1999" s="43"/>
    </row>
    <row r="2000" spans="1:7" x14ac:dyDescent="0.2">
      <c r="A2000" s="43"/>
      <c r="B2000" s="42"/>
      <c r="C2000" s="43"/>
      <c r="D2000" s="43"/>
      <c r="E2000" s="43"/>
      <c r="F2000" s="43"/>
      <c r="G2000" s="43"/>
    </row>
    <row r="2001" spans="1:7" x14ac:dyDescent="0.2">
      <c r="A2001" s="43"/>
      <c r="B2001" s="42"/>
      <c r="C2001" s="43"/>
      <c r="D2001" s="43"/>
      <c r="E2001" s="43"/>
      <c r="F2001" s="43"/>
      <c r="G2001" s="43"/>
    </row>
    <row r="2002" spans="1:7" x14ac:dyDescent="0.2">
      <c r="A2002" s="43"/>
      <c r="B2002" s="42"/>
      <c r="C2002" s="43"/>
      <c r="D2002" s="43"/>
      <c r="E2002" s="43"/>
      <c r="F2002" s="43"/>
      <c r="G2002" s="43"/>
    </row>
    <row r="2003" spans="1:7" x14ac:dyDescent="0.2">
      <c r="A2003" s="43"/>
      <c r="B2003" s="42"/>
      <c r="C2003" s="43"/>
      <c r="D2003" s="43"/>
      <c r="E2003" s="43"/>
      <c r="F2003" s="43"/>
      <c r="G2003" s="43"/>
    </row>
    <row r="2004" spans="1:7" x14ac:dyDescent="0.2">
      <c r="A2004" s="43"/>
      <c r="B2004" s="42"/>
      <c r="C2004" s="43"/>
      <c r="D2004" s="43"/>
      <c r="E2004" s="43"/>
      <c r="F2004" s="43"/>
      <c r="G2004" s="43"/>
    </row>
    <row r="2005" spans="1:7" x14ac:dyDescent="0.2">
      <c r="A2005" s="43"/>
      <c r="B2005" s="42"/>
      <c r="C2005" s="43"/>
      <c r="D2005" s="43"/>
      <c r="E2005" s="43"/>
      <c r="F2005" s="43"/>
      <c r="G2005" s="43"/>
    </row>
    <row r="2006" spans="1:7" x14ac:dyDescent="0.2">
      <c r="A2006" s="43"/>
      <c r="B2006" s="42"/>
      <c r="C2006" s="43"/>
      <c r="D2006" s="43"/>
      <c r="E2006" s="43"/>
      <c r="F2006" s="43"/>
      <c r="G2006" s="43"/>
    </row>
    <row r="2007" spans="1:7" x14ac:dyDescent="0.2">
      <c r="A2007" s="43"/>
      <c r="B2007" s="42"/>
      <c r="C2007" s="43"/>
      <c r="D2007" s="43"/>
      <c r="E2007" s="43"/>
      <c r="F2007" s="43"/>
      <c r="G2007" s="43"/>
    </row>
    <row r="2008" spans="1:7" x14ac:dyDescent="0.2">
      <c r="A2008" s="43"/>
      <c r="B2008" s="42"/>
      <c r="C2008" s="43"/>
      <c r="D2008" s="43"/>
      <c r="E2008" s="43"/>
      <c r="F2008" s="43"/>
      <c r="G2008" s="43"/>
    </row>
    <row r="2009" spans="1:7" x14ac:dyDescent="0.2">
      <c r="A2009" s="43"/>
      <c r="B2009" s="42"/>
      <c r="C2009" s="43"/>
      <c r="D2009" s="43"/>
      <c r="E2009" s="43"/>
      <c r="F2009" s="43"/>
      <c r="G2009" s="43"/>
    </row>
    <row r="2010" spans="1:7" x14ac:dyDescent="0.2">
      <c r="A2010" s="43"/>
      <c r="B2010" s="42"/>
      <c r="C2010" s="43"/>
      <c r="D2010" s="43"/>
      <c r="E2010" s="43"/>
      <c r="F2010" s="43"/>
      <c r="G2010" s="43"/>
    </row>
    <row r="2011" spans="1:7" x14ac:dyDescent="0.2">
      <c r="A2011" s="43"/>
      <c r="B2011" s="42"/>
      <c r="C2011" s="43"/>
      <c r="D2011" s="43"/>
      <c r="E2011" s="43"/>
      <c r="F2011" s="43"/>
      <c r="G2011" s="43"/>
    </row>
    <row r="2012" spans="1:7" x14ac:dyDescent="0.2">
      <c r="A2012" s="43"/>
      <c r="B2012" s="42"/>
      <c r="C2012" s="43"/>
      <c r="D2012" s="43"/>
      <c r="E2012" s="43"/>
      <c r="F2012" s="43"/>
      <c r="G2012" s="43"/>
    </row>
    <row r="2013" spans="1:7" x14ac:dyDescent="0.2">
      <c r="A2013" s="43"/>
      <c r="B2013" s="42"/>
      <c r="C2013" s="43"/>
      <c r="D2013" s="43"/>
      <c r="E2013" s="43"/>
      <c r="F2013" s="43"/>
      <c r="G2013" s="43"/>
    </row>
    <row r="2014" spans="1:7" x14ac:dyDescent="0.2">
      <c r="A2014" s="43"/>
      <c r="B2014" s="42"/>
      <c r="C2014" s="43"/>
      <c r="D2014" s="43"/>
      <c r="E2014" s="43"/>
      <c r="F2014" s="43"/>
      <c r="G2014" s="43"/>
    </row>
    <row r="2015" spans="1:7" x14ac:dyDescent="0.2">
      <c r="A2015" s="43"/>
      <c r="B2015" s="42"/>
      <c r="C2015" s="43"/>
      <c r="D2015" s="43"/>
      <c r="E2015" s="43"/>
      <c r="F2015" s="43"/>
      <c r="G2015" s="43"/>
    </row>
    <row r="2016" spans="1:7" x14ac:dyDescent="0.2">
      <c r="A2016" s="43"/>
      <c r="B2016" s="42"/>
      <c r="C2016" s="43"/>
      <c r="D2016" s="43"/>
      <c r="E2016" s="43"/>
      <c r="F2016" s="43"/>
      <c r="G2016" s="43"/>
    </row>
    <row r="2017" spans="1:7" x14ac:dyDescent="0.2">
      <c r="A2017" s="43"/>
      <c r="B2017" s="42"/>
      <c r="C2017" s="43"/>
      <c r="D2017" s="43"/>
      <c r="E2017" s="43"/>
      <c r="F2017" s="43"/>
      <c r="G2017" s="43"/>
    </row>
    <row r="2018" spans="1:7" x14ac:dyDescent="0.2">
      <c r="A2018" s="43"/>
      <c r="B2018" s="42"/>
      <c r="C2018" s="43"/>
      <c r="D2018" s="43"/>
      <c r="E2018" s="43"/>
      <c r="F2018" s="43"/>
      <c r="G2018" s="43"/>
    </row>
    <row r="2019" spans="1:7" x14ac:dyDescent="0.2">
      <c r="A2019" s="43"/>
      <c r="B2019" s="42"/>
      <c r="C2019" s="43"/>
      <c r="D2019" s="43"/>
      <c r="E2019" s="43"/>
      <c r="F2019" s="43"/>
      <c r="G2019" s="43"/>
    </row>
    <row r="2020" spans="1:7" x14ac:dyDescent="0.2">
      <c r="A2020" s="43"/>
      <c r="B2020" s="42"/>
      <c r="C2020" s="43"/>
      <c r="D2020" s="43"/>
      <c r="E2020" s="43"/>
      <c r="F2020" s="43"/>
      <c r="G2020" s="43"/>
    </row>
    <row r="2021" spans="1:7" x14ac:dyDescent="0.2">
      <c r="A2021" s="43"/>
      <c r="B2021" s="42"/>
      <c r="C2021" s="43"/>
      <c r="D2021" s="43"/>
      <c r="E2021" s="43"/>
      <c r="F2021" s="43"/>
      <c r="G2021" s="43"/>
    </row>
    <row r="2022" spans="1:7" x14ac:dyDescent="0.2">
      <c r="A2022" s="43"/>
      <c r="B2022" s="42"/>
      <c r="C2022" s="43"/>
      <c r="D2022" s="43"/>
      <c r="E2022" s="43"/>
      <c r="F2022" s="43"/>
      <c r="G2022" s="43"/>
    </row>
    <row r="2023" spans="1:7" x14ac:dyDescent="0.2">
      <c r="A2023" s="43"/>
      <c r="B2023" s="42"/>
      <c r="C2023" s="43"/>
      <c r="D2023" s="43"/>
      <c r="E2023" s="43"/>
      <c r="F2023" s="43"/>
      <c r="G2023" s="43"/>
    </row>
    <row r="2024" spans="1:7" x14ac:dyDescent="0.2">
      <c r="B2024" s="42"/>
      <c r="C2024" s="43"/>
      <c r="D2024" s="43"/>
      <c r="E2024" s="43"/>
      <c r="F2024" s="43"/>
      <c r="G2024" s="43"/>
    </row>
    <row r="2025" spans="1:7" x14ac:dyDescent="0.2">
      <c r="B2025" s="42"/>
      <c r="C2025" s="43"/>
      <c r="D2025" s="43"/>
      <c r="E2025" s="43"/>
      <c r="F2025" s="43"/>
      <c r="G2025" s="43"/>
    </row>
    <row r="2026" spans="1:7" x14ac:dyDescent="0.2">
      <c r="B2026" s="42"/>
      <c r="C2026" s="43"/>
      <c r="D2026" s="43"/>
      <c r="E2026" s="43"/>
      <c r="F2026" s="43"/>
      <c r="G2026" s="43"/>
    </row>
    <row r="2027" spans="1:7" x14ac:dyDescent="0.2">
      <c r="B2027" s="42"/>
      <c r="C2027" s="43"/>
      <c r="D2027" s="43"/>
      <c r="E2027" s="43"/>
      <c r="F2027" s="43"/>
      <c r="G2027" s="43"/>
    </row>
    <row r="2028" spans="1:7" x14ac:dyDescent="0.2">
      <c r="B2028" s="42"/>
      <c r="C2028" s="43"/>
      <c r="D2028" s="43"/>
      <c r="E2028" s="43"/>
      <c r="F2028" s="43"/>
      <c r="G2028" s="43"/>
    </row>
    <row r="2029" spans="1:7" x14ac:dyDescent="0.2">
      <c r="B2029" s="42"/>
      <c r="C2029" s="43"/>
      <c r="D2029" s="43"/>
      <c r="E2029" s="43"/>
      <c r="F2029" s="43"/>
      <c r="G2029" s="43"/>
    </row>
    <row r="2030" spans="1:7" x14ac:dyDescent="0.2">
      <c r="B2030" s="42"/>
      <c r="C2030" s="43"/>
      <c r="D2030" s="43"/>
      <c r="E2030" s="43"/>
      <c r="F2030" s="43"/>
      <c r="G2030" s="43"/>
    </row>
    <row r="2031" spans="1:7" x14ac:dyDescent="0.2">
      <c r="B2031" s="42"/>
      <c r="C2031" s="43"/>
      <c r="D2031" s="43"/>
      <c r="E2031" s="43"/>
      <c r="F2031" s="43"/>
      <c r="G2031" s="43"/>
    </row>
    <row r="2032" spans="1:7" x14ac:dyDescent="0.2">
      <c r="B2032" s="42"/>
      <c r="C2032" s="43"/>
      <c r="D2032" s="43"/>
      <c r="E2032" s="43"/>
      <c r="F2032" s="43"/>
      <c r="G2032" s="43"/>
    </row>
    <row r="2033" spans="2:7" x14ac:dyDescent="0.2">
      <c r="B2033" s="42"/>
      <c r="C2033" s="43"/>
      <c r="D2033" s="43"/>
      <c r="E2033" s="43"/>
      <c r="F2033" s="43"/>
      <c r="G2033" s="43"/>
    </row>
    <row r="2034" spans="2:7" x14ac:dyDescent="0.2">
      <c r="B2034" s="42"/>
      <c r="C2034" s="43"/>
      <c r="D2034" s="43"/>
      <c r="E2034" s="43"/>
      <c r="F2034" s="43"/>
      <c r="G2034" s="43"/>
    </row>
    <row r="2035" spans="2:7" x14ac:dyDescent="0.2">
      <c r="B2035" s="42"/>
      <c r="C2035" s="43"/>
      <c r="D2035" s="43"/>
      <c r="E2035" s="43"/>
      <c r="F2035" s="43"/>
      <c r="G2035" s="43"/>
    </row>
    <row r="2036" spans="2:7" x14ac:dyDescent="0.2">
      <c r="B2036" s="42"/>
      <c r="C2036" s="43"/>
      <c r="D2036" s="43"/>
      <c r="E2036" s="43"/>
      <c r="F2036" s="43"/>
      <c r="G2036" s="43"/>
    </row>
    <row r="2037" spans="2:7" x14ac:dyDescent="0.2">
      <c r="B2037" s="42"/>
      <c r="C2037" s="43"/>
      <c r="D2037" s="43"/>
      <c r="E2037" s="43"/>
      <c r="F2037" s="43"/>
      <c r="G2037" s="43"/>
    </row>
    <row r="2038" spans="2:7" x14ac:dyDescent="0.2">
      <c r="B2038" s="42"/>
      <c r="C2038" s="43"/>
      <c r="D2038" s="43"/>
      <c r="E2038" s="43"/>
      <c r="F2038" s="43"/>
      <c r="G2038" s="43"/>
    </row>
    <row r="2039" spans="2:7" x14ac:dyDescent="0.2">
      <c r="B2039" s="42"/>
      <c r="C2039" s="43"/>
      <c r="D2039" s="43"/>
      <c r="E2039" s="43"/>
      <c r="F2039" s="43"/>
      <c r="G2039" s="43"/>
    </row>
    <row r="2040" spans="2:7" x14ac:dyDescent="0.2">
      <c r="B2040" s="42"/>
      <c r="C2040" s="43"/>
      <c r="D2040" s="43"/>
      <c r="E2040" s="43"/>
      <c r="F2040" s="43"/>
      <c r="G2040" s="43"/>
    </row>
    <row r="2041" spans="2:7" x14ac:dyDescent="0.2">
      <c r="B2041" s="42"/>
      <c r="C2041" s="43"/>
      <c r="D2041" s="43"/>
      <c r="E2041" s="43"/>
      <c r="F2041" s="43"/>
      <c r="G2041" s="43"/>
    </row>
    <row r="2042" spans="2:7" x14ac:dyDescent="0.2">
      <c r="B2042" s="42"/>
      <c r="C2042" s="43"/>
      <c r="D2042" s="43"/>
      <c r="E2042" s="43"/>
      <c r="F2042" s="43"/>
      <c r="G2042" s="43"/>
    </row>
    <row r="2043" spans="2:7" x14ac:dyDescent="0.2">
      <c r="B2043" s="42"/>
      <c r="C2043" s="43"/>
      <c r="D2043" s="43"/>
      <c r="E2043" s="43"/>
      <c r="F2043" s="43"/>
      <c r="G2043" s="43"/>
    </row>
    <row r="2044" spans="2:7" x14ac:dyDescent="0.2">
      <c r="B2044" s="42"/>
      <c r="C2044" s="43"/>
      <c r="D2044" s="43"/>
      <c r="E2044" s="43"/>
      <c r="F2044" s="43"/>
      <c r="G2044" s="43"/>
    </row>
    <row r="2045" spans="2:7" x14ac:dyDescent="0.2">
      <c r="B2045" s="42"/>
      <c r="C2045" s="43"/>
      <c r="D2045" s="43"/>
      <c r="E2045" s="43"/>
      <c r="F2045" s="43"/>
      <c r="G2045" s="43"/>
    </row>
    <row r="2046" spans="2:7" x14ac:dyDescent="0.2">
      <c r="B2046" s="42"/>
      <c r="C2046" s="43"/>
      <c r="D2046" s="43"/>
      <c r="E2046" s="43"/>
      <c r="F2046" s="43"/>
      <c r="G2046" s="43"/>
    </row>
    <row r="2047" spans="2:7" x14ac:dyDescent="0.2">
      <c r="B2047" s="42"/>
      <c r="C2047" s="43"/>
      <c r="D2047" s="43"/>
      <c r="E2047" s="43"/>
      <c r="F2047" s="43"/>
      <c r="G2047" s="43"/>
    </row>
    <row r="2048" spans="2:7" x14ac:dyDescent="0.2">
      <c r="B2048" s="42"/>
      <c r="C2048" s="43"/>
      <c r="D2048" s="43"/>
      <c r="E2048" s="43"/>
      <c r="F2048" s="43"/>
      <c r="G2048" s="43"/>
    </row>
    <row r="2049" spans="2:7" x14ac:dyDescent="0.2">
      <c r="B2049" s="42"/>
      <c r="C2049" s="43"/>
      <c r="D2049" s="43"/>
      <c r="E2049" s="43"/>
      <c r="F2049" s="43"/>
      <c r="G2049" s="43"/>
    </row>
    <row r="2050" spans="2:7" x14ac:dyDescent="0.2">
      <c r="B2050" s="42"/>
      <c r="C2050" s="43"/>
      <c r="D2050" s="43"/>
      <c r="E2050" s="43"/>
      <c r="F2050" s="43"/>
      <c r="G2050" s="43"/>
    </row>
    <row r="2051" spans="2:7" x14ac:dyDescent="0.2">
      <c r="B2051" s="42"/>
      <c r="C2051" s="43"/>
      <c r="D2051" s="43"/>
      <c r="E2051" s="43"/>
      <c r="F2051" s="43"/>
      <c r="G2051" s="43"/>
    </row>
    <row r="2052" spans="2:7" x14ac:dyDescent="0.2">
      <c r="B2052" s="42"/>
      <c r="C2052" s="43"/>
      <c r="D2052" s="43"/>
      <c r="E2052" s="43"/>
      <c r="F2052" s="43"/>
      <c r="G2052" s="43"/>
    </row>
    <row r="2053" spans="2:7" x14ac:dyDescent="0.2">
      <c r="B2053" s="42"/>
      <c r="C2053" s="43"/>
      <c r="D2053" s="43"/>
      <c r="E2053" s="43"/>
      <c r="F2053" s="43"/>
      <c r="G2053" s="43"/>
    </row>
    <row r="2054" spans="2:7" x14ac:dyDescent="0.2">
      <c r="B2054" s="42"/>
      <c r="C2054" s="43"/>
      <c r="D2054" s="43"/>
      <c r="E2054" s="43"/>
      <c r="F2054" s="43"/>
      <c r="G2054" s="43"/>
    </row>
    <row r="2055" spans="2:7" x14ac:dyDescent="0.2">
      <c r="B2055" s="42"/>
      <c r="C2055" s="43"/>
      <c r="D2055" s="43"/>
      <c r="E2055" s="43"/>
      <c r="F2055" s="43"/>
      <c r="G2055" s="43"/>
    </row>
    <row r="2056" spans="2:7" x14ac:dyDescent="0.2">
      <c r="B2056" s="42"/>
      <c r="C2056" s="43"/>
      <c r="D2056" s="43"/>
      <c r="E2056" s="43"/>
      <c r="F2056" s="43"/>
      <c r="G2056" s="43"/>
    </row>
    <row r="2057" spans="2:7" x14ac:dyDescent="0.2">
      <c r="B2057" s="42"/>
      <c r="C2057" s="43"/>
      <c r="D2057" s="43"/>
      <c r="E2057" s="43"/>
      <c r="F2057" s="43"/>
      <c r="G2057" s="43"/>
    </row>
    <row r="2058" spans="2:7" x14ac:dyDescent="0.2">
      <c r="B2058" s="42"/>
      <c r="C2058" s="43"/>
      <c r="D2058" s="43"/>
      <c r="E2058" s="43"/>
      <c r="F2058" s="43"/>
      <c r="G2058" s="43"/>
    </row>
    <row r="2059" spans="2:7" x14ac:dyDescent="0.2">
      <c r="B2059" s="42"/>
      <c r="C2059" s="43"/>
      <c r="D2059" s="43"/>
      <c r="E2059" s="43"/>
      <c r="F2059" s="43"/>
      <c r="G2059" s="43"/>
    </row>
    <row r="2060" spans="2:7" x14ac:dyDescent="0.2">
      <c r="B2060" s="42"/>
      <c r="C2060" s="43"/>
      <c r="D2060" s="43"/>
      <c r="E2060" s="43"/>
      <c r="F2060" s="43"/>
      <c r="G2060" s="43"/>
    </row>
    <row r="2061" spans="2:7" x14ac:dyDescent="0.2">
      <c r="B2061" s="42"/>
      <c r="C2061" s="43"/>
      <c r="D2061" s="43"/>
      <c r="E2061" s="43"/>
      <c r="F2061" s="43"/>
      <c r="G2061" s="43"/>
    </row>
    <row r="2062" spans="2:7" x14ac:dyDescent="0.2">
      <c r="B2062" s="42"/>
      <c r="C2062" s="43"/>
      <c r="D2062" s="43"/>
      <c r="E2062" s="43"/>
      <c r="F2062" s="43"/>
      <c r="G2062" s="43"/>
    </row>
    <row r="2063" spans="2:7" x14ac:dyDescent="0.2">
      <c r="B2063" s="42"/>
      <c r="C2063" s="43"/>
      <c r="D2063" s="43"/>
      <c r="E2063" s="43"/>
      <c r="F2063" s="43"/>
      <c r="G2063" s="43"/>
    </row>
    <row r="2064" spans="2:7" x14ac:dyDescent="0.2">
      <c r="B2064" s="42"/>
      <c r="C2064" s="43"/>
      <c r="D2064" s="43"/>
      <c r="E2064" s="43"/>
      <c r="F2064" s="43"/>
      <c r="G2064" s="43"/>
    </row>
    <row r="2065" spans="2:7" x14ac:dyDescent="0.2">
      <c r="B2065" s="42"/>
      <c r="C2065" s="43"/>
      <c r="D2065" s="43"/>
      <c r="E2065" s="43"/>
      <c r="F2065" s="43"/>
      <c r="G2065" s="43"/>
    </row>
    <row r="2066" spans="2:7" x14ac:dyDescent="0.2">
      <c r="B2066" s="42"/>
      <c r="C2066" s="43"/>
      <c r="D2066" s="43"/>
      <c r="E2066" s="43"/>
      <c r="F2066" s="43"/>
      <c r="G2066" s="43"/>
    </row>
    <row r="2067" spans="2:7" x14ac:dyDescent="0.2">
      <c r="B2067" s="42"/>
      <c r="C2067" s="43"/>
      <c r="D2067" s="43"/>
      <c r="E2067" s="43"/>
      <c r="F2067" s="43"/>
      <c r="G2067" s="43"/>
    </row>
    <row r="2068" spans="2:7" x14ac:dyDescent="0.2">
      <c r="B2068" s="42"/>
      <c r="C2068" s="43"/>
      <c r="D2068" s="43"/>
      <c r="E2068" s="43"/>
      <c r="F2068" s="43"/>
      <c r="G2068" s="43"/>
    </row>
    <row r="2069" spans="2:7" x14ac:dyDescent="0.2">
      <c r="B2069" s="42"/>
      <c r="C2069" s="43"/>
      <c r="D2069" s="43"/>
      <c r="E2069" s="43"/>
      <c r="F2069" s="43"/>
      <c r="G2069" s="43"/>
    </row>
    <row r="2070" spans="2:7" x14ac:dyDescent="0.2">
      <c r="B2070" s="42"/>
      <c r="C2070" s="43"/>
      <c r="D2070" s="43"/>
      <c r="E2070" s="43"/>
      <c r="F2070" s="43"/>
      <c r="G2070" s="43"/>
    </row>
    <row r="2071" spans="2:7" x14ac:dyDescent="0.2">
      <c r="B2071" s="42"/>
      <c r="C2071" s="43"/>
      <c r="D2071" s="43"/>
      <c r="E2071" s="43"/>
      <c r="F2071" s="43"/>
      <c r="G2071" s="43"/>
    </row>
    <row r="2072" spans="2:7" x14ac:dyDescent="0.2">
      <c r="B2072" s="42"/>
      <c r="C2072" s="43"/>
      <c r="D2072" s="43"/>
      <c r="E2072" s="43"/>
      <c r="F2072" s="43"/>
      <c r="G2072" s="43"/>
    </row>
    <row r="2073" spans="2:7" x14ac:dyDescent="0.2">
      <c r="B2073" s="42"/>
      <c r="C2073" s="43"/>
      <c r="D2073" s="43"/>
      <c r="E2073" s="43"/>
      <c r="F2073" s="43"/>
      <c r="G2073" s="43"/>
    </row>
    <row r="2074" spans="2:7" x14ac:dyDescent="0.2">
      <c r="B2074" s="42"/>
      <c r="C2074" s="43"/>
      <c r="D2074" s="43"/>
      <c r="E2074" s="43"/>
      <c r="F2074" s="43"/>
      <c r="G2074" s="43"/>
    </row>
    <row r="2075" spans="2:7" x14ac:dyDescent="0.2">
      <c r="B2075" s="42"/>
      <c r="C2075" s="43"/>
      <c r="D2075" s="43"/>
      <c r="E2075" s="43"/>
      <c r="F2075" s="43"/>
      <c r="G2075" s="43"/>
    </row>
    <row r="2076" spans="2:7" x14ac:dyDescent="0.2">
      <c r="B2076" s="42"/>
      <c r="C2076" s="43"/>
      <c r="D2076" s="43"/>
      <c r="E2076" s="43"/>
      <c r="F2076" s="43"/>
      <c r="G2076" s="43"/>
    </row>
    <row r="2077" spans="2:7" x14ac:dyDescent="0.2">
      <c r="B2077" s="42"/>
      <c r="C2077" s="43"/>
      <c r="D2077" s="43"/>
      <c r="E2077" s="43"/>
      <c r="F2077" s="43"/>
      <c r="G2077" s="43"/>
    </row>
    <row r="2078" spans="2:7" x14ac:dyDescent="0.2">
      <c r="B2078" s="42"/>
      <c r="C2078" s="43"/>
      <c r="D2078" s="43"/>
      <c r="E2078" s="43"/>
      <c r="F2078" s="43"/>
      <c r="G2078" s="43"/>
    </row>
    <row r="2079" spans="2:7" x14ac:dyDescent="0.2">
      <c r="B2079" s="42"/>
      <c r="C2079" s="43"/>
      <c r="D2079" s="43"/>
      <c r="E2079" s="43"/>
      <c r="F2079" s="43"/>
      <c r="G2079" s="43"/>
    </row>
    <row r="2080" spans="2:7" x14ac:dyDescent="0.2">
      <c r="B2080" s="42"/>
      <c r="C2080" s="43"/>
      <c r="D2080" s="43"/>
      <c r="E2080" s="43"/>
      <c r="F2080" s="43"/>
      <c r="G2080" s="43"/>
    </row>
    <row r="2081" spans="2:7" x14ac:dyDescent="0.2">
      <c r="B2081" s="42"/>
      <c r="C2081" s="43"/>
      <c r="D2081" s="43"/>
      <c r="E2081" s="43"/>
      <c r="F2081" s="43"/>
      <c r="G2081" s="43"/>
    </row>
    <row r="2082" spans="2:7" x14ac:dyDescent="0.2">
      <c r="B2082" s="42"/>
      <c r="C2082" s="43"/>
      <c r="D2082" s="43"/>
      <c r="E2082" s="43"/>
      <c r="F2082" s="43"/>
      <c r="G2082" s="43"/>
    </row>
    <row r="2083" spans="2:7" x14ac:dyDescent="0.2">
      <c r="B2083" s="42"/>
      <c r="C2083" s="43"/>
      <c r="D2083" s="43"/>
      <c r="E2083" s="43"/>
      <c r="F2083" s="43"/>
      <c r="G2083" s="43"/>
    </row>
    <row r="2084" spans="2:7" x14ac:dyDescent="0.2">
      <c r="B2084" s="42"/>
      <c r="C2084" s="43"/>
      <c r="D2084" s="43"/>
      <c r="E2084" s="43"/>
      <c r="F2084" s="43"/>
      <c r="G2084" s="43"/>
    </row>
    <row r="2085" spans="2:7" x14ac:dyDescent="0.2">
      <c r="B2085" s="42"/>
      <c r="C2085" s="43"/>
      <c r="D2085" s="43"/>
      <c r="E2085" s="43"/>
      <c r="F2085" s="43"/>
      <c r="G2085" s="43"/>
    </row>
    <row r="2086" spans="2:7" x14ac:dyDescent="0.2">
      <c r="B2086" s="42"/>
      <c r="C2086" s="43"/>
      <c r="D2086" s="43"/>
      <c r="E2086" s="43"/>
      <c r="F2086" s="43"/>
      <c r="G2086" s="43"/>
    </row>
    <row r="2087" spans="2:7" x14ac:dyDescent="0.2">
      <c r="B2087" s="42"/>
      <c r="C2087" s="43"/>
      <c r="D2087" s="43"/>
      <c r="E2087" s="43"/>
      <c r="F2087" s="43"/>
      <c r="G2087" s="43"/>
    </row>
    <row r="2088" spans="2:7" x14ac:dyDescent="0.2">
      <c r="B2088" s="42"/>
      <c r="C2088" s="43"/>
      <c r="D2088" s="43"/>
      <c r="E2088" s="43"/>
      <c r="F2088" s="43"/>
      <c r="G2088" s="43"/>
    </row>
    <row r="2089" spans="2:7" x14ac:dyDescent="0.2">
      <c r="B2089" s="42"/>
      <c r="C2089" s="43"/>
      <c r="D2089" s="43"/>
      <c r="E2089" s="43"/>
      <c r="F2089" s="43"/>
      <c r="G2089" s="43"/>
    </row>
    <row r="2090" spans="2:7" x14ac:dyDescent="0.2">
      <c r="B2090" s="42"/>
      <c r="C2090" s="43"/>
      <c r="D2090" s="43"/>
      <c r="E2090" s="43"/>
      <c r="F2090" s="43"/>
      <c r="G2090" s="43"/>
    </row>
    <row r="2091" spans="2:7" x14ac:dyDescent="0.2">
      <c r="B2091" s="42"/>
      <c r="C2091" s="43"/>
      <c r="D2091" s="43"/>
      <c r="E2091" s="43"/>
      <c r="F2091" s="43"/>
      <c r="G2091" s="43"/>
    </row>
    <row r="2092" spans="2:7" x14ac:dyDescent="0.2">
      <c r="B2092" s="42"/>
      <c r="C2092" s="43"/>
      <c r="D2092" s="43"/>
      <c r="E2092" s="43"/>
      <c r="F2092" s="43"/>
      <c r="G2092" s="43"/>
    </row>
    <row r="2093" spans="2:7" x14ac:dyDescent="0.2">
      <c r="B2093" s="42"/>
      <c r="C2093" s="43"/>
      <c r="D2093" s="43"/>
      <c r="E2093" s="43"/>
      <c r="F2093" s="43"/>
      <c r="G2093" s="43"/>
    </row>
    <row r="2094" spans="2:7" x14ac:dyDescent="0.2">
      <c r="B2094" s="42"/>
      <c r="C2094" s="43"/>
      <c r="D2094" s="43"/>
      <c r="E2094" s="43"/>
      <c r="F2094" s="43"/>
      <c r="G2094" s="43"/>
    </row>
    <row r="2095" spans="2:7" x14ac:dyDescent="0.2">
      <c r="B2095" s="42"/>
      <c r="C2095" s="43"/>
      <c r="D2095" s="43"/>
      <c r="E2095" s="43"/>
      <c r="F2095" s="43"/>
      <c r="G2095" s="43"/>
    </row>
    <row r="2096" spans="2:7" x14ac:dyDescent="0.2">
      <c r="B2096" s="42"/>
      <c r="C2096" s="43"/>
      <c r="D2096" s="43"/>
      <c r="E2096" s="43"/>
      <c r="F2096" s="43"/>
      <c r="G2096" s="43"/>
    </row>
    <row r="2097" spans="2:7" x14ac:dyDescent="0.2">
      <c r="B2097" s="42"/>
      <c r="C2097" s="43"/>
      <c r="D2097" s="43"/>
      <c r="E2097" s="43"/>
      <c r="F2097" s="43"/>
      <c r="G2097" s="43"/>
    </row>
    <row r="2098" spans="2:7" x14ac:dyDescent="0.2">
      <c r="B2098" s="42"/>
      <c r="C2098" s="43"/>
      <c r="D2098" s="43"/>
      <c r="E2098" s="43"/>
      <c r="F2098" s="43"/>
      <c r="G2098" s="43"/>
    </row>
    <row r="2099" spans="2:7" x14ac:dyDescent="0.2">
      <c r="B2099" s="42"/>
      <c r="C2099" s="43"/>
      <c r="D2099" s="43"/>
      <c r="E2099" s="43"/>
      <c r="F2099" s="43"/>
      <c r="G2099" s="43"/>
    </row>
    <row r="2100" spans="2:7" x14ac:dyDescent="0.2">
      <c r="B2100" s="42"/>
      <c r="C2100" s="43"/>
      <c r="D2100" s="43"/>
      <c r="E2100" s="43"/>
      <c r="F2100" s="43"/>
      <c r="G2100" s="43"/>
    </row>
    <row r="2101" spans="2:7" x14ac:dyDescent="0.2">
      <c r="B2101" s="42"/>
      <c r="C2101" s="43"/>
      <c r="D2101" s="43"/>
      <c r="E2101" s="43"/>
      <c r="F2101" s="43"/>
      <c r="G2101" s="43"/>
    </row>
    <row r="2102" spans="2:7" x14ac:dyDescent="0.2">
      <c r="B2102" s="42"/>
      <c r="C2102" s="43"/>
      <c r="D2102" s="43"/>
      <c r="E2102" s="43"/>
      <c r="F2102" s="43"/>
      <c r="G2102" s="43"/>
    </row>
    <row r="2103" spans="2:7" x14ac:dyDescent="0.2">
      <c r="B2103" s="42"/>
      <c r="C2103" s="43"/>
      <c r="D2103" s="43"/>
      <c r="E2103" s="43"/>
      <c r="F2103" s="43"/>
      <c r="G2103" s="43"/>
    </row>
    <row r="2104" spans="2:7" x14ac:dyDescent="0.2">
      <c r="B2104" s="42"/>
      <c r="C2104" s="43"/>
      <c r="D2104" s="43"/>
      <c r="E2104" s="43"/>
      <c r="F2104" s="43"/>
      <c r="G2104" s="43"/>
    </row>
    <row r="2105" spans="2:7" x14ac:dyDescent="0.2">
      <c r="B2105" s="42"/>
      <c r="C2105" s="43"/>
      <c r="D2105" s="43"/>
      <c r="E2105" s="43"/>
      <c r="F2105" s="43"/>
      <c r="G2105" s="43"/>
    </row>
    <row r="2106" spans="2:7" x14ac:dyDescent="0.2">
      <c r="B2106" s="42"/>
      <c r="C2106" s="43"/>
      <c r="D2106" s="43"/>
      <c r="E2106" s="43"/>
      <c r="F2106" s="43"/>
      <c r="G2106" s="43"/>
    </row>
    <row r="2107" spans="2:7" x14ac:dyDescent="0.2">
      <c r="B2107" s="42"/>
      <c r="C2107" s="43"/>
      <c r="D2107" s="43"/>
      <c r="E2107" s="43"/>
      <c r="F2107" s="43"/>
      <c r="G2107" s="43"/>
    </row>
    <row r="2108" spans="2:7" x14ac:dyDescent="0.2">
      <c r="B2108" s="42"/>
      <c r="C2108" s="43"/>
      <c r="D2108" s="43"/>
      <c r="E2108" s="43"/>
      <c r="F2108" s="43"/>
      <c r="G2108" s="43"/>
    </row>
    <row r="2109" spans="2:7" x14ac:dyDescent="0.2">
      <c r="B2109" s="42"/>
      <c r="C2109" s="43"/>
      <c r="D2109" s="43"/>
      <c r="E2109" s="43"/>
      <c r="F2109" s="43"/>
      <c r="G2109" s="43"/>
    </row>
    <row r="2110" spans="2:7" x14ac:dyDescent="0.2">
      <c r="B2110" s="42"/>
      <c r="C2110" s="43"/>
      <c r="D2110" s="43"/>
      <c r="E2110" s="43"/>
      <c r="F2110" s="43"/>
      <c r="G2110" s="43"/>
    </row>
    <row r="2111" spans="2:7" x14ac:dyDescent="0.2">
      <c r="B2111" s="42"/>
      <c r="C2111" s="43"/>
      <c r="D2111" s="43"/>
      <c r="E2111" s="43"/>
      <c r="F2111" s="43"/>
      <c r="G2111" s="43"/>
    </row>
    <row r="2112" spans="2:7" x14ac:dyDescent="0.2">
      <c r="B2112" s="42"/>
      <c r="C2112" s="43"/>
      <c r="D2112" s="43"/>
      <c r="E2112" s="43"/>
      <c r="F2112" s="43"/>
      <c r="G2112" s="43"/>
    </row>
    <row r="2113" spans="2:7" x14ac:dyDescent="0.2">
      <c r="B2113" s="42"/>
      <c r="C2113" s="43"/>
      <c r="D2113" s="43"/>
      <c r="E2113" s="43"/>
      <c r="F2113" s="43"/>
      <c r="G2113" s="43"/>
    </row>
    <row r="2114" spans="2:7" x14ac:dyDescent="0.2">
      <c r="B2114" s="42"/>
      <c r="C2114" s="43"/>
      <c r="D2114" s="43"/>
      <c r="E2114" s="43"/>
      <c r="F2114" s="43"/>
      <c r="G2114" s="43"/>
    </row>
    <row r="2115" spans="2:7" x14ac:dyDescent="0.2">
      <c r="B2115" s="42"/>
      <c r="C2115" s="43"/>
      <c r="D2115" s="43"/>
      <c r="E2115" s="43"/>
      <c r="F2115" s="43"/>
      <c r="G2115" s="43"/>
    </row>
    <row r="2116" spans="2:7" x14ac:dyDescent="0.2">
      <c r="B2116" s="42"/>
      <c r="C2116" s="43"/>
      <c r="D2116" s="43"/>
      <c r="E2116" s="43"/>
      <c r="F2116" s="43"/>
      <c r="G2116" s="43"/>
    </row>
    <row r="2117" spans="2:7" x14ac:dyDescent="0.2">
      <c r="B2117" s="42"/>
      <c r="C2117" s="43"/>
      <c r="D2117" s="43"/>
      <c r="E2117" s="43"/>
      <c r="F2117" s="43"/>
      <c r="G2117" s="43"/>
    </row>
    <row r="2118" spans="2:7" x14ac:dyDescent="0.2">
      <c r="B2118" s="42"/>
      <c r="C2118" s="43"/>
      <c r="D2118" s="43"/>
      <c r="E2118" s="43"/>
      <c r="F2118" s="43"/>
      <c r="G2118" s="43"/>
    </row>
    <row r="2119" spans="2:7" x14ac:dyDescent="0.2">
      <c r="B2119" s="42"/>
      <c r="C2119" s="43"/>
      <c r="D2119" s="43"/>
      <c r="E2119" s="43"/>
      <c r="F2119" s="43"/>
      <c r="G2119" s="43"/>
    </row>
    <row r="2120" spans="2:7" x14ac:dyDescent="0.2">
      <c r="B2120" s="42"/>
      <c r="C2120" s="43"/>
      <c r="D2120" s="43"/>
      <c r="E2120" s="43"/>
      <c r="F2120" s="43"/>
      <c r="G2120" s="43"/>
    </row>
    <row r="2121" spans="2:7" x14ac:dyDescent="0.2">
      <c r="B2121" s="42"/>
      <c r="C2121" s="43"/>
      <c r="D2121" s="43"/>
      <c r="E2121" s="43"/>
      <c r="F2121" s="43"/>
      <c r="G2121" s="43"/>
    </row>
    <row r="2122" spans="2:7" x14ac:dyDescent="0.2">
      <c r="B2122" s="42"/>
      <c r="C2122" s="43"/>
      <c r="D2122" s="43"/>
      <c r="E2122" s="43"/>
      <c r="F2122" s="43"/>
      <c r="G2122" s="43"/>
    </row>
    <row r="2123" spans="2:7" x14ac:dyDescent="0.2">
      <c r="B2123" s="42"/>
      <c r="C2123" s="43"/>
      <c r="D2123" s="43"/>
      <c r="E2123" s="43"/>
      <c r="F2123" s="43"/>
      <c r="G2123" s="43"/>
    </row>
    <row r="2124" spans="2:7" x14ac:dyDescent="0.2">
      <c r="B2124" s="42"/>
      <c r="C2124" s="43"/>
      <c r="D2124" s="43"/>
      <c r="E2124" s="43"/>
      <c r="F2124" s="43"/>
      <c r="G2124" s="43"/>
    </row>
    <row r="2125" spans="2:7" x14ac:dyDescent="0.2">
      <c r="B2125" s="42"/>
      <c r="C2125" s="43"/>
      <c r="D2125" s="43"/>
      <c r="E2125" s="43"/>
      <c r="F2125" s="43"/>
      <c r="G2125" s="43"/>
    </row>
    <row r="2126" spans="2:7" x14ac:dyDescent="0.2">
      <c r="B2126" s="42"/>
      <c r="C2126" s="43"/>
      <c r="D2126" s="43"/>
      <c r="E2126" s="43"/>
      <c r="F2126" s="43"/>
      <c r="G2126" s="43"/>
    </row>
    <row r="2127" spans="2:7" x14ac:dyDescent="0.2">
      <c r="B2127" s="42"/>
      <c r="C2127" s="43"/>
      <c r="D2127" s="43"/>
      <c r="E2127" s="43"/>
      <c r="F2127" s="43"/>
      <c r="G2127" s="43"/>
    </row>
    <row r="2128" spans="2:7" x14ac:dyDescent="0.2">
      <c r="B2128" s="42"/>
      <c r="C2128" s="43"/>
      <c r="D2128" s="43"/>
      <c r="E2128" s="43"/>
      <c r="F2128" s="43"/>
      <c r="G2128" s="43"/>
    </row>
    <row r="2129" spans="2:7" x14ac:dyDescent="0.2">
      <c r="B2129" s="42"/>
      <c r="C2129" s="43"/>
      <c r="D2129" s="43"/>
      <c r="E2129" s="43"/>
      <c r="F2129" s="43"/>
      <c r="G2129" s="43"/>
    </row>
    <row r="2130" spans="2:7" x14ac:dyDescent="0.2">
      <c r="B2130" s="42"/>
      <c r="C2130" s="43"/>
      <c r="D2130" s="43"/>
      <c r="E2130" s="43"/>
      <c r="F2130" s="43"/>
      <c r="G2130" s="43"/>
    </row>
    <row r="2131" spans="2:7" x14ac:dyDescent="0.2">
      <c r="B2131" s="42"/>
      <c r="C2131" s="43"/>
      <c r="D2131" s="43"/>
      <c r="E2131" s="43"/>
      <c r="F2131" s="43"/>
      <c r="G2131" s="43"/>
    </row>
    <row r="2132" spans="2:7" x14ac:dyDescent="0.2">
      <c r="B2132" s="42"/>
      <c r="C2132" s="43"/>
      <c r="D2132" s="43"/>
      <c r="E2132" s="43"/>
      <c r="F2132" s="43"/>
      <c r="G2132" s="43"/>
    </row>
    <row r="2133" spans="2:7" x14ac:dyDescent="0.2">
      <c r="B2133" s="42"/>
      <c r="C2133" s="43"/>
      <c r="D2133" s="43"/>
      <c r="E2133" s="43"/>
      <c r="F2133" s="43"/>
      <c r="G2133" s="43"/>
    </row>
    <row r="2134" spans="2:7" x14ac:dyDescent="0.2">
      <c r="B2134" s="42"/>
      <c r="C2134" s="43"/>
      <c r="D2134" s="43"/>
      <c r="E2134" s="43"/>
      <c r="F2134" s="43"/>
      <c r="G2134" s="43"/>
    </row>
    <row r="2135" spans="2:7" x14ac:dyDescent="0.2">
      <c r="B2135" s="42"/>
      <c r="C2135" s="43"/>
      <c r="D2135" s="43"/>
      <c r="E2135" s="43"/>
      <c r="F2135" s="43"/>
      <c r="G2135" s="43"/>
    </row>
    <row r="2136" spans="2:7" x14ac:dyDescent="0.2">
      <c r="B2136" s="42"/>
      <c r="C2136" s="43"/>
      <c r="D2136" s="43"/>
      <c r="E2136" s="43"/>
      <c r="F2136" s="43"/>
      <c r="G2136" s="43"/>
    </row>
    <row r="2137" spans="2:7" x14ac:dyDescent="0.2">
      <c r="B2137" s="42"/>
      <c r="C2137" s="43"/>
      <c r="D2137" s="43"/>
      <c r="E2137" s="43"/>
      <c r="F2137" s="43"/>
      <c r="G2137" s="43"/>
    </row>
    <row r="2138" spans="2:7" x14ac:dyDescent="0.2">
      <c r="B2138" s="42"/>
      <c r="C2138" s="43"/>
      <c r="D2138" s="43"/>
      <c r="E2138" s="43"/>
      <c r="F2138" s="43"/>
      <c r="G2138" s="43"/>
    </row>
    <row r="2139" spans="2:7" x14ac:dyDescent="0.2">
      <c r="B2139" s="42"/>
      <c r="C2139" s="43"/>
      <c r="D2139" s="43"/>
      <c r="E2139" s="43"/>
      <c r="F2139" s="43"/>
      <c r="G2139" s="43"/>
    </row>
    <row r="2140" spans="2:7" x14ac:dyDescent="0.2">
      <c r="B2140" s="42"/>
      <c r="C2140" s="43"/>
      <c r="D2140" s="43"/>
      <c r="E2140" s="43"/>
      <c r="F2140" s="43"/>
      <c r="G2140" s="43"/>
    </row>
    <row r="2141" spans="2:7" x14ac:dyDescent="0.2">
      <c r="B2141" s="42"/>
      <c r="C2141" s="43"/>
      <c r="D2141" s="43"/>
      <c r="E2141" s="43"/>
      <c r="F2141" s="43"/>
      <c r="G2141" s="43"/>
    </row>
    <row r="2142" spans="2:7" x14ac:dyDescent="0.2">
      <c r="B2142" s="42"/>
      <c r="C2142" s="43"/>
      <c r="D2142" s="43"/>
      <c r="E2142" s="43"/>
      <c r="F2142" s="43"/>
      <c r="G2142" s="43"/>
    </row>
    <row r="2143" spans="2:7" x14ac:dyDescent="0.2">
      <c r="B2143" s="42"/>
      <c r="C2143" s="43"/>
      <c r="D2143" s="43"/>
      <c r="E2143" s="43"/>
      <c r="F2143" s="43"/>
      <c r="G2143" s="43"/>
    </row>
    <row r="2144" spans="2:7" x14ac:dyDescent="0.2">
      <c r="B2144" s="42"/>
      <c r="C2144" s="43"/>
      <c r="D2144" s="43"/>
      <c r="E2144" s="43"/>
      <c r="F2144" s="43"/>
      <c r="G2144" s="43"/>
    </row>
    <row r="2145" spans="2:7" x14ac:dyDescent="0.2">
      <c r="B2145" s="42"/>
      <c r="C2145" s="43"/>
      <c r="D2145" s="43"/>
      <c r="E2145" s="43"/>
      <c r="F2145" s="43"/>
      <c r="G2145" s="43"/>
    </row>
    <row r="2146" spans="2:7" x14ac:dyDescent="0.2">
      <c r="B2146" s="42"/>
      <c r="C2146" s="43"/>
      <c r="D2146" s="43"/>
      <c r="E2146" s="43"/>
      <c r="F2146" s="43"/>
      <c r="G2146" s="43"/>
    </row>
    <row r="2147" spans="2:7" x14ac:dyDescent="0.2">
      <c r="B2147" s="42"/>
      <c r="C2147" s="43"/>
      <c r="D2147" s="43"/>
      <c r="E2147" s="43"/>
      <c r="F2147" s="43"/>
      <c r="G2147" s="43"/>
    </row>
    <row r="2148" spans="2:7" x14ac:dyDescent="0.2">
      <c r="B2148" s="42"/>
      <c r="C2148" s="43"/>
      <c r="D2148" s="43"/>
      <c r="E2148" s="43"/>
      <c r="F2148" s="43"/>
      <c r="G2148" s="43"/>
    </row>
    <row r="2149" spans="2:7" x14ac:dyDescent="0.2">
      <c r="B2149" s="42"/>
      <c r="C2149" s="43"/>
      <c r="D2149" s="43"/>
      <c r="E2149" s="43"/>
      <c r="F2149" s="43"/>
      <c r="G2149" s="43"/>
    </row>
    <row r="2150" spans="2:7" x14ac:dyDescent="0.2">
      <c r="B2150" s="42"/>
      <c r="C2150" s="43"/>
      <c r="D2150" s="43"/>
      <c r="E2150" s="43"/>
      <c r="F2150" s="43"/>
      <c r="G2150" s="43"/>
    </row>
    <row r="2151" spans="2:7" x14ac:dyDescent="0.2">
      <c r="B2151" s="42"/>
      <c r="C2151" s="43"/>
      <c r="D2151" s="43"/>
      <c r="E2151" s="43"/>
      <c r="F2151" s="43"/>
      <c r="G2151" s="43"/>
    </row>
    <row r="2152" spans="2:7" x14ac:dyDescent="0.2">
      <c r="B2152" s="42"/>
      <c r="C2152" s="43"/>
      <c r="D2152" s="43"/>
      <c r="E2152" s="43"/>
      <c r="F2152" s="43"/>
      <c r="G2152" s="43"/>
    </row>
    <row r="2153" spans="2:7" x14ac:dyDescent="0.2">
      <c r="B2153" s="42"/>
      <c r="C2153" s="43"/>
      <c r="D2153" s="43"/>
      <c r="E2153" s="43"/>
      <c r="F2153" s="43"/>
      <c r="G2153" s="43"/>
    </row>
    <row r="2154" spans="2:7" x14ac:dyDescent="0.2">
      <c r="B2154" s="42"/>
      <c r="C2154" s="43"/>
      <c r="D2154" s="43"/>
      <c r="E2154" s="43"/>
      <c r="F2154" s="43"/>
      <c r="G2154" s="43"/>
    </row>
    <row r="2155" spans="2:7" x14ac:dyDescent="0.2">
      <c r="B2155" s="42"/>
      <c r="C2155" s="43"/>
      <c r="D2155" s="43"/>
      <c r="E2155" s="43"/>
      <c r="F2155" s="43"/>
      <c r="G2155" s="43"/>
    </row>
    <row r="2156" spans="2:7" x14ac:dyDescent="0.2">
      <c r="B2156" s="42"/>
      <c r="C2156" s="43"/>
      <c r="D2156" s="43"/>
      <c r="E2156" s="43"/>
      <c r="F2156" s="43"/>
      <c r="G2156" s="43"/>
    </row>
    <row r="2157" spans="2:7" x14ac:dyDescent="0.2">
      <c r="B2157" s="42"/>
      <c r="C2157" s="43"/>
      <c r="D2157" s="43"/>
      <c r="E2157" s="43"/>
      <c r="F2157" s="43"/>
      <c r="G2157" s="43"/>
    </row>
    <row r="2158" spans="2:7" x14ac:dyDescent="0.2">
      <c r="B2158" s="42"/>
      <c r="C2158" s="43"/>
      <c r="D2158" s="43"/>
      <c r="E2158" s="43"/>
      <c r="F2158" s="43"/>
      <c r="G2158" s="43"/>
    </row>
    <row r="2159" spans="2:7" x14ac:dyDescent="0.2">
      <c r="B2159" s="42"/>
      <c r="C2159" s="43"/>
      <c r="D2159" s="43"/>
      <c r="E2159" s="43"/>
      <c r="F2159" s="43"/>
      <c r="G2159" s="43"/>
    </row>
    <row r="2160" spans="2:7" x14ac:dyDescent="0.2">
      <c r="B2160" s="42"/>
      <c r="C2160" s="43"/>
      <c r="D2160" s="43"/>
      <c r="E2160" s="43"/>
      <c r="F2160" s="43"/>
      <c r="G2160" s="43"/>
    </row>
    <row r="2161" spans="2:7" x14ac:dyDescent="0.2">
      <c r="B2161" s="42"/>
      <c r="C2161" s="43"/>
      <c r="D2161" s="43"/>
      <c r="E2161" s="43"/>
      <c r="F2161" s="43"/>
      <c r="G2161" s="43"/>
    </row>
    <row r="2162" spans="2:7" x14ac:dyDescent="0.2">
      <c r="B2162" s="42"/>
      <c r="C2162" s="43"/>
      <c r="D2162" s="43"/>
      <c r="E2162" s="43"/>
      <c r="F2162" s="43"/>
      <c r="G2162" s="43"/>
    </row>
    <row r="2163" spans="2:7" x14ac:dyDescent="0.2">
      <c r="B2163" s="42"/>
      <c r="C2163" s="43"/>
      <c r="D2163" s="43"/>
      <c r="E2163" s="43"/>
      <c r="F2163" s="43"/>
      <c r="G2163" s="43"/>
    </row>
    <row r="2164" spans="2:7" x14ac:dyDescent="0.2">
      <c r="B2164" s="42"/>
      <c r="C2164" s="43"/>
      <c r="D2164" s="43"/>
      <c r="E2164" s="43"/>
      <c r="F2164" s="43"/>
      <c r="G2164" s="43"/>
    </row>
    <row r="2165" spans="2:7" x14ac:dyDescent="0.2">
      <c r="B2165" s="42"/>
      <c r="C2165" s="43"/>
      <c r="D2165" s="43"/>
      <c r="E2165" s="43"/>
      <c r="F2165" s="43"/>
      <c r="G2165" s="43"/>
    </row>
    <row r="2166" spans="2:7" x14ac:dyDescent="0.2">
      <c r="B2166" s="42"/>
      <c r="C2166" s="43"/>
      <c r="D2166" s="43"/>
      <c r="E2166" s="43"/>
      <c r="F2166" s="43"/>
      <c r="G2166" s="43"/>
    </row>
    <row r="2167" spans="2:7" x14ac:dyDescent="0.2">
      <c r="B2167" s="42"/>
      <c r="C2167" s="43"/>
      <c r="D2167" s="43"/>
      <c r="E2167" s="43"/>
      <c r="F2167" s="43"/>
      <c r="G2167" s="43"/>
    </row>
    <row r="2168" spans="2:7" x14ac:dyDescent="0.2">
      <c r="B2168" s="42"/>
      <c r="C2168" s="43"/>
      <c r="D2168" s="43"/>
      <c r="E2168" s="43"/>
      <c r="F2168" s="43"/>
      <c r="G2168" s="43"/>
    </row>
    <row r="2169" spans="2:7" x14ac:dyDescent="0.2">
      <c r="B2169" s="42"/>
      <c r="C2169" s="43"/>
      <c r="D2169" s="43"/>
      <c r="E2169" s="43"/>
      <c r="F2169" s="43"/>
      <c r="G2169" s="43"/>
    </row>
    <row r="2170" spans="2:7" x14ac:dyDescent="0.2">
      <c r="B2170" s="42"/>
      <c r="C2170" s="43"/>
      <c r="D2170" s="43"/>
      <c r="E2170" s="43"/>
      <c r="F2170" s="43"/>
      <c r="G2170" s="43"/>
    </row>
    <row r="2171" spans="2:7" x14ac:dyDescent="0.2">
      <c r="B2171" s="42"/>
      <c r="C2171" s="43"/>
      <c r="D2171" s="43"/>
      <c r="E2171" s="43"/>
      <c r="F2171" s="43"/>
      <c r="G2171" s="43"/>
    </row>
    <row r="2172" spans="2:7" x14ac:dyDescent="0.2">
      <c r="B2172" s="42"/>
      <c r="C2172" s="43"/>
      <c r="D2172" s="43"/>
      <c r="E2172" s="43"/>
      <c r="F2172" s="43"/>
      <c r="G2172" s="43"/>
    </row>
    <row r="2173" spans="2:7" x14ac:dyDescent="0.2">
      <c r="B2173" s="42"/>
      <c r="C2173" s="43"/>
      <c r="D2173" s="43"/>
      <c r="E2173" s="43"/>
      <c r="F2173" s="43"/>
      <c r="G2173" s="43"/>
    </row>
    <row r="2174" spans="2:7" x14ac:dyDescent="0.2">
      <c r="B2174" s="42"/>
      <c r="C2174" s="43"/>
      <c r="D2174" s="43"/>
      <c r="E2174" s="43"/>
      <c r="F2174" s="43"/>
      <c r="G2174" s="43"/>
    </row>
    <row r="2175" spans="2:7" x14ac:dyDescent="0.2">
      <c r="B2175" s="42"/>
      <c r="C2175" s="43"/>
      <c r="D2175" s="43"/>
      <c r="E2175" s="43"/>
      <c r="F2175" s="43"/>
      <c r="G2175" s="43"/>
    </row>
    <row r="2176" spans="2:7" x14ac:dyDescent="0.2">
      <c r="B2176" s="42"/>
      <c r="C2176" s="43"/>
      <c r="D2176" s="43"/>
      <c r="E2176" s="43"/>
      <c r="F2176" s="43"/>
      <c r="G2176" s="43"/>
    </row>
    <row r="2177" spans="2:7" x14ac:dyDescent="0.2">
      <c r="B2177" s="42"/>
      <c r="C2177" s="43"/>
      <c r="D2177" s="43"/>
      <c r="E2177" s="43"/>
      <c r="F2177" s="43"/>
      <c r="G2177" s="43"/>
    </row>
    <row r="2178" spans="2:7" x14ac:dyDescent="0.2">
      <c r="B2178" s="42"/>
      <c r="C2178" s="43"/>
      <c r="D2178" s="43"/>
      <c r="E2178" s="43"/>
      <c r="F2178" s="43"/>
      <c r="G2178" s="43"/>
    </row>
    <row r="2179" spans="2:7" x14ac:dyDescent="0.2">
      <c r="B2179" s="42"/>
      <c r="C2179" s="43"/>
      <c r="D2179" s="43"/>
      <c r="E2179" s="43"/>
      <c r="F2179" s="43"/>
      <c r="G2179" s="43"/>
    </row>
    <row r="2180" spans="2:7" x14ac:dyDescent="0.2">
      <c r="B2180" s="42"/>
      <c r="C2180" s="43"/>
      <c r="D2180" s="43"/>
      <c r="E2180" s="43"/>
      <c r="F2180" s="43"/>
      <c r="G2180" s="43"/>
    </row>
    <row r="2181" spans="2:7" x14ac:dyDescent="0.2">
      <c r="B2181" s="42"/>
      <c r="C2181" s="43"/>
      <c r="D2181" s="43"/>
      <c r="E2181" s="43"/>
      <c r="F2181" s="43"/>
      <c r="G2181" s="43"/>
    </row>
    <row r="2182" spans="2:7" x14ac:dyDescent="0.2">
      <c r="B2182" s="42"/>
      <c r="C2182" s="43"/>
      <c r="D2182" s="43"/>
      <c r="E2182" s="43"/>
      <c r="F2182" s="43"/>
      <c r="G2182" s="43"/>
    </row>
    <row r="2183" spans="2:7" x14ac:dyDescent="0.2">
      <c r="B2183" s="42"/>
      <c r="C2183" s="43"/>
      <c r="D2183" s="43"/>
      <c r="E2183" s="43"/>
      <c r="F2183" s="43"/>
      <c r="G2183" s="43"/>
    </row>
    <row r="2184" spans="2:7" x14ac:dyDescent="0.2">
      <c r="B2184" s="42"/>
      <c r="C2184" s="43"/>
      <c r="D2184" s="43"/>
      <c r="E2184" s="43"/>
      <c r="F2184" s="43"/>
      <c r="G2184" s="43"/>
    </row>
    <row r="2185" spans="2:7" x14ac:dyDescent="0.2">
      <c r="B2185" s="42"/>
      <c r="C2185" s="43"/>
      <c r="D2185" s="43"/>
      <c r="E2185" s="43"/>
      <c r="F2185" s="43"/>
      <c r="G2185" s="43"/>
    </row>
    <row r="2186" spans="2:7" x14ac:dyDescent="0.2">
      <c r="B2186" s="42"/>
      <c r="C2186" s="43"/>
      <c r="D2186" s="43"/>
      <c r="E2186" s="43"/>
      <c r="F2186" s="43"/>
      <c r="G2186" s="43"/>
    </row>
    <row r="2187" spans="2:7" x14ac:dyDescent="0.2">
      <c r="B2187" s="42"/>
      <c r="C2187" s="43"/>
      <c r="D2187" s="43"/>
      <c r="E2187" s="43"/>
      <c r="F2187" s="43"/>
      <c r="G2187" s="43"/>
    </row>
    <row r="2188" spans="2:7" x14ac:dyDescent="0.2">
      <c r="B2188" s="42"/>
      <c r="C2188" s="43"/>
      <c r="D2188" s="43"/>
      <c r="E2188" s="43"/>
      <c r="F2188" s="43"/>
      <c r="G2188" s="43"/>
    </row>
    <row r="2189" spans="2:7" x14ac:dyDescent="0.2">
      <c r="B2189" s="42"/>
      <c r="C2189" s="43"/>
      <c r="D2189" s="43"/>
      <c r="E2189" s="43"/>
      <c r="F2189" s="43"/>
      <c r="G2189" s="43"/>
    </row>
    <row r="2190" spans="2:7" x14ac:dyDescent="0.2">
      <c r="B2190" s="42"/>
      <c r="C2190" s="43"/>
      <c r="D2190" s="43"/>
      <c r="E2190" s="43"/>
      <c r="F2190" s="43"/>
      <c r="G2190" s="43"/>
    </row>
    <row r="2191" spans="2:7" x14ac:dyDescent="0.2">
      <c r="B2191" s="42"/>
      <c r="C2191" s="43"/>
      <c r="D2191" s="43"/>
      <c r="E2191" s="43"/>
      <c r="F2191" s="43"/>
      <c r="G2191" s="43"/>
    </row>
    <row r="2192" spans="2:7" x14ac:dyDescent="0.2">
      <c r="B2192" s="42"/>
      <c r="C2192" s="43"/>
      <c r="D2192" s="43"/>
      <c r="E2192" s="43"/>
      <c r="F2192" s="43"/>
      <c r="G2192" s="43"/>
    </row>
    <row r="2193" spans="2:7" x14ac:dyDescent="0.2">
      <c r="B2193" s="42"/>
      <c r="C2193" s="43"/>
      <c r="D2193" s="43"/>
      <c r="E2193" s="43"/>
      <c r="F2193" s="43"/>
      <c r="G2193" s="43"/>
    </row>
    <row r="2194" spans="2:7" x14ac:dyDescent="0.2">
      <c r="B2194" s="42"/>
      <c r="C2194" s="43"/>
      <c r="D2194" s="43"/>
      <c r="E2194" s="43"/>
      <c r="F2194" s="43"/>
      <c r="G2194" s="43"/>
    </row>
    <row r="2195" spans="2:7" x14ac:dyDescent="0.2">
      <c r="B2195" s="42"/>
      <c r="C2195" s="43"/>
      <c r="D2195" s="43"/>
      <c r="E2195" s="43"/>
      <c r="F2195" s="43"/>
      <c r="G2195" s="43"/>
    </row>
    <row r="2196" spans="2:7" x14ac:dyDescent="0.2">
      <c r="B2196" s="42"/>
      <c r="C2196" s="43"/>
      <c r="D2196" s="43"/>
      <c r="E2196" s="43"/>
      <c r="F2196" s="43"/>
      <c r="G2196" s="43"/>
    </row>
    <row r="2197" spans="2:7" x14ac:dyDescent="0.2">
      <c r="B2197" s="42"/>
      <c r="C2197" s="43"/>
      <c r="D2197" s="43"/>
      <c r="E2197" s="43"/>
      <c r="F2197" s="43"/>
      <c r="G2197" s="43"/>
    </row>
    <row r="2198" spans="2:7" x14ac:dyDescent="0.2">
      <c r="B2198" s="42"/>
      <c r="C2198" s="43"/>
      <c r="D2198" s="43"/>
      <c r="E2198" s="43"/>
      <c r="F2198" s="43"/>
      <c r="G2198" s="43"/>
    </row>
    <row r="2199" spans="2:7" x14ac:dyDescent="0.2">
      <c r="B2199" s="42"/>
      <c r="C2199" s="43"/>
      <c r="D2199" s="43"/>
      <c r="E2199" s="43"/>
      <c r="F2199" s="43"/>
      <c r="G2199" s="43"/>
    </row>
    <row r="2200" spans="2:7" x14ac:dyDescent="0.2">
      <c r="B2200" s="42"/>
      <c r="C2200" s="43"/>
      <c r="D2200" s="43"/>
      <c r="E2200" s="43"/>
      <c r="F2200" s="43"/>
      <c r="G2200" s="43"/>
    </row>
    <row r="2201" spans="2:7" x14ac:dyDescent="0.2">
      <c r="B2201" s="42"/>
      <c r="C2201" s="43"/>
      <c r="D2201" s="43"/>
      <c r="E2201" s="43"/>
      <c r="F2201" s="43"/>
      <c r="G2201" s="43"/>
    </row>
    <row r="2202" spans="2:7" x14ac:dyDescent="0.2">
      <c r="B2202" s="42"/>
      <c r="C2202" s="43"/>
      <c r="D2202" s="43"/>
      <c r="E2202" s="43"/>
      <c r="F2202" s="43"/>
      <c r="G2202" s="43"/>
    </row>
    <row r="2203" spans="2:7" x14ac:dyDescent="0.2">
      <c r="B2203" s="42"/>
      <c r="C2203" s="43"/>
      <c r="D2203" s="43"/>
      <c r="E2203" s="43"/>
      <c r="F2203" s="43"/>
      <c r="G2203" s="43"/>
    </row>
    <row r="2204" spans="2:7" x14ac:dyDescent="0.2">
      <c r="B2204" s="42"/>
      <c r="C2204" s="43"/>
      <c r="D2204" s="43"/>
      <c r="E2204" s="43"/>
      <c r="F2204" s="43"/>
      <c r="G2204" s="43"/>
    </row>
    <row r="2205" spans="2:7" x14ac:dyDescent="0.2">
      <c r="B2205" s="42"/>
      <c r="C2205" s="43"/>
      <c r="D2205" s="43"/>
      <c r="E2205" s="43"/>
      <c r="F2205" s="43"/>
      <c r="G2205" s="43"/>
    </row>
    <row r="2206" spans="2:7" x14ac:dyDescent="0.2">
      <c r="B2206" s="42"/>
      <c r="C2206" s="43"/>
      <c r="D2206" s="43"/>
      <c r="E2206" s="43"/>
      <c r="F2206" s="43"/>
      <c r="G2206" s="43"/>
    </row>
    <row r="2207" spans="2:7" x14ac:dyDescent="0.2">
      <c r="B2207" s="42"/>
      <c r="C2207" s="43"/>
      <c r="D2207" s="43"/>
      <c r="E2207" s="43"/>
      <c r="F2207" s="43"/>
      <c r="G2207" s="43"/>
    </row>
    <row r="2208" spans="2:7" x14ac:dyDescent="0.2">
      <c r="B2208" s="42"/>
      <c r="C2208" s="43"/>
      <c r="D2208" s="43"/>
      <c r="E2208" s="43"/>
      <c r="F2208" s="43"/>
      <c r="G2208" s="43"/>
    </row>
    <row r="2209" spans="2:7" x14ac:dyDescent="0.2">
      <c r="B2209" s="42"/>
      <c r="C2209" s="43"/>
      <c r="D2209" s="43"/>
      <c r="E2209" s="43"/>
      <c r="F2209" s="43"/>
      <c r="G2209" s="43"/>
    </row>
    <row r="2210" spans="2:7" x14ac:dyDescent="0.2">
      <c r="B2210" s="42"/>
      <c r="C2210" s="43"/>
      <c r="D2210" s="43"/>
      <c r="E2210" s="43"/>
      <c r="F2210" s="43"/>
      <c r="G2210" s="43"/>
    </row>
    <row r="2211" spans="2:7" x14ac:dyDescent="0.2">
      <c r="B2211" s="42"/>
      <c r="C2211" s="43"/>
      <c r="D2211" s="43"/>
      <c r="E2211" s="43"/>
      <c r="F2211" s="43"/>
      <c r="G2211" s="43"/>
    </row>
    <row r="2212" spans="2:7" x14ac:dyDescent="0.2">
      <c r="B2212" s="42"/>
      <c r="C2212" s="43"/>
      <c r="D2212" s="43"/>
      <c r="E2212" s="43"/>
      <c r="F2212" s="43"/>
      <c r="G2212" s="43"/>
    </row>
    <row r="2213" spans="2:7" x14ac:dyDescent="0.2">
      <c r="B2213" s="42"/>
      <c r="C2213" s="43"/>
      <c r="D2213" s="43"/>
      <c r="E2213" s="43"/>
      <c r="F2213" s="43"/>
      <c r="G2213" s="43"/>
    </row>
    <row r="2214" spans="2:7" x14ac:dyDescent="0.2">
      <c r="B2214" s="42"/>
      <c r="C2214" s="43"/>
      <c r="D2214" s="43"/>
      <c r="E2214" s="43"/>
      <c r="F2214" s="43"/>
      <c r="G2214" s="43"/>
    </row>
    <row r="2215" spans="2:7" x14ac:dyDescent="0.2">
      <c r="B2215" s="42"/>
      <c r="C2215" s="43"/>
      <c r="D2215" s="43"/>
      <c r="E2215" s="43"/>
      <c r="F2215" s="43"/>
      <c r="G2215" s="43"/>
    </row>
    <row r="2216" spans="2:7" x14ac:dyDescent="0.2">
      <c r="B2216" s="42"/>
      <c r="C2216" s="43"/>
      <c r="D2216" s="43"/>
      <c r="E2216" s="43"/>
      <c r="F2216" s="43"/>
      <c r="G2216" s="43"/>
    </row>
    <row r="2217" spans="2:7" x14ac:dyDescent="0.2">
      <c r="B2217" s="42"/>
      <c r="C2217" s="43"/>
      <c r="D2217" s="43"/>
      <c r="E2217" s="43"/>
      <c r="F2217" s="43"/>
      <c r="G2217" s="43"/>
    </row>
    <row r="2218" spans="2:7" x14ac:dyDescent="0.2">
      <c r="B2218" s="42"/>
      <c r="C2218" s="43"/>
      <c r="D2218" s="43"/>
      <c r="E2218" s="43"/>
      <c r="F2218" s="43"/>
      <c r="G2218" s="43"/>
    </row>
    <row r="2219" spans="2:7" x14ac:dyDescent="0.2">
      <c r="B2219" s="42"/>
      <c r="C2219" s="43"/>
      <c r="D2219" s="43"/>
      <c r="E2219" s="43"/>
      <c r="F2219" s="43"/>
      <c r="G2219" s="43"/>
    </row>
    <row r="2220" spans="2:7" x14ac:dyDescent="0.2">
      <c r="B2220" s="42"/>
      <c r="C2220" s="43"/>
      <c r="D2220" s="43"/>
      <c r="E2220" s="43"/>
      <c r="F2220" s="43"/>
      <c r="G2220" s="43"/>
    </row>
    <row r="2221" spans="2:7" x14ac:dyDescent="0.2">
      <c r="B2221" s="42"/>
      <c r="C2221" s="43"/>
      <c r="D2221" s="43"/>
      <c r="E2221" s="43"/>
      <c r="F2221" s="43"/>
      <c r="G2221" s="43"/>
    </row>
    <row r="2222" spans="2:7" x14ac:dyDescent="0.2">
      <c r="B2222" s="42"/>
      <c r="C2222" s="43"/>
      <c r="D2222" s="43"/>
      <c r="E2222" s="43"/>
      <c r="F2222" s="43"/>
      <c r="G2222" s="43"/>
    </row>
    <row r="2223" spans="2:7" x14ac:dyDescent="0.2">
      <c r="B2223" s="42"/>
      <c r="C2223" s="43"/>
      <c r="D2223" s="43"/>
      <c r="E2223" s="43"/>
      <c r="F2223" s="43"/>
      <c r="G2223" s="43"/>
    </row>
    <row r="2224" spans="2:7" x14ac:dyDescent="0.2">
      <c r="B2224" s="42"/>
      <c r="C2224" s="43"/>
      <c r="D2224" s="43"/>
      <c r="E2224" s="43"/>
      <c r="F2224" s="43"/>
      <c r="G2224" s="43"/>
    </row>
    <row r="2225" spans="2:7" x14ac:dyDescent="0.2">
      <c r="B2225" s="42"/>
      <c r="C2225" s="43"/>
      <c r="D2225" s="43"/>
      <c r="E2225" s="43"/>
      <c r="F2225" s="43"/>
      <c r="G2225" s="43"/>
    </row>
    <row r="2226" spans="2:7" x14ac:dyDescent="0.2">
      <c r="B2226" s="42"/>
      <c r="C2226" s="43"/>
      <c r="D2226" s="43"/>
      <c r="E2226" s="43"/>
      <c r="F2226" s="43"/>
      <c r="G2226" s="43"/>
    </row>
    <row r="2227" spans="2:7" x14ac:dyDescent="0.2">
      <c r="B2227" s="42"/>
      <c r="C2227" s="43"/>
      <c r="D2227" s="43"/>
      <c r="E2227" s="43"/>
      <c r="F2227" s="43"/>
      <c r="G2227" s="43"/>
    </row>
    <row r="2228" spans="2:7" x14ac:dyDescent="0.2">
      <c r="B2228" s="42"/>
      <c r="C2228" s="43"/>
      <c r="D2228" s="43"/>
      <c r="E2228" s="43"/>
      <c r="F2228" s="43"/>
      <c r="G2228" s="43"/>
    </row>
    <row r="2229" spans="2:7" x14ac:dyDescent="0.2">
      <c r="B2229" s="42"/>
      <c r="C2229" s="43"/>
      <c r="D2229" s="43"/>
      <c r="E2229" s="43"/>
      <c r="F2229" s="43"/>
      <c r="G2229" s="43"/>
    </row>
    <row r="2230" spans="2:7" x14ac:dyDescent="0.2">
      <c r="B2230" s="42"/>
      <c r="C2230" s="43"/>
      <c r="D2230" s="43"/>
      <c r="E2230" s="43"/>
      <c r="F2230" s="43"/>
      <c r="G2230" s="43"/>
    </row>
    <row r="2231" spans="2:7" x14ac:dyDescent="0.2">
      <c r="B2231" s="42"/>
      <c r="C2231" s="43"/>
      <c r="D2231" s="43"/>
      <c r="E2231" s="43"/>
      <c r="F2231" s="43"/>
      <c r="G2231" s="43"/>
    </row>
    <row r="2232" spans="2:7" x14ac:dyDescent="0.2">
      <c r="B2232" s="42"/>
      <c r="C2232" s="43"/>
      <c r="D2232" s="43"/>
      <c r="E2232" s="43"/>
      <c r="F2232" s="43"/>
      <c r="G2232" s="43"/>
    </row>
    <row r="2233" spans="2:7" x14ac:dyDescent="0.2">
      <c r="B2233" s="42"/>
      <c r="C2233" s="43"/>
      <c r="D2233" s="43"/>
      <c r="E2233" s="43"/>
      <c r="F2233" s="43"/>
      <c r="G2233" s="43"/>
    </row>
    <row r="2234" spans="2:7" x14ac:dyDescent="0.2">
      <c r="B2234" s="42"/>
      <c r="C2234" s="43"/>
      <c r="D2234" s="43"/>
      <c r="E2234" s="43"/>
      <c r="F2234" s="43"/>
      <c r="G2234" s="43"/>
    </row>
    <row r="2235" spans="2:7" x14ac:dyDescent="0.2">
      <c r="B2235" s="42"/>
      <c r="C2235" s="43"/>
      <c r="D2235" s="43"/>
      <c r="E2235" s="43"/>
      <c r="F2235" s="43"/>
      <c r="G2235" s="43"/>
    </row>
    <row r="2236" spans="2:7" x14ac:dyDescent="0.2">
      <c r="B2236" s="42"/>
      <c r="C2236" s="43"/>
      <c r="D2236" s="43"/>
      <c r="E2236" s="43"/>
      <c r="F2236" s="43"/>
      <c r="G2236" s="43"/>
    </row>
    <row r="2237" spans="2:7" x14ac:dyDescent="0.2">
      <c r="B2237" s="42"/>
      <c r="C2237" s="43"/>
      <c r="D2237" s="43"/>
      <c r="E2237" s="43"/>
      <c r="F2237" s="43"/>
      <c r="G2237" s="43"/>
    </row>
    <row r="2238" spans="2:7" x14ac:dyDescent="0.2">
      <c r="B2238" s="42"/>
      <c r="C2238" s="43"/>
      <c r="D2238" s="43"/>
      <c r="E2238" s="43"/>
      <c r="F2238" s="43"/>
      <c r="G2238" s="43"/>
    </row>
    <row r="2239" spans="2:7" x14ac:dyDescent="0.2">
      <c r="B2239" s="42"/>
      <c r="C2239" s="43"/>
      <c r="D2239" s="43"/>
      <c r="E2239" s="43"/>
      <c r="F2239" s="43"/>
      <c r="G2239" s="43"/>
    </row>
    <row r="2240" spans="2:7" x14ac:dyDescent="0.2">
      <c r="B2240" s="42"/>
      <c r="C2240" s="43"/>
      <c r="D2240" s="43"/>
      <c r="E2240" s="43"/>
      <c r="F2240" s="43"/>
      <c r="G2240" s="43"/>
    </row>
    <row r="2241" spans="2:7" x14ac:dyDescent="0.2">
      <c r="B2241" s="42"/>
      <c r="C2241" s="43"/>
      <c r="D2241" s="43"/>
      <c r="E2241" s="43"/>
      <c r="F2241" s="43"/>
      <c r="G2241" s="43"/>
    </row>
    <row r="2242" spans="2:7" x14ac:dyDescent="0.2">
      <c r="B2242" s="42"/>
      <c r="C2242" s="43"/>
      <c r="D2242" s="43"/>
      <c r="E2242" s="43"/>
      <c r="F2242" s="43"/>
      <c r="G2242" s="43"/>
    </row>
    <row r="2243" spans="2:7" x14ac:dyDescent="0.2">
      <c r="B2243" s="42"/>
      <c r="C2243" s="43"/>
      <c r="D2243" s="43"/>
      <c r="E2243" s="43"/>
      <c r="F2243" s="43"/>
      <c r="G2243" s="43"/>
    </row>
    <row r="2244" spans="2:7" x14ac:dyDescent="0.2">
      <c r="B2244" s="42"/>
      <c r="C2244" s="43"/>
      <c r="D2244" s="43"/>
      <c r="E2244" s="43"/>
      <c r="F2244" s="43"/>
      <c r="G2244" s="43"/>
    </row>
    <row r="2245" spans="2:7" x14ac:dyDescent="0.2">
      <c r="B2245" s="42"/>
      <c r="C2245" s="43"/>
      <c r="D2245" s="43"/>
      <c r="E2245" s="43"/>
      <c r="F2245" s="43"/>
      <c r="G2245" s="43"/>
    </row>
    <row r="2246" spans="2:7" x14ac:dyDescent="0.2">
      <c r="B2246" s="42"/>
      <c r="C2246" s="43"/>
      <c r="D2246" s="43"/>
      <c r="E2246" s="43"/>
      <c r="F2246" s="43"/>
      <c r="G2246" s="43"/>
    </row>
    <row r="2247" spans="2:7" x14ac:dyDescent="0.2">
      <c r="B2247" s="42"/>
      <c r="C2247" s="43"/>
      <c r="D2247" s="43"/>
      <c r="E2247" s="43"/>
      <c r="F2247" s="43"/>
      <c r="G2247" s="43"/>
    </row>
    <row r="2248" spans="2:7" x14ac:dyDescent="0.2">
      <c r="B2248" s="42"/>
      <c r="C2248" s="43"/>
      <c r="D2248" s="43"/>
      <c r="E2248" s="43"/>
      <c r="F2248" s="43"/>
      <c r="G2248" s="43"/>
    </row>
    <row r="2249" spans="2:7" x14ac:dyDescent="0.2">
      <c r="B2249" s="42"/>
      <c r="C2249" s="43"/>
      <c r="D2249" s="43"/>
      <c r="E2249" s="43"/>
      <c r="F2249" s="43"/>
      <c r="G2249" s="43"/>
    </row>
    <row r="2250" spans="2:7" x14ac:dyDescent="0.2">
      <c r="B2250" s="42"/>
      <c r="C2250" s="43"/>
      <c r="D2250" s="43"/>
      <c r="E2250" s="43"/>
      <c r="F2250" s="43"/>
      <c r="G2250" s="43"/>
    </row>
    <row r="2251" spans="2:7" x14ac:dyDescent="0.2">
      <c r="B2251" s="42"/>
      <c r="C2251" s="43"/>
      <c r="D2251" s="43"/>
      <c r="E2251" s="43"/>
      <c r="F2251" s="43"/>
      <c r="G2251" s="43"/>
    </row>
    <row r="2252" spans="2:7" x14ac:dyDescent="0.2">
      <c r="B2252" s="42"/>
      <c r="C2252" s="43"/>
      <c r="D2252" s="43"/>
      <c r="E2252" s="43"/>
      <c r="F2252" s="43"/>
      <c r="G2252" s="43"/>
    </row>
    <row r="2253" spans="2:7" x14ac:dyDescent="0.2">
      <c r="B2253" s="42"/>
      <c r="C2253" s="43"/>
      <c r="D2253" s="43"/>
      <c r="E2253" s="43"/>
      <c r="F2253" s="43"/>
      <c r="G2253" s="43"/>
    </row>
    <row r="2254" spans="2:7" x14ac:dyDescent="0.2">
      <c r="B2254" s="42"/>
      <c r="C2254" s="43"/>
      <c r="D2254" s="43"/>
      <c r="E2254" s="43"/>
      <c r="F2254" s="43"/>
      <c r="G2254" s="43"/>
    </row>
    <row r="2255" spans="2:7" x14ac:dyDescent="0.2">
      <c r="B2255" s="42"/>
      <c r="C2255" s="43"/>
      <c r="D2255" s="43"/>
      <c r="E2255" s="43"/>
      <c r="F2255" s="43"/>
      <c r="G2255" s="43"/>
    </row>
    <row r="2256" spans="2:7" x14ac:dyDescent="0.2">
      <c r="B2256" s="42"/>
      <c r="C2256" s="43"/>
      <c r="D2256" s="43"/>
      <c r="E2256" s="43"/>
      <c r="F2256" s="43"/>
      <c r="G2256" s="43"/>
    </row>
    <row r="2257" spans="2:7" x14ac:dyDescent="0.2">
      <c r="B2257" s="42"/>
      <c r="C2257" s="43"/>
      <c r="D2257" s="43"/>
      <c r="E2257" s="43"/>
      <c r="F2257" s="43"/>
      <c r="G2257" s="43"/>
    </row>
    <row r="2258" spans="2:7" x14ac:dyDescent="0.2">
      <c r="B2258" s="42"/>
      <c r="C2258" s="43"/>
      <c r="D2258" s="43"/>
      <c r="E2258" s="43"/>
      <c r="F2258" s="43"/>
      <c r="G2258" s="43"/>
    </row>
    <row r="2259" spans="2:7" x14ac:dyDescent="0.2">
      <c r="B2259" s="42"/>
      <c r="C2259" s="43"/>
      <c r="D2259" s="43"/>
      <c r="E2259" s="43"/>
      <c r="F2259" s="43"/>
      <c r="G2259" s="43"/>
    </row>
    <row r="2260" spans="2:7" x14ac:dyDescent="0.2">
      <c r="B2260" s="42"/>
      <c r="C2260" s="43"/>
      <c r="D2260" s="43"/>
      <c r="E2260" s="43"/>
      <c r="F2260" s="43"/>
      <c r="G2260" s="43"/>
    </row>
    <row r="2261" spans="2:7" x14ac:dyDescent="0.2">
      <c r="B2261" s="42"/>
      <c r="C2261" s="43"/>
      <c r="D2261" s="43"/>
      <c r="E2261" s="43"/>
      <c r="F2261" s="43"/>
      <c r="G2261" s="43"/>
    </row>
    <row r="2262" spans="2:7" x14ac:dyDescent="0.2">
      <c r="B2262" s="42"/>
      <c r="C2262" s="43"/>
      <c r="D2262" s="43"/>
      <c r="E2262" s="43"/>
      <c r="F2262" s="43"/>
      <c r="G2262" s="43"/>
    </row>
    <row r="2263" spans="2:7" x14ac:dyDescent="0.2">
      <c r="B2263" s="42"/>
      <c r="C2263" s="43"/>
      <c r="D2263" s="43"/>
      <c r="E2263" s="43"/>
      <c r="F2263" s="43"/>
      <c r="G2263" s="43"/>
    </row>
    <row r="2264" spans="2:7" x14ac:dyDescent="0.2">
      <c r="B2264" s="42"/>
      <c r="C2264" s="43"/>
      <c r="D2264" s="43"/>
      <c r="E2264" s="43"/>
      <c r="F2264" s="43"/>
      <c r="G2264" s="43"/>
    </row>
    <row r="2265" spans="2:7" x14ac:dyDescent="0.2">
      <c r="B2265" s="42"/>
      <c r="C2265" s="43"/>
      <c r="D2265" s="43"/>
      <c r="E2265" s="43"/>
      <c r="F2265" s="43"/>
      <c r="G2265" s="43"/>
    </row>
    <row r="2266" spans="2:7" x14ac:dyDescent="0.2">
      <c r="B2266" s="42"/>
      <c r="C2266" s="43"/>
      <c r="D2266" s="43"/>
      <c r="E2266" s="43"/>
      <c r="F2266" s="43"/>
      <c r="G2266" s="43"/>
    </row>
    <row r="2267" spans="2:7" x14ac:dyDescent="0.2">
      <c r="B2267" s="42"/>
      <c r="C2267" s="43"/>
      <c r="D2267" s="43"/>
      <c r="E2267" s="43"/>
      <c r="F2267" s="43"/>
      <c r="G2267" s="43"/>
    </row>
    <row r="2268" spans="2:7" x14ac:dyDescent="0.2">
      <c r="B2268" s="42"/>
      <c r="C2268" s="43"/>
      <c r="D2268" s="43"/>
      <c r="E2268" s="43"/>
      <c r="F2268" s="43"/>
      <c r="G2268" s="43"/>
    </row>
    <row r="2269" spans="2:7" x14ac:dyDescent="0.2">
      <c r="B2269" s="42"/>
      <c r="C2269" s="43"/>
      <c r="D2269" s="43"/>
      <c r="E2269" s="43"/>
      <c r="F2269" s="43"/>
      <c r="G2269" s="43"/>
    </row>
    <row r="2270" spans="2:7" x14ac:dyDescent="0.2">
      <c r="B2270" s="42"/>
      <c r="C2270" s="43"/>
      <c r="D2270" s="43"/>
      <c r="E2270" s="43"/>
      <c r="F2270" s="43"/>
      <c r="G2270" s="43"/>
    </row>
    <row r="2271" spans="2:7" x14ac:dyDescent="0.2">
      <c r="B2271" s="42"/>
      <c r="C2271" s="43"/>
      <c r="D2271" s="43"/>
      <c r="E2271" s="43"/>
      <c r="F2271" s="43"/>
      <c r="G2271" s="43"/>
    </row>
    <row r="2272" spans="2:7" x14ac:dyDescent="0.2">
      <c r="B2272" s="42"/>
      <c r="C2272" s="43"/>
      <c r="D2272" s="43"/>
      <c r="E2272" s="43"/>
      <c r="F2272" s="43"/>
      <c r="G2272" s="43"/>
    </row>
    <row r="2273" spans="2:7" x14ac:dyDescent="0.2">
      <c r="B2273" s="42"/>
      <c r="C2273" s="43"/>
      <c r="D2273" s="43"/>
      <c r="E2273" s="43"/>
      <c r="F2273" s="43"/>
      <c r="G2273" s="43"/>
    </row>
    <row r="2274" spans="2:7" x14ac:dyDescent="0.2">
      <c r="B2274" s="42"/>
      <c r="C2274" s="43"/>
      <c r="D2274" s="43"/>
      <c r="E2274" s="43"/>
      <c r="F2274" s="43"/>
      <c r="G2274" s="43"/>
    </row>
    <row r="2275" spans="2:7" x14ac:dyDescent="0.2">
      <c r="B2275" s="42"/>
      <c r="C2275" s="43"/>
      <c r="D2275" s="43"/>
      <c r="E2275" s="43"/>
      <c r="F2275" s="43"/>
      <c r="G2275" s="43"/>
    </row>
    <row r="2276" spans="2:7" x14ac:dyDescent="0.2">
      <c r="B2276" s="42"/>
      <c r="C2276" s="43"/>
      <c r="D2276" s="43"/>
      <c r="E2276" s="43"/>
      <c r="F2276" s="43"/>
      <c r="G2276" s="43"/>
    </row>
    <row r="2277" spans="2:7" x14ac:dyDescent="0.2">
      <c r="B2277" s="42"/>
      <c r="C2277" s="43"/>
      <c r="D2277" s="43"/>
      <c r="E2277" s="43"/>
      <c r="F2277" s="43"/>
      <c r="G2277" s="43"/>
    </row>
    <row r="2278" spans="2:7" x14ac:dyDescent="0.2">
      <c r="B2278" s="42"/>
      <c r="C2278" s="43"/>
      <c r="D2278" s="43"/>
      <c r="E2278" s="43"/>
      <c r="F2278" s="43"/>
      <c r="G2278" s="43"/>
    </row>
    <row r="2279" spans="2:7" x14ac:dyDescent="0.2">
      <c r="B2279" s="42"/>
      <c r="C2279" s="43"/>
      <c r="D2279" s="43"/>
      <c r="E2279" s="43"/>
      <c r="F2279" s="43"/>
      <c r="G2279" s="43"/>
    </row>
    <row r="2280" spans="2:7" x14ac:dyDescent="0.2">
      <c r="B2280" s="42"/>
      <c r="C2280" s="43"/>
      <c r="D2280" s="43"/>
      <c r="E2280" s="43"/>
      <c r="F2280" s="43"/>
      <c r="G2280" s="43"/>
    </row>
    <row r="2281" spans="2:7" x14ac:dyDescent="0.2">
      <c r="B2281" s="42"/>
      <c r="C2281" s="43"/>
      <c r="D2281" s="43"/>
      <c r="E2281" s="43"/>
      <c r="F2281" s="43"/>
      <c r="G2281" s="43"/>
    </row>
    <row r="2282" spans="2:7" x14ac:dyDescent="0.2">
      <c r="B2282" s="42"/>
      <c r="C2282" s="43"/>
      <c r="D2282" s="43"/>
      <c r="E2282" s="43"/>
      <c r="F2282" s="43"/>
      <c r="G2282" s="43"/>
    </row>
    <row r="2283" spans="2:7" x14ac:dyDescent="0.2">
      <c r="B2283" s="42"/>
      <c r="C2283" s="43"/>
      <c r="D2283" s="43"/>
      <c r="E2283" s="43"/>
      <c r="F2283" s="43"/>
      <c r="G2283" s="43"/>
    </row>
    <row r="2284" spans="2:7" x14ac:dyDescent="0.2">
      <c r="B2284" s="42"/>
      <c r="C2284" s="43"/>
      <c r="D2284" s="43"/>
      <c r="E2284" s="43"/>
      <c r="F2284" s="43"/>
      <c r="G2284" s="43"/>
    </row>
    <row r="2285" spans="2:7" x14ac:dyDescent="0.2">
      <c r="B2285" s="42"/>
      <c r="C2285" s="43"/>
      <c r="D2285" s="43"/>
      <c r="E2285" s="43"/>
      <c r="F2285" s="43"/>
      <c r="G2285" s="43"/>
    </row>
    <row r="2286" spans="2:7" x14ac:dyDescent="0.2">
      <c r="B2286" s="42"/>
      <c r="C2286" s="43"/>
      <c r="D2286" s="43"/>
      <c r="E2286" s="43"/>
      <c r="F2286" s="43"/>
      <c r="G2286" s="43"/>
    </row>
    <row r="2287" spans="2:7" x14ac:dyDescent="0.2">
      <c r="B2287" s="42"/>
      <c r="C2287" s="43"/>
      <c r="D2287" s="43"/>
      <c r="E2287" s="43"/>
      <c r="F2287" s="43"/>
      <c r="G2287" s="43"/>
    </row>
    <row r="2288" spans="2:7" x14ac:dyDescent="0.2">
      <c r="B2288" s="42"/>
      <c r="C2288" s="43"/>
      <c r="D2288" s="43"/>
      <c r="E2288" s="43"/>
      <c r="F2288" s="43"/>
      <c r="G2288" s="43"/>
    </row>
    <row r="2289" spans="2:7" x14ac:dyDescent="0.2">
      <c r="B2289" s="42"/>
      <c r="C2289" s="43"/>
      <c r="D2289" s="43"/>
      <c r="E2289" s="43"/>
      <c r="F2289" s="43"/>
      <c r="G2289" s="43"/>
    </row>
    <row r="2290" spans="2:7" x14ac:dyDescent="0.2">
      <c r="B2290" s="42"/>
      <c r="C2290" s="43"/>
      <c r="D2290" s="43"/>
      <c r="E2290" s="43"/>
      <c r="F2290" s="43"/>
      <c r="G2290" s="43"/>
    </row>
    <row r="2291" spans="2:7" x14ac:dyDescent="0.2">
      <c r="B2291" s="42"/>
      <c r="C2291" s="43"/>
      <c r="D2291" s="43"/>
      <c r="E2291" s="43"/>
      <c r="F2291" s="43"/>
      <c r="G2291" s="43"/>
    </row>
    <row r="2292" spans="2:7" x14ac:dyDescent="0.2">
      <c r="B2292" s="42"/>
      <c r="C2292" s="43"/>
      <c r="D2292" s="43"/>
      <c r="E2292" s="43"/>
      <c r="F2292" s="43"/>
      <c r="G2292" s="43"/>
    </row>
    <row r="2293" spans="2:7" x14ac:dyDescent="0.2">
      <c r="B2293" s="42"/>
      <c r="C2293" s="43"/>
      <c r="D2293" s="43"/>
      <c r="E2293" s="43"/>
      <c r="F2293" s="43"/>
      <c r="G2293" s="43"/>
    </row>
    <row r="2294" spans="2:7" x14ac:dyDescent="0.2">
      <c r="B2294" s="42"/>
      <c r="C2294" s="43"/>
      <c r="D2294" s="43"/>
      <c r="E2294" s="43"/>
      <c r="F2294" s="43"/>
      <c r="G2294" s="43"/>
    </row>
    <row r="2295" spans="2:7" x14ac:dyDescent="0.2">
      <c r="B2295" s="42"/>
      <c r="C2295" s="43"/>
      <c r="D2295" s="43"/>
      <c r="E2295" s="43"/>
      <c r="F2295" s="43"/>
      <c r="G2295" s="43"/>
    </row>
    <row r="2296" spans="2:7" x14ac:dyDescent="0.2">
      <c r="B2296" s="42"/>
      <c r="C2296" s="43"/>
      <c r="D2296" s="43"/>
      <c r="E2296" s="43"/>
      <c r="F2296" s="43"/>
      <c r="G2296" s="43"/>
    </row>
    <row r="2297" spans="2:7" x14ac:dyDescent="0.2">
      <c r="B2297" s="42"/>
      <c r="C2297" s="43"/>
      <c r="D2297" s="43"/>
      <c r="E2297" s="43"/>
      <c r="F2297" s="43"/>
      <c r="G2297" s="43"/>
    </row>
    <row r="2298" spans="2:7" x14ac:dyDescent="0.2">
      <c r="B2298" s="42"/>
      <c r="C2298" s="43"/>
      <c r="D2298" s="43"/>
      <c r="E2298" s="43"/>
      <c r="F2298" s="43"/>
      <c r="G2298" s="43"/>
    </row>
    <row r="2299" spans="2:7" x14ac:dyDescent="0.2">
      <c r="B2299" s="42"/>
      <c r="C2299" s="43"/>
      <c r="D2299" s="43"/>
      <c r="E2299" s="43"/>
      <c r="F2299" s="43"/>
      <c r="G2299" s="43"/>
    </row>
    <row r="2300" spans="2:7" x14ac:dyDescent="0.2">
      <c r="B2300" s="42"/>
      <c r="C2300" s="43"/>
      <c r="D2300" s="43"/>
      <c r="E2300" s="43"/>
      <c r="F2300" s="43"/>
      <c r="G2300" s="43"/>
    </row>
    <row r="2301" spans="2:7" x14ac:dyDescent="0.2">
      <c r="B2301" s="42"/>
      <c r="C2301" s="43"/>
      <c r="D2301" s="43"/>
      <c r="E2301" s="43"/>
      <c r="F2301" s="43"/>
      <c r="G2301" s="43"/>
    </row>
    <row r="2302" spans="2:7" x14ac:dyDescent="0.2">
      <c r="B2302" s="42"/>
      <c r="C2302" s="43"/>
      <c r="D2302" s="43"/>
      <c r="E2302" s="43"/>
      <c r="F2302" s="43"/>
      <c r="G2302" s="43"/>
    </row>
    <row r="2303" spans="2:7" x14ac:dyDescent="0.2">
      <c r="B2303" s="42"/>
      <c r="C2303" s="43"/>
      <c r="D2303" s="43"/>
      <c r="E2303" s="43"/>
      <c r="F2303" s="43"/>
      <c r="G2303" s="43"/>
    </row>
    <row r="2304" spans="2:7" x14ac:dyDescent="0.2">
      <c r="B2304" s="42"/>
      <c r="C2304" s="43"/>
      <c r="D2304" s="43"/>
      <c r="E2304" s="43"/>
      <c r="F2304" s="43"/>
      <c r="G2304" s="43"/>
    </row>
    <row r="2305" spans="2:7" x14ac:dyDescent="0.2">
      <c r="B2305" s="42"/>
      <c r="C2305" s="43"/>
      <c r="D2305" s="43"/>
      <c r="E2305" s="43"/>
      <c r="F2305" s="43"/>
      <c r="G2305" s="43"/>
    </row>
    <row r="2306" spans="2:7" x14ac:dyDescent="0.2">
      <c r="B2306" s="42"/>
      <c r="C2306" s="43"/>
      <c r="D2306" s="43"/>
      <c r="E2306" s="43"/>
      <c r="F2306" s="43"/>
      <c r="G2306" s="43"/>
    </row>
    <row r="2307" spans="2:7" x14ac:dyDescent="0.2">
      <c r="B2307" s="42"/>
      <c r="C2307" s="43"/>
      <c r="D2307" s="43"/>
      <c r="E2307" s="43"/>
      <c r="F2307" s="43"/>
      <c r="G2307" s="43"/>
    </row>
    <row r="2308" spans="2:7" x14ac:dyDescent="0.2">
      <c r="B2308" s="42"/>
      <c r="C2308" s="43"/>
      <c r="D2308" s="43"/>
      <c r="E2308" s="43"/>
      <c r="F2308" s="43"/>
      <c r="G2308" s="43"/>
    </row>
    <row r="2309" spans="2:7" x14ac:dyDescent="0.2">
      <c r="B2309" s="42"/>
      <c r="C2309" s="43"/>
      <c r="D2309" s="43"/>
      <c r="E2309" s="43"/>
      <c r="F2309" s="43"/>
      <c r="G2309" s="43"/>
    </row>
    <row r="2310" spans="2:7" x14ac:dyDescent="0.2">
      <c r="B2310" s="42"/>
      <c r="C2310" s="43"/>
      <c r="D2310" s="43"/>
      <c r="E2310" s="43"/>
      <c r="F2310" s="43"/>
      <c r="G2310" s="43"/>
    </row>
    <row r="2311" spans="2:7" x14ac:dyDescent="0.2">
      <c r="B2311" s="42"/>
      <c r="C2311" s="43"/>
      <c r="D2311" s="43"/>
      <c r="E2311" s="43"/>
      <c r="F2311" s="43"/>
      <c r="G2311" s="43"/>
    </row>
    <row r="2312" spans="2:7" x14ac:dyDescent="0.2">
      <c r="B2312" s="42"/>
      <c r="C2312" s="43"/>
      <c r="D2312" s="43"/>
      <c r="E2312" s="43"/>
      <c r="F2312" s="43"/>
      <c r="G2312" s="43"/>
    </row>
    <row r="2313" spans="2:7" x14ac:dyDescent="0.2">
      <c r="B2313" s="42"/>
      <c r="C2313" s="43"/>
      <c r="D2313" s="43"/>
      <c r="E2313" s="43"/>
      <c r="F2313" s="43"/>
      <c r="G2313" s="43"/>
    </row>
    <row r="2314" spans="2:7" x14ac:dyDescent="0.2">
      <c r="B2314" s="42"/>
      <c r="C2314" s="43"/>
      <c r="D2314" s="43"/>
      <c r="E2314" s="43"/>
      <c r="F2314" s="43"/>
      <c r="G2314" s="43"/>
    </row>
    <row r="2558" spans="3:7" ht="12.75" customHeight="1" x14ac:dyDescent="0.2">
      <c r="C2558" s="4">
        <v>0</v>
      </c>
      <c r="D2558" s="4">
        <v>0</v>
      </c>
      <c r="E2558" s="4">
        <v>0</v>
      </c>
      <c r="F2558" s="4">
        <v>0</v>
      </c>
      <c r="G2558" s="4">
        <v>0</v>
      </c>
    </row>
    <row r="2559" spans="3:7" ht="12.75" customHeight="1" x14ac:dyDescent="0.2">
      <c r="C2559" s="4">
        <v>0</v>
      </c>
      <c r="D2559" s="4">
        <v>0</v>
      </c>
      <c r="E2559" s="4">
        <v>0</v>
      </c>
      <c r="F2559" s="4">
        <v>0</v>
      </c>
      <c r="G2559" s="4">
        <v>0</v>
      </c>
    </row>
    <row r="2560" spans="3:7" ht="12.75" customHeight="1" x14ac:dyDescent="0.2">
      <c r="C2560" s="4">
        <v>0</v>
      </c>
      <c r="D2560" s="4">
        <v>0</v>
      </c>
      <c r="E2560" s="4">
        <v>0</v>
      </c>
      <c r="F2560" s="4">
        <v>0</v>
      </c>
      <c r="G2560" s="4">
        <v>0</v>
      </c>
    </row>
    <row r="2561" spans="3:7" ht="12.75" customHeight="1" x14ac:dyDescent="0.2">
      <c r="C2561" s="4">
        <v>0</v>
      </c>
      <c r="D2561" s="4">
        <v>0</v>
      </c>
      <c r="E2561" s="4">
        <v>0</v>
      </c>
      <c r="F2561" s="4">
        <v>0</v>
      </c>
      <c r="G2561" s="4">
        <v>0</v>
      </c>
    </row>
    <row r="2562" spans="3:7" ht="12.75" customHeight="1" x14ac:dyDescent="0.2">
      <c r="C2562" s="4">
        <v>0</v>
      </c>
      <c r="D2562" s="4">
        <v>0</v>
      </c>
      <c r="E2562" s="4">
        <v>0</v>
      </c>
      <c r="F2562" s="4">
        <v>0</v>
      </c>
      <c r="G2562" s="4">
        <v>0</v>
      </c>
    </row>
    <row r="2563" spans="3:7" ht="12.75" customHeight="1" x14ac:dyDescent="0.2">
      <c r="C2563" s="4">
        <v>0</v>
      </c>
      <c r="D2563" s="4">
        <v>0</v>
      </c>
      <c r="E2563" s="4">
        <v>0</v>
      </c>
      <c r="F2563" s="4">
        <v>0</v>
      </c>
      <c r="G2563" s="4">
        <v>0</v>
      </c>
    </row>
    <row r="2564" spans="3:7" ht="12.75" customHeight="1" x14ac:dyDescent="0.2">
      <c r="C2564" s="4">
        <v>0</v>
      </c>
      <c r="D2564" s="4">
        <v>0</v>
      </c>
      <c r="E2564" s="4">
        <v>0</v>
      </c>
      <c r="F2564" s="4">
        <v>0</v>
      </c>
      <c r="G2564" s="4">
        <v>0</v>
      </c>
    </row>
    <row r="2565" spans="3:7" ht="12.75" customHeight="1" x14ac:dyDescent="0.2">
      <c r="C2565" s="4">
        <v>0</v>
      </c>
      <c r="D2565" s="4">
        <v>0</v>
      </c>
      <c r="E2565" s="4">
        <v>0</v>
      </c>
      <c r="F2565" s="4">
        <v>0</v>
      </c>
      <c r="G2565" s="4">
        <v>0</v>
      </c>
    </row>
    <row r="2566" spans="3:7" ht="12.75" customHeight="1" x14ac:dyDescent="0.2">
      <c r="C2566" s="4">
        <v>0</v>
      </c>
      <c r="D2566" s="4">
        <v>0</v>
      </c>
      <c r="E2566" s="4">
        <v>0</v>
      </c>
      <c r="F2566" s="4">
        <v>0</v>
      </c>
      <c r="G2566" s="4">
        <v>0</v>
      </c>
    </row>
    <row r="2567" spans="3:7" ht="12.75" customHeight="1" x14ac:dyDescent="0.2">
      <c r="C2567" s="4">
        <v>0</v>
      </c>
      <c r="D2567" s="4">
        <v>0</v>
      </c>
      <c r="E2567" s="4">
        <v>0</v>
      </c>
      <c r="F2567" s="4">
        <v>0</v>
      </c>
      <c r="G2567" s="4">
        <v>0</v>
      </c>
    </row>
    <row r="2568" spans="3:7" ht="12.75" customHeight="1" x14ac:dyDescent="0.2">
      <c r="C2568" s="4">
        <v>0</v>
      </c>
      <c r="D2568" s="4">
        <v>0</v>
      </c>
      <c r="E2568" s="4">
        <v>0</v>
      </c>
      <c r="F2568" s="4">
        <v>0</v>
      </c>
      <c r="G2568" s="4">
        <v>0</v>
      </c>
    </row>
    <row r="2569" spans="3:7" ht="12.75" customHeight="1" x14ac:dyDescent="0.2">
      <c r="C2569" s="4">
        <v>0</v>
      </c>
      <c r="D2569" s="4">
        <v>0</v>
      </c>
      <c r="E2569" s="4">
        <v>0</v>
      </c>
      <c r="F2569" s="4">
        <v>0</v>
      </c>
      <c r="G2569" s="4">
        <v>0</v>
      </c>
    </row>
    <row r="2570" spans="3:7" ht="12.75" customHeight="1" x14ac:dyDescent="0.2">
      <c r="C2570" s="4">
        <v>0</v>
      </c>
      <c r="D2570" s="4">
        <v>0</v>
      </c>
      <c r="E2570" s="4">
        <v>0</v>
      </c>
      <c r="F2570" s="4">
        <v>0</v>
      </c>
      <c r="G2570" s="4">
        <v>0</v>
      </c>
    </row>
    <row r="2571" spans="3:7" ht="12.75" customHeight="1" x14ac:dyDescent="0.2">
      <c r="C2571" s="4">
        <v>0</v>
      </c>
      <c r="D2571" s="4">
        <v>0</v>
      </c>
      <c r="E2571" s="4">
        <v>0</v>
      </c>
      <c r="F2571" s="4">
        <v>0</v>
      </c>
      <c r="G2571" s="4">
        <v>0</v>
      </c>
    </row>
    <row r="2573" spans="3:7" ht="12.75" customHeight="1" x14ac:dyDescent="0.2">
      <c r="C2573" s="4">
        <v>0</v>
      </c>
      <c r="D2573" s="4">
        <v>0</v>
      </c>
      <c r="E2573" s="4">
        <v>0</v>
      </c>
      <c r="F2573" s="4">
        <v>0</v>
      </c>
      <c r="G2573" s="4">
        <v>0</v>
      </c>
    </row>
    <row r="2574" spans="3:7" ht="12.75" customHeight="1" x14ac:dyDescent="0.2">
      <c r="C2574" s="4">
        <v>0</v>
      </c>
      <c r="D2574" s="4">
        <v>0</v>
      </c>
      <c r="E2574" s="4">
        <v>0</v>
      </c>
      <c r="F2574" s="4">
        <v>0</v>
      </c>
      <c r="G2574" s="4">
        <v>0</v>
      </c>
    </row>
    <row r="2575" spans="3:7" ht="12.75" customHeight="1" x14ac:dyDescent="0.2">
      <c r="C2575" s="4">
        <v>0</v>
      </c>
      <c r="D2575" s="4">
        <v>0</v>
      </c>
      <c r="E2575" s="4">
        <v>0</v>
      </c>
      <c r="F2575" s="4">
        <v>0</v>
      </c>
      <c r="G2575" s="4">
        <v>0</v>
      </c>
    </row>
    <row r="2576" spans="3:7" ht="12.75" customHeight="1" x14ac:dyDescent="0.2">
      <c r="C2576" s="4">
        <v>0</v>
      </c>
      <c r="D2576" s="4">
        <v>0</v>
      </c>
      <c r="E2576" s="4">
        <v>0</v>
      </c>
      <c r="F2576" s="4">
        <v>0</v>
      </c>
      <c r="G2576" s="4">
        <v>0</v>
      </c>
    </row>
    <row r="2577" spans="3:7" ht="12.75" customHeight="1" x14ac:dyDescent="0.2">
      <c r="C2577" s="4">
        <v>0</v>
      </c>
      <c r="D2577" s="4">
        <v>0</v>
      </c>
      <c r="E2577" s="4">
        <v>0</v>
      </c>
      <c r="F2577" s="4">
        <v>0</v>
      </c>
      <c r="G2577" s="4">
        <v>0</v>
      </c>
    </row>
    <row r="2578" spans="3:7" ht="12.75" customHeight="1" x14ac:dyDescent="0.2">
      <c r="C2578" s="4">
        <v>0</v>
      </c>
      <c r="D2578" s="4">
        <v>0</v>
      </c>
      <c r="E2578" s="4">
        <v>0</v>
      </c>
      <c r="F2578" s="4">
        <v>0</v>
      </c>
      <c r="G2578" s="4">
        <v>0</v>
      </c>
    </row>
    <row r="2581" spans="3:7" ht="12.75" customHeight="1" x14ac:dyDescent="0.2">
      <c r="C2581" s="4">
        <v>0</v>
      </c>
      <c r="D2581" s="4">
        <v>0</v>
      </c>
      <c r="E2581" s="4">
        <v>0</v>
      </c>
      <c r="F2581" s="4">
        <v>0</v>
      </c>
      <c r="G2581" s="4">
        <v>0</v>
      </c>
    </row>
    <row r="2582" spans="3:7" ht="12.75" customHeight="1" x14ac:dyDescent="0.2">
      <c r="C2582" s="4">
        <v>0</v>
      </c>
      <c r="D2582" s="4">
        <v>0</v>
      </c>
      <c r="E2582" s="4">
        <v>0</v>
      </c>
      <c r="F2582" s="4">
        <v>0</v>
      </c>
      <c r="G2582" s="4">
        <v>0</v>
      </c>
    </row>
    <row r="2583" spans="3:7" ht="12.75" customHeight="1" x14ac:dyDescent="0.2">
      <c r="C2583" s="4">
        <v>0</v>
      </c>
      <c r="D2583" s="4">
        <v>0</v>
      </c>
      <c r="E2583" s="4">
        <v>0</v>
      </c>
      <c r="F2583" s="4">
        <v>0</v>
      </c>
      <c r="G2583" s="4">
        <v>0</v>
      </c>
    </row>
    <row r="2584" spans="3:7" ht="12.75" customHeight="1" x14ac:dyDescent="0.2">
      <c r="C2584" s="4">
        <v>0</v>
      </c>
      <c r="D2584" s="4">
        <v>0</v>
      </c>
      <c r="E2584" s="4">
        <v>0</v>
      </c>
      <c r="F2584" s="4">
        <v>0</v>
      </c>
      <c r="G2584" s="4">
        <v>0</v>
      </c>
    </row>
    <row r="2585" spans="3:7" ht="12.75" customHeight="1" x14ac:dyDescent="0.2">
      <c r="C2585" s="4">
        <v>0</v>
      </c>
      <c r="D2585" s="4">
        <v>0</v>
      </c>
      <c r="E2585" s="4">
        <v>0</v>
      </c>
      <c r="F2585" s="4">
        <v>0</v>
      </c>
      <c r="G2585" s="4">
        <v>0</v>
      </c>
    </row>
    <row r="2586" spans="3:7" ht="12.75" customHeight="1" x14ac:dyDescent="0.2">
      <c r="C2586" s="4">
        <v>0</v>
      </c>
      <c r="D2586" s="4">
        <v>0</v>
      </c>
      <c r="E2586" s="4">
        <v>0</v>
      </c>
      <c r="F2586" s="4">
        <v>0</v>
      </c>
      <c r="G2586" s="4">
        <v>0</v>
      </c>
    </row>
    <row r="2587" spans="3:7" ht="12.75" customHeight="1" x14ac:dyDescent="0.2">
      <c r="C2587" s="4">
        <v>0</v>
      </c>
      <c r="D2587" s="4">
        <v>0</v>
      </c>
      <c r="E2587" s="4">
        <v>0</v>
      </c>
      <c r="F2587" s="4">
        <v>0</v>
      </c>
      <c r="G2587" s="4">
        <v>0</v>
      </c>
    </row>
    <row r="2590" spans="3:7" ht="12.75" customHeight="1" x14ac:dyDescent="0.2">
      <c r="C2590" s="4">
        <v>0</v>
      </c>
      <c r="D2590" s="4">
        <v>0</v>
      </c>
      <c r="E2590" s="4">
        <v>0</v>
      </c>
      <c r="F2590" s="4">
        <v>0</v>
      </c>
      <c r="G2590" s="4">
        <v>0</v>
      </c>
    </row>
    <row r="2591" spans="3:7" ht="12.75" customHeight="1" x14ac:dyDescent="0.2">
      <c r="C2591" s="4">
        <v>0</v>
      </c>
      <c r="D2591" s="4">
        <v>0</v>
      </c>
      <c r="E2591" s="4">
        <v>0</v>
      </c>
      <c r="F2591" s="4">
        <v>0</v>
      </c>
      <c r="G2591" s="4">
        <v>0</v>
      </c>
    </row>
    <row r="2592" spans="3:7" ht="12.75" customHeight="1" x14ac:dyDescent="0.2">
      <c r="C2592" s="4">
        <v>0</v>
      </c>
      <c r="D2592" s="4">
        <v>0</v>
      </c>
      <c r="E2592" s="4">
        <v>0</v>
      </c>
      <c r="F2592" s="4">
        <v>0</v>
      </c>
      <c r="G2592" s="4">
        <v>0</v>
      </c>
    </row>
    <row r="2597" spans="3:7" ht="12.75" customHeight="1" x14ac:dyDescent="0.2">
      <c r="C2597" s="4">
        <v>0</v>
      </c>
      <c r="D2597" s="4">
        <v>0</v>
      </c>
      <c r="E2597" s="4">
        <v>0</v>
      </c>
      <c r="F2597" s="4">
        <v>0</v>
      </c>
      <c r="G2597" s="4">
        <v>0</v>
      </c>
    </row>
    <row r="2598" spans="3:7" ht="12.75" customHeight="1" x14ac:dyDescent="0.2">
      <c r="C2598" s="4">
        <v>0</v>
      </c>
      <c r="D2598" s="4">
        <v>0</v>
      </c>
      <c r="E2598" s="4">
        <v>0</v>
      </c>
      <c r="F2598" s="4">
        <v>0</v>
      </c>
      <c r="G2598" s="4">
        <v>0</v>
      </c>
    </row>
    <row r="2599" spans="3:7" ht="12.75" customHeight="1" x14ac:dyDescent="0.2">
      <c r="C2599" s="4">
        <v>0</v>
      </c>
      <c r="D2599" s="4">
        <v>0</v>
      </c>
      <c r="E2599" s="4">
        <v>0</v>
      </c>
      <c r="F2599" s="4">
        <v>0</v>
      </c>
      <c r="G2599" s="4">
        <v>0</v>
      </c>
    </row>
    <row r="2600" spans="3:7" ht="12.75" customHeight="1" x14ac:dyDescent="0.2">
      <c r="C2600" s="4">
        <v>0</v>
      </c>
      <c r="D2600" s="4">
        <v>0</v>
      </c>
      <c r="E2600" s="4">
        <v>0</v>
      </c>
      <c r="F2600" s="4">
        <v>0</v>
      </c>
      <c r="G2600" s="4">
        <v>0</v>
      </c>
    </row>
    <row r="2601" spans="3:7" ht="12.75" customHeight="1" x14ac:dyDescent="0.2">
      <c r="C2601" s="4">
        <v>0</v>
      </c>
      <c r="D2601" s="4">
        <v>0</v>
      </c>
      <c r="E2601" s="4">
        <v>0</v>
      </c>
      <c r="F2601" s="4">
        <v>0</v>
      </c>
      <c r="G2601" s="4">
        <v>0</v>
      </c>
    </row>
    <row r="2602" spans="3:7" ht="12.75" customHeight="1" x14ac:dyDescent="0.2">
      <c r="C2602" s="4">
        <v>0</v>
      </c>
      <c r="D2602" s="4">
        <v>0</v>
      </c>
      <c r="E2602" s="4">
        <v>0</v>
      </c>
      <c r="F2602" s="4">
        <v>0</v>
      </c>
      <c r="G2602" s="4">
        <v>0</v>
      </c>
    </row>
    <row r="2603" spans="3:7" ht="12.75" customHeight="1" x14ac:dyDescent="0.2">
      <c r="C2603" s="4">
        <v>0</v>
      </c>
      <c r="D2603" s="4">
        <v>0</v>
      </c>
      <c r="E2603" s="4">
        <v>0</v>
      </c>
      <c r="F2603" s="4">
        <v>0</v>
      </c>
      <c r="G2603" s="4">
        <v>0</v>
      </c>
    </row>
    <row r="2604" spans="3:7" ht="12.75" customHeight="1" x14ac:dyDescent="0.2">
      <c r="C2604" s="4">
        <v>0</v>
      </c>
      <c r="D2604" s="4">
        <v>0</v>
      </c>
      <c r="E2604" s="4">
        <v>0</v>
      </c>
      <c r="F2604" s="4">
        <v>0</v>
      </c>
      <c r="G2604" s="4">
        <v>0</v>
      </c>
    </row>
    <row r="2605" spans="3:7" ht="12.75" customHeight="1" x14ac:dyDescent="0.2">
      <c r="C2605" s="4">
        <v>0</v>
      </c>
      <c r="D2605" s="4">
        <v>0</v>
      </c>
      <c r="E2605" s="4">
        <v>0</v>
      </c>
      <c r="F2605" s="4">
        <v>0</v>
      </c>
      <c r="G2605" s="4">
        <v>0</v>
      </c>
    </row>
    <row r="2606" spans="3:7" ht="12.75" customHeight="1" x14ac:dyDescent="0.2">
      <c r="C2606" s="4">
        <v>0</v>
      </c>
      <c r="D2606" s="4">
        <v>0</v>
      </c>
      <c r="E2606" s="4">
        <v>0</v>
      </c>
      <c r="F2606" s="4">
        <v>0</v>
      </c>
      <c r="G2606" s="4">
        <v>0</v>
      </c>
    </row>
    <row r="2607" spans="3:7" ht="12.75" customHeight="1" x14ac:dyDescent="0.2">
      <c r="C2607" s="4">
        <v>0</v>
      </c>
      <c r="D2607" s="4">
        <v>0</v>
      </c>
      <c r="E2607" s="4">
        <v>0</v>
      </c>
      <c r="F2607" s="4">
        <v>0</v>
      </c>
      <c r="G2607" s="4">
        <v>0</v>
      </c>
    </row>
    <row r="2608" spans="3:7" ht="12.75" customHeight="1" x14ac:dyDescent="0.2">
      <c r="C2608" s="4">
        <v>0</v>
      </c>
      <c r="D2608" s="4">
        <v>0</v>
      </c>
      <c r="E2608" s="4">
        <v>0</v>
      </c>
      <c r="F2608" s="4">
        <v>0</v>
      </c>
      <c r="G2608" s="4">
        <v>0</v>
      </c>
    </row>
    <row r="2609" spans="3:7" ht="12.75" customHeight="1" x14ac:dyDescent="0.2">
      <c r="C2609" s="4">
        <v>0</v>
      </c>
      <c r="D2609" s="4">
        <v>0</v>
      </c>
      <c r="E2609" s="4">
        <v>0</v>
      </c>
      <c r="F2609" s="4">
        <v>0</v>
      </c>
      <c r="G2609" s="4">
        <v>0</v>
      </c>
    </row>
    <row r="2610" spans="3:7" ht="12.75" customHeight="1" x14ac:dyDescent="0.2">
      <c r="C2610" s="4">
        <v>0</v>
      </c>
      <c r="D2610" s="4">
        <v>0</v>
      </c>
      <c r="E2610" s="4">
        <v>0</v>
      </c>
      <c r="F2610" s="4">
        <v>0</v>
      </c>
      <c r="G2610" s="4">
        <v>0</v>
      </c>
    </row>
    <row r="2612" spans="3:7" ht="12.75" customHeight="1" x14ac:dyDescent="0.2">
      <c r="C2612" s="4">
        <v>0</v>
      </c>
      <c r="D2612" s="4">
        <v>0</v>
      </c>
      <c r="E2612" s="4">
        <v>0</v>
      </c>
      <c r="F2612" s="4">
        <v>0</v>
      </c>
      <c r="G2612" s="4">
        <v>0</v>
      </c>
    </row>
    <row r="2613" spans="3:7" ht="12.75" customHeight="1" x14ac:dyDescent="0.2">
      <c r="C2613" s="4">
        <v>0</v>
      </c>
      <c r="D2613" s="4">
        <v>0</v>
      </c>
      <c r="E2613" s="4">
        <v>0</v>
      </c>
      <c r="F2613" s="4">
        <v>0</v>
      </c>
      <c r="G2613" s="4">
        <v>0</v>
      </c>
    </row>
    <row r="2614" spans="3:7" ht="12.75" customHeight="1" x14ac:dyDescent="0.2">
      <c r="C2614" s="4">
        <v>0</v>
      </c>
      <c r="D2614" s="4">
        <v>0</v>
      </c>
      <c r="E2614" s="4">
        <v>0</v>
      </c>
      <c r="F2614" s="4">
        <v>0</v>
      </c>
      <c r="G2614" s="4">
        <v>0</v>
      </c>
    </row>
    <row r="2615" spans="3:7" ht="12.75" customHeight="1" x14ac:dyDescent="0.2">
      <c r="C2615" s="4">
        <v>0</v>
      </c>
      <c r="D2615" s="4">
        <v>0</v>
      </c>
      <c r="E2615" s="4">
        <v>0</v>
      </c>
      <c r="F2615" s="4">
        <v>0</v>
      </c>
      <c r="G2615" s="4">
        <v>0</v>
      </c>
    </row>
    <row r="2618" spans="3:7" ht="12.75" customHeight="1" x14ac:dyDescent="0.2">
      <c r="C2618" s="4">
        <v>0</v>
      </c>
      <c r="D2618" s="4">
        <v>0</v>
      </c>
      <c r="E2618" s="4">
        <v>0</v>
      </c>
      <c r="F2618" s="4">
        <v>0</v>
      </c>
      <c r="G2618" s="4">
        <v>0</v>
      </c>
    </row>
    <row r="2619" spans="3:7" ht="12.75" customHeight="1" x14ac:dyDescent="0.2">
      <c r="C2619" s="4">
        <v>0</v>
      </c>
      <c r="D2619" s="4">
        <v>0</v>
      </c>
      <c r="E2619" s="4">
        <v>0</v>
      </c>
      <c r="F2619" s="4">
        <v>0</v>
      </c>
      <c r="G2619" s="4">
        <v>0</v>
      </c>
    </row>
    <row r="2620" spans="3:7" ht="12.75" customHeight="1" x14ac:dyDescent="0.2">
      <c r="C2620" s="4">
        <v>0</v>
      </c>
      <c r="D2620" s="4">
        <v>0</v>
      </c>
      <c r="E2620" s="4">
        <v>0</v>
      </c>
      <c r="F2620" s="4">
        <v>0</v>
      </c>
      <c r="G2620" s="4">
        <v>0</v>
      </c>
    </row>
    <row r="2623" spans="3:7" ht="12.75" customHeight="1" x14ac:dyDescent="0.2">
      <c r="C2623" s="4">
        <v>0</v>
      </c>
      <c r="D2623" s="4">
        <v>0</v>
      </c>
      <c r="E2623" s="4">
        <v>0</v>
      </c>
      <c r="F2623" s="4">
        <v>0</v>
      </c>
      <c r="G2623" s="4">
        <v>0</v>
      </c>
    </row>
    <row r="2624" spans="3:7" ht="12.75" customHeight="1" x14ac:dyDescent="0.2">
      <c r="C2624" s="4">
        <v>0</v>
      </c>
      <c r="D2624" s="4">
        <v>0</v>
      </c>
      <c r="E2624" s="4">
        <v>0</v>
      </c>
      <c r="F2624" s="4">
        <v>0</v>
      </c>
      <c r="G2624" s="4">
        <v>0</v>
      </c>
    </row>
    <row r="2625" spans="3:7" ht="12.75" customHeight="1" x14ac:dyDescent="0.2">
      <c r="C2625" s="4">
        <v>0</v>
      </c>
      <c r="D2625" s="4">
        <v>0</v>
      </c>
      <c r="E2625" s="4">
        <v>0</v>
      </c>
      <c r="F2625" s="4">
        <v>0</v>
      </c>
      <c r="G2625" s="4">
        <v>0</v>
      </c>
    </row>
    <row r="2626" spans="3:7" ht="12.75" customHeight="1" x14ac:dyDescent="0.2">
      <c r="C2626" s="4">
        <v>0</v>
      </c>
      <c r="D2626" s="4">
        <v>0</v>
      </c>
      <c r="E2626" s="4">
        <v>0</v>
      </c>
      <c r="F2626" s="4">
        <v>0</v>
      </c>
      <c r="G2626" s="4">
        <v>0</v>
      </c>
    </row>
    <row r="2629" spans="3:7" ht="12.75" customHeight="1" x14ac:dyDescent="0.2">
      <c r="C2629" s="4">
        <v>0</v>
      </c>
      <c r="D2629" s="4">
        <v>0</v>
      </c>
      <c r="E2629" s="4">
        <v>0</v>
      </c>
      <c r="F2629" s="4">
        <v>0</v>
      </c>
      <c r="G2629" s="4">
        <v>0</v>
      </c>
    </row>
    <row r="2630" spans="3:7" ht="12.75" customHeight="1" x14ac:dyDescent="0.2">
      <c r="C2630" s="4">
        <v>0</v>
      </c>
      <c r="D2630" s="4">
        <v>0</v>
      </c>
      <c r="E2630" s="4">
        <v>0</v>
      </c>
      <c r="F2630" s="4">
        <v>0</v>
      </c>
      <c r="G2630" s="4">
        <v>0</v>
      </c>
    </row>
    <row r="2631" spans="3:7" ht="12.75" customHeight="1" x14ac:dyDescent="0.2">
      <c r="C2631" s="4">
        <v>0</v>
      </c>
      <c r="D2631" s="4">
        <v>0</v>
      </c>
      <c r="E2631" s="4">
        <v>0</v>
      </c>
      <c r="F2631" s="4">
        <v>0</v>
      </c>
      <c r="G2631" s="4">
        <v>0</v>
      </c>
    </row>
    <row r="2632" spans="3:7" ht="12.75" customHeight="1" x14ac:dyDescent="0.2">
      <c r="C2632" s="4">
        <v>0</v>
      </c>
      <c r="D2632" s="4">
        <v>0</v>
      </c>
      <c r="E2632" s="4">
        <v>0</v>
      </c>
      <c r="F2632" s="4">
        <v>0</v>
      </c>
      <c r="G2632" s="4">
        <v>0</v>
      </c>
    </row>
    <row r="2633" spans="3:7" ht="12.75" customHeight="1" x14ac:dyDescent="0.2">
      <c r="C2633" s="4">
        <v>0</v>
      </c>
      <c r="D2633" s="4">
        <v>0</v>
      </c>
      <c r="E2633" s="4">
        <v>0</v>
      </c>
      <c r="F2633" s="4">
        <v>0</v>
      </c>
      <c r="G2633" s="4">
        <v>0</v>
      </c>
    </row>
    <row r="2634" spans="3:7" ht="12.75" customHeight="1" x14ac:dyDescent="0.2">
      <c r="C2634" s="4">
        <v>0</v>
      </c>
      <c r="D2634" s="4">
        <v>0</v>
      </c>
      <c r="E2634" s="4">
        <v>0</v>
      </c>
      <c r="F2634" s="4">
        <v>0</v>
      </c>
      <c r="G2634" s="4">
        <v>0</v>
      </c>
    </row>
    <row r="2638" spans="3:7" ht="12.75" customHeight="1" x14ac:dyDescent="0.2">
      <c r="C2638" s="4">
        <v>0</v>
      </c>
      <c r="D2638" s="4">
        <v>0</v>
      </c>
      <c r="E2638" s="4">
        <v>0</v>
      </c>
      <c r="F2638" s="4">
        <v>0</v>
      </c>
      <c r="G2638" s="4">
        <v>0</v>
      </c>
    </row>
    <row r="2639" spans="3:7" ht="12.75" customHeight="1" x14ac:dyDescent="0.2">
      <c r="C2639" s="4">
        <v>0</v>
      </c>
      <c r="D2639" s="4">
        <v>0</v>
      </c>
      <c r="E2639" s="4">
        <v>0</v>
      </c>
      <c r="F2639" s="4">
        <v>0</v>
      </c>
      <c r="G2639" s="4">
        <v>0</v>
      </c>
    </row>
    <row r="2642" spans="3:7" ht="12.75" customHeight="1" x14ac:dyDescent="0.2">
      <c r="C2642" s="4">
        <v>0</v>
      </c>
      <c r="D2642" s="4">
        <v>0</v>
      </c>
      <c r="E2642" s="4">
        <v>0</v>
      </c>
      <c r="F2642" s="4">
        <v>0</v>
      </c>
      <c r="G2642" s="4">
        <v>0</v>
      </c>
    </row>
    <row r="2644" spans="3:7" ht="12.75" customHeight="1" x14ac:dyDescent="0.2">
      <c r="C2644" s="4">
        <v>0</v>
      </c>
      <c r="D2644" s="4">
        <v>0</v>
      </c>
      <c r="E2644" s="4">
        <v>0</v>
      </c>
      <c r="F2644" s="4">
        <v>0</v>
      </c>
      <c r="G2644" s="4">
        <v>0</v>
      </c>
    </row>
    <row r="2645" spans="3:7" ht="12.75" customHeight="1" x14ac:dyDescent="0.2">
      <c r="C2645" s="4">
        <v>0</v>
      </c>
      <c r="D2645" s="4">
        <v>0</v>
      </c>
      <c r="E2645" s="4">
        <v>0</v>
      </c>
      <c r="F2645" s="4">
        <v>0</v>
      </c>
      <c r="G2645" s="4">
        <v>0</v>
      </c>
    </row>
    <row r="2646" spans="3:7" ht="12.75" customHeight="1" x14ac:dyDescent="0.2">
      <c r="C2646" s="4">
        <v>0</v>
      </c>
      <c r="D2646" s="4">
        <v>0</v>
      </c>
      <c r="E2646" s="4">
        <v>0</v>
      </c>
      <c r="F2646" s="4">
        <v>0</v>
      </c>
      <c r="G2646" s="4">
        <v>0</v>
      </c>
    </row>
    <row r="2647" spans="3:7" ht="12.75" customHeight="1" x14ac:dyDescent="0.2">
      <c r="C2647" s="4">
        <v>0</v>
      </c>
      <c r="D2647" s="4">
        <v>0</v>
      </c>
      <c r="E2647" s="4">
        <v>0</v>
      </c>
      <c r="F2647" s="4">
        <v>0</v>
      </c>
      <c r="G2647" s="4">
        <v>0</v>
      </c>
    </row>
    <row r="2648" spans="3:7" ht="12.75" customHeight="1" x14ac:dyDescent="0.2">
      <c r="C2648" s="4">
        <v>0</v>
      </c>
      <c r="D2648" s="4">
        <v>0</v>
      </c>
      <c r="E2648" s="4">
        <v>0</v>
      </c>
      <c r="F2648" s="4">
        <v>0</v>
      </c>
      <c r="G2648" s="4">
        <v>0</v>
      </c>
    </row>
    <row r="2650" spans="3:7" ht="12.75" customHeight="1" x14ac:dyDescent="0.2">
      <c r="C2650" s="4">
        <v>0</v>
      </c>
      <c r="D2650" s="4">
        <v>0</v>
      </c>
      <c r="E2650" s="4">
        <v>0</v>
      </c>
      <c r="F2650" s="4">
        <v>0</v>
      </c>
      <c r="G2650" s="4">
        <v>0</v>
      </c>
    </row>
    <row r="2651" spans="3:7" ht="12.75" customHeight="1" x14ac:dyDescent="0.2">
      <c r="C2651" s="4">
        <v>0</v>
      </c>
      <c r="D2651" s="4">
        <v>0</v>
      </c>
      <c r="E2651" s="4">
        <v>0</v>
      </c>
      <c r="F2651" s="4">
        <v>0</v>
      </c>
      <c r="G2651" s="4">
        <v>0</v>
      </c>
    </row>
    <row r="2652" spans="3:7" ht="12.75" customHeight="1" x14ac:dyDescent="0.2">
      <c r="C2652" s="4">
        <v>0</v>
      </c>
      <c r="D2652" s="4">
        <v>0</v>
      </c>
      <c r="E2652" s="4">
        <v>0</v>
      </c>
      <c r="F2652" s="4">
        <v>0</v>
      </c>
      <c r="G2652" s="4">
        <v>0</v>
      </c>
    </row>
    <row r="2653" spans="3:7" ht="12.75" customHeight="1" x14ac:dyDescent="0.2">
      <c r="C2653" s="4">
        <v>0</v>
      </c>
      <c r="D2653" s="4">
        <v>0</v>
      </c>
      <c r="E2653" s="4">
        <v>0</v>
      </c>
      <c r="F2653" s="4">
        <v>0</v>
      </c>
      <c r="G2653" s="4">
        <v>0</v>
      </c>
    </row>
    <row r="2655" spans="3:7" ht="12.75" customHeight="1" x14ac:dyDescent="0.2">
      <c r="C2655" s="4">
        <v>0</v>
      </c>
      <c r="D2655" s="4">
        <v>0</v>
      </c>
      <c r="E2655" s="4">
        <v>0</v>
      </c>
      <c r="F2655" s="4">
        <v>0</v>
      </c>
      <c r="G2655" s="4">
        <v>0</v>
      </c>
    </row>
    <row r="2656" spans="3:7" ht="12.75" customHeight="1" x14ac:dyDescent="0.2">
      <c r="C2656" s="4">
        <v>0</v>
      </c>
      <c r="D2656" s="4">
        <v>0</v>
      </c>
      <c r="E2656" s="4">
        <v>0</v>
      </c>
      <c r="F2656" s="4">
        <v>0</v>
      </c>
      <c r="G2656" s="4">
        <v>0</v>
      </c>
    </row>
    <row r="2658" spans="3:7" ht="12.75" customHeight="1" x14ac:dyDescent="0.2">
      <c r="C2658" s="4">
        <v>0</v>
      </c>
      <c r="D2658" s="4">
        <v>0</v>
      </c>
      <c r="E2658" s="4">
        <v>0</v>
      </c>
      <c r="F2658" s="4">
        <v>0</v>
      </c>
      <c r="G2658" s="4">
        <v>0</v>
      </c>
    </row>
    <row r="2660" spans="3:7" ht="12.75" customHeight="1" x14ac:dyDescent="0.2">
      <c r="C2660" s="4">
        <v>0</v>
      </c>
      <c r="D2660" s="4">
        <v>0</v>
      </c>
      <c r="E2660" s="4">
        <v>0</v>
      </c>
      <c r="F2660" s="4">
        <v>0</v>
      </c>
      <c r="G2660" s="4">
        <v>0</v>
      </c>
    </row>
    <row r="2661" spans="3:7" ht="12.75" customHeight="1" x14ac:dyDescent="0.2">
      <c r="C2661" s="4">
        <v>0</v>
      </c>
      <c r="D2661" s="4">
        <v>0</v>
      </c>
      <c r="E2661" s="4">
        <v>0</v>
      </c>
      <c r="F2661" s="4">
        <v>0</v>
      </c>
      <c r="G2661" s="4">
        <v>0</v>
      </c>
    </row>
    <row r="2662" spans="3:7" ht="12.75" customHeight="1" x14ac:dyDescent="0.2">
      <c r="C2662" s="4">
        <v>0</v>
      </c>
      <c r="D2662" s="4">
        <v>0</v>
      </c>
      <c r="E2662" s="4">
        <v>0</v>
      </c>
      <c r="F2662" s="4">
        <v>0</v>
      </c>
      <c r="G2662" s="4">
        <v>0</v>
      </c>
    </row>
    <row r="2663" spans="3:7" ht="12.75" customHeight="1" x14ac:dyDescent="0.2">
      <c r="C2663" s="4">
        <v>0</v>
      </c>
      <c r="D2663" s="4">
        <v>0</v>
      </c>
      <c r="E2663" s="4">
        <v>0</v>
      </c>
      <c r="F2663" s="4">
        <v>0</v>
      </c>
      <c r="G2663" s="4">
        <v>0</v>
      </c>
    </row>
    <row r="2664" spans="3:7" ht="12.75" customHeight="1" x14ac:dyDescent="0.2">
      <c r="C2664" s="4">
        <v>0</v>
      </c>
      <c r="D2664" s="4">
        <v>0</v>
      </c>
      <c r="E2664" s="4">
        <v>0</v>
      </c>
      <c r="F2664" s="4">
        <v>0</v>
      </c>
      <c r="G2664" s="4">
        <v>0</v>
      </c>
    </row>
    <row r="2665" spans="3:7" ht="12.75" customHeight="1" x14ac:dyDescent="0.2">
      <c r="C2665" s="4">
        <v>0</v>
      </c>
      <c r="D2665" s="4">
        <v>0</v>
      </c>
      <c r="E2665" s="4">
        <v>0</v>
      </c>
      <c r="F2665" s="4">
        <v>0</v>
      </c>
      <c r="G2665" s="4">
        <v>0</v>
      </c>
    </row>
    <row r="2666" spans="3:7" ht="12.75" customHeight="1" x14ac:dyDescent="0.2">
      <c r="C2666" s="4">
        <v>0</v>
      </c>
      <c r="D2666" s="4">
        <v>0</v>
      </c>
      <c r="E2666" s="4">
        <v>0</v>
      </c>
      <c r="F2666" s="4">
        <v>0</v>
      </c>
      <c r="G2666" s="4">
        <v>0</v>
      </c>
    </row>
    <row r="2667" spans="3:7" ht="12.75" customHeight="1" x14ac:dyDescent="0.2">
      <c r="C2667" s="4">
        <v>0</v>
      </c>
      <c r="D2667" s="4">
        <v>0</v>
      </c>
      <c r="E2667" s="4">
        <v>0</v>
      </c>
      <c r="F2667" s="4">
        <v>0</v>
      </c>
      <c r="G2667" s="4">
        <v>0</v>
      </c>
    </row>
    <row r="2669" spans="3:7" ht="12.75" customHeight="1" x14ac:dyDescent="0.2">
      <c r="C2669" s="4">
        <v>0</v>
      </c>
      <c r="D2669" s="4">
        <v>0</v>
      </c>
      <c r="E2669" s="4">
        <v>0</v>
      </c>
      <c r="F2669" s="4">
        <v>0</v>
      </c>
      <c r="G2669" s="4">
        <v>0</v>
      </c>
    </row>
    <row r="2671" spans="3:7" ht="12.75" customHeight="1" x14ac:dyDescent="0.2">
      <c r="C2671" s="4">
        <v>0</v>
      </c>
      <c r="D2671" s="4">
        <v>0</v>
      </c>
      <c r="E2671" s="4">
        <v>0</v>
      </c>
      <c r="F2671" s="4">
        <v>0</v>
      </c>
      <c r="G2671" s="4">
        <v>0</v>
      </c>
    </row>
    <row r="2673" spans="3:7" ht="12.75" customHeight="1" x14ac:dyDescent="0.2">
      <c r="C2673" s="4">
        <v>0</v>
      </c>
      <c r="D2673" s="4">
        <v>0</v>
      </c>
      <c r="E2673" s="4">
        <v>0</v>
      </c>
      <c r="F2673" s="4">
        <v>0</v>
      </c>
      <c r="G2673" s="4">
        <v>0</v>
      </c>
    </row>
    <row r="2674" spans="3:7" ht="12.75" customHeight="1" x14ac:dyDescent="0.2">
      <c r="C2674" s="4">
        <v>0</v>
      </c>
      <c r="D2674" s="4">
        <v>0</v>
      </c>
      <c r="E2674" s="4">
        <v>0</v>
      </c>
      <c r="F2674" s="4">
        <v>0</v>
      </c>
      <c r="G2674" s="4">
        <v>0</v>
      </c>
    </row>
    <row r="2675" spans="3:7" ht="12.75" customHeight="1" x14ac:dyDescent="0.2">
      <c r="C2675" s="4">
        <v>0</v>
      </c>
      <c r="D2675" s="4">
        <v>0</v>
      </c>
      <c r="E2675" s="4">
        <v>0</v>
      </c>
      <c r="F2675" s="4">
        <v>0</v>
      </c>
      <c r="G2675" s="4">
        <v>0</v>
      </c>
    </row>
    <row r="2677" spans="3:7" ht="12.75" customHeight="1" x14ac:dyDescent="0.2">
      <c r="C2677" s="4">
        <v>0</v>
      </c>
      <c r="D2677" s="4">
        <v>0</v>
      </c>
      <c r="E2677" s="4">
        <v>0</v>
      </c>
      <c r="F2677" s="4">
        <v>0</v>
      </c>
      <c r="G2677" s="4">
        <v>0</v>
      </c>
    </row>
    <row r="2679" spans="3:7" ht="12.75" customHeight="1" x14ac:dyDescent="0.2">
      <c r="C2679" s="4">
        <v>0</v>
      </c>
      <c r="D2679" s="4">
        <v>0</v>
      </c>
      <c r="E2679" s="4">
        <v>0</v>
      </c>
      <c r="F2679" s="4">
        <v>0</v>
      </c>
      <c r="G2679" s="4">
        <v>0</v>
      </c>
    </row>
    <row r="2681" spans="3:7" ht="12.75" customHeight="1" x14ac:dyDescent="0.2">
      <c r="C2681" s="4">
        <v>0</v>
      </c>
      <c r="D2681" s="4">
        <v>0</v>
      </c>
      <c r="E2681" s="4">
        <v>0</v>
      </c>
      <c r="F2681" s="4">
        <v>0</v>
      </c>
      <c r="G2681" s="4">
        <v>0</v>
      </c>
    </row>
    <row r="2685" spans="3:7" ht="12.75" customHeight="1" x14ac:dyDescent="0.2">
      <c r="C2685" s="4">
        <v>0</v>
      </c>
      <c r="D2685" s="4">
        <v>0</v>
      </c>
      <c r="E2685" s="4">
        <v>0</v>
      </c>
      <c r="F2685" s="4">
        <v>0</v>
      </c>
      <c r="G2685" s="4">
        <v>0</v>
      </c>
    </row>
    <row r="2686" spans="3:7" ht="12.75" customHeight="1" x14ac:dyDescent="0.2">
      <c r="C2686" s="4">
        <v>0</v>
      </c>
      <c r="D2686" s="4">
        <v>0</v>
      </c>
      <c r="E2686" s="4">
        <v>0</v>
      </c>
      <c r="F2686" s="4">
        <v>0</v>
      </c>
      <c r="G2686" s="4">
        <v>0</v>
      </c>
    </row>
    <row r="2687" spans="3:7" ht="12.75" customHeight="1" x14ac:dyDescent="0.2">
      <c r="C2687" s="4">
        <v>0</v>
      </c>
      <c r="D2687" s="4">
        <v>0</v>
      </c>
      <c r="E2687" s="4">
        <v>0</v>
      </c>
      <c r="F2687" s="4">
        <v>0</v>
      </c>
      <c r="G2687" s="4">
        <v>0</v>
      </c>
    </row>
    <row r="2688" spans="3:7" ht="12.75" customHeight="1" x14ac:dyDescent="0.2">
      <c r="C2688" s="4">
        <v>0</v>
      </c>
      <c r="D2688" s="4">
        <v>0</v>
      </c>
      <c r="E2688" s="4">
        <v>0</v>
      </c>
      <c r="F2688" s="4">
        <v>0</v>
      </c>
      <c r="G2688" s="4">
        <v>0</v>
      </c>
    </row>
    <row r="2689" spans="3:7" ht="12.75" customHeight="1" x14ac:dyDescent="0.2">
      <c r="C2689" s="4">
        <v>0</v>
      </c>
      <c r="D2689" s="4">
        <v>0</v>
      </c>
      <c r="E2689" s="4">
        <v>0</v>
      </c>
      <c r="F2689" s="4">
        <v>0</v>
      </c>
      <c r="G2689" s="4">
        <v>0</v>
      </c>
    </row>
    <row r="2690" spans="3:7" ht="12.75" customHeight="1" x14ac:dyDescent="0.2">
      <c r="C2690" s="4">
        <v>0</v>
      </c>
      <c r="D2690" s="4">
        <v>0</v>
      </c>
      <c r="E2690" s="4">
        <v>0</v>
      </c>
      <c r="F2690" s="4">
        <v>0</v>
      </c>
      <c r="G2690" s="4">
        <v>0</v>
      </c>
    </row>
    <row r="2691" spans="3:7" ht="12.75" customHeight="1" x14ac:dyDescent="0.2">
      <c r="C2691" s="4">
        <v>0</v>
      </c>
      <c r="D2691" s="4">
        <v>0</v>
      </c>
      <c r="E2691" s="4">
        <v>0</v>
      </c>
      <c r="F2691" s="4">
        <v>0</v>
      </c>
      <c r="G2691" s="4">
        <v>0</v>
      </c>
    </row>
    <row r="2694" spans="3:7" ht="12.75" customHeight="1" x14ac:dyDescent="0.2">
      <c r="C2694" s="4">
        <v>0</v>
      </c>
      <c r="D2694" s="4">
        <v>0</v>
      </c>
      <c r="E2694" s="4">
        <v>0</v>
      </c>
      <c r="F2694" s="4">
        <v>0</v>
      </c>
      <c r="G2694" s="4">
        <v>0</v>
      </c>
    </row>
    <row r="2695" spans="3:7" ht="12.75" customHeight="1" x14ac:dyDescent="0.2">
      <c r="C2695" s="4">
        <v>0</v>
      </c>
      <c r="D2695" s="4">
        <v>0</v>
      </c>
      <c r="E2695" s="4">
        <v>0</v>
      </c>
      <c r="F2695" s="4">
        <v>0</v>
      </c>
      <c r="G2695" s="4">
        <v>0</v>
      </c>
    </row>
    <row r="2696" spans="3:7" ht="12.75" customHeight="1" x14ac:dyDescent="0.2">
      <c r="C2696" s="4">
        <v>0</v>
      </c>
      <c r="D2696" s="4">
        <v>0</v>
      </c>
      <c r="E2696" s="4">
        <v>0</v>
      </c>
      <c r="F2696" s="4">
        <v>0</v>
      </c>
      <c r="G2696" s="4">
        <v>0</v>
      </c>
    </row>
    <row r="2697" spans="3:7" ht="12.75" customHeight="1" x14ac:dyDescent="0.2">
      <c r="C2697" s="4">
        <v>0</v>
      </c>
      <c r="D2697" s="4">
        <v>0</v>
      </c>
      <c r="E2697" s="4">
        <v>0</v>
      </c>
      <c r="F2697" s="4">
        <v>0</v>
      </c>
      <c r="G2697" s="4">
        <v>0</v>
      </c>
    </row>
    <row r="2698" spans="3:7" ht="12.75" customHeight="1" x14ac:dyDescent="0.2">
      <c r="C2698" s="4">
        <v>0</v>
      </c>
      <c r="D2698" s="4">
        <v>0</v>
      </c>
      <c r="E2698" s="4">
        <v>0</v>
      </c>
      <c r="F2698" s="4">
        <v>0</v>
      </c>
      <c r="G2698" s="4">
        <v>0</v>
      </c>
    </row>
    <row r="2699" spans="3:7" ht="12.75" customHeight="1" x14ac:dyDescent="0.2">
      <c r="C2699" s="4">
        <v>0</v>
      </c>
      <c r="D2699" s="4">
        <v>0</v>
      </c>
      <c r="E2699" s="4">
        <v>0</v>
      </c>
      <c r="F2699" s="4">
        <v>0</v>
      </c>
      <c r="G2699" s="4">
        <v>0</v>
      </c>
    </row>
    <row r="2702" spans="3:7" ht="12.75" customHeight="1" x14ac:dyDescent="0.2">
      <c r="C2702" s="4">
        <v>0</v>
      </c>
      <c r="D2702" s="4">
        <v>0</v>
      </c>
      <c r="E2702" s="4">
        <v>0</v>
      </c>
      <c r="F2702" s="4">
        <v>0</v>
      </c>
      <c r="G2702" s="4">
        <v>0</v>
      </c>
    </row>
    <row r="2706" spans="3:7" ht="12.75" customHeight="1" x14ac:dyDescent="0.2">
      <c r="C2706" s="4">
        <v>0</v>
      </c>
      <c r="D2706" s="4">
        <v>0</v>
      </c>
      <c r="E2706" s="4">
        <v>0</v>
      </c>
      <c r="F2706" s="4">
        <v>0</v>
      </c>
      <c r="G2706" s="4">
        <v>0</v>
      </c>
    </row>
    <row r="2707" spans="3:7" ht="12.75" customHeight="1" x14ac:dyDescent="0.2">
      <c r="C2707" s="4">
        <v>0</v>
      </c>
      <c r="D2707" s="4">
        <v>0</v>
      </c>
      <c r="E2707" s="4">
        <v>0</v>
      </c>
      <c r="F2707" s="4">
        <v>0</v>
      </c>
      <c r="G2707" s="4">
        <v>0</v>
      </c>
    </row>
    <row r="2708" spans="3:7" ht="12.75" customHeight="1" x14ac:dyDescent="0.2">
      <c r="C2708" s="4">
        <v>0</v>
      </c>
      <c r="D2708" s="4">
        <v>0</v>
      </c>
      <c r="E2708" s="4">
        <v>0</v>
      </c>
      <c r="F2708" s="4">
        <v>0</v>
      </c>
      <c r="G2708" s="4">
        <v>0</v>
      </c>
    </row>
    <row r="2709" spans="3:7" ht="12.75" customHeight="1" x14ac:dyDescent="0.2">
      <c r="C2709" s="4">
        <v>0</v>
      </c>
      <c r="D2709" s="4">
        <v>0</v>
      </c>
      <c r="E2709" s="4">
        <v>0</v>
      </c>
      <c r="F2709" s="4">
        <v>0</v>
      </c>
      <c r="G2709" s="4">
        <v>0</v>
      </c>
    </row>
    <row r="2710" spans="3:7" ht="12.75" customHeight="1" x14ac:dyDescent="0.2">
      <c r="C2710" s="4">
        <v>0</v>
      </c>
      <c r="D2710" s="4">
        <v>0</v>
      </c>
      <c r="E2710" s="4">
        <v>0</v>
      </c>
      <c r="F2710" s="4">
        <v>0</v>
      </c>
      <c r="G2710" s="4">
        <v>0</v>
      </c>
    </row>
    <row r="2711" spans="3:7" ht="12.75" customHeight="1" x14ac:dyDescent="0.2">
      <c r="C2711" s="4">
        <v>0</v>
      </c>
      <c r="D2711" s="4">
        <v>0</v>
      </c>
      <c r="E2711" s="4">
        <v>0</v>
      </c>
      <c r="F2711" s="4">
        <v>0</v>
      </c>
      <c r="G2711" s="4">
        <v>0</v>
      </c>
    </row>
    <row r="2712" spans="3:7" ht="12.75" customHeight="1" x14ac:dyDescent="0.2">
      <c r="C2712" s="4">
        <v>0</v>
      </c>
      <c r="D2712" s="4">
        <v>0</v>
      </c>
      <c r="E2712" s="4">
        <v>0</v>
      </c>
      <c r="F2712" s="4">
        <v>0</v>
      </c>
      <c r="G2712" s="4">
        <v>0</v>
      </c>
    </row>
    <row r="2713" spans="3:7" ht="12.75" customHeight="1" x14ac:dyDescent="0.2">
      <c r="C2713" s="4">
        <v>0</v>
      </c>
      <c r="D2713" s="4">
        <v>0</v>
      </c>
      <c r="E2713" s="4">
        <v>0</v>
      </c>
      <c r="F2713" s="4">
        <v>0</v>
      </c>
      <c r="G2713" s="4">
        <v>0</v>
      </c>
    </row>
    <row r="2715" spans="3:7" ht="12.75" customHeight="1" x14ac:dyDescent="0.2">
      <c r="C2715" s="4">
        <v>0</v>
      </c>
      <c r="D2715" s="4">
        <v>0</v>
      </c>
      <c r="E2715" s="4">
        <v>0</v>
      </c>
      <c r="F2715" s="4">
        <v>0</v>
      </c>
      <c r="G2715" s="4">
        <v>0</v>
      </c>
    </row>
    <row r="2717" spans="3:7" ht="12.75" customHeight="1" x14ac:dyDescent="0.2">
      <c r="C2717" s="4">
        <v>0</v>
      </c>
      <c r="D2717" s="4">
        <v>0</v>
      </c>
      <c r="E2717" s="4">
        <v>0</v>
      </c>
      <c r="F2717" s="4">
        <v>0</v>
      </c>
      <c r="G2717" s="4">
        <v>0</v>
      </c>
    </row>
    <row r="2719" spans="3:7" ht="12.75" customHeight="1" x14ac:dyDescent="0.2">
      <c r="C2719" s="4">
        <v>0</v>
      </c>
      <c r="D2719" s="4">
        <v>0</v>
      </c>
      <c r="E2719" s="4">
        <v>0</v>
      </c>
      <c r="F2719" s="4">
        <v>0</v>
      </c>
      <c r="G2719" s="4">
        <v>0</v>
      </c>
    </row>
    <row r="2720" spans="3:7" ht="12.75" customHeight="1" x14ac:dyDescent="0.2">
      <c r="C2720" s="4">
        <v>0</v>
      </c>
      <c r="D2720" s="4">
        <v>0</v>
      </c>
      <c r="E2720" s="4">
        <v>0</v>
      </c>
      <c r="F2720" s="4">
        <v>0</v>
      </c>
      <c r="G2720" s="4">
        <v>0</v>
      </c>
    </row>
    <row r="2721" spans="3:7" ht="12.75" customHeight="1" x14ac:dyDescent="0.2">
      <c r="C2721" s="4">
        <v>0</v>
      </c>
      <c r="D2721" s="4">
        <v>0</v>
      </c>
      <c r="E2721" s="4">
        <v>0</v>
      </c>
      <c r="F2721" s="4">
        <v>0</v>
      </c>
      <c r="G2721" s="4">
        <v>0</v>
      </c>
    </row>
    <row r="2723" spans="3:7" ht="12.75" customHeight="1" x14ac:dyDescent="0.2">
      <c r="C2723" s="4">
        <v>0</v>
      </c>
      <c r="D2723" s="4">
        <v>0</v>
      </c>
      <c r="E2723" s="4">
        <v>0</v>
      </c>
      <c r="F2723" s="4">
        <v>0</v>
      </c>
      <c r="G2723" s="4">
        <v>0</v>
      </c>
    </row>
    <row r="2725" spans="3:7" ht="12.75" customHeight="1" x14ac:dyDescent="0.2">
      <c r="C2725" s="4">
        <v>0</v>
      </c>
      <c r="D2725" s="4">
        <v>0</v>
      </c>
      <c r="E2725" s="4">
        <v>0</v>
      </c>
      <c r="F2725" s="4">
        <v>0</v>
      </c>
      <c r="G2725" s="4">
        <v>0</v>
      </c>
    </row>
    <row r="2728" spans="3:7" ht="12.75" customHeight="1" x14ac:dyDescent="0.2">
      <c r="C2728" s="4">
        <v>0</v>
      </c>
      <c r="D2728" s="4">
        <v>0</v>
      </c>
      <c r="E2728" s="4">
        <v>0</v>
      </c>
      <c r="F2728" s="4">
        <v>0</v>
      </c>
      <c r="G2728" s="4">
        <v>0</v>
      </c>
    </row>
    <row r="2732" spans="3:7" ht="12.75" customHeight="1" x14ac:dyDescent="0.2">
      <c r="C2732" s="4">
        <v>0</v>
      </c>
      <c r="D2732" s="4">
        <v>0</v>
      </c>
      <c r="E2732" s="4">
        <v>0</v>
      </c>
      <c r="F2732" s="4">
        <v>0</v>
      </c>
      <c r="G2732" s="4">
        <v>0</v>
      </c>
    </row>
    <row r="2736" spans="3:7" ht="12.75" customHeight="1" x14ac:dyDescent="0.2">
      <c r="C2736" s="4">
        <v>0</v>
      </c>
      <c r="D2736" s="4">
        <v>0</v>
      </c>
      <c r="E2736" s="4">
        <v>0</v>
      </c>
      <c r="F2736" s="4">
        <v>0</v>
      </c>
      <c r="G2736" s="4">
        <v>0</v>
      </c>
    </row>
    <row r="2737" spans="3:7" ht="12.75" customHeight="1" x14ac:dyDescent="0.2">
      <c r="C2737" s="4">
        <v>0</v>
      </c>
      <c r="D2737" s="4">
        <v>0</v>
      </c>
      <c r="E2737" s="4">
        <v>0</v>
      </c>
      <c r="F2737" s="4">
        <v>0</v>
      </c>
      <c r="G2737" s="4">
        <v>0</v>
      </c>
    </row>
    <row r="2738" spans="3:7" ht="12.75" customHeight="1" x14ac:dyDescent="0.2">
      <c r="C2738" s="4">
        <v>0</v>
      </c>
      <c r="D2738" s="4">
        <v>0</v>
      </c>
      <c r="E2738" s="4">
        <v>0</v>
      </c>
      <c r="F2738" s="4">
        <v>0</v>
      </c>
      <c r="G2738" s="4">
        <v>0</v>
      </c>
    </row>
    <row r="2739" spans="3:7" ht="12.75" customHeight="1" x14ac:dyDescent="0.2">
      <c r="C2739" s="4">
        <v>0</v>
      </c>
      <c r="D2739" s="4">
        <v>0</v>
      </c>
      <c r="E2739" s="4">
        <v>0</v>
      </c>
      <c r="F2739" s="4">
        <v>0</v>
      </c>
      <c r="G2739" s="4">
        <v>0</v>
      </c>
    </row>
    <row r="2740" spans="3:7" ht="12.75" customHeight="1" x14ac:dyDescent="0.2">
      <c r="C2740" s="4">
        <v>0</v>
      </c>
      <c r="D2740" s="4">
        <v>0</v>
      </c>
      <c r="E2740" s="4">
        <v>0</v>
      </c>
      <c r="F2740" s="4">
        <v>0</v>
      </c>
      <c r="G2740" s="4">
        <v>0</v>
      </c>
    </row>
    <row r="2981" spans="3:7" ht="12.75" customHeight="1" x14ac:dyDescent="0.2">
      <c r="C2981" s="4">
        <v>0</v>
      </c>
      <c r="D2981" s="4">
        <v>0</v>
      </c>
      <c r="E2981" s="4">
        <v>0</v>
      </c>
      <c r="F2981" s="4">
        <v>0</v>
      </c>
      <c r="G2981" s="4">
        <v>0</v>
      </c>
    </row>
    <row r="2982" spans="3:7" ht="12.75" customHeight="1" x14ac:dyDescent="0.2">
      <c r="C2982" s="4">
        <v>0</v>
      </c>
      <c r="D2982" s="4">
        <v>0</v>
      </c>
      <c r="E2982" s="4">
        <v>0</v>
      </c>
      <c r="F2982" s="4">
        <v>0</v>
      </c>
      <c r="G2982" s="4">
        <v>0</v>
      </c>
    </row>
    <row r="2983" spans="3:7" ht="12.75" customHeight="1" x14ac:dyDescent="0.2">
      <c r="C2983" s="4">
        <v>0</v>
      </c>
      <c r="D2983" s="4">
        <v>0</v>
      </c>
      <c r="E2983" s="4">
        <v>0</v>
      </c>
      <c r="F2983" s="4">
        <v>0</v>
      </c>
      <c r="G2983" s="4">
        <v>0</v>
      </c>
    </row>
    <row r="2984" spans="3:7" ht="12.75" customHeight="1" x14ac:dyDescent="0.2">
      <c r="C2984" s="4">
        <v>0</v>
      </c>
      <c r="D2984" s="4">
        <v>0</v>
      </c>
      <c r="E2984" s="4">
        <v>0</v>
      </c>
      <c r="F2984" s="4">
        <v>0</v>
      </c>
      <c r="G2984" s="4">
        <v>0</v>
      </c>
    </row>
    <row r="2985" spans="3:7" ht="12.75" customHeight="1" x14ac:dyDescent="0.2">
      <c r="C2985" s="4">
        <v>0</v>
      </c>
      <c r="D2985" s="4">
        <v>0</v>
      </c>
      <c r="E2985" s="4">
        <v>0</v>
      </c>
      <c r="F2985" s="4">
        <v>0</v>
      </c>
      <c r="G2985" s="4">
        <v>0</v>
      </c>
    </row>
    <row r="2986" spans="3:7" ht="12.75" customHeight="1" x14ac:dyDescent="0.2">
      <c r="C2986" s="4">
        <v>0</v>
      </c>
      <c r="D2986" s="4">
        <v>0</v>
      </c>
      <c r="E2986" s="4">
        <v>0</v>
      </c>
      <c r="F2986" s="4">
        <v>0</v>
      </c>
      <c r="G2986" s="4">
        <v>0</v>
      </c>
    </row>
    <row r="2987" spans="3:7" ht="12.75" customHeight="1" x14ac:dyDescent="0.2">
      <c r="C2987" s="4">
        <v>0</v>
      </c>
      <c r="D2987" s="4">
        <v>0</v>
      </c>
      <c r="E2987" s="4">
        <v>0</v>
      </c>
      <c r="F2987" s="4">
        <v>0</v>
      </c>
      <c r="G2987" s="4">
        <v>0</v>
      </c>
    </row>
    <row r="2988" spans="3:7" ht="12.75" customHeight="1" x14ac:dyDescent="0.2">
      <c r="C2988" s="4">
        <v>0</v>
      </c>
      <c r="D2988" s="4">
        <v>0</v>
      </c>
      <c r="E2988" s="4">
        <v>0</v>
      </c>
      <c r="F2988" s="4">
        <v>0</v>
      </c>
      <c r="G2988" s="4">
        <v>0</v>
      </c>
    </row>
    <row r="2989" spans="3:7" ht="12.75" customHeight="1" x14ac:dyDescent="0.2">
      <c r="C2989" s="4">
        <v>0</v>
      </c>
      <c r="D2989" s="4">
        <v>0</v>
      </c>
      <c r="E2989" s="4">
        <v>0</v>
      </c>
      <c r="F2989" s="4">
        <v>0</v>
      </c>
      <c r="G2989" s="4">
        <v>0</v>
      </c>
    </row>
  </sheetData>
  <mergeCells count="6">
    <mergeCell ref="C13:G13"/>
    <mergeCell ref="B2:G2"/>
    <mergeCell ref="C9:G9"/>
    <mergeCell ref="C10:G10"/>
    <mergeCell ref="C11:G11"/>
    <mergeCell ref="C8:G8"/>
  </mergeCells>
  <conditionalFormatting sqref="B1019">
    <cfRule type="duplicateValues" dxfId="1" priority="1" stopIfTrue="1"/>
  </conditionalFormatting>
  <dataValidations count="1">
    <dataValidation type="decimal" allowBlank="1" showInputMessage="1" showErrorMessage="1" sqref="C273:G273 C284:G284 C286:G286 C288:G288">
      <formula1>0</formula1>
      <formula2>100</formula2>
    </dataValidation>
  </dataValidations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8" workbookViewId="0">
      <selection activeCell="A21" sqref="A21:A59"/>
    </sheetView>
  </sheetViews>
  <sheetFormatPr defaultRowHeight="15" x14ac:dyDescent="0.25"/>
  <cols>
    <col min="1" max="1" customWidth="true" style="277" width="19.0" collapsed="true"/>
    <col min="2" max="11" bestFit="true" customWidth="true" style="277" width="9.42578125" collapsed="true"/>
    <col min="12" max="12" bestFit="true" customWidth="true" style="287" width="23.0" collapsed="true"/>
    <col min="13" max="13" style="277" width="9.140625" collapsed="true"/>
    <col min="14" max="15" style="287" width="9.140625" collapsed="true"/>
    <col min="16" max="16384" style="277" width="9.140625" collapsed="true"/>
  </cols>
  <sheetData>
    <row r="1" spans="1:15" x14ac:dyDescent="0.25">
      <c r="A1" s="283" t="s">
        <v>735</v>
      </c>
      <c r="B1" s="281">
        <v>0</v>
      </c>
      <c r="C1" s="281">
        <f>HLOOKUP(A1,$C$10:$J$14,VLOOKUP(Sheet1!$C$11,Lookup!$A$11:$B$14,2,FALSE),FALSE)</f>
        <v>31</v>
      </c>
      <c r="D1" s="281">
        <v>12</v>
      </c>
      <c r="F1" s="283" t="s">
        <v>735</v>
      </c>
      <c r="G1" s="281">
        <v>3</v>
      </c>
      <c r="L1" s="285" t="s">
        <v>788</v>
      </c>
      <c r="N1" s="285" t="s">
        <v>794</v>
      </c>
      <c r="O1" s="285"/>
    </row>
    <row r="2" spans="1:15" x14ac:dyDescent="0.25">
      <c r="A2" s="283" t="s">
        <v>736</v>
      </c>
      <c r="B2" s="281">
        <v>0</v>
      </c>
      <c r="C2" s="281">
        <f>HLOOKUP(A2,$C$10:$J$14,VLOOKUP(Sheet1!$C$11,Lookup!$A$11:$B$14,2,FALSE),FALSE)</f>
        <v>31</v>
      </c>
      <c r="D2" s="281">
        <v>6</v>
      </c>
      <c r="F2" s="283" t="s">
        <v>736</v>
      </c>
      <c r="G2" s="281">
        <v>4</v>
      </c>
      <c r="L2" s="286" t="s">
        <v>787</v>
      </c>
      <c r="N2" s="286">
        <v>2010</v>
      </c>
      <c r="O2" s="286">
        <v>2</v>
      </c>
    </row>
    <row r="3" spans="1:15" x14ac:dyDescent="0.25">
      <c r="A3" s="283" t="s">
        <v>737</v>
      </c>
      <c r="B3" s="281">
        <v>6</v>
      </c>
      <c r="C3" s="281">
        <f>HLOOKUP(A3,$C$10:$J$14,VLOOKUP(Sheet1!$C$11,Lookup!$A$11:$B$14,2,FALSE),FALSE)</f>
        <v>30</v>
      </c>
      <c r="D3" s="281">
        <v>6</v>
      </c>
      <c r="F3" s="283" t="s">
        <v>737</v>
      </c>
      <c r="G3" s="281">
        <v>5</v>
      </c>
      <c r="L3" s="286" t="s">
        <v>724</v>
      </c>
      <c r="N3" s="286">
        <v>2011</v>
      </c>
      <c r="O3" s="286">
        <v>3</v>
      </c>
    </row>
    <row r="4" spans="1:15" x14ac:dyDescent="0.25">
      <c r="A4" s="283" t="s">
        <v>738</v>
      </c>
      <c r="B4" s="281">
        <v>3</v>
      </c>
      <c r="C4" s="281">
        <f>HLOOKUP(A4,$C$10:$J$14,VLOOKUP(Sheet1!$C$11,Lookup!$A$11:$B$14,2,FALSE),FALSE)</f>
        <v>31</v>
      </c>
      <c r="D4" s="281">
        <v>9</v>
      </c>
      <c r="F4" s="283" t="s">
        <v>738</v>
      </c>
      <c r="G4" s="281">
        <v>6</v>
      </c>
      <c r="N4" s="286">
        <v>2012</v>
      </c>
      <c r="O4" s="286">
        <v>4</v>
      </c>
    </row>
    <row r="5" spans="1:15" x14ac:dyDescent="0.25">
      <c r="A5" s="283" t="s">
        <v>739</v>
      </c>
      <c r="B5" s="281">
        <v>9</v>
      </c>
      <c r="C5" s="281">
        <f>HLOOKUP(A5,$C$10:$J$14,VLOOKUP(Sheet1!$C$11,Lookup!$A$11:$B$14,2,FALSE),FALSE)</f>
        <v>30</v>
      </c>
      <c r="D5" s="281">
        <v>3</v>
      </c>
      <c r="F5" s="283" t="s">
        <v>739</v>
      </c>
      <c r="G5" s="281">
        <v>7</v>
      </c>
      <c r="N5" s="286">
        <v>2013</v>
      </c>
      <c r="O5" s="286">
        <v>5</v>
      </c>
    </row>
    <row r="6" spans="1:15" x14ac:dyDescent="0.25">
      <c r="A6" s="283" t="s">
        <v>740</v>
      </c>
      <c r="B6" s="281">
        <v>6</v>
      </c>
      <c r="C6" s="281">
        <f>HLOOKUP(A6,$C$10:$J$14,VLOOKUP(Sheet1!$C$11,Lookup!$A$11:$B$14,2,FALSE),FALSE)</f>
        <v>30</v>
      </c>
      <c r="D6" s="281">
        <v>3</v>
      </c>
      <c r="F6" s="283" t="s">
        <v>740</v>
      </c>
      <c r="G6" s="281">
        <v>8</v>
      </c>
      <c r="N6" s="286">
        <v>2014</v>
      </c>
      <c r="O6" s="286">
        <v>6</v>
      </c>
    </row>
    <row r="7" spans="1:15" x14ac:dyDescent="0.25">
      <c r="A7" s="283" t="s">
        <v>741</v>
      </c>
      <c r="B7" s="281">
        <v>3</v>
      </c>
      <c r="C7" s="281">
        <f>HLOOKUP(A7,$C$10:$J$14,VLOOKUP(Sheet1!$C$11,Lookup!$A$11:$B$14,2,FALSE),FALSE)</f>
        <v>31</v>
      </c>
      <c r="D7" s="281">
        <v>3</v>
      </c>
      <c r="F7" s="283" t="s">
        <v>741</v>
      </c>
      <c r="G7" s="281">
        <v>9</v>
      </c>
      <c r="N7" s="286">
        <v>2015</v>
      </c>
      <c r="O7" s="286">
        <v>7</v>
      </c>
    </row>
    <row r="8" spans="1:15" x14ac:dyDescent="0.25">
      <c r="A8" s="283" t="s">
        <v>742</v>
      </c>
      <c r="B8" s="281">
        <v>0</v>
      </c>
      <c r="C8" s="281">
        <f>HLOOKUP(A8,$C$10:$J$14,VLOOKUP(Sheet1!$C$11,Lookup!$A$11:$B$14,2,FALSE),FALSE)</f>
        <v>31</v>
      </c>
      <c r="D8" s="281">
        <v>3</v>
      </c>
      <c r="F8" s="283" t="s">
        <v>742</v>
      </c>
      <c r="G8" s="281">
        <v>10</v>
      </c>
      <c r="N8" s="286">
        <v>2016</v>
      </c>
      <c r="O8" s="286">
        <v>8</v>
      </c>
    </row>
    <row r="9" spans="1:15" x14ac:dyDescent="0.25">
      <c r="N9" s="286">
        <v>2017</v>
      </c>
      <c r="O9" s="286">
        <v>9</v>
      </c>
    </row>
    <row r="10" spans="1:15" x14ac:dyDescent="0.25">
      <c r="A10" s="283"/>
      <c r="B10" s="285"/>
      <c r="C10" s="285" t="s">
        <v>735</v>
      </c>
      <c r="D10" s="285" t="s">
        <v>736</v>
      </c>
      <c r="E10" s="285" t="s">
        <v>737</v>
      </c>
      <c r="F10" s="285" t="s">
        <v>738</v>
      </c>
      <c r="G10" s="285" t="s">
        <v>739</v>
      </c>
      <c r="H10" s="285" t="s">
        <v>740</v>
      </c>
      <c r="I10" s="285" t="s">
        <v>741</v>
      </c>
      <c r="J10" s="285" t="s">
        <v>742</v>
      </c>
      <c r="N10" s="286">
        <v>2018</v>
      </c>
      <c r="O10" s="286">
        <v>10</v>
      </c>
    </row>
    <row r="11" spans="1:15" x14ac:dyDescent="0.25">
      <c r="A11" s="283" t="s">
        <v>743</v>
      </c>
      <c r="B11" s="284">
        <v>2</v>
      </c>
      <c r="C11" s="284">
        <v>31</v>
      </c>
      <c r="D11" s="284">
        <f>C11</f>
        <v>31</v>
      </c>
      <c r="E11" s="284">
        <v>30</v>
      </c>
      <c r="F11" s="284">
        <v>31</v>
      </c>
      <c r="G11" s="284">
        <v>30</v>
      </c>
      <c r="H11" s="284">
        <v>30</v>
      </c>
      <c r="I11" s="284">
        <v>31</v>
      </c>
      <c r="J11" s="284">
        <v>31</v>
      </c>
      <c r="N11" s="286">
        <v>2019</v>
      </c>
      <c r="O11" s="286">
        <v>11</v>
      </c>
    </row>
    <row r="12" spans="1:15" x14ac:dyDescent="0.25">
      <c r="A12" s="283" t="s">
        <v>744</v>
      </c>
      <c r="B12" s="284">
        <v>3</v>
      </c>
      <c r="C12" s="284">
        <v>31</v>
      </c>
      <c r="D12" s="284">
        <f t="shared" ref="D12:D14" si="0">C12</f>
        <v>31</v>
      </c>
      <c r="E12" s="284">
        <v>30</v>
      </c>
      <c r="F12" s="284">
        <v>30</v>
      </c>
      <c r="G12" s="284">
        <v>31</v>
      </c>
      <c r="H12" s="284">
        <v>30</v>
      </c>
      <c r="I12" s="284">
        <v>30</v>
      </c>
      <c r="J12" s="284">
        <v>31</v>
      </c>
    </row>
    <row r="13" spans="1:15" x14ac:dyDescent="0.25">
      <c r="A13" s="283" t="s">
        <v>745</v>
      </c>
      <c r="B13" s="284">
        <v>4</v>
      </c>
      <c r="C13" s="284">
        <v>30</v>
      </c>
      <c r="D13" s="284">
        <f t="shared" si="0"/>
        <v>30</v>
      </c>
      <c r="E13" s="284">
        <v>31</v>
      </c>
      <c r="F13" s="284">
        <v>30</v>
      </c>
      <c r="G13" s="284">
        <v>31</v>
      </c>
      <c r="H13" s="284">
        <v>31</v>
      </c>
      <c r="I13" s="284">
        <v>30</v>
      </c>
      <c r="J13" s="284">
        <v>30</v>
      </c>
    </row>
    <row r="14" spans="1:15" x14ac:dyDescent="0.25">
      <c r="A14" s="283" t="s">
        <v>746</v>
      </c>
      <c r="B14" s="284">
        <v>5</v>
      </c>
      <c r="C14" s="284">
        <v>30</v>
      </c>
      <c r="D14" s="284">
        <f t="shared" si="0"/>
        <v>30</v>
      </c>
      <c r="E14" s="284">
        <v>31</v>
      </c>
      <c r="F14" s="284">
        <v>31</v>
      </c>
      <c r="G14" s="284">
        <v>30</v>
      </c>
      <c r="H14" s="284">
        <v>31</v>
      </c>
      <c r="I14" s="284">
        <v>31</v>
      </c>
      <c r="J14" s="284">
        <v>30</v>
      </c>
    </row>
    <row r="16" spans="1:15" x14ac:dyDescent="0.25">
      <c r="A16" s="288" t="s">
        <v>747</v>
      </c>
      <c r="C16" s="283" t="s">
        <v>743</v>
      </c>
      <c r="D16" s="284">
        <v>3</v>
      </c>
      <c r="E16" s="284">
        <v>0</v>
      </c>
    </row>
    <row r="17" spans="1:13" x14ac:dyDescent="0.25">
      <c r="A17" s="281" t="s">
        <v>127</v>
      </c>
      <c r="C17" s="283" t="s">
        <v>744</v>
      </c>
      <c r="D17" s="284">
        <v>12</v>
      </c>
      <c r="E17" s="284">
        <v>-1</v>
      </c>
    </row>
    <row r="18" spans="1:13" x14ac:dyDescent="0.25">
      <c r="A18" s="281" t="s">
        <v>748</v>
      </c>
      <c r="C18" s="283" t="s">
        <v>745</v>
      </c>
      <c r="D18" s="284">
        <v>9</v>
      </c>
      <c r="E18" s="284">
        <v>-1</v>
      </c>
    </row>
    <row r="19" spans="1:13" x14ac:dyDescent="0.25">
      <c r="A19" s="281" t="s">
        <v>749</v>
      </c>
      <c r="C19" s="283" t="s">
        <v>746</v>
      </c>
      <c r="D19" s="284">
        <v>6</v>
      </c>
      <c r="E19" s="284">
        <v>-1</v>
      </c>
    </row>
    <row r="21" spans="1:13" x14ac:dyDescent="0.25">
      <c r="A21" s="290" t="s">
        <v>751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2"/>
      <c r="M21" s="291"/>
    </row>
    <row r="22" spans="1:13" x14ac:dyDescent="0.25">
      <c r="A22" s="293" t="s">
        <v>789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  <c r="M22" s="291"/>
    </row>
    <row r="23" spans="1:13" x14ac:dyDescent="0.25">
      <c r="A23" s="294" t="s">
        <v>126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2"/>
      <c r="M23" s="291"/>
    </row>
    <row r="24" spans="1:13" x14ac:dyDescent="0.25">
      <c r="A24" s="295" t="s">
        <v>752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2"/>
      <c r="M24" s="291"/>
    </row>
    <row r="25" spans="1:13" x14ac:dyDescent="0.25">
      <c r="A25" s="295" t="s">
        <v>753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2"/>
      <c r="M25" s="291"/>
    </row>
    <row r="26" spans="1:13" x14ac:dyDescent="0.25">
      <c r="A26" s="295" t="s">
        <v>754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2"/>
      <c r="M26" s="291"/>
    </row>
    <row r="27" spans="1:13" x14ac:dyDescent="0.25">
      <c r="A27" s="295" t="s">
        <v>755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2"/>
      <c r="M27" s="291"/>
    </row>
    <row r="28" spans="1:13" x14ac:dyDescent="0.25">
      <c r="A28" s="295" t="s">
        <v>756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2"/>
      <c r="M28" s="291"/>
    </row>
    <row r="29" spans="1:13" x14ac:dyDescent="0.25">
      <c r="A29" s="295" t="s">
        <v>757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2"/>
      <c r="M29" s="291"/>
    </row>
    <row r="30" spans="1:13" x14ac:dyDescent="0.25">
      <c r="A30" s="295" t="s">
        <v>759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2"/>
      <c r="M30" s="291"/>
    </row>
    <row r="31" spans="1:13" x14ac:dyDescent="0.25">
      <c r="A31" s="295" t="s">
        <v>758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2"/>
      <c r="M31" s="291"/>
    </row>
    <row r="32" spans="1:13" x14ac:dyDescent="0.25">
      <c r="A32" s="295" t="s">
        <v>802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2"/>
      <c r="M32" s="291"/>
    </row>
    <row r="33" spans="1:13" x14ac:dyDescent="0.25">
      <c r="A33" s="295" t="s">
        <v>800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2"/>
      <c r="M33" s="291"/>
    </row>
    <row r="34" spans="1:13" x14ac:dyDescent="0.25">
      <c r="A34" s="295" t="s">
        <v>760</v>
      </c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2"/>
      <c r="M34" s="291"/>
    </row>
    <row r="35" spans="1:13" x14ac:dyDescent="0.25">
      <c r="A35" s="295" t="s">
        <v>761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2"/>
      <c r="M35" s="291"/>
    </row>
    <row r="36" spans="1:13" x14ac:dyDescent="0.25">
      <c r="A36" s="295" t="s">
        <v>762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2"/>
      <c r="M36" s="291"/>
    </row>
    <row r="37" spans="1:13" x14ac:dyDescent="0.25">
      <c r="A37" s="296" t="s">
        <v>763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2"/>
      <c r="M37" s="291"/>
    </row>
    <row r="38" spans="1:13" x14ac:dyDescent="0.25">
      <c r="A38" s="295" t="s">
        <v>764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2"/>
      <c r="M38" s="291"/>
    </row>
    <row r="39" spans="1:13" x14ac:dyDescent="0.25">
      <c r="A39" s="295" t="s">
        <v>765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2"/>
      <c r="M39" s="291"/>
    </row>
    <row r="40" spans="1:13" x14ac:dyDescent="0.25">
      <c r="A40" s="295" t="s">
        <v>766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2"/>
      <c r="M40" s="291"/>
    </row>
    <row r="41" spans="1:13" x14ac:dyDescent="0.25">
      <c r="A41" s="295" t="s">
        <v>767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2"/>
      <c r="M41" s="291"/>
    </row>
    <row r="42" spans="1:13" x14ac:dyDescent="0.25">
      <c r="A42" s="295" t="s">
        <v>768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2"/>
      <c r="M42" s="291"/>
    </row>
    <row r="43" spans="1:13" x14ac:dyDescent="0.25">
      <c r="A43" s="295" t="s">
        <v>769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2"/>
      <c r="M43" s="291"/>
    </row>
    <row r="44" spans="1:13" x14ac:dyDescent="0.25">
      <c r="A44" s="295" t="s">
        <v>803</v>
      </c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2"/>
      <c r="M44" s="291"/>
    </row>
    <row r="45" spans="1:13" x14ac:dyDescent="0.25">
      <c r="A45" s="295" t="s">
        <v>770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2"/>
      <c r="M45" s="291"/>
    </row>
    <row r="46" spans="1:13" x14ac:dyDescent="0.25">
      <c r="A46" s="295" t="s">
        <v>771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2"/>
      <c r="M46" s="291"/>
    </row>
    <row r="47" spans="1:13" x14ac:dyDescent="0.25">
      <c r="A47" s="295" t="s">
        <v>772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2"/>
      <c r="M47" s="291"/>
    </row>
    <row r="48" spans="1:13" x14ac:dyDescent="0.25">
      <c r="A48" s="295" t="s">
        <v>773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2"/>
      <c r="M48" s="291"/>
    </row>
    <row r="49" spans="1:13" x14ac:dyDescent="0.25">
      <c r="A49" s="295" t="s">
        <v>774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2"/>
      <c r="M49" s="291"/>
    </row>
    <row r="50" spans="1:13" x14ac:dyDescent="0.25">
      <c r="A50" s="295" t="s">
        <v>775</v>
      </c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2"/>
      <c r="M50" s="291"/>
    </row>
    <row r="51" spans="1:13" x14ac:dyDescent="0.25">
      <c r="A51" s="295" t="s">
        <v>776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2"/>
      <c r="M51" s="291"/>
    </row>
    <row r="52" spans="1:13" x14ac:dyDescent="0.25">
      <c r="A52" s="295" t="s">
        <v>777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2"/>
      <c r="M52" s="291"/>
    </row>
    <row r="53" spans="1:13" x14ac:dyDescent="0.25">
      <c r="A53" s="295" t="s">
        <v>778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2"/>
      <c r="M53" s="291"/>
    </row>
    <row r="54" spans="1:13" x14ac:dyDescent="0.25">
      <c r="A54" s="295" t="s">
        <v>779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2"/>
      <c r="M54" s="291"/>
    </row>
    <row r="55" spans="1:13" x14ac:dyDescent="0.25">
      <c r="A55" s="295" t="s">
        <v>780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2"/>
      <c r="M55" s="291"/>
    </row>
    <row r="56" spans="1:13" x14ac:dyDescent="0.25">
      <c r="A56" s="295" t="s">
        <v>781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2"/>
      <c r="M56" s="291"/>
    </row>
    <row r="57" spans="1:13" x14ac:dyDescent="0.25">
      <c r="A57" s="295" t="s">
        <v>782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2"/>
      <c r="M57" s="291"/>
    </row>
    <row r="58" spans="1:13" x14ac:dyDescent="0.25">
      <c r="A58" s="295" t="s">
        <v>801</v>
      </c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2"/>
      <c r="M58" s="291"/>
    </row>
    <row r="59" spans="1:13" x14ac:dyDescent="0.25">
      <c r="A59" s="295" t="s">
        <v>783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2"/>
      <c r="M59" s="291"/>
    </row>
    <row r="60" spans="1:13" x14ac:dyDescent="0.25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2"/>
      <c r="M60" s="291"/>
    </row>
    <row r="61" spans="1:13" x14ac:dyDescent="0.25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2"/>
      <c r="M61" s="291"/>
    </row>
    <row r="62" spans="1:13" x14ac:dyDescent="0.25">
      <c r="A62" s="291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2"/>
      <c r="M62" s="291"/>
    </row>
    <row r="63" spans="1:13" x14ac:dyDescent="0.25">
      <c r="A63" s="291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2"/>
      <c r="M63" s="291"/>
    </row>
    <row r="64" spans="1:13" x14ac:dyDescent="0.25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2"/>
      <c r="M64" s="291"/>
    </row>
    <row r="65" spans="1:13" x14ac:dyDescent="0.25">
      <c r="A65" s="291"/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2"/>
      <c r="M65" s="291"/>
    </row>
    <row r="66" spans="1:13" x14ac:dyDescent="0.25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2"/>
      <c r="M66" s="291"/>
    </row>
    <row r="67" spans="1:13" x14ac:dyDescent="0.25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2"/>
      <c r="M67" s="291"/>
    </row>
    <row r="68" spans="1:13" x14ac:dyDescent="0.25">
      <c r="A68" s="291"/>
      <c r="B68" s="291"/>
      <c r="C68" s="291"/>
      <c r="D68" s="291"/>
      <c r="E68" s="291"/>
      <c r="F68" s="291"/>
      <c r="G68" s="291"/>
      <c r="H68" s="291"/>
      <c r="I68" s="291"/>
      <c r="J68" s="291"/>
      <c r="K68" s="291"/>
      <c r="L68" s="292"/>
      <c r="M68" s="291"/>
    </row>
    <row r="69" spans="1:13" x14ac:dyDescent="0.25">
      <c r="A69" s="291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2"/>
      <c r="M69" s="291"/>
    </row>
    <row r="70" spans="1:13" x14ac:dyDescent="0.25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2"/>
      <c r="M70" s="291"/>
    </row>
    <row r="71" spans="1:13" x14ac:dyDescent="0.25">
      <c r="A71" s="291"/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2"/>
      <c r="M71" s="291"/>
    </row>
    <row r="72" spans="1:13" x14ac:dyDescent="0.25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2"/>
      <c r="M72" s="291"/>
    </row>
    <row r="73" spans="1:13" x14ac:dyDescent="0.25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2"/>
      <c r="M73" s="291"/>
    </row>
    <row r="74" spans="1:13" x14ac:dyDescent="0.25">
      <c r="A74" s="291"/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2"/>
      <c r="M74" s="291"/>
    </row>
    <row r="75" spans="1:13" x14ac:dyDescent="0.25">
      <c r="A75" s="291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2"/>
      <c r="M75" s="291"/>
    </row>
    <row r="76" spans="1:13" x14ac:dyDescent="0.25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2"/>
      <c r="M76" s="291"/>
    </row>
    <row r="77" spans="1:13" x14ac:dyDescent="0.25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2"/>
      <c r="M77" s="291"/>
    </row>
    <row r="78" spans="1:13" x14ac:dyDescent="0.25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2"/>
      <c r="M78" s="291"/>
    </row>
    <row r="79" spans="1:13" x14ac:dyDescent="0.25">
      <c r="A79" s="291"/>
      <c r="B79" s="291"/>
      <c r="C79" s="291"/>
      <c r="D79" s="291"/>
      <c r="E79" s="291"/>
      <c r="F79" s="291"/>
      <c r="G79" s="291"/>
      <c r="H79" s="291"/>
      <c r="I79" s="291"/>
      <c r="J79" s="291"/>
      <c r="K79" s="291"/>
      <c r="L79" s="292"/>
      <c r="M79" s="291"/>
    </row>
    <row r="80" spans="1:13" x14ac:dyDescent="0.25">
      <c r="A80" s="291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2"/>
      <c r="M80" s="291"/>
    </row>
    <row r="81" spans="1:13" x14ac:dyDescent="0.25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2"/>
      <c r="M81" s="291"/>
    </row>
    <row r="82" spans="1:13" x14ac:dyDescent="0.25">
      <c r="A82" s="291"/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2"/>
      <c r="M82" s="291"/>
    </row>
    <row r="83" spans="1:13" x14ac:dyDescent="0.25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2"/>
      <c r="M83" s="291"/>
    </row>
    <row r="84" spans="1:13" x14ac:dyDescent="0.25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2"/>
      <c r="M84" s="291"/>
    </row>
    <row r="85" spans="1:13" x14ac:dyDescent="0.25">
      <c r="A85" s="291"/>
      <c r="B85" s="291"/>
      <c r="C85" s="291"/>
      <c r="D85" s="291"/>
      <c r="E85" s="291"/>
      <c r="F85" s="291"/>
      <c r="G85" s="291"/>
      <c r="H85" s="291"/>
      <c r="I85" s="291"/>
      <c r="J85" s="291"/>
      <c r="K85" s="291"/>
      <c r="L85" s="292"/>
      <c r="M85" s="291"/>
    </row>
    <row r="86" spans="1:13" x14ac:dyDescent="0.25">
      <c r="A86" s="291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2"/>
      <c r="M86" s="291"/>
    </row>
    <row r="87" spans="1:13" x14ac:dyDescent="0.25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2"/>
      <c r="M87" s="291"/>
    </row>
    <row r="88" spans="1:13" x14ac:dyDescent="0.25">
      <c r="A88" s="291"/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2"/>
      <c r="M88" s="291"/>
    </row>
    <row r="89" spans="1:13" x14ac:dyDescent="0.25">
      <c r="A89" s="291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2"/>
      <c r="M89" s="291"/>
    </row>
    <row r="90" spans="1:13" x14ac:dyDescent="0.25">
      <c r="A90" s="291"/>
      <c r="B90" s="291"/>
      <c r="C90" s="291"/>
      <c r="D90" s="291"/>
      <c r="E90" s="291"/>
      <c r="F90" s="291"/>
      <c r="G90" s="291"/>
      <c r="H90" s="291"/>
      <c r="I90" s="291"/>
      <c r="J90" s="291"/>
      <c r="K90" s="291"/>
      <c r="L90" s="292"/>
      <c r="M90" s="291"/>
    </row>
  </sheetData>
  <sortState ref="A23:B61">
    <sortCondition ref="A23:A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showGridLines="0" workbookViewId="0">
      <selection activeCell="F7" sqref="F7"/>
    </sheetView>
  </sheetViews>
  <sheetFormatPr defaultRowHeight="12.75" x14ac:dyDescent="0.2"/>
  <cols>
    <col min="1" max="1" customWidth="true" style="298" width="6.140625" collapsed="true"/>
    <col min="2" max="2" customWidth="true" style="298" width="55.140625" collapsed="true"/>
    <col min="3" max="7" customWidth="true" style="298" width="16.7109375" collapsed="true"/>
    <col min="8" max="16384" style="298" width="9.140625" collapsed="true"/>
  </cols>
  <sheetData>
    <row r="1" spans="1:7" ht="19.5" thickBot="1" x14ac:dyDescent="0.25">
      <c r="A1" s="213"/>
      <c r="B1" s="297" t="s">
        <v>727</v>
      </c>
      <c r="C1" s="214"/>
      <c r="D1" s="214"/>
      <c r="E1" s="214"/>
      <c r="F1" s="214"/>
      <c r="G1" s="214"/>
    </row>
    <row r="2" spans="1:7" x14ac:dyDescent="0.2">
      <c r="A2" s="215"/>
      <c r="B2" s="216"/>
      <c r="C2" s="217"/>
      <c r="D2" s="217"/>
      <c r="E2" s="217"/>
      <c r="F2" s="217"/>
      <c r="G2" s="218"/>
    </row>
    <row r="3" spans="1:7" x14ac:dyDescent="0.2">
      <c r="A3" s="219"/>
      <c r="B3" s="220" t="s">
        <v>0</v>
      </c>
      <c r="C3" s="224">
        <f>Sheet1!C26</f>
        <v>250</v>
      </c>
      <c r="D3" s="224">
        <f>Sheet1!D26</f>
        <v>250</v>
      </c>
      <c r="E3" s="224">
        <f>Sheet1!E26</f>
        <v>250</v>
      </c>
      <c r="F3" s="224">
        <f>Sheet1!F26</f>
        <v>250</v>
      </c>
      <c r="G3" s="224">
        <f>Sheet1!G26</f>
        <v>250</v>
      </c>
    </row>
    <row r="4" spans="1:7" x14ac:dyDescent="0.2">
      <c r="A4" s="221"/>
      <c r="B4" s="220" t="s">
        <v>1</v>
      </c>
      <c r="C4" s="223">
        <f>Sheet1!C27</f>
        <v>0</v>
      </c>
      <c r="D4" s="223">
        <f>Sheet1!D27</f>
        <v>0</v>
      </c>
      <c r="E4" s="223">
        <f>Sheet1!E27</f>
        <v>0</v>
      </c>
      <c r="F4" s="223">
        <f>Sheet1!F27</f>
        <v>0</v>
      </c>
      <c r="G4" s="224">
        <f>Sheet1!G27</f>
        <v>0</v>
      </c>
    </row>
    <row r="5" spans="1:7" x14ac:dyDescent="0.2">
      <c r="A5" s="221"/>
      <c r="B5" s="220" t="s">
        <v>487</v>
      </c>
      <c r="C5" s="223">
        <f>Sheet1!C28</f>
        <v>0</v>
      </c>
      <c r="D5" s="223">
        <f>Sheet1!D28</f>
        <v>0</v>
      </c>
      <c r="E5" s="223">
        <f>Sheet1!E28</f>
        <v>0</v>
      </c>
      <c r="F5" s="223">
        <f>Sheet1!F28</f>
        <v>2.2999999999999998</v>
      </c>
      <c r="G5" s="224">
        <f>Sheet1!G28</f>
        <v>3.94</v>
      </c>
    </row>
    <row r="6" spans="1:7" x14ac:dyDescent="0.2">
      <c r="A6" s="221"/>
      <c r="B6" s="220" t="s">
        <v>2</v>
      </c>
      <c r="C6" s="223">
        <f>Sheet1!C29</f>
        <v>0</v>
      </c>
      <c r="D6" s="223">
        <f>Sheet1!D29</f>
        <v>0</v>
      </c>
      <c r="E6" s="223">
        <f>Sheet1!E29</f>
        <v>0</v>
      </c>
      <c r="F6" s="223">
        <f>Sheet1!F29</f>
        <v>0</v>
      </c>
      <c r="G6" s="224">
        <f>Sheet1!G29</f>
        <v>0</v>
      </c>
    </row>
    <row r="7" spans="1:7" x14ac:dyDescent="0.2">
      <c r="A7" s="221"/>
      <c r="B7" s="220" t="s">
        <v>725</v>
      </c>
      <c r="C7" s="223">
        <f>Sheet1!C32</f>
        <v>0</v>
      </c>
      <c r="D7" s="223">
        <f>Sheet1!D32</f>
        <v>0</v>
      </c>
      <c r="E7" s="223">
        <f>Sheet1!E32</f>
        <v>0</v>
      </c>
      <c r="F7" s="223">
        <f>Sheet1!F32</f>
        <v>0</v>
      </c>
      <c r="G7" s="224">
        <f>Sheet1!G32</f>
        <v>0</v>
      </c>
    </row>
    <row r="8" spans="1:7" x14ac:dyDescent="0.2">
      <c r="A8" s="221"/>
      <c r="B8" s="222" t="s">
        <v>3</v>
      </c>
      <c r="C8" s="231">
        <f>ROUND(SUM(C3:C5)-C7,2)</f>
        <v>250</v>
      </c>
      <c r="D8" s="231">
        <f>ROUND(SUM(D3:D5)-D7,2)</f>
        <v>250</v>
      </c>
      <c r="E8" s="231">
        <f>ROUND(SUM(E3:E5)-E7,2)</f>
        <v>250</v>
      </c>
      <c r="F8" s="231">
        <f>ROUND(SUM(F3:F5)-F7,2)</f>
        <v>252.3</v>
      </c>
      <c r="G8" s="232">
        <f>ROUND(SUM(G3:G5)-G7,2)</f>
        <v>253.94</v>
      </c>
    </row>
    <row r="9" spans="1:7" x14ac:dyDescent="0.2">
      <c r="A9" s="221"/>
      <c r="B9" s="220" t="s">
        <v>4</v>
      </c>
      <c r="C9" s="223">
        <f>Sheet1!C33</f>
        <v>0.9</v>
      </c>
      <c r="D9" s="223">
        <f>Sheet1!D33</f>
        <v>1</v>
      </c>
      <c r="E9" s="223">
        <f>Sheet1!E33</f>
        <v>1.1000000000000001</v>
      </c>
      <c r="F9" s="223">
        <f>Sheet1!F33</f>
        <v>1.1000000000000001</v>
      </c>
      <c r="G9" s="224">
        <f>Sheet1!G33</f>
        <v>1.119</v>
      </c>
    </row>
    <row r="10" spans="1:7" x14ac:dyDescent="0.2">
      <c r="A10" s="221"/>
      <c r="B10" s="225" t="s">
        <v>5</v>
      </c>
      <c r="C10" s="226">
        <f>ROUND(C8+C9,2)</f>
        <v>250.9</v>
      </c>
      <c r="D10" s="226">
        <f>ROUND(D8+D9,2)</f>
        <v>251</v>
      </c>
      <c r="E10" s="226">
        <f>ROUND(E8+E9,2)</f>
        <v>251.1</v>
      </c>
      <c r="F10" s="226">
        <f>ROUND(F8+F9,2)</f>
        <v>253.4</v>
      </c>
      <c r="G10" s="227">
        <f>ROUND(G8+G9,2)</f>
        <v>255.06</v>
      </c>
    </row>
    <row r="11" spans="1:7" x14ac:dyDescent="0.2">
      <c r="A11" s="221"/>
      <c r="B11" s="220"/>
      <c r="C11" s="223"/>
      <c r="D11" s="223"/>
      <c r="E11" s="223"/>
      <c r="F11" s="223"/>
      <c r="G11" s="224"/>
    </row>
    <row r="12" spans="1:7" x14ac:dyDescent="0.2">
      <c r="A12" s="221"/>
      <c r="B12" s="220" t="s">
        <v>6</v>
      </c>
      <c r="C12" s="223">
        <f>Sheet1!C45</f>
        <v>204.5</v>
      </c>
      <c r="D12" s="223">
        <f>Sheet1!D45</f>
        <v>233.7</v>
      </c>
      <c r="E12" s="223">
        <f>Sheet1!E45</f>
        <v>260.2</v>
      </c>
      <c r="F12" s="223">
        <f>Sheet1!F45</f>
        <v>321.3</v>
      </c>
      <c r="G12" s="224">
        <f>Sheet1!G45</f>
        <v>343.36700000000002</v>
      </c>
    </row>
    <row r="13" spans="1:7" x14ac:dyDescent="0.2">
      <c r="A13" s="219"/>
      <c r="B13" s="220" t="s">
        <v>7</v>
      </c>
      <c r="C13" s="223">
        <f>Sheet1!C46</f>
        <v>6.7</v>
      </c>
      <c r="D13" s="223">
        <f>Sheet1!D46</f>
        <v>10</v>
      </c>
      <c r="E13" s="223">
        <f>Sheet1!E46</f>
        <v>17.3</v>
      </c>
      <c r="F13" s="223">
        <f>Sheet1!F46</f>
        <v>19.600000000000001</v>
      </c>
      <c r="G13" s="224">
        <f>Sheet1!G46</f>
        <v>20.558</v>
      </c>
    </row>
    <row r="14" spans="1:7" x14ac:dyDescent="0.2">
      <c r="A14" s="221"/>
      <c r="B14" s="220" t="s">
        <v>8</v>
      </c>
      <c r="C14" s="223">
        <f>Sheet1!C47</f>
        <v>38.43</v>
      </c>
      <c r="D14" s="223">
        <f>Sheet1!D47</f>
        <v>45.36</v>
      </c>
      <c r="E14" s="223">
        <f>Sheet1!E47</f>
        <v>61.529999999999994</v>
      </c>
      <c r="F14" s="223">
        <f>Sheet1!F47</f>
        <v>65.03</v>
      </c>
      <c r="G14" s="224">
        <f>Sheet1!G47</f>
        <v>71.795000000000002</v>
      </c>
    </row>
    <row r="15" spans="1:7" x14ac:dyDescent="0.2">
      <c r="A15" s="221"/>
      <c r="B15" s="220" t="s">
        <v>9</v>
      </c>
      <c r="C15" s="223">
        <f>Sheet1!C48</f>
        <v>16.399999999999999</v>
      </c>
      <c r="D15" s="223">
        <f>Sheet1!D48</f>
        <v>28.6</v>
      </c>
      <c r="E15" s="223">
        <f>Sheet1!E48</f>
        <v>26.6</v>
      </c>
      <c r="F15" s="223">
        <f>Sheet1!F48</f>
        <v>18.600000000000001</v>
      </c>
      <c r="G15" s="224">
        <f>Sheet1!G48</f>
        <v>14.912000000000001</v>
      </c>
    </row>
    <row r="16" spans="1:7" x14ac:dyDescent="0.2">
      <c r="A16" s="221"/>
      <c r="B16" s="220" t="s">
        <v>10</v>
      </c>
      <c r="C16" s="223">
        <f>Sheet1!C52</f>
        <v>0</v>
      </c>
      <c r="D16" s="223">
        <f>Sheet1!D52</f>
        <v>0</v>
      </c>
      <c r="E16" s="223">
        <f>Sheet1!E52</f>
        <v>0</v>
      </c>
      <c r="F16" s="223">
        <f>Sheet1!F52</f>
        <v>0</v>
      </c>
      <c r="G16" s="224">
        <f>Sheet1!G52</f>
        <v>0</v>
      </c>
    </row>
    <row r="17" spans="1:7" x14ac:dyDescent="0.2">
      <c r="A17" s="221"/>
      <c r="B17" s="220" t="s">
        <v>11</v>
      </c>
      <c r="C17" s="223">
        <f>Sheet1!C58</f>
        <v>0</v>
      </c>
      <c r="D17" s="223">
        <f>Sheet1!D58</f>
        <v>0</v>
      </c>
      <c r="E17" s="223">
        <f>Sheet1!E58</f>
        <v>0</v>
      </c>
      <c r="F17" s="223">
        <f>Sheet1!F58</f>
        <v>0</v>
      </c>
      <c r="G17" s="224">
        <f>Sheet1!G58</f>
        <v>0</v>
      </c>
    </row>
    <row r="18" spans="1:7" x14ac:dyDescent="0.2">
      <c r="A18" s="221"/>
      <c r="B18" s="228"/>
      <c r="C18" s="229"/>
      <c r="D18" s="229"/>
      <c r="E18" s="229"/>
      <c r="F18" s="229"/>
      <c r="G18" s="230"/>
    </row>
    <row r="19" spans="1:7" x14ac:dyDescent="0.2">
      <c r="A19" s="221"/>
      <c r="B19" s="228"/>
      <c r="C19" s="229"/>
      <c r="D19" s="229"/>
      <c r="E19" s="229"/>
      <c r="F19" s="229"/>
      <c r="G19" s="230"/>
    </row>
    <row r="20" spans="1:7" x14ac:dyDescent="0.2">
      <c r="A20" s="221"/>
      <c r="B20" s="222" t="s">
        <v>12</v>
      </c>
      <c r="C20" s="231">
        <f>ROUND(SUM(C12:C17),2)</f>
        <v>266.02999999999997</v>
      </c>
      <c r="D20" s="231">
        <f>ROUND(SUM(D12:D17),2)</f>
        <v>317.66000000000003</v>
      </c>
      <c r="E20" s="231">
        <f>ROUND(SUM(E12:E17),2)</f>
        <v>365.63</v>
      </c>
      <c r="F20" s="231">
        <f>ROUND(SUM(F12:F17),2)</f>
        <v>424.53</v>
      </c>
      <c r="G20" s="232">
        <f>ROUND(SUM(G12:G17),2)</f>
        <v>450.63</v>
      </c>
    </row>
    <row r="21" spans="1:7" x14ac:dyDescent="0.2">
      <c r="A21" s="221"/>
      <c r="B21" s="220" t="s">
        <v>13</v>
      </c>
      <c r="C21" s="223">
        <f>Sheet1!C53</f>
        <v>0</v>
      </c>
      <c r="D21" s="223">
        <f>Sheet1!D53</f>
        <v>0</v>
      </c>
      <c r="E21" s="223">
        <f>Sheet1!E53</f>
        <v>0</v>
      </c>
      <c r="F21" s="223">
        <f>Sheet1!F53</f>
        <v>0</v>
      </c>
      <c r="G21" s="224">
        <f>Sheet1!G53</f>
        <v>0</v>
      </c>
    </row>
    <row r="22" spans="1:7" x14ac:dyDescent="0.2">
      <c r="A22" s="219"/>
      <c r="B22" s="220" t="s">
        <v>14</v>
      </c>
      <c r="C22" s="223">
        <f>Sheet1!C54</f>
        <v>0</v>
      </c>
      <c r="D22" s="223">
        <f>Sheet1!D54</f>
        <v>0</v>
      </c>
      <c r="E22" s="223">
        <f>Sheet1!E54</f>
        <v>0</v>
      </c>
      <c r="F22" s="223">
        <f>Sheet1!F54</f>
        <v>0</v>
      </c>
      <c r="G22" s="224">
        <f>Sheet1!G54</f>
        <v>0</v>
      </c>
    </row>
    <row r="23" spans="1:7" x14ac:dyDescent="0.2">
      <c r="A23" s="221"/>
      <c r="B23" s="222" t="s">
        <v>15</v>
      </c>
      <c r="C23" s="231">
        <f>ROUND(C20+C21+C22,2)</f>
        <v>266.02999999999997</v>
      </c>
      <c r="D23" s="231">
        <f>ROUND(D20+D21+D22,2)</f>
        <v>317.66000000000003</v>
      </c>
      <c r="E23" s="231">
        <f>ROUND(E20+E21+E22,2)</f>
        <v>365.63</v>
      </c>
      <c r="F23" s="231">
        <f>ROUND(F20+F21+F22,2)</f>
        <v>424.53</v>
      </c>
      <c r="G23" s="232">
        <f>ROUND(G20+G21+G22,2)</f>
        <v>450.63</v>
      </c>
    </row>
    <row r="24" spans="1:7" x14ac:dyDescent="0.2">
      <c r="A24" s="221"/>
      <c r="B24" s="220"/>
      <c r="C24" s="229"/>
      <c r="D24" s="229"/>
      <c r="E24" s="229"/>
      <c r="F24" s="229"/>
      <c r="G24" s="230"/>
    </row>
    <row r="25" spans="1:7" x14ac:dyDescent="0.2">
      <c r="A25" s="221"/>
      <c r="B25" s="220" t="s">
        <v>16</v>
      </c>
      <c r="C25" s="223">
        <f>Sheet1!C56</f>
        <v>40.4</v>
      </c>
      <c r="D25" s="223">
        <f>Sheet1!D56</f>
        <v>50.1</v>
      </c>
      <c r="E25" s="223">
        <f>Sheet1!E56</f>
        <v>59.4</v>
      </c>
      <c r="F25" s="223">
        <f>Sheet1!F56</f>
        <v>62</v>
      </c>
      <c r="G25" s="224">
        <f>Sheet1!G56</f>
        <v>74.972999999999999</v>
      </c>
    </row>
    <row r="26" spans="1:7" x14ac:dyDescent="0.2">
      <c r="A26" s="221"/>
      <c r="B26" s="220" t="s">
        <v>17</v>
      </c>
      <c r="C26" s="223">
        <f>Sheet1!C57</f>
        <v>5.2</v>
      </c>
      <c r="D26" s="223">
        <f>Sheet1!D57</f>
        <v>5.8</v>
      </c>
      <c r="E26" s="223">
        <f>Sheet1!E57</f>
        <v>7.6</v>
      </c>
      <c r="F26" s="223">
        <f>Sheet1!F57</f>
        <v>9.1</v>
      </c>
      <c r="G26" s="224">
        <f>Sheet1!G57</f>
        <v>15.261000000000001</v>
      </c>
    </row>
    <row r="27" spans="1:7" x14ac:dyDescent="0.2">
      <c r="A27" s="221"/>
      <c r="B27" s="220" t="s">
        <v>18</v>
      </c>
      <c r="C27" s="223">
        <f>Sheet1!C55</f>
        <v>16.47</v>
      </c>
      <c r="D27" s="223">
        <f>Sheet1!D55</f>
        <v>19.440000000000001</v>
      </c>
      <c r="E27" s="223">
        <f>Sheet1!E55</f>
        <v>26.369999999999997</v>
      </c>
      <c r="F27" s="223">
        <f>Sheet1!F55</f>
        <v>27.869999999999997</v>
      </c>
      <c r="G27" s="224">
        <f>Sheet1!G55</f>
        <v>30.768999999999998</v>
      </c>
    </row>
    <row r="28" spans="1:7" x14ac:dyDescent="0.2">
      <c r="A28" s="221"/>
      <c r="B28" s="220"/>
      <c r="C28" s="229"/>
      <c r="D28" s="229"/>
      <c r="E28" s="229"/>
      <c r="F28" s="229"/>
      <c r="G28" s="230"/>
    </row>
    <row r="29" spans="1:7" x14ac:dyDescent="0.2">
      <c r="A29" s="221"/>
      <c r="B29" s="220"/>
      <c r="C29" s="229"/>
      <c r="D29" s="229"/>
      <c r="E29" s="229"/>
      <c r="F29" s="229"/>
      <c r="G29" s="230"/>
    </row>
    <row r="30" spans="1:7" x14ac:dyDescent="0.2">
      <c r="A30" s="221"/>
      <c r="B30" s="222" t="s">
        <v>19</v>
      </c>
      <c r="C30" s="231">
        <f>ROUND(C23+SUM(C25:C27),2)</f>
        <v>328.1</v>
      </c>
      <c r="D30" s="231">
        <f>ROUND(D23+SUM(D25:D27),2)</f>
        <v>393</v>
      </c>
      <c r="E30" s="231">
        <f>ROUND(E23+SUM(E25:E27),2)</f>
        <v>459</v>
      </c>
      <c r="F30" s="231">
        <f>ROUND(F23+SUM(F25:F27),2)</f>
        <v>523.5</v>
      </c>
      <c r="G30" s="232">
        <f>ROUND(G23+SUM(G25:G27),2)</f>
        <v>571.63</v>
      </c>
    </row>
    <row r="31" spans="1:7" x14ac:dyDescent="0.2">
      <c r="A31" s="221"/>
      <c r="B31" s="220"/>
      <c r="C31" s="229"/>
      <c r="D31" s="229"/>
      <c r="E31" s="229"/>
      <c r="F31" s="229"/>
      <c r="G31" s="230"/>
    </row>
    <row r="32" spans="1:7" x14ac:dyDescent="0.2">
      <c r="A32" s="221"/>
      <c r="B32" s="225" t="s">
        <v>20</v>
      </c>
      <c r="C32" s="226">
        <f>ROUND(C10-C30,2)</f>
        <v>-77.2</v>
      </c>
      <c r="D32" s="226">
        <f>ROUND(D10-D30,2)</f>
        <v>-142</v>
      </c>
      <c r="E32" s="226">
        <f>ROUND(E10-E30,2)</f>
        <v>-207.9</v>
      </c>
      <c r="F32" s="226">
        <f>ROUND(F10-F30,2)</f>
        <v>-270.10000000000002</v>
      </c>
      <c r="G32" s="227">
        <f>ROUND(G10-G30,2)</f>
        <v>-316.57</v>
      </c>
    </row>
    <row r="33" spans="1:7" x14ac:dyDescent="0.2">
      <c r="A33" s="221"/>
      <c r="B33" s="220"/>
      <c r="C33" s="229"/>
      <c r="D33" s="229"/>
      <c r="E33" s="229"/>
      <c r="F33" s="229"/>
      <c r="G33" s="230"/>
    </row>
    <row r="34" spans="1:7" x14ac:dyDescent="0.2">
      <c r="A34" s="221"/>
      <c r="B34" s="220" t="s">
        <v>21</v>
      </c>
      <c r="C34" s="223">
        <f>Sheet1!C51</f>
        <v>1.2</v>
      </c>
      <c r="D34" s="223">
        <f>Sheet1!D51</f>
        <v>4.5999999999999996</v>
      </c>
      <c r="E34" s="223">
        <f>Sheet1!E51</f>
        <v>7.8</v>
      </c>
      <c r="F34" s="223">
        <f>Sheet1!F51</f>
        <v>16.5</v>
      </c>
      <c r="G34" s="224">
        <f>Sheet1!G51</f>
        <v>20.565999999999999</v>
      </c>
    </row>
    <row r="35" spans="1:7" x14ac:dyDescent="0.2">
      <c r="A35" s="221"/>
      <c r="B35" s="225" t="s">
        <v>22</v>
      </c>
      <c r="C35" s="226">
        <f>ROUND(C32-C34,2)</f>
        <v>-78.400000000000006</v>
      </c>
      <c r="D35" s="226">
        <f>ROUND(D32-D34,2)</f>
        <v>-146.6</v>
      </c>
      <c r="E35" s="226">
        <f>ROUND(E32-E34,2)</f>
        <v>-215.7</v>
      </c>
      <c r="F35" s="226">
        <f>ROUND(F32-F34,2)</f>
        <v>-286.60000000000002</v>
      </c>
      <c r="G35" s="227">
        <f>ROUND(G32-G34,2)</f>
        <v>-337.14</v>
      </c>
    </row>
    <row r="36" spans="1:7" x14ac:dyDescent="0.2">
      <c r="A36" s="221"/>
      <c r="B36" s="220"/>
      <c r="C36" s="229"/>
      <c r="D36" s="229"/>
      <c r="E36" s="229"/>
      <c r="F36" s="229"/>
      <c r="G36" s="230"/>
    </row>
    <row r="37" spans="1:7" x14ac:dyDescent="0.2">
      <c r="A37" s="221"/>
      <c r="B37" s="220" t="s">
        <v>23</v>
      </c>
      <c r="C37" s="223">
        <f>Sheet1!C59</f>
        <v>0.2</v>
      </c>
      <c r="D37" s="223">
        <f>Sheet1!D59</f>
        <v>1.8</v>
      </c>
      <c r="E37" s="223">
        <f>Sheet1!E59</f>
        <v>1.2</v>
      </c>
      <c r="F37" s="223">
        <f>Sheet1!F59</f>
        <v>1.2</v>
      </c>
      <c r="G37" s="224">
        <f>Sheet1!G59</f>
        <v>1.8690000000000002</v>
      </c>
    </row>
    <row r="38" spans="1:7" x14ac:dyDescent="0.2">
      <c r="A38" s="221"/>
      <c r="B38" s="220" t="s">
        <v>24</v>
      </c>
      <c r="C38" s="223">
        <f>Sheet1!C60</f>
        <v>0</v>
      </c>
      <c r="D38" s="223">
        <f>Sheet1!D60</f>
        <v>0</v>
      </c>
      <c r="E38" s="223">
        <f>Sheet1!E60</f>
        <v>0</v>
      </c>
      <c r="F38" s="223">
        <f>Sheet1!F60</f>
        <v>0</v>
      </c>
      <c r="G38" s="224">
        <f>Sheet1!G60</f>
        <v>0</v>
      </c>
    </row>
    <row r="39" spans="1:7" x14ac:dyDescent="0.2">
      <c r="A39" s="221"/>
      <c r="B39" s="220" t="s">
        <v>25</v>
      </c>
      <c r="C39" s="223">
        <f>Sheet1!C61</f>
        <v>0</v>
      </c>
      <c r="D39" s="223">
        <f>Sheet1!D61</f>
        <v>0.1</v>
      </c>
      <c r="E39" s="223">
        <f>Sheet1!E61</f>
        <v>0</v>
      </c>
      <c r="F39" s="223">
        <f>Sheet1!F61</f>
        <v>0</v>
      </c>
      <c r="G39" s="224">
        <f>Sheet1!G61</f>
        <v>3.3000000000000002E-2</v>
      </c>
    </row>
    <row r="40" spans="1:7" x14ac:dyDescent="0.2">
      <c r="A40" s="221"/>
      <c r="B40" s="220"/>
      <c r="C40" s="223"/>
      <c r="D40" s="223"/>
      <c r="E40" s="223"/>
      <c r="F40" s="223"/>
      <c r="G40" s="224"/>
    </row>
    <row r="41" spans="1:7" x14ac:dyDescent="0.2">
      <c r="A41" s="221"/>
      <c r="B41" s="220"/>
      <c r="C41" s="223"/>
      <c r="D41" s="223"/>
      <c r="E41" s="223"/>
      <c r="F41" s="223"/>
      <c r="G41" s="224"/>
    </row>
    <row r="42" spans="1:7" x14ac:dyDescent="0.2">
      <c r="A42" s="221"/>
      <c r="B42" s="222" t="s">
        <v>26</v>
      </c>
      <c r="C42" s="231">
        <f>ROUND(SUM(C37:C39),2)</f>
        <v>0.2</v>
      </c>
      <c r="D42" s="231">
        <f>ROUND(SUM(D37:D39),2)</f>
        <v>1.9</v>
      </c>
      <c r="E42" s="231">
        <f>ROUND(SUM(E37:E39),2)</f>
        <v>1.2</v>
      </c>
      <c r="F42" s="231">
        <f>ROUND(SUM(F37:F39),2)</f>
        <v>1.2</v>
      </c>
      <c r="G42" s="232">
        <f>ROUND(SUM(G37:G39),2)</f>
        <v>1.9</v>
      </c>
    </row>
    <row r="43" spans="1:7" x14ac:dyDescent="0.2">
      <c r="A43" s="219"/>
      <c r="B43" s="220"/>
      <c r="C43" s="229"/>
      <c r="D43" s="229"/>
      <c r="E43" s="229"/>
      <c r="F43" s="229"/>
      <c r="G43" s="230"/>
    </row>
    <row r="44" spans="1:7" x14ac:dyDescent="0.2">
      <c r="A44" s="221"/>
      <c r="B44" s="225" t="s">
        <v>27</v>
      </c>
      <c r="C44" s="226">
        <f>ROUND(C35-C42,2)</f>
        <v>-78.599999999999994</v>
      </c>
      <c r="D44" s="226">
        <f>ROUND(D35-D42,2)</f>
        <v>-148.5</v>
      </c>
      <c r="E44" s="226">
        <f>ROUND(E35-E42,2)</f>
        <v>-216.9</v>
      </c>
      <c r="F44" s="226">
        <f>ROUND(F35-F42,2)</f>
        <v>-287.8</v>
      </c>
      <c r="G44" s="227">
        <f>ROUND(G35-G42,2)</f>
        <v>-339.04</v>
      </c>
    </row>
    <row r="45" spans="1:7" x14ac:dyDescent="0.2">
      <c r="A45" s="221"/>
      <c r="B45" s="220"/>
      <c r="C45" s="229"/>
      <c r="D45" s="229"/>
      <c r="E45" s="229"/>
      <c r="F45" s="229"/>
      <c r="G45" s="230"/>
    </row>
    <row r="46" spans="1:7" x14ac:dyDescent="0.2">
      <c r="A46" s="221"/>
      <c r="B46" s="220" t="s">
        <v>28</v>
      </c>
      <c r="C46" s="223">
        <f>Sheet1!C36</f>
        <v>0</v>
      </c>
      <c r="D46" s="223">
        <f>Sheet1!D36</f>
        <v>0</v>
      </c>
      <c r="E46" s="223">
        <f>Sheet1!E36</f>
        <v>0</v>
      </c>
      <c r="F46" s="223">
        <f>Sheet1!F36</f>
        <v>0</v>
      </c>
      <c r="G46" s="224">
        <f>Sheet1!G36</f>
        <v>0</v>
      </c>
    </row>
    <row r="47" spans="1:7" x14ac:dyDescent="0.2">
      <c r="A47" s="221"/>
      <c r="B47" s="220" t="s">
        <v>29</v>
      </c>
      <c r="C47" s="223">
        <f>Sheet1!C37</f>
        <v>0</v>
      </c>
      <c r="D47" s="223">
        <f>Sheet1!D37</f>
        <v>0</v>
      </c>
      <c r="E47" s="223">
        <f>Sheet1!E37</f>
        <v>0</v>
      </c>
      <c r="F47" s="223">
        <f>Sheet1!F37</f>
        <v>0</v>
      </c>
      <c r="G47" s="224">
        <f>Sheet1!G37</f>
        <v>0</v>
      </c>
    </row>
    <row r="48" spans="1:7" x14ac:dyDescent="0.2">
      <c r="A48" s="221"/>
      <c r="B48" s="220" t="s">
        <v>30</v>
      </c>
      <c r="C48" s="223">
        <f>Sheet1!C38</f>
        <v>0</v>
      </c>
      <c r="D48" s="223">
        <f>Sheet1!D38</f>
        <v>0</v>
      </c>
      <c r="E48" s="223">
        <f>Sheet1!E38</f>
        <v>0</v>
      </c>
      <c r="F48" s="223">
        <f>Sheet1!F38</f>
        <v>0</v>
      </c>
      <c r="G48" s="224">
        <f>Sheet1!G38</f>
        <v>0</v>
      </c>
    </row>
    <row r="49" spans="1:7" x14ac:dyDescent="0.2">
      <c r="A49" s="221"/>
      <c r="B49" s="220" t="s">
        <v>31</v>
      </c>
      <c r="C49" s="223">
        <f>Sheet1!C39</f>
        <v>1.6</v>
      </c>
      <c r="D49" s="223">
        <f>Sheet1!D39</f>
        <v>2.2999999999999998</v>
      </c>
      <c r="E49" s="223">
        <f>Sheet1!E39</f>
        <v>4.4000000000000004</v>
      </c>
      <c r="F49" s="223">
        <f>Sheet1!F39</f>
        <v>3.7</v>
      </c>
      <c r="G49" s="224">
        <f>Sheet1!G39</f>
        <v>3.8420000000000001</v>
      </c>
    </row>
    <row r="50" spans="1:7" x14ac:dyDescent="0.2">
      <c r="A50" s="219"/>
      <c r="B50" s="220"/>
      <c r="C50" s="223"/>
      <c r="D50" s="223"/>
      <c r="E50" s="223"/>
      <c r="F50" s="223"/>
      <c r="G50" s="224"/>
    </row>
    <row r="51" spans="1:7" x14ac:dyDescent="0.2">
      <c r="A51" s="221"/>
      <c r="B51" s="220"/>
      <c r="C51" s="223"/>
      <c r="D51" s="223"/>
      <c r="E51" s="223"/>
      <c r="F51" s="223"/>
      <c r="G51" s="224"/>
    </row>
    <row r="52" spans="1:7" x14ac:dyDescent="0.2">
      <c r="A52" s="221"/>
      <c r="B52" s="222" t="s">
        <v>32</v>
      </c>
      <c r="C52" s="231">
        <f>ROUND(SUM(C46:C49),2)</f>
        <v>1.6</v>
      </c>
      <c r="D52" s="231">
        <f>ROUND(SUM(D46:D49),2)</f>
        <v>2.2999999999999998</v>
      </c>
      <c r="E52" s="231">
        <f>ROUND(SUM(E46:E49),2)</f>
        <v>4.4000000000000004</v>
      </c>
      <c r="F52" s="231">
        <f>ROUND(SUM(F46:F49),2)</f>
        <v>3.7</v>
      </c>
      <c r="G52" s="232">
        <f>ROUND(SUM(G46:G49),2)</f>
        <v>3.84</v>
      </c>
    </row>
    <row r="53" spans="1:7" x14ac:dyDescent="0.2">
      <c r="A53" s="221"/>
      <c r="B53" s="220"/>
      <c r="C53" s="229"/>
      <c r="D53" s="229"/>
      <c r="E53" s="229"/>
      <c r="F53" s="229"/>
      <c r="G53" s="230"/>
    </row>
    <row r="54" spans="1:7" x14ac:dyDescent="0.2">
      <c r="A54" s="221"/>
      <c r="B54" s="220" t="s">
        <v>33</v>
      </c>
      <c r="C54" s="223">
        <f>Sheet1!C66</f>
        <v>0</v>
      </c>
      <c r="D54" s="223">
        <f>Sheet1!D66</f>
        <v>0</v>
      </c>
      <c r="E54" s="223">
        <f>Sheet1!E66</f>
        <v>0</v>
      </c>
      <c r="F54" s="223">
        <f>Sheet1!F66</f>
        <v>0</v>
      </c>
      <c r="G54" s="224">
        <f>Sheet1!G66</f>
        <v>0</v>
      </c>
    </row>
    <row r="55" spans="1:7" x14ac:dyDescent="0.2">
      <c r="A55" s="221"/>
      <c r="B55" s="220" t="s">
        <v>34</v>
      </c>
      <c r="C55" s="223">
        <f>Sheet1!C67</f>
        <v>0</v>
      </c>
      <c r="D55" s="223">
        <f>Sheet1!D67</f>
        <v>0</v>
      </c>
      <c r="E55" s="223">
        <f>Sheet1!E67</f>
        <v>0</v>
      </c>
      <c r="F55" s="223">
        <f>Sheet1!F67</f>
        <v>0</v>
      </c>
      <c r="G55" s="224">
        <f>Sheet1!G67</f>
        <v>0</v>
      </c>
    </row>
    <row r="56" spans="1:7" x14ac:dyDescent="0.2">
      <c r="A56" s="221"/>
      <c r="B56" s="220" t="s">
        <v>35</v>
      </c>
      <c r="C56" s="223">
        <f>Sheet1!C68</f>
        <v>0</v>
      </c>
      <c r="D56" s="223">
        <f>Sheet1!D68</f>
        <v>0</v>
      </c>
      <c r="E56" s="223">
        <f>Sheet1!E68</f>
        <v>0</v>
      </c>
      <c r="F56" s="223">
        <f>Sheet1!F68</f>
        <v>0</v>
      </c>
      <c r="G56" s="224">
        <f>Sheet1!G68</f>
        <v>0</v>
      </c>
    </row>
    <row r="57" spans="1:7" x14ac:dyDescent="0.2">
      <c r="A57" s="221"/>
      <c r="B57" s="220"/>
      <c r="C57" s="229"/>
      <c r="D57" s="229"/>
      <c r="E57" s="229"/>
      <c r="F57" s="229"/>
      <c r="G57" s="230"/>
    </row>
    <row r="58" spans="1:7" x14ac:dyDescent="0.2">
      <c r="A58" s="221"/>
      <c r="B58" s="220"/>
      <c r="C58" s="229"/>
      <c r="D58" s="229"/>
      <c r="E58" s="229"/>
      <c r="F58" s="229"/>
      <c r="G58" s="230"/>
    </row>
    <row r="59" spans="1:7" x14ac:dyDescent="0.2">
      <c r="A59" s="221"/>
      <c r="B59" s="222" t="s">
        <v>36</v>
      </c>
      <c r="C59" s="231">
        <f>ROUND(SUM(C54:C56),2)</f>
        <v>0</v>
      </c>
      <c r="D59" s="231">
        <f>ROUND(SUM(D54:D56),2)</f>
        <v>0</v>
      </c>
      <c r="E59" s="231">
        <f>ROUND(SUM(E54:E56),2)</f>
        <v>0</v>
      </c>
      <c r="F59" s="231">
        <f>ROUND(SUM(F54:F56),2)</f>
        <v>0</v>
      </c>
      <c r="G59" s="232">
        <f>ROUND(SUM(G54:G56),2)</f>
        <v>0</v>
      </c>
    </row>
    <row r="60" spans="1:7" x14ac:dyDescent="0.2">
      <c r="A60" s="233"/>
      <c r="B60" s="220"/>
      <c r="C60" s="229"/>
      <c r="D60" s="229"/>
      <c r="E60" s="229"/>
      <c r="F60" s="229"/>
      <c r="G60" s="230"/>
    </row>
    <row r="61" spans="1:7" x14ac:dyDescent="0.2">
      <c r="A61" s="221"/>
      <c r="B61" s="225" t="s">
        <v>37</v>
      </c>
      <c r="C61" s="226">
        <f>ROUND(C44+C52-C59,2)</f>
        <v>-77</v>
      </c>
      <c r="D61" s="226">
        <f>ROUND(D44+D52-D59,2)</f>
        <v>-146.19999999999999</v>
      </c>
      <c r="E61" s="226">
        <f>ROUND(E44+E52-E59,2)</f>
        <v>-212.5</v>
      </c>
      <c r="F61" s="226">
        <f>ROUND(F44+F52-F59,2)</f>
        <v>-284.10000000000002</v>
      </c>
      <c r="G61" s="227">
        <f>ROUND(G44+G52-G59,2)</f>
        <v>-335.2</v>
      </c>
    </row>
    <row r="62" spans="1:7" x14ac:dyDescent="0.2">
      <c r="A62" s="221"/>
      <c r="B62" s="220"/>
      <c r="C62" s="229"/>
      <c r="D62" s="229"/>
      <c r="E62" s="229"/>
      <c r="F62" s="229"/>
      <c r="G62" s="230"/>
    </row>
    <row r="63" spans="1:7" x14ac:dyDescent="0.2">
      <c r="A63" s="233"/>
      <c r="B63" s="220" t="s">
        <v>38</v>
      </c>
      <c r="C63" s="223">
        <f>Sheet1!C73</f>
        <v>0</v>
      </c>
      <c r="D63" s="223">
        <f>Sheet1!D73</f>
        <v>0.1</v>
      </c>
      <c r="E63" s="223">
        <f>Sheet1!E73</f>
        <v>0</v>
      </c>
      <c r="F63" s="223">
        <f>Sheet1!F73</f>
        <v>0</v>
      </c>
      <c r="G63" s="224">
        <f>Sheet1!G73</f>
        <v>0.67900000000000005</v>
      </c>
    </row>
    <row r="64" spans="1:7" x14ac:dyDescent="0.2">
      <c r="A64" s="234"/>
      <c r="B64" s="220" t="s">
        <v>39</v>
      </c>
      <c r="C64" s="223">
        <f>Sheet1!C74</f>
        <v>0</v>
      </c>
      <c r="D64" s="223">
        <f>Sheet1!D74</f>
        <v>0</v>
      </c>
      <c r="E64" s="223">
        <f>Sheet1!E74</f>
        <v>1.6</v>
      </c>
      <c r="F64" s="223">
        <f>Sheet1!F74</f>
        <v>0.3</v>
      </c>
      <c r="G64" s="224">
        <f>Sheet1!G74</f>
        <v>0.67699999999999994</v>
      </c>
    </row>
    <row r="65" spans="1:8" x14ac:dyDescent="0.2">
      <c r="A65" s="234"/>
      <c r="B65" s="220"/>
      <c r="C65" s="229"/>
      <c r="D65" s="229"/>
      <c r="E65" s="229"/>
      <c r="F65" s="229"/>
      <c r="G65" s="230"/>
    </row>
    <row r="66" spans="1:8" x14ac:dyDescent="0.2">
      <c r="A66" s="234"/>
      <c r="B66" s="220"/>
      <c r="C66" s="229"/>
      <c r="D66" s="229"/>
      <c r="E66" s="229"/>
      <c r="F66" s="229"/>
      <c r="G66" s="230"/>
    </row>
    <row r="67" spans="1:8" x14ac:dyDescent="0.2">
      <c r="A67" s="234"/>
      <c r="B67" s="220" t="s">
        <v>40</v>
      </c>
      <c r="C67" s="223">
        <f>Sheet1!C78</f>
        <v>7</v>
      </c>
      <c r="D67" s="223">
        <f>Sheet1!D78</f>
        <v>11.7</v>
      </c>
      <c r="E67" s="223">
        <f>Sheet1!E78</f>
        <v>13.5</v>
      </c>
      <c r="F67" s="223">
        <f>Sheet1!F78</f>
        <v>12</v>
      </c>
      <c r="G67" s="224">
        <f>Sheet1!G78</f>
        <v>18.5</v>
      </c>
    </row>
    <row r="68" spans="1:8" x14ac:dyDescent="0.2">
      <c r="A68" s="234"/>
      <c r="B68" s="220" t="s">
        <v>41</v>
      </c>
      <c r="C68" s="223">
        <f>Sheet1!C79</f>
        <v>0.5</v>
      </c>
      <c r="D68" s="223">
        <f>Sheet1!D79</f>
        <v>0.4</v>
      </c>
      <c r="E68" s="223">
        <f>Sheet1!E79</f>
        <v>0.5</v>
      </c>
      <c r="F68" s="223">
        <f>Sheet1!F79</f>
        <v>-1.4</v>
      </c>
      <c r="G68" s="224">
        <f>Sheet1!G79</f>
        <v>-0.64400000000000002</v>
      </c>
    </row>
    <row r="69" spans="1:8" x14ac:dyDescent="0.2">
      <c r="A69" s="234"/>
      <c r="B69" s="220"/>
      <c r="C69" s="223"/>
      <c r="D69" s="223"/>
      <c r="E69" s="223"/>
      <c r="F69" s="223"/>
      <c r="G69" s="224"/>
      <c r="H69" s="1" t="s">
        <v>715</v>
      </c>
    </row>
    <row r="70" spans="1:8" x14ac:dyDescent="0.2">
      <c r="A70" s="234"/>
      <c r="B70" s="220"/>
      <c r="C70" s="223"/>
      <c r="D70" s="223"/>
      <c r="E70" s="223"/>
      <c r="F70" s="223"/>
      <c r="G70" s="224"/>
      <c r="H70" s="1" t="s">
        <v>715</v>
      </c>
    </row>
    <row r="71" spans="1:8" x14ac:dyDescent="0.2">
      <c r="A71" s="235"/>
      <c r="B71" s="225" t="s">
        <v>42</v>
      </c>
      <c r="C71" s="226">
        <f>ROUND(C61+C63-C64-C67-C68,2)</f>
        <v>-84.5</v>
      </c>
      <c r="D71" s="226">
        <f>ROUND(D61+D63-D64-D67-D68,2)</f>
        <v>-158.19999999999999</v>
      </c>
      <c r="E71" s="226">
        <f>ROUND(E61+E63-E64-E67-E68,2)</f>
        <v>-228.1</v>
      </c>
      <c r="F71" s="226">
        <f>ROUND(F61+F63-F64-F67-F68,2)</f>
        <v>-295</v>
      </c>
      <c r="G71" s="227">
        <f>ROUND(G61+G63-G64-G67-G68,2)</f>
        <v>-353.05</v>
      </c>
      <c r="H71" s="23"/>
    </row>
    <row r="72" spans="1:8" x14ac:dyDescent="0.2">
      <c r="A72" s="234"/>
      <c r="B72" s="220"/>
      <c r="C72" s="229"/>
      <c r="D72" s="229"/>
      <c r="E72" s="229"/>
      <c r="F72" s="229"/>
      <c r="G72" s="230"/>
      <c r="H72" s="1"/>
    </row>
    <row r="73" spans="1:8" x14ac:dyDescent="0.2">
      <c r="A73" s="234"/>
      <c r="B73" s="220" t="s">
        <v>43</v>
      </c>
      <c r="C73" s="223">
        <f>Sheet1!C83+Sheet1!C84</f>
        <v>0</v>
      </c>
      <c r="D73" s="223">
        <f>Sheet1!D83+Sheet1!D84</f>
        <v>0</v>
      </c>
      <c r="E73" s="223">
        <f>Sheet1!E83+Sheet1!E84</f>
        <v>0</v>
      </c>
      <c r="F73" s="223">
        <f>Sheet1!F83+Sheet1!F84</f>
        <v>0</v>
      </c>
      <c r="G73" s="224">
        <f>Sheet1!G83+Sheet1!G84</f>
        <v>0</v>
      </c>
      <c r="H73" s="1"/>
    </row>
    <row r="74" spans="1:8" x14ac:dyDescent="0.2">
      <c r="A74" s="234"/>
      <c r="B74" s="220"/>
      <c r="C74" s="229"/>
      <c r="D74" s="229"/>
      <c r="E74" s="229"/>
      <c r="F74" s="229"/>
      <c r="G74" s="230"/>
      <c r="H74" s="1" t="s">
        <v>715</v>
      </c>
    </row>
    <row r="75" spans="1:8" x14ac:dyDescent="0.2">
      <c r="A75" s="234"/>
      <c r="B75" s="220"/>
      <c r="C75" s="229"/>
      <c r="D75" s="229"/>
      <c r="E75" s="229"/>
      <c r="F75" s="229"/>
      <c r="G75" s="230"/>
      <c r="H75" s="1" t="s">
        <v>715</v>
      </c>
    </row>
    <row r="76" spans="1:8" ht="13.5" thickBot="1" x14ac:dyDescent="0.25">
      <c r="A76" s="236"/>
      <c r="B76" s="237" t="s">
        <v>44</v>
      </c>
      <c r="C76" s="238">
        <f>ROUND(C71-C73-Sheet1!C85,2)</f>
        <v>-84.5</v>
      </c>
      <c r="D76" s="238">
        <f>ROUND(D71-D73-Sheet1!D85,2)</f>
        <v>-158.19999999999999</v>
      </c>
      <c r="E76" s="238">
        <f>ROUND(E71-E73-Sheet1!E85,2)</f>
        <v>-228.1</v>
      </c>
      <c r="F76" s="238">
        <f>ROUND(F71-F73-Sheet1!F85,2)</f>
        <v>-295</v>
      </c>
      <c r="G76" s="239">
        <f>ROUND(G71-G73-Sheet1!G85,2)</f>
        <v>-353.05</v>
      </c>
      <c r="H76" s="23"/>
    </row>
    <row r="77" spans="1:8" ht="13.5" thickBot="1" x14ac:dyDescent="0.25">
      <c r="A77" s="240"/>
      <c r="B77" s="241"/>
      <c r="C77" s="242"/>
      <c r="D77" s="242"/>
      <c r="E77" s="242"/>
      <c r="F77" s="242"/>
      <c r="G77" s="242"/>
      <c r="H77" s="1"/>
    </row>
    <row r="78" spans="1:8" ht="19.5" thickBot="1" x14ac:dyDescent="0.25">
      <c r="A78" s="213"/>
      <c r="B78" s="297" t="s">
        <v>728</v>
      </c>
      <c r="C78" s="214"/>
      <c r="D78" s="214"/>
      <c r="E78" s="214"/>
      <c r="F78" s="214"/>
      <c r="G78" s="214"/>
      <c r="H78" s="1"/>
    </row>
    <row r="79" spans="1:8" x14ac:dyDescent="0.2">
      <c r="A79" s="215"/>
      <c r="B79" s="216"/>
      <c r="C79" s="217"/>
      <c r="D79" s="217"/>
      <c r="E79" s="217"/>
      <c r="F79" s="217"/>
      <c r="G79" s="218"/>
      <c r="H79" s="1"/>
    </row>
    <row r="80" spans="1:8" x14ac:dyDescent="0.2">
      <c r="A80" s="219"/>
      <c r="B80" s="243" t="s">
        <v>45</v>
      </c>
      <c r="C80" s="223"/>
      <c r="D80" s="223"/>
      <c r="E80" s="223"/>
      <c r="F80" s="223"/>
      <c r="G80" s="224"/>
      <c r="H80" s="23"/>
    </row>
    <row r="81" spans="1:8" x14ac:dyDescent="0.2">
      <c r="A81" s="221"/>
      <c r="B81" s="220" t="s">
        <v>46</v>
      </c>
      <c r="C81" s="223">
        <f>Sheet1!C94</f>
        <v>1</v>
      </c>
      <c r="D81" s="223">
        <f>Sheet1!D94</f>
        <v>1</v>
      </c>
      <c r="E81" s="223">
        <f>Sheet1!E94</f>
        <v>1</v>
      </c>
      <c r="F81" s="223">
        <f>Sheet1!F94</f>
        <v>1</v>
      </c>
      <c r="G81" s="224">
        <f>Sheet1!G94</f>
        <v>1.01</v>
      </c>
      <c r="H81" s="1"/>
    </row>
    <row r="82" spans="1:8" x14ac:dyDescent="0.2">
      <c r="A82" s="221"/>
      <c r="B82" s="220" t="s">
        <v>47</v>
      </c>
      <c r="C82" s="223">
        <f>Sheet1!C95</f>
        <v>0</v>
      </c>
      <c r="D82" s="223">
        <f>Sheet1!D95</f>
        <v>0</v>
      </c>
      <c r="E82" s="223">
        <f>Sheet1!E95</f>
        <v>0</v>
      </c>
      <c r="F82" s="223">
        <f>Sheet1!F95</f>
        <v>0</v>
      </c>
      <c r="G82" s="224">
        <f>Sheet1!G95</f>
        <v>0</v>
      </c>
      <c r="H82" s="1"/>
    </row>
    <row r="83" spans="1:8" x14ac:dyDescent="0.2">
      <c r="A83" s="221"/>
      <c r="B83" s="220" t="s">
        <v>48</v>
      </c>
      <c r="C83" s="223">
        <f>Sheet1!C96</f>
        <v>0</v>
      </c>
      <c r="D83" s="223">
        <f>Sheet1!D96</f>
        <v>0</v>
      </c>
      <c r="E83" s="223">
        <f>Sheet1!E96</f>
        <v>0</v>
      </c>
      <c r="F83" s="223">
        <f>Sheet1!F96</f>
        <v>0</v>
      </c>
      <c r="G83" s="224">
        <f>Sheet1!G96</f>
        <v>0</v>
      </c>
      <c r="H83" s="1"/>
    </row>
    <row r="84" spans="1:8" x14ac:dyDescent="0.2">
      <c r="A84" s="221"/>
      <c r="B84" s="220" t="s">
        <v>49</v>
      </c>
      <c r="C84" s="223">
        <f>Sheet1!C98</f>
        <v>0</v>
      </c>
      <c r="D84" s="223">
        <f>Sheet1!D98</f>
        <v>0</v>
      </c>
      <c r="E84" s="223">
        <f>Sheet1!E98</f>
        <v>0</v>
      </c>
      <c r="F84" s="223">
        <f>Sheet1!F98</f>
        <v>0</v>
      </c>
      <c r="G84" s="224">
        <f>Sheet1!G98</f>
        <v>0</v>
      </c>
      <c r="H84" s="1"/>
    </row>
    <row r="85" spans="1:8" x14ac:dyDescent="0.2">
      <c r="A85" s="221"/>
      <c r="B85" s="220" t="s">
        <v>50</v>
      </c>
      <c r="C85" s="223">
        <f>Sheet1!C97</f>
        <v>0</v>
      </c>
      <c r="D85" s="223">
        <f>Sheet1!D97</f>
        <v>0</v>
      </c>
      <c r="E85" s="223">
        <f>Sheet1!E97</f>
        <v>0</v>
      </c>
      <c r="F85" s="223">
        <f>Sheet1!F97</f>
        <v>0</v>
      </c>
      <c r="G85" s="224">
        <f>Sheet1!G97</f>
        <v>0</v>
      </c>
      <c r="H85" s="1"/>
    </row>
    <row r="86" spans="1:8" x14ac:dyDescent="0.2">
      <c r="A86" s="221"/>
      <c r="B86" s="220" t="s">
        <v>51</v>
      </c>
      <c r="C86" s="223">
        <f>Sheet1!C99</f>
        <v>145</v>
      </c>
      <c r="D86" s="223">
        <f>Sheet1!D99</f>
        <v>291</v>
      </c>
      <c r="E86" s="223">
        <f>Sheet1!E99</f>
        <v>412</v>
      </c>
      <c r="F86" s="223">
        <f>Sheet1!F99</f>
        <v>601</v>
      </c>
      <c r="G86" s="224">
        <f>Sheet1!G99</f>
        <v>914.41</v>
      </c>
      <c r="H86" s="1"/>
    </row>
    <row r="87" spans="1:8" x14ac:dyDescent="0.2">
      <c r="A87" s="221"/>
      <c r="B87" s="220"/>
      <c r="C87" s="223"/>
      <c r="D87" s="223"/>
      <c r="E87" s="223"/>
      <c r="F87" s="223"/>
      <c r="G87" s="224"/>
      <c r="H87" s="1"/>
    </row>
    <row r="88" spans="1:8" x14ac:dyDescent="0.2">
      <c r="A88" s="221"/>
      <c r="B88" s="220"/>
      <c r="C88" s="223"/>
      <c r="D88" s="223"/>
      <c r="E88" s="223"/>
      <c r="F88" s="223"/>
      <c r="G88" s="224"/>
      <c r="H88" s="1"/>
    </row>
    <row r="89" spans="1:8" x14ac:dyDescent="0.2">
      <c r="A89" s="221"/>
      <c r="B89" s="220"/>
      <c r="C89" s="223"/>
      <c r="D89" s="223"/>
      <c r="E89" s="223"/>
      <c r="F89" s="223"/>
      <c r="G89" s="224"/>
      <c r="H89" s="1"/>
    </row>
    <row r="90" spans="1:8" x14ac:dyDescent="0.2">
      <c r="A90" s="235"/>
      <c r="B90" s="225" t="s">
        <v>52</v>
      </c>
      <c r="C90" s="226">
        <f>ROUND(SUM(C81:C86),2)</f>
        <v>146</v>
      </c>
      <c r="D90" s="226">
        <f>ROUND(SUM(D81:D86),2)</f>
        <v>292</v>
      </c>
      <c r="E90" s="226">
        <f>ROUND(SUM(E81:E86),2)</f>
        <v>413</v>
      </c>
      <c r="F90" s="226">
        <f>ROUND(SUM(F81:F86),2)</f>
        <v>602</v>
      </c>
      <c r="G90" s="227">
        <f>ROUND(SUM(G81:G86),2)</f>
        <v>915.42</v>
      </c>
    </row>
    <row r="91" spans="1:8" x14ac:dyDescent="0.2">
      <c r="A91" s="234"/>
      <c r="B91" s="220" t="s">
        <v>53</v>
      </c>
      <c r="C91" s="223">
        <f>Sheet1!C98</f>
        <v>0</v>
      </c>
      <c r="D91" s="223">
        <f>Sheet1!D98</f>
        <v>0</v>
      </c>
      <c r="E91" s="223">
        <f>Sheet1!E98</f>
        <v>0</v>
      </c>
      <c r="F91" s="223">
        <f>Sheet1!F98</f>
        <v>0</v>
      </c>
      <c r="G91" s="224">
        <f>Sheet1!G98</f>
        <v>0</v>
      </c>
    </row>
    <row r="92" spans="1:8" x14ac:dyDescent="0.2">
      <c r="A92" s="234"/>
      <c r="B92" s="220" t="s">
        <v>54</v>
      </c>
      <c r="C92" s="223">
        <f>Sheet1!C100</f>
        <v>5</v>
      </c>
      <c r="D92" s="223">
        <f>Sheet1!D100</f>
        <v>0</v>
      </c>
      <c r="E92" s="223">
        <f>Sheet1!E100</f>
        <v>0</v>
      </c>
      <c r="F92" s="223">
        <f>Sheet1!F100</f>
        <v>0</v>
      </c>
      <c r="G92" s="224">
        <f>Sheet1!G100</f>
        <v>15.28</v>
      </c>
    </row>
    <row r="93" spans="1:8" x14ac:dyDescent="0.2">
      <c r="A93" s="235"/>
      <c r="B93" s="225" t="s">
        <v>55</v>
      </c>
      <c r="C93" s="226">
        <f>ROUND(C90-SUM(C91:C92),2)</f>
        <v>141</v>
      </c>
      <c r="D93" s="226">
        <f>ROUND(D90-SUM(D91:D92),2)</f>
        <v>292</v>
      </c>
      <c r="E93" s="226">
        <f>ROUND(E90-SUM(E91:E92),2)</f>
        <v>413</v>
      </c>
      <c r="F93" s="226">
        <f>ROUND(F90-SUM(F91:F92),2)</f>
        <v>602</v>
      </c>
      <c r="G93" s="227">
        <f>ROUND(G90-SUM(G91:G92),2)</f>
        <v>900.14</v>
      </c>
    </row>
    <row r="94" spans="1:8" x14ac:dyDescent="0.2">
      <c r="A94" s="234"/>
      <c r="B94" s="220"/>
      <c r="C94" s="223"/>
      <c r="D94" s="223"/>
      <c r="E94" s="223"/>
      <c r="F94" s="223"/>
      <c r="G94" s="224"/>
    </row>
    <row r="95" spans="1:8" x14ac:dyDescent="0.2">
      <c r="A95" s="235"/>
      <c r="B95" s="220" t="s">
        <v>56</v>
      </c>
      <c r="C95" s="223">
        <f>Sheet1!C105</f>
        <v>5</v>
      </c>
      <c r="D95" s="223">
        <f>Sheet1!D105</f>
        <v>9</v>
      </c>
      <c r="E95" s="223">
        <f>Sheet1!E105</f>
        <v>14</v>
      </c>
      <c r="F95" s="223">
        <f>Sheet1!F105</f>
        <v>0</v>
      </c>
      <c r="G95" s="224">
        <f>Sheet1!G105</f>
        <v>0</v>
      </c>
    </row>
    <row r="96" spans="1:8" x14ac:dyDescent="0.2">
      <c r="A96" s="234"/>
      <c r="B96" s="220"/>
      <c r="C96" s="223"/>
      <c r="D96" s="223"/>
      <c r="E96" s="223"/>
      <c r="F96" s="223"/>
      <c r="G96" s="224"/>
    </row>
    <row r="97" spans="1:7" x14ac:dyDescent="0.2">
      <c r="A97" s="235"/>
      <c r="B97" s="243" t="s">
        <v>57</v>
      </c>
      <c r="C97" s="223"/>
      <c r="D97" s="223"/>
      <c r="E97" s="223"/>
      <c r="F97" s="223"/>
      <c r="G97" s="224"/>
    </row>
    <row r="98" spans="1:7" x14ac:dyDescent="0.2">
      <c r="A98" s="234"/>
      <c r="B98" s="220" t="s">
        <v>58</v>
      </c>
      <c r="C98" s="223">
        <f>Sheet1!C108</f>
        <v>0</v>
      </c>
      <c r="D98" s="223">
        <f>Sheet1!D108</f>
        <v>0</v>
      </c>
      <c r="E98" s="223">
        <f>Sheet1!E108</f>
        <v>0</v>
      </c>
      <c r="F98" s="223">
        <f>Sheet1!F108</f>
        <v>0</v>
      </c>
      <c r="G98" s="224">
        <f>Sheet1!G108</f>
        <v>0</v>
      </c>
    </row>
    <row r="99" spans="1:7" x14ac:dyDescent="0.2">
      <c r="A99" s="234"/>
      <c r="B99" s="220" t="s">
        <v>59</v>
      </c>
      <c r="C99" s="223">
        <f>Sheet1!C109</f>
        <v>0</v>
      </c>
      <c r="D99" s="223">
        <f>Sheet1!D109</f>
        <v>0</v>
      </c>
      <c r="E99" s="223">
        <f>Sheet1!E109</f>
        <v>0</v>
      </c>
      <c r="F99" s="223">
        <f>Sheet1!F109</f>
        <v>0</v>
      </c>
      <c r="G99" s="224">
        <f>Sheet1!G109</f>
        <v>0</v>
      </c>
    </row>
    <row r="100" spans="1:7" x14ac:dyDescent="0.2">
      <c r="A100" s="234"/>
      <c r="B100" s="220" t="s">
        <v>60</v>
      </c>
      <c r="C100" s="223">
        <f>Sheet1!C110</f>
        <v>0</v>
      </c>
      <c r="D100" s="223">
        <f>Sheet1!D110</f>
        <v>0</v>
      </c>
      <c r="E100" s="223">
        <f>Sheet1!E110</f>
        <v>0</v>
      </c>
      <c r="F100" s="223">
        <f>Sheet1!F110</f>
        <v>0</v>
      </c>
      <c r="G100" s="224">
        <f>Sheet1!G110</f>
        <v>0</v>
      </c>
    </row>
    <row r="101" spans="1:7" x14ac:dyDescent="0.2">
      <c r="A101" s="234"/>
      <c r="B101" s="220" t="s">
        <v>61</v>
      </c>
      <c r="C101" s="223">
        <f>Sheet1!C111</f>
        <v>0</v>
      </c>
      <c r="D101" s="223">
        <f>Sheet1!D111</f>
        <v>0</v>
      </c>
      <c r="E101" s="223">
        <f>Sheet1!E111</f>
        <v>0</v>
      </c>
      <c r="F101" s="223">
        <f>Sheet1!F111</f>
        <v>0</v>
      </c>
      <c r="G101" s="224">
        <f>Sheet1!G111</f>
        <v>0</v>
      </c>
    </row>
    <row r="102" spans="1:7" x14ac:dyDescent="0.2">
      <c r="A102" s="234"/>
      <c r="B102" s="220" t="s">
        <v>62</v>
      </c>
      <c r="C102" s="223">
        <f>Sheet1!C112</f>
        <v>7</v>
      </c>
      <c r="D102" s="223">
        <f>Sheet1!D112</f>
        <v>28</v>
      </c>
      <c r="E102" s="223">
        <f>Sheet1!E112</f>
        <v>16</v>
      </c>
      <c r="F102" s="223">
        <f>Sheet1!F112</f>
        <v>2</v>
      </c>
      <c r="G102" s="224">
        <f>Sheet1!G112</f>
        <v>285</v>
      </c>
    </row>
    <row r="103" spans="1:7" x14ac:dyDescent="0.2">
      <c r="A103" s="234"/>
      <c r="B103" s="220" t="s">
        <v>63</v>
      </c>
      <c r="C103" s="223">
        <f>Sheet1!C113</f>
        <v>0</v>
      </c>
      <c r="D103" s="223">
        <f>Sheet1!D113</f>
        <v>0</v>
      </c>
      <c r="E103" s="223">
        <f>Sheet1!E113</f>
        <v>0</v>
      </c>
      <c r="F103" s="223">
        <f>Sheet1!F113</f>
        <v>0</v>
      </c>
      <c r="G103" s="224">
        <f>Sheet1!G113</f>
        <v>0</v>
      </c>
    </row>
    <row r="104" spans="1:7" x14ac:dyDescent="0.2">
      <c r="A104" s="234"/>
      <c r="B104" s="220" t="s">
        <v>64</v>
      </c>
      <c r="C104" s="223">
        <f>Sheet1!C114</f>
        <v>46</v>
      </c>
      <c r="D104" s="223">
        <f>Sheet1!D114</f>
        <v>102</v>
      </c>
      <c r="E104" s="223">
        <f>Sheet1!E114</f>
        <v>0</v>
      </c>
      <c r="F104" s="223">
        <f>Sheet1!F114</f>
        <v>0</v>
      </c>
      <c r="G104" s="224">
        <f>Sheet1!G114</f>
        <v>0</v>
      </c>
    </row>
    <row r="105" spans="1:7" x14ac:dyDescent="0.2">
      <c r="A105" s="234"/>
      <c r="B105" s="220" t="s">
        <v>65</v>
      </c>
      <c r="C105" s="223">
        <f>Sheet1!C115</f>
        <v>0</v>
      </c>
      <c r="D105" s="223">
        <f>Sheet1!D115</f>
        <v>0</v>
      </c>
      <c r="E105" s="223">
        <f>Sheet1!E115</f>
        <v>0</v>
      </c>
      <c r="F105" s="223">
        <f>Sheet1!F115</f>
        <v>0</v>
      </c>
      <c r="G105" s="224">
        <f>Sheet1!G115</f>
        <v>5.46</v>
      </c>
    </row>
    <row r="106" spans="1:7" x14ac:dyDescent="0.2">
      <c r="A106" s="234"/>
      <c r="B106" s="220"/>
      <c r="C106" s="223"/>
      <c r="D106" s="223"/>
      <c r="E106" s="223"/>
      <c r="F106" s="223"/>
      <c r="G106" s="224"/>
    </row>
    <row r="107" spans="1:7" x14ac:dyDescent="0.2">
      <c r="A107" s="234"/>
      <c r="B107" s="220"/>
      <c r="C107" s="223"/>
      <c r="D107" s="223"/>
      <c r="E107" s="223"/>
      <c r="F107" s="223"/>
      <c r="G107" s="224"/>
    </row>
    <row r="108" spans="1:7" x14ac:dyDescent="0.2">
      <c r="A108" s="234"/>
      <c r="B108" s="220"/>
      <c r="C108" s="223"/>
      <c r="D108" s="223"/>
      <c r="E108" s="223"/>
      <c r="F108" s="223"/>
      <c r="G108" s="224"/>
    </row>
    <row r="109" spans="1:7" x14ac:dyDescent="0.2">
      <c r="A109" s="235"/>
      <c r="B109" s="225" t="s">
        <v>66</v>
      </c>
      <c r="C109" s="226">
        <f>ROUND(SUM(C98:C105),2)</f>
        <v>53</v>
      </c>
      <c r="D109" s="226">
        <f>ROUND(SUM(D98:D105),2)</f>
        <v>130</v>
      </c>
      <c r="E109" s="226">
        <f>ROUND(SUM(E98:E105),2)</f>
        <v>16</v>
      </c>
      <c r="F109" s="226">
        <f>ROUND(SUM(F98:F105),2)</f>
        <v>2</v>
      </c>
      <c r="G109" s="227">
        <f>ROUND(SUM(G98:G105),2)</f>
        <v>290.45999999999998</v>
      </c>
    </row>
    <row r="110" spans="1:7" x14ac:dyDescent="0.2">
      <c r="A110" s="234"/>
      <c r="B110" s="220"/>
      <c r="C110" s="223"/>
      <c r="D110" s="223"/>
      <c r="E110" s="223"/>
      <c r="F110" s="223"/>
      <c r="G110" s="224"/>
    </row>
    <row r="111" spans="1:7" x14ac:dyDescent="0.2">
      <c r="A111" s="235"/>
      <c r="B111" s="243" t="s">
        <v>67</v>
      </c>
      <c r="C111" s="223"/>
      <c r="D111" s="223"/>
      <c r="E111" s="223"/>
      <c r="F111" s="223"/>
      <c r="G111" s="224"/>
    </row>
    <row r="112" spans="1:7" x14ac:dyDescent="0.2">
      <c r="A112" s="234"/>
      <c r="B112" s="220" t="s">
        <v>68</v>
      </c>
      <c r="C112" s="223">
        <f>Sheet1!C121</f>
        <v>207</v>
      </c>
      <c r="D112" s="223">
        <f>Sheet1!D121</f>
        <v>202</v>
      </c>
      <c r="E112" s="223">
        <f>Sheet1!E121</f>
        <v>201</v>
      </c>
      <c r="F112" s="223">
        <f>Sheet1!F121</f>
        <v>293</v>
      </c>
      <c r="G112" s="224">
        <f>Sheet1!G121</f>
        <v>69.73</v>
      </c>
    </row>
    <row r="113" spans="1:7" x14ac:dyDescent="0.2">
      <c r="A113" s="234"/>
      <c r="B113" s="220"/>
      <c r="C113" s="223"/>
      <c r="D113" s="223"/>
      <c r="E113" s="223"/>
      <c r="F113" s="223"/>
      <c r="G113" s="224"/>
    </row>
    <row r="114" spans="1:7" x14ac:dyDescent="0.2">
      <c r="A114" s="234"/>
      <c r="B114" s="220" t="s">
        <v>70</v>
      </c>
      <c r="C114" s="223">
        <f>Sheet1!C122</f>
        <v>0</v>
      </c>
      <c r="D114" s="223">
        <f>Sheet1!D122</f>
        <v>0</v>
      </c>
      <c r="E114" s="223">
        <f>Sheet1!E122</f>
        <v>0</v>
      </c>
      <c r="F114" s="223">
        <f>Sheet1!F122</f>
        <v>0</v>
      </c>
      <c r="G114" s="224">
        <f>Sheet1!G122</f>
        <v>0</v>
      </c>
    </row>
    <row r="115" spans="1:7" x14ac:dyDescent="0.2">
      <c r="A115" s="234"/>
      <c r="B115" s="220" t="s">
        <v>71</v>
      </c>
      <c r="C115" s="223">
        <f>Sheet1!C123</f>
        <v>0</v>
      </c>
      <c r="D115" s="223">
        <f>Sheet1!D123</f>
        <v>0</v>
      </c>
      <c r="E115" s="223">
        <f>Sheet1!E123</f>
        <v>25</v>
      </c>
      <c r="F115" s="223">
        <f>Sheet1!F123</f>
        <v>15</v>
      </c>
      <c r="G115" s="224">
        <f>Sheet1!G123</f>
        <v>88.47</v>
      </c>
    </row>
    <row r="116" spans="1:7" x14ac:dyDescent="0.2">
      <c r="A116" s="234"/>
      <c r="B116" s="220" t="s">
        <v>64</v>
      </c>
      <c r="C116" s="223">
        <f>Sheet1!C124</f>
        <v>0</v>
      </c>
      <c r="D116" s="223">
        <f>Sheet1!D124</f>
        <v>0</v>
      </c>
      <c r="E116" s="223">
        <f>Sheet1!E124</f>
        <v>0</v>
      </c>
      <c r="F116" s="223">
        <f>Sheet1!F124</f>
        <v>0</v>
      </c>
      <c r="G116" s="224">
        <f>Sheet1!G124</f>
        <v>0</v>
      </c>
    </row>
    <row r="117" spans="1:7" x14ac:dyDescent="0.2">
      <c r="A117" s="234"/>
      <c r="B117" s="220" t="s">
        <v>72</v>
      </c>
      <c r="C117" s="223">
        <f>Sheet1!C125</f>
        <v>0</v>
      </c>
      <c r="D117" s="223">
        <f>Sheet1!D125</f>
        <v>0</v>
      </c>
      <c r="E117" s="223">
        <f>Sheet1!E125</f>
        <v>0</v>
      </c>
      <c r="F117" s="223">
        <f>Sheet1!F125</f>
        <v>0</v>
      </c>
      <c r="G117" s="224">
        <f>Sheet1!G125</f>
        <v>0</v>
      </c>
    </row>
    <row r="118" spans="1:7" x14ac:dyDescent="0.2">
      <c r="A118" s="234"/>
      <c r="B118" s="220" t="s">
        <v>73</v>
      </c>
      <c r="C118" s="223">
        <f>Sheet1!C126</f>
        <v>0</v>
      </c>
      <c r="D118" s="223">
        <f>Sheet1!D126</f>
        <v>0</v>
      </c>
      <c r="E118" s="223">
        <f>Sheet1!E126</f>
        <v>0</v>
      </c>
      <c r="F118" s="223">
        <f>Sheet1!F126</f>
        <v>0</v>
      </c>
      <c r="G118" s="224">
        <f>Sheet1!G126</f>
        <v>0</v>
      </c>
    </row>
    <row r="119" spans="1:7" x14ac:dyDescent="0.2">
      <c r="A119" s="234"/>
      <c r="B119" s="220" t="s">
        <v>74</v>
      </c>
      <c r="C119" s="223">
        <f>Sheet1!C127+Sheet1!C129</f>
        <v>5</v>
      </c>
      <c r="D119" s="223">
        <f>Sheet1!D127+Sheet1!D129</f>
        <v>6</v>
      </c>
      <c r="E119" s="223">
        <f>Sheet1!E127+Sheet1!E129</f>
        <v>0</v>
      </c>
      <c r="F119" s="223">
        <f>Sheet1!F127+Sheet1!F129</f>
        <v>0</v>
      </c>
      <c r="G119" s="224">
        <f>Sheet1!G127+Sheet1!G129</f>
        <v>0</v>
      </c>
    </row>
    <row r="120" spans="1:7" x14ac:dyDescent="0.2">
      <c r="A120" s="234"/>
      <c r="B120" s="220" t="s">
        <v>75</v>
      </c>
      <c r="C120" s="223">
        <f>Sheet1!C128</f>
        <v>0</v>
      </c>
      <c r="D120" s="223">
        <f>Sheet1!D128</f>
        <v>0</v>
      </c>
      <c r="E120" s="223">
        <f>Sheet1!E128</f>
        <v>0</v>
      </c>
      <c r="F120" s="223">
        <f>Sheet1!F128</f>
        <v>0</v>
      </c>
      <c r="G120" s="224">
        <f>Sheet1!G128</f>
        <v>0</v>
      </c>
    </row>
    <row r="121" spans="1:7" x14ac:dyDescent="0.2">
      <c r="A121" s="234"/>
      <c r="B121" s="220"/>
      <c r="C121" s="223"/>
      <c r="D121" s="223"/>
      <c r="E121" s="223"/>
      <c r="F121" s="223"/>
      <c r="G121" s="224"/>
    </row>
    <row r="122" spans="1:7" x14ac:dyDescent="0.2">
      <c r="A122" s="234"/>
      <c r="B122" s="220"/>
      <c r="C122" s="223"/>
      <c r="D122" s="223"/>
      <c r="E122" s="223"/>
      <c r="F122" s="223"/>
      <c r="G122" s="224"/>
    </row>
    <row r="123" spans="1:7" x14ac:dyDescent="0.2">
      <c r="A123" s="234"/>
      <c r="B123" s="220"/>
      <c r="C123" s="223"/>
      <c r="D123" s="223"/>
      <c r="E123" s="223"/>
      <c r="F123" s="223"/>
      <c r="G123" s="224"/>
    </row>
    <row r="124" spans="1:7" x14ac:dyDescent="0.2">
      <c r="A124" s="235"/>
      <c r="B124" s="225" t="s">
        <v>76</v>
      </c>
      <c r="C124" s="226">
        <f>SUM(C114:C120)+C112</f>
        <v>212</v>
      </c>
      <c r="D124" s="226">
        <f>SUM(D114:D120)+D112</f>
        <v>208</v>
      </c>
      <c r="E124" s="226">
        <f>SUM(E114:E120)+E112</f>
        <v>226</v>
      </c>
      <c r="F124" s="226">
        <f>SUM(F114:F120)+F112</f>
        <v>308</v>
      </c>
      <c r="G124" s="227">
        <f>SUM(G114:G120)+G112</f>
        <v>158.19999999999999</v>
      </c>
    </row>
    <row r="125" spans="1:7" x14ac:dyDescent="0.2">
      <c r="A125" s="234"/>
      <c r="B125" s="220"/>
      <c r="C125" s="223"/>
      <c r="D125" s="223"/>
      <c r="E125" s="223"/>
      <c r="F125" s="223"/>
      <c r="G125" s="224"/>
    </row>
    <row r="126" spans="1:7" x14ac:dyDescent="0.2">
      <c r="A126" s="235"/>
      <c r="B126" s="225" t="s">
        <v>77</v>
      </c>
      <c r="C126" s="226">
        <f>ROUND(C109+C124,2)</f>
        <v>265</v>
      </c>
      <c r="D126" s="226">
        <f>ROUND(D109+D124,2)</f>
        <v>338</v>
      </c>
      <c r="E126" s="226">
        <f>ROUND(E109+E124,2)</f>
        <v>242</v>
      </c>
      <c r="F126" s="226">
        <f>ROUND(F109+F124,2)</f>
        <v>310</v>
      </c>
      <c r="G126" s="227">
        <f>ROUND(G109+G124,2)</f>
        <v>448.66</v>
      </c>
    </row>
    <row r="127" spans="1:7" x14ac:dyDescent="0.2">
      <c r="A127" s="234"/>
      <c r="B127" s="220"/>
      <c r="C127" s="223"/>
      <c r="D127" s="223"/>
      <c r="E127" s="223"/>
      <c r="F127" s="223"/>
      <c r="G127" s="224"/>
    </row>
    <row r="128" spans="1:7" x14ac:dyDescent="0.2">
      <c r="A128" s="235"/>
      <c r="B128" s="243" t="s">
        <v>78</v>
      </c>
      <c r="C128" s="223"/>
      <c r="D128" s="223"/>
      <c r="E128" s="223"/>
      <c r="F128" s="223"/>
      <c r="G128" s="224"/>
    </row>
    <row r="129" spans="1:7" x14ac:dyDescent="0.2">
      <c r="A129" s="234"/>
      <c r="B129" s="220" t="s">
        <v>79</v>
      </c>
      <c r="C129" s="223">
        <f>Sheet1!C134</f>
        <v>97</v>
      </c>
      <c r="D129" s="223">
        <f>Sheet1!D134</f>
        <v>231</v>
      </c>
      <c r="E129" s="223">
        <f>Sheet1!E134</f>
        <v>0</v>
      </c>
      <c r="F129" s="223">
        <f>Sheet1!F134</f>
        <v>0</v>
      </c>
      <c r="G129" s="224">
        <f>Sheet1!G134</f>
        <v>564.17999999999995</v>
      </c>
    </row>
    <row r="130" spans="1:7" x14ac:dyDescent="0.2">
      <c r="A130" s="234"/>
      <c r="B130" s="220" t="s">
        <v>80</v>
      </c>
      <c r="C130" s="223">
        <f>Sheet1!C135</f>
        <v>23</v>
      </c>
      <c r="D130" s="223">
        <f>Sheet1!D135</f>
        <v>47</v>
      </c>
      <c r="E130" s="223">
        <f>Sheet1!E135</f>
        <v>154</v>
      </c>
      <c r="F130" s="223">
        <f>Sheet1!F135</f>
        <v>120</v>
      </c>
      <c r="G130" s="224">
        <f>Sheet1!G135</f>
        <v>185</v>
      </c>
    </row>
    <row r="131" spans="1:7" x14ac:dyDescent="0.2">
      <c r="A131" s="234"/>
      <c r="B131" s="220" t="s">
        <v>81</v>
      </c>
      <c r="C131" s="223">
        <f>Sheet1!C136</f>
        <v>0</v>
      </c>
      <c r="D131" s="223">
        <f>Sheet1!D136</f>
        <v>0</v>
      </c>
      <c r="E131" s="223">
        <f>Sheet1!E136</f>
        <v>0</v>
      </c>
      <c r="F131" s="223">
        <f>Sheet1!F136</f>
        <v>0</v>
      </c>
      <c r="G131" s="224">
        <f>Sheet1!G136</f>
        <v>0</v>
      </c>
    </row>
    <row r="132" spans="1:7" x14ac:dyDescent="0.2">
      <c r="A132" s="234"/>
      <c r="B132" s="220" t="s">
        <v>82</v>
      </c>
      <c r="C132" s="223">
        <f>Sheet1!C137</f>
        <v>1</v>
      </c>
      <c r="D132" s="223">
        <f>Sheet1!D137</f>
        <v>1</v>
      </c>
      <c r="E132" s="223">
        <f>Sheet1!E137</f>
        <v>73</v>
      </c>
      <c r="F132" s="223">
        <f>Sheet1!F137</f>
        <v>55</v>
      </c>
      <c r="G132" s="224">
        <f>Sheet1!G137</f>
        <v>36.700000000000003</v>
      </c>
    </row>
    <row r="133" spans="1:7" x14ac:dyDescent="0.2">
      <c r="A133" s="234"/>
      <c r="B133" s="220" t="s">
        <v>83</v>
      </c>
      <c r="C133" s="223">
        <f>Sheet1!C138</f>
        <v>0</v>
      </c>
      <c r="D133" s="223">
        <f>Sheet1!D138</f>
        <v>0</v>
      </c>
      <c r="E133" s="223">
        <f>Sheet1!E138</f>
        <v>0</v>
      </c>
      <c r="F133" s="223">
        <f>Sheet1!F138</f>
        <v>0</v>
      </c>
      <c r="G133" s="224">
        <f>Sheet1!G138</f>
        <v>0</v>
      </c>
    </row>
    <row r="134" spans="1:7" x14ac:dyDescent="0.2">
      <c r="A134" s="234"/>
      <c r="B134" s="220" t="s">
        <v>84</v>
      </c>
      <c r="C134" s="223">
        <f>Sheet1!C139</f>
        <v>80</v>
      </c>
      <c r="D134" s="223">
        <f>Sheet1!D139</f>
        <v>87</v>
      </c>
      <c r="E134" s="223">
        <f>Sheet1!E139</f>
        <v>115</v>
      </c>
      <c r="F134" s="223">
        <f>Sheet1!F139</f>
        <v>149</v>
      </c>
      <c r="G134" s="224">
        <f>Sheet1!G139</f>
        <v>159.03</v>
      </c>
    </row>
    <row r="135" spans="1:7" x14ac:dyDescent="0.2">
      <c r="A135" s="234"/>
      <c r="B135" s="220"/>
      <c r="C135" s="223"/>
      <c r="D135" s="223"/>
      <c r="E135" s="223"/>
      <c r="F135" s="223"/>
      <c r="G135" s="224"/>
    </row>
    <row r="136" spans="1:7" x14ac:dyDescent="0.2">
      <c r="A136" s="234"/>
      <c r="B136" s="220"/>
      <c r="C136" s="223"/>
      <c r="D136" s="223"/>
      <c r="E136" s="223"/>
      <c r="F136" s="223"/>
      <c r="G136" s="224"/>
    </row>
    <row r="137" spans="1:7" x14ac:dyDescent="0.2">
      <c r="A137" s="234"/>
      <c r="B137" s="220"/>
      <c r="C137" s="223"/>
      <c r="D137" s="223"/>
      <c r="E137" s="223"/>
      <c r="F137" s="223"/>
      <c r="G137" s="224"/>
    </row>
    <row r="138" spans="1:7" x14ac:dyDescent="0.2">
      <c r="A138" s="235"/>
      <c r="B138" s="225" t="s">
        <v>85</v>
      </c>
      <c r="C138" s="226">
        <f>ROUND(SUM(C129:C134),2)</f>
        <v>201</v>
      </c>
      <c r="D138" s="226">
        <f>ROUND(SUM(D129:D134),2)</f>
        <v>366</v>
      </c>
      <c r="E138" s="226">
        <f>ROUND(SUM(E129:E134),2)</f>
        <v>342</v>
      </c>
      <c r="F138" s="226">
        <f>ROUND(SUM(F129:F134),2)</f>
        <v>324</v>
      </c>
      <c r="G138" s="227">
        <f>ROUND(SUM(G129:G134),2)</f>
        <v>944.91</v>
      </c>
    </row>
    <row r="139" spans="1:7" x14ac:dyDescent="0.2">
      <c r="A139" s="234"/>
      <c r="B139" s="220"/>
      <c r="C139" s="223"/>
      <c r="D139" s="223"/>
      <c r="E139" s="223"/>
      <c r="F139" s="223"/>
      <c r="G139" s="224"/>
    </row>
    <row r="140" spans="1:7" x14ac:dyDescent="0.2">
      <c r="A140" s="235"/>
      <c r="B140" s="225" t="s">
        <v>86</v>
      </c>
      <c r="C140" s="226">
        <f>ROUND(C124+C138,2)</f>
        <v>413</v>
      </c>
      <c r="D140" s="226">
        <f>ROUND(D124+D138,2)</f>
        <v>574</v>
      </c>
      <c r="E140" s="226">
        <f>ROUND(E124+E138,2)</f>
        <v>568</v>
      </c>
      <c r="F140" s="226">
        <f>ROUND(F124+F138,2)</f>
        <v>632</v>
      </c>
      <c r="G140" s="227">
        <f>ROUND(G124+G138,2)</f>
        <v>1103.1099999999999</v>
      </c>
    </row>
    <row r="141" spans="1:7" x14ac:dyDescent="0.2">
      <c r="A141" s="234"/>
      <c r="B141" s="220"/>
      <c r="C141" s="223"/>
      <c r="D141" s="223"/>
      <c r="E141" s="223"/>
      <c r="F141" s="223"/>
      <c r="G141" s="224"/>
    </row>
    <row r="142" spans="1:7" x14ac:dyDescent="0.2">
      <c r="A142" s="235"/>
      <c r="B142" s="225" t="s">
        <v>87</v>
      </c>
      <c r="C142" s="226">
        <f>ROUND(C140+C109+C95,2)</f>
        <v>471</v>
      </c>
      <c r="D142" s="226">
        <f>ROUND(D140+D109+D95,2)</f>
        <v>713</v>
      </c>
      <c r="E142" s="226">
        <f>ROUND(E140+E109+E95,2)</f>
        <v>598</v>
      </c>
      <c r="F142" s="226">
        <f>ROUND(F140+F109+F95,2)</f>
        <v>634</v>
      </c>
      <c r="G142" s="227">
        <f>ROUND(G140+G109+G95,2)</f>
        <v>1393.57</v>
      </c>
    </row>
    <row r="143" spans="1:7" x14ac:dyDescent="0.2">
      <c r="A143" s="234"/>
      <c r="B143" s="220"/>
      <c r="C143" s="223"/>
      <c r="D143" s="223"/>
      <c r="E143" s="223"/>
      <c r="F143" s="223"/>
      <c r="G143" s="224"/>
    </row>
    <row r="144" spans="1:7" ht="13.5" thickBot="1" x14ac:dyDescent="0.25">
      <c r="A144" s="236"/>
      <c r="B144" s="237" t="s">
        <v>88</v>
      </c>
      <c r="C144" s="238">
        <f>ROUND(C142+C93,2)</f>
        <v>612</v>
      </c>
      <c r="D144" s="238">
        <f>ROUND(D142+D93,2)</f>
        <v>1005</v>
      </c>
      <c r="E144" s="238">
        <f>ROUND(E142+E93,2)</f>
        <v>1011</v>
      </c>
      <c r="F144" s="238">
        <f>ROUND(F142+F93,2)</f>
        <v>1236</v>
      </c>
      <c r="G144" s="239">
        <f>ROUND(G142+G93,2)</f>
        <v>2293.71</v>
      </c>
    </row>
    <row r="145" spans="1:7" ht="13.5" thickBot="1" x14ac:dyDescent="0.25">
      <c r="A145" s="240"/>
      <c r="B145" s="244"/>
      <c r="C145" s="245"/>
      <c r="D145" s="245"/>
      <c r="E145" s="245"/>
      <c r="F145" s="245"/>
      <c r="G145" s="245"/>
    </row>
    <row r="146" spans="1:7" ht="19.5" thickBot="1" x14ac:dyDescent="0.25">
      <c r="A146" s="213"/>
      <c r="B146" s="297" t="s">
        <v>729</v>
      </c>
      <c r="C146" s="214"/>
      <c r="D146" s="214"/>
      <c r="E146" s="214"/>
      <c r="F146" s="214"/>
      <c r="G146" s="214"/>
    </row>
    <row r="147" spans="1:7" x14ac:dyDescent="0.2">
      <c r="A147" s="215"/>
      <c r="B147" s="216"/>
      <c r="C147" s="217"/>
      <c r="D147" s="217"/>
      <c r="E147" s="217"/>
      <c r="F147" s="217"/>
      <c r="G147" s="218"/>
    </row>
    <row r="148" spans="1:7" x14ac:dyDescent="0.2">
      <c r="A148" s="219"/>
      <c r="B148" s="220" t="s">
        <v>89</v>
      </c>
      <c r="C148" s="223"/>
      <c r="D148" s="223"/>
      <c r="E148" s="223"/>
      <c r="F148" s="223"/>
      <c r="G148" s="224"/>
    </row>
    <row r="149" spans="1:7" x14ac:dyDescent="0.2">
      <c r="A149" s="221"/>
      <c r="B149" s="220" t="s">
        <v>90</v>
      </c>
      <c r="C149" s="223">
        <f>Sheet1!C151</f>
        <v>0</v>
      </c>
      <c r="D149" s="223">
        <f>Sheet1!D151</f>
        <v>0</v>
      </c>
      <c r="E149" s="223">
        <f>Sheet1!E151</f>
        <v>0</v>
      </c>
      <c r="F149" s="223">
        <f>Sheet1!F151</f>
        <v>0</v>
      </c>
      <c r="G149" s="224">
        <f>Sheet1!G151</f>
        <v>0</v>
      </c>
    </row>
    <row r="150" spans="1:7" x14ac:dyDescent="0.2">
      <c r="A150" s="221"/>
      <c r="B150" s="220" t="s">
        <v>91</v>
      </c>
      <c r="C150" s="223">
        <f>Sheet1!C152</f>
        <v>86</v>
      </c>
      <c r="D150" s="223">
        <f>Sheet1!D152</f>
        <v>232</v>
      </c>
      <c r="E150" s="223">
        <f>Sheet1!E152</f>
        <v>350</v>
      </c>
      <c r="F150" s="223">
        <f>Sheet1!F152</f>
        <v>474</v>
      </c>
      <c r="G150" s="224">
        <f>Sheet1!G152</f>
        <v>706.28</v>
      </c>
    </row>
    <row r="151" spans="1:7" x14ac:dyDescent="0.2">
      <c r="A151" s="221"/>
      <c r="B151" s="220" t="s">
        <v>92</v>
      </c>
      <c r="C151" s="223">
        <f>Sheet1!C153</f>
        <v>114</v>
      </c>
      <c r="D151" s="223">
        <f>Sheet1!D153</f>
        <v>273</v>
      </c>
      <c r="E151" s="223">
        <f>Sheet1!E153</f>
        <v>397</v>
      </c>
      <c r="F151" s="223">
        <f>Sheet1!F153</f>
        <v>618</v>
      </c>
      <c r="G151" s="224">
        <f>Sheet1!G153</f>
        <v>1135.3599999999999</v>
      </c>
    </row>
    <row r="152" spans="1:7" x14ac:dyDescent="0.2">
      <c r="A152" s="221"/>
      <c r="B152" s="220"/>
      <c r="C152" s="223"/>
      <c r="D152" s="223"/>
      <c r="E152" s="223"/>
      <c r="F152" s="223"/>
      <c r="G152" s="224"/>
    </row>
    <row r="153" spans="1:7" x14ac:dyDescent="0.2">
      <c r="A153" s="221"/>
      <c r="B153" s="220"/>
      <c r="C153" s="223"/>
      <c r="D153" s="223"/>
      <c r="E153" s="223"/>
      <c r="F153" s="223"/>
      <c r="G153" s="224"/>
    </row>
    <row r="154" spans="1:7" x14ac:dyDescent="0.2">
      <c r="A154" s="221"/>
      <c r="B154" s="222" t="s">
        <v>93</v>
      </c>
      <c r="C154" s="231">
        <f>ROUND(SUM(C149:C151),2)</f>
        <v>200</v>
      </c>
      <c r="D154" s="231">
        <f>ROUND(SUM(D149:D151),2)</f>
        <v>505</v>
      </c>
      <c r="E154" s="231">
        <f>ROUND(SUM(E149:E151),2)</f>
        <v>747</v>
      </c>
      <c r="F154" s="231">
        <f>ROUND(SUM(F149:F151),2)</f>
        <v>1092</v>
      </c>
      <c r="G154" s="232">
        <f>ROUND(SUM(G149:G151),2)</f>
        <v>1841.64</v>
      </c>
    </row>
    <row r="155" spans="1:7" x14ac:dyDescent="0.2">
      <c r="A155" s="221"/>
      <c r="B155" s="220" t="s">
        <v>94</v>
      </c>
      <c r="C155" s="223">
        <f>Sheet1!C154</f>
        <v>11</v>
      </c>
      <c r="D155" s="223">
        <f>Sheet1!D154</f>
        <v>58</v>
      </c>
      <c r="E155" s="223">
        <f>Sheet1!E154</f>
        <v>136</v>
      </c>
      <c r="F155" s="223">
        <f>Sheet1!F154</f>
        <v>301</v>
      </c>
      <c r="G155" s="224">
        <f>Sheet1!G154</f>
        <v>499.93</v>
      </c>
    </row>
    <row r="156" spans="1:7" x14ac:dyDescent="0.2">
      <c r="A156" s="221"/>
      <c r="B156" s="222" t="s">
        <v>95</v>
      </c>
      <c r="C156" s="231">
        <f>ROUND(C154-C155,2)</f>
        <v>189</v>
      </c>
      <c r="D156" s="231">
        <f>ROUND(D154-D155,2)</f>
        <v>447</v>
      </c>
      <c r="E156" s="231">
        <f>ROUND(E154-E155,2)</f>
        <v>611</v>
      </c>
      <c r="F156" s="231">
        <f>ROUND(F154-F155,2)</f>
        <v>791</v>
      </c>
      <c r="G156" s="232">
        <f>ROUND(G154-G155,2)</f>
        <v>1341.71</v>
      </c>
    </row>
    <row r="157" spans="1:7" x14ac:dyDescent="0.2">
      <c r="A157" s="221"/>
      <c r="B157" s="220" t="s">
        <v>96</v>
      </c>
      <c r="C157" s="223">
        <f>Sheet1!C155</f>
        <v>0</v>
      </c>
      <c r="D157" s="223">
        <f>Sheet1!D155</f>
        <v>9</v>
      </c>
      <c r="E157" s="223">
        <f>Sheet1!E155</f>
        <v>31</v>
      </c>
      <c r="F157" s="223">
        <f>Sheet1!F155</f>
        <v>123</v>
      </c>
      <c r="G157" s="224">
        <f>Sheet1!G155</f>
        <v>66.47</v>
      </c>
    </row>
    <row r="158" spans="1:7" x14ac:dyDescent="0.2">
      <c r="A158" s="235"/>
      <c r="B158" s="220" t="s">
        <v>53</v>
      </c>
      <c r="C158" s="223">
        <f>Sheet1!C98</f>
        <v>0</v>
      </c>
      <c r="D158" s="223">
        <f>Sheet1!D98</f>
        <v>0</v>
      </c>
      <c r="E158" s="223">
        <f>Sheet1!E98</f>
        <v>0</v>
      </c>
      <c r="F158" s="223">
        <f>Sheet1!F98</f>
        <v>0</v>
      </c>
      <c r="G158" s="224">
        <f>Sheet1!G98</f>
        <v>0</v>
      </c>
    </row>
    <row r="159" spans="1:7" x14ac:dyDescent="0.2">
      <c r="A159" s="234"/>
      <c r="B159" s="225" t="s">
        <v>97</v>
      </c>
      <c r="C159" s="226">
        <f>ROUND(C156+C157-C158,2)</f>
        <v>189</v>
      </c>
      <c r="D159" s="226">
        <f>ROUND(D156+D157-D158,2)</f>
        <v>456</v>
      </c>
      <c r="E159" s="226">
        <f>ROUND(E156+E157-E158,2)</f>
        <v>642</v>
      </c>
      <c r="F159" s="226">
        <f>ROUND(F156+F157-F158,2)</f>
        <v>914</v>
      </c>
      <c r="G159" s="227">
        <f>ROUND(G156+G157-G158,2)</f>
        <v>1408.18</v>
      </c>
    </row>
    <row r="160" spans="1:7" x14ac:dyDescent="0.2">
      <c r="A160" s="234"/>
      <c r="B160" s="220"/>
      <c r="C160" s="223"/>
      <c r="D160" s="223"/>
      <c r="E160" s="223"/>
      <c r="F160" s="223"/>
      <c r="G160" s="224"/>
    </row>
    <row r="161" spans="1:7" x14ac:dyDescent="0.2">
      <c r="A161" s="235"/>
      <c r="B161" s="220" t="s">
        <v>98</v>
      </c>
      <c r="C161" s="223">
        <f>Sheet1!C160</f>
        <v>0</v>
      </c>
      <c r="D161" s="223">
        <f>Sheet1!D160</f>
        <v>0</v>
      </c>
      <c r="E161" s="223">
        <f>Sheet1!E160</f>
        <v>0</v>
      </c>
      <c r="F161" s="223">
        <f>Sheet1!F160</f>
        <v>0</v>
      </c>
      <c r="G161" s="224">
        <f>Sheet1!G160</f>
        <v>6.95</v>
      </c>
    </row>
    <row r="162" spans="1:7" x14ac:dyDescent="0.2">
      <c r="A162" s="234"/>
      <c r="B162" s="220"/>
      <c r="C162" s="223"/>
      <c r="D162" s="223"/>
      <c r="E162" s="223"/>
      <c r="F162" s="223"/>
      <c r="G162" s="224"/>
    </row>
    <row r="163" spans="1:7" x14ac:dyDescent="0.2">
      <c r="A163" s="235"/>
      <c r="B163" s="243" t="s">
        <v>99</v>
      </c>
      <c r="C163" s="223"/>
      <c r="D163" s="223"/>
      <c r="E163" s="223"/>
      <c r="F163" s="223"/>
      <c r="G163" s="224"/>
    </row>
    <row r="164" spans="1:7" x14ac:dyDescent="0.2">
      <c r="A164" s="234"/>
      <c r="B164" s="220" t="s">
        <v>100</v>
      </c>
      <c r="C164" s="223">
        <f>Sheet1!C180</f>
        <v>0</v>
      </c>
      <c r="D164" s="223">
        <f>Sheet1!D180</f>
        <v>0</v>
      </c>
      <c r="E164" s="223">
        <f>Sheet1!E180</f>
        <v>0</v>
      </c>
      <c r="F164" s="223">
        <f>Sheet1!F180</f>
        <v>0</v>
      </c>
      <c r="G164" s="224">
        <f>Sheet1!G180</f>
        <v>99.06</v>
      </c>
    </row>
    <row r="165" spans="1:7" x14ac:dyDescent="0.2">
      <c r="A165" s="235"/>
      <c r="B165" s="220" t="s">
        <v>101</v>
      </c>
      <c r="C165" s="223">
        <f>Sheet1!C181</f>
        <v>0</v>
      </c>
      <c r="D165" s="223">
        <f>Sheet1!D181</f>
        <v>0</v>
      </c>
      <c r="E165" s="223">
        <f>Sheet1!E181</f>
        <v>0</v>
      </c>
      <c r="F165" s="223">
        <f>Sheet1!F181</f>
        <v>0</v>
      </c>
      <c r="G165" s="224">
        <f>Sheet1!G181</f>
        <v>2.0699999999999998</v>
      </c>
    </row>
    <row r="166" spans="1:7" x14ac:dyDescent="0.2">
      <c r="A166" s="234"/>
      <c r="B166" s="220" t="s">
        <v>102</v>
      </c>
      <c r="C166" s="223">
        <f>Sheet1!C182</f>
        <v>73</v>
      </c>
      <c r="D166" s="223">
        <f>Sheet1!D182</f>
        <v>106</v>
      </c>
      <c r="E166" s="223">
        <f>Sheet1!E182</f>
        <v>0</v>
      </c>
      <c r="F166" s="223">
        <f>Sheet1!F182</f>
        <v>0</v>
      </c>
      <c r="G166" s="224">
        <f>Sheet1!G182</f>
        <v>91.66</v>
      </c>
    </row>
    <row r="167" spans="1:7" x14ac:dyDescent="0.2">
      <c r="A167" s="234"/>
      <c r="B167" s="220" t="s">
        <v>103</v>
      </c>
      <c r="C167" s="223">
        <f>Sheet1!C183</f>
        <v>0</v>
      </c>
      <c r="D167" s="223">
        <f>Sheet1!D183</f>
        <v>0</v>
      </c>
      <c r="E167" s="223">
        <f>Sheet1!E183</f>
        <v>0</v>
      </c>
      <c r="F167" s="223">
        <f>Sheet1!F183</f>
        <v>0</v>
      </c>
      <c r="G167" s="224">
        <f>Sheet1!G183</f>
        <v>0</v>
      </c>
    </row>
    <row r="168" spans="1:7" x14ac:dyDescent="0.2">
      <c r="A168" s="234"/>
      <c r="B168" s="220"/>
      <c r="C168" s="223"/>
      <c r="D168" s="223"/>
      <c r="E168" s="223"/>
      <c r="F168" s="223"/>
      <c r="G168" s="224"/>
    </row>
    <row r="169" spans="1:7" x14ac:dyDescent="0.2">
      <c r="A169" s="234"/>
      <c r="B169" s="220"/>
      <c r="C169" s="223"/>
      <c r="D169" s="223"/>
      <c r="E169" s="223"/>
      <c r="F169" s="223"/>
      <c r="G169" s="224"/>
    </row>
    <row r="170" spans="1:7" x14ac:dyDescent="0.2">
      <c r="A170" s="235"/>
      <c r="B170" s="225" t="s">
        <v>104</v>
      </c>
      <c r="C170" s="226">
        <f>ROUND(SUM(C164:C167),2)</f>
        <v>73</v>
      </c>
      <c r="D170" s="226">
        <f>ROUND(SUM(D164:D167),2)</f>
        <v>106</v>
      </c>
      <c r="E170" s="226">
        <f>ROUND(SUM(E164:E167),2)</f>
        <v>0</v>
      </c>
      <c r="F170" s="226">
        <f>ROUND(SUM(F164:F167),2)</f>
        <v>0</v>
      </c>
      <c r="G170" s="227">
        <f>ROUND(SUM(G164:G167),2)</f>
        <v>192.79</v>
      </c>
    </row>
    <row r="171" spans="1:7" x14ac:dyDescent="0.2">
      <c r="A171" s="234"/>
      <c r="B171" s="220" t="s">
        <v>105</v>
      </c>
      <c r="C171" s="223">
        <f>Sheet1!C173</f>
        <v>15</v>
      </c>
      <c r="D171" s="223">
        <f>Sheet1!D173</f>
        <v>21</v>
      </c>
      <c r="E171" s="223">
        <f>Sheet1!E173</f>
        <v>0</v>
      </c>
      <c r="F171" s="223">
        <f>Sheet1!F173</f>
        <v>0</v>
      </c>
      <c r="G171" s="224">
        <f>Sheet1!G173</f>
        <v>21.32</v>
      </c>
    </row>
    <row r="172" spans="1:7" x14ac:dyDescent="0.2">
      <c r="A172" s="234"/>
      <c r="B172" s="220" t="s">
        <v>106</v>
      </c>
      <c r="C172" s="223">
        <f>Sheet1!C172</f>
        <v>0</v>
      </c>
      <c r="D172" s="223">
        <f>Sheet1!D172</f>
        <v>2</v>
      </c>
      <c r="E172" s="223">
        <f>Sheet1!E172</f>
        <v>0</v>
      </c>
      <c r="F172" s="223">
        <f>Sheet1!F172</f>
        <v>0</v>
      </c>
      <c r="G172" s="224">
        <f>Sheet1!G172</f>
        <v>6.13</v>
      </c>
    </row>
    <row r="173" spans="1:7" x14ac:dyDescent="0.2">
      <c r="A173" s="234"/>
      <c r="B173" s="220" t="s">
        <v>107</v>
      </c>
      <c r="C173" s="223">
        <f>Sheet1!C174</f>
        <v>0</v>
      </c>
      <c r="D173" s="223">
        <f>Sheet1!D174</f>
        <v>0</v>
      </c>
      <c r="E173" s="223">
        <f>Sheet1!E174</f>
        <v>0</v>
      </c>
      <c r="F173" s="223">
        <f>Sheet1!F174</f>
        <v>0</v>
      </c>
      <c r="G173" s="224">
        <f>Sheet1!G174</f>
        <v>0</v>
      </c>
    </row>
    <row r="174" spans="1:7" x14ac:dyDescent="0.2">
      <c r="A174" s="234"/>
      <c r="B174" s="220"/>
      <c r="C174" s="223"/>
      <c r="D174" s="223"/>
      <c r="E174" s="223"/>
      <c r="F174" s="223"/>
      <c r="G174" s="224"/>
    </row>
    <row r="175" spans="1:7" x14ac:dyDescent="0.2">
      <c r="A175" s="234"/>
      <c r="B175" s="220"/>
      <c r="C175" s="223"/>
      <c r="D175" s="223"/>
      <c r="E175" s="223"/>
      <c r="F175" s="223"/>
      <c r="G175" s="224"/>
    </row>
    <row r="176" spans="1:7" x14ac:dyDescent="0.2">
      <c r="A176" s="234"/>
      <c r="B176" s="220"/>
      <c r="C176" s="223"/>
      <c r="D176" s="223"/>
      <c r="E176" s="223"/>
      <c r="F176" s="223"/>
      <c r="G176" s="224"/>
    </row>
    <row r="177" spans="1:7" x14ac:dyDescent="0.2">
      <c r="A177" s="235"/>
      <c r="B177" s="225" t="s">
        <v>108</v>
      </c>
      <c r="C177" s="226">
        <f>ROUND(C171+C172-C173,2)</f>
        <v>15</v>
      </c>
      <c r="D177" s="226">
        <f>ROUND(D171+D172-D173,2)</f>
        <v>23</v>
      </c>
      <c r="E177" s="226">
        <f>ROUND(E171+E172-E173,2)</f>
        <v>0</v>
      </c>
      <c r="F177" s="226">
        <f>ROUND(F171+F172-F173,2)</f>
        <v>0</v>
      </c>
      <c r="G177" s="227">
        <f>ROUND(G171+G172-G173,2)</f>
        <v>27.45</v>
      </c>
    </row>
    <row r="178" spans="1:7" x14ac:dyDescent="0.2">
      <c r="A178" s="234"/>
      <c r="B178" s="220" t="s">
        <v>109</v>
      </c>
      <c r="C178" s="223">
        <f>Sheet1!C189</f>
        <v>26</v>
      </c>
      <c r="D178" s="223">
        <f>Sheet1!D189</f>
        <v>72</v>
      </c>
      <c r="E178" s="223">
        <f>Sheet1!E189</f>
        <v>93</v>
      </c>
      <c r="F178" s="223">
        <f>Sheet1!F189</f>
        <v>83</v>
      </c>
      <c r="G178" s="224">
        <f>Sheet1!G189</f>
        <v>60.08</v>
      </c>
    </row>
    <row r="179" spans="1:7" x14ac:dyDescent="0.2">
      <c r="A179" s="234"/>
      <c r="B179" s="220" t="s">
        <v>110</v>
      </c>
      <c r="C179" s="223">
        <f>Sheet1!C190</f>
        <v>61</v>
      </c>
      <c r="D179" s="223">
        <f>Sheet1!D190</f>
        <v>0</v>
      </c>
      <c r="E179" s="223">
        <f>Sheet1!E190</f>
        <v>0</v>
      </c>
      <c r="F179" s="223">
        <f>Sheet1!F190</f>
        <v>0</v>
      </c>
      <c r="G179" s="224">
        <f>Sheet1!G190</f>
        <v>0</v>
      </c>
    </row>
    <row r="180" spans="1:7" x14ac:dyDescent="0.2">
      <c r="A180" s="234"/>
      <c r="B180" s="220" t="s">
        <v>111</v>
      </c>
      <c r="C180" s="223">
        <f>Sheet1!C163</f>
        <v>0</v>
      </c>
      <c r="D180" s="223">
        <f>Sheet1!D163</f>
        <v>0</v>
      </c>
      <c r="E180" s="223">
        <f>Sheet1!E163</f>
        <v>0</v>
      </c>
      <c r="F180" s="223">
        <f>Sheet1!F163</f>
        <v>0</v>
      </c>
      <c r="G180" s="224">
        <f>Sheet1!G163</f>
        <v>0</v>
      </c>
    </row>
    <row r="181" spans="1:7" x14ac:dyDescent="0.2">
      <c r="A181" s="234"/>
      <c r="B181" s="220" t="s">
        <v>112</v>
      </c>
      <c r="C181" s="223">
        <f>Sheet1!C192</f>
        <v>0</v>
      </c>
      <c r="D181" s="223">
        <f>Sheet1!D192</f>
        <v>0</v>
      </c>
      <c r="E181" s="223">
        <f>Sheet1!E192</f>
        <v>0</v>
      </c>
      <c r="F181" s="223">
        <f>Sheet1!F192</f>
        <v>0</v>
      </c>
      <c r="G181" s="224">
        <f>Sheet1!G192</f>
        <v>0.11</v>
      </c>
    </row>
    <row r="182" spans="1:7" x14ac:dyDescent="0.2">
      <c r="A182" s="234"/>
      <c r="B182" s="220" t="s">
        <v>84</v>
      </c>
      <c r="C182" s="223">
        <f>Sheet1!C191</f>
        <v>1</v>
      </c>
      <c r="D182" s="223">
        <f>Sheet1!D191</f>
        <v>6</v>
      </c>
      <c r="E182" s="223">
        <f>Sheet1!E191</f>
        <v>7</v>
      </c>
      <c r="F182" s="223">
        <f>Sheet1!F191</f>
        <v>8</v>
      </c>
      <c r="G182" s="224">
        <f>Sheet1!G191</f>
        <v>8.33</v>
      </c>
    </row>
    <row r="183" spans="1:7" x14ac:dyDescent="0.2">
      <c r="A183" s="234"/>
      <c r="B183" s="220"/>
      <c r="C183" s="223"/>
      <c r="D183" s="223"/>
      <c r="E183" s="223"/>
      <c r="F183" s="223"/>
      <c r="G183" s="224"/>
    </row>
    <row r="184" spans="1:7" x14ac:dyDescent="0.2">
      <c r="A184" s="234"/>
      <c r="B184" s="220"/>
      <c r="C184" s="223"/>
      <c r="D184" s="223"/>
      <c r="E184" s="223"/>
      <c r="F184" s="223"/>
      <c r="G184" s="224"/>
    </row>
    <row r="185" spans="1:7" x14ac:dyDescent="0.2">
      <c r="A185" s="235"/>
      <c r="B185" s="225" t="s">
        <v>113</v>
      </c>
      <c r="C185" s="226">
        <f>ROUND(SUM(C178:C182),2)</f>
        <v>88</v>
      </c>
      <c r="D185" s="226">
        <f>ROUND(SUM(D178:D182),2)</f>
        <v>78</v>
      </c>
      <c r="E185" s="226">
        <f>ROUND(SUM(E178:E182),2)</f>
        <v>100</v>
      </c>
      <c r="F185" s="226">
        <f>ROUND(SUM(F178:F182),2)</f>
        <v>91</v>
      </c>
      <c r="G185" s="227">
        <f>ROUND(SUM(G178:G182),2)</f>
        <v>68.52</v>
      </c>
    </row>
    <row r="186" spans="1:7" x14ac:dyDescent="0.2">
      <c r="A186" s="234"/>
      <c r="B186" s="220"/>
      <c r="C186" s="223"/>
      <c r="D186" s="223"/>
      <c r="E186" s="223"/>
      <c r="F186" s="223"/>
      <c r="G186" s="224"/>
    </row>
    <row r="187" spans="1:7" x14ac:dyDescent="0.2">
      <c r="A187" s="235"/>
      <c r="B187" s="225" t="s">
        <v>114</v>
      </c>
      <c r="C187" s="226">
        <f>ROUND(C170+C177+C185,2)</f>
        <v>176</v>
      </c>
      <c r="D187" s="226">
        <f>ROUND(D170+D177+D185,2)</f>
        <v>207</v>
      </c>
      <c r="E187" s="226">
        <f>ROUND(E170+E177+E185,2)</f>
        <v>100</v>
      </c>
      <c r="F187" s="226">
        <f>ROUND(F170+F177+F185,2)</f>
        <v>91</v>
      </c>
      <c r="G187" s="227">
        <f>ROUND(G170+G177+G185,2)</f>
        <v>288.76</v>
      </c>
    </row>
    <row r="188" spans="1:7" x14ac:dyDescent="0.2">
      <c r="A188" s="234"/>
      <c r="B188" s="220"/>
      <c r="C188" s="223"/>
      <c r="D188" s="223"/>
      <c r="E188" s="223"/>
      <c r="F188" s="223"/>
      <c r="G188" s="224"/>
    </row>
    <row r="189" spans="1:7" x14ac:dyDescent="0.2">
      <c r="A189" s="235"/>
      <c r="B189" s="243" t="s">
        <v>115</v>
      </c>
      <c r="C189" s="223"/>
      <c r="D189" s="223"/>
      <c r="E189" s="223"/>
      <c r="F189" s="223"/>
      <c r="G189" s="224"/>
    </row>
    <row r="190" spans="1:7" x14ac:dyDescent="0.2">
      <c r="A190" s="234"/>
      <c r="B190" s="220" t="s">
        <v>116</v>
      </c>
      <c r="C190" s="223">
        <f>Sheet1!C198</f>
        <v>0</v>
      </c>
      <c r="D190" s="223">
        <f>Sheet1!D198</f>
        <v>0</v>
      </c>
      <c r="E190" s="223">
        <f>Sheet1!E198</f>
        <v>0</v>
      </c>
      <c r="F190" s="223">
        <f>Sheet1!F198</f>
        <v>0</v>
      </c>
      <c r="G190" s="224">
        <f>Sheet1!G198</f>
        <v>0</v>
      </c>
    </row>
    <row r="191" spans="1:7" x14ac:dyDescent="0.2">
      <c r="A191" s="234"/>
      <c r="B191" s="220" t="s">
        <v>117</v>
      </c>
      <c r="C191" s="223">
        <f>Sheet1!C199</f>
        <v>217</v>
      </c>
      <c r="D191" s="223">
        <f>Sheet1!D199</f>
        <v>293</v>
      </c>
      <c r="E191" s="223">
        <f>Sheet1!E199</f>
        <v>222</v>
      </c>
      <c r="F191" s="223">
        <f>Sheet1!F199</f>
        <v>206</v>
      </c>
      <c r="G191" s="224">
        <f>Sheet1!G199</f>
        <v>563.58000000000004</v>
      </c>
    </row>
    <row r="192" spans="1:7" x14ac:dyDescent="0.2">
      <c r="A192" s="234"/>
      <c r="B192" s="220" t="s">
        <v>118</v>
      </c>
      <c r="C192" s="223">
        <f>Sheet1!C164</f>
        <v>0</v>
      </c>
      <c r="D192" s="223">
        <f>Sheet1!D164</f>
        <v>0</v>
      </c>
      <c r="E192" s="223">
        <f>Sheet1!E164</f>
        <v>0</v>
      </c>
      <c r="F192" s="223">
        <f>Sheet1!F164</f>
        <v>0</v>
      </c>
      <c r="G192" s="224">
        <f>Sheet1!G164</f>
        <v>0</v>
      </c>
    </row>
    <row r="193" spans="1:7" x14ac:dyDescent="0.2">
      <c r="A193" s="234"/>
      <c r="B193" s="220" t="s">
        <v>119</v>
      </c>
      <c r="C193" s="223">
        <f>Sheet1!C165+Sheet1!C167</f>
        <v>30</v>
      </c>
      <c r="D193" s="223">
        <f>Sheet1!D165+Sheet1!D167</f>
        <v>49</v>
      </c>
      <c r="E193" s="223">
        <f>Sheet1!E165+Sheet1!E167</f>
        <v>47</v>
      </c>
      <c r="F193" s="223">
        <f>Sheet1!F165+Sheet1!F167</f>
        <v>25</v>
      </c>
      <c r="G193" s="224">
        <f>Sheet1!G165+Sheet1!G167</f>
        <v>24.74</v>
      </c>
    </row>
    <row r="194" spans="1:7" x14ac:dyDescent="0.2">
      <c r="A194" s="234"/>
      <c r="B194" s="220" t="s">
        <v>84</v>
      </c>
      <c r="C194" s="223">
        <f>Sheet1!C200</f>
        <v>0</v>
      </c>
      <c r="D194" s="223">
        <f>Sheet1!D200</f>
        <v>0</v>
      </c>
      <c r="E194" s="223">
        <f>Sheet1!E200</f>
        <v>0</v>
      </c>
      <c r="F194" s="223">
        <f>Sheet1!F200</f>
        <v>0</v>
      </c>
      <c r="G194" s="224">
        <f>Sheet1!G200</f>
        <v>1.5</v>
      </c>
    </row>
    <row r="195" spans="1:7" x14ac:dyDescent="0.2">
      <c r="A195" s="234"/>
      <c r="B195" s="220"/>
      <c r="C195" s="223"/>
      <c r="D195" s="223"/>
      <c r="E195" s="223"/>
      <c r="F195" s="223"/>
      <c r="G195" s="224"/>
    </row>
    <row r="196" spans="1:7" x14ac:dyDescent="0.2">
      <c r="A196" s="234"/>
      <c r="B196" s="220"/>
      <c r="C196" s="223"/>
      <c r="D196" s="223"/>
      <c r="E196" s="223"/>
      <c r="F196" s="223"/>
      <c r="G196" s="224"/>
    </row>
    <row r="197" spans="1:7" x14ac:dyDescent="0.2">
      <c r="A197" s="234"/>
      <c r="B197" s="220"/>
      <c r="C197" s="223"/>
      <c r="D197" s="223"/>
      <c r="E197" s="223"/>
      <c r="F197" s="223"/>
      <c r="G197" s="224"/>
    </row>
    <row r="198" spans="1:7" x14ac:dyDescent="0.2">
      <c r="A198" s="235"/>
      <c r="B198" s="225" t="s">
        <v>120</v>
      </c>
      <c r="C198" s="226">
        <f>ROUND(SUM(C190:C194),2)</f>
        <v>247</v>
      </c>
      <c r="D198" s="226">
        <f>ROUND(SUM(D190:D194),2)</f>
        <v>342</v>
      </c>
      <c r="E198" s="226">
        <f>ROUND(SUM(E190:E194),2)</f>
        <v>269</v>
      </c>
      <c r="F198" s="226">
        <f>ROUND(SUM(F190:F194),2)</f>
        <v>231</v>
      </c>
      <c r="G198" s="227">
        <f>ROUND(SUM(G190:G194),2)</f>
        <v>589.82000000000005</v>
      </c>
    </row>
    <row r="199" spans="1:7" x14ac:dyDescent="0.2">
      <c r="A199" s="234"/>
      <c r="B199" s="220"/>
      <c r="C199" s="223"/>
      <c r="D199" s="223"/>
      <c r="E199" s="223"/>
      <c r="F199" s="223"/>
      <c r="G199" s="224"/>
    </row>
    <row r="200" spans="1:7" ht="13.5" thickBot="1" x14ac:dyDescent="0.25">
      <c r="A200" s="236"/>
      <c r="B200" s="237" t="s">
        <v>121</v>
      </c>
      <c r="C200" s="238">
        <f>ROUND(C159+C161+C187+C198,2)</f>
        <v>612</v>
      </c>
      <c r="D200" s="238">
        <f>ROUND(D159+D161+D187+D198,2)</f>
        <v>1005</v>
      </c>
      <c r="E200" s="238">
        <f>ROUND(E159+E161+E187+E198,2)</f>
        <v>1011</v>
      </c>
      <c r="F200" s="238">
        <f>ROUND(F159+F161+F187+F198,2)</f>
        <v>1236</v>
      </c>
      <c r="G200" s="239">
        <f>ROUND(G159+G161+G187+G198,2)</f>
        <v>2293.71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GridLines="0" workbookViewId="0">
      <selection activeCell="B1" sqref="B1"/>
    </sheetView>
  </sheetViews>
  <sheetFormatPr defaultRowHeight="12.75" x14ac:dyDescent="0.2"/>
  <cols>
    <col min="1" max="1" customWidth="true" style="298" width="6.7109375" collapsed="true"/>
    <col min="2" max="2" customWidth="true" style="298" width="56.0" collapsed="true"/>
    <col min="3" max="7" customWidth="true" style="298" width="15.85546875" collapsed="true"/>
    <col min="8" max="16384" style="298" width="9.140625" collapsed="true"/>
  </cols>
  <sheetData>
    <row r="1" spans="1:8" ht="19.5" thickBot="1" x14ac:dyDescent="0.25">
      <c r="A1" s="213"/>
      <c r="B1" s="297" t="s">
        <v>730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0" t="s">
        <v>290</v>
      </c>
      <c r="C3" s="299"/>
      <c r="D3" s="299"/>
      <c r="E3" s="299"/>
      <c r="F3" s="299"/>
      <c r="G3" s="300"/>
      <c r="H3" s="246"/>
    </row>
    <row r="4" spans="1:8" x14ac:dyDescent="0.2">
      <c r="A4" s="221"/>
      <c r="B4" s="251" t="s">
        <v>5</v>
      </c>
      <c r="C4" s="252">
        <f>ROUND('Restated Financials'!C10*12/Sheet1!C19,2)</f>
        <v>250.9</v>
      </c>
      <c r="D4" s="252">
        <f>ROUND('Restated Financials'!D10*12/Sheet1!D19,2)</f>
        <v>251</v>
      </c>
      <c r="E4" s="252">
        <f>ROUND('Restated Financials'!E10*12/Sheet1!E19,2)</f>
        <v>251.1</v>
      </c>
      <c r="F4" s="252">
        <f>ROUND('Restated Financials'!F10*12/Sheet1!F19,2)</f>
        <v>253.4</v>
      </c>
      <c r="G4" s="253">
        <f>ROUND('Restated Financials'!G10*12/Sheet1!G19,2)</f>
        <v>255.06</v>
      </c>
      <c r="H4" s="246"/>
    </row>
    <row r="5" spans="1:8" x14ac:dyDescent="0.2">
      <c r="A5" s="221"/>
      <c r="B5" s="251" t="s">
        <v>3</v>
      </c>
      <c r="C5" s="252">
        <f>ROUND('Restated Financials'!C8*12/Sheet1!C19,2)</f>
        <v>250</v>
      </c>
      <c r="D5" s="252">
        <f>ROUND('Restated Financials'!D8*12/Sheet1!D19,2)</f>
        <v>250</v>
      </c>
      <c r="E5" s="252">
        <f>ROUND('Restated Financials'!E8*12/Sheet1!E19,2)</f>
        <v>250</v>
      </c>
      <c r="F5" s="252">
        <f>ROUND('Restated Financials'!F8*12/Sheet1!F19,2)</f>
        <v>252.3</v>
      </c>
      <c r="G5" s="253">
        <f>ROUND('Restated Financials'!G8*12/Sheet1!G19,2)</f>
        <v>253.94</v>
      </c>
      <c r="H5" s="246"/>
    </row>
    <row r="6" spans="1:8" x14ac:dyDescent="0.2">
      <c r="A6" s="221"/>
      <c r="B6" s="251" t="s">
        <v>291</v>
      </c>
      <c r="C6" s="252"/>
      <c r="D6" s="252">
        <f><![CDATA[ROUND((IF(ISERROR(IF(OR((AND(C5<0,D5>0)),(AND(C5<0,D5<0,D5>C5)),(AND(C5<0,D5<0,D5<C5))),-(D5-C5)/C5,IF((AND(C5>0,D5<0)),(D5-C5)/C5,(D5-C5)/C5))),0,(IF(OR((AND(C5<0,D5>0)),(AND(C5<0,D5<0,D5>C5)),(AND(C5<0,D5<0,D5<C5))),-(D5-C5)/C5,IF((AND(C5>0,D5<0)),(D5-C5)/C5,(D5-C5)/C5)))))*100,2)]]></f>
        <v>0</v>
      </c>
      <c r="E6" s="252">
        <f><![CDATA[ROUND((IF(ISERROR(IF(OR((AND(D5<0,E5>0)),(AND(D5<0,E5<0,E5>D5)),(AND(D5<0,E5<0,E5<D5))),-(E5-D5)/D5,IF((AND(D5>0,E5<0)),(E5-D5)/D5,(E5-D5)/D5))),0,(IF(OR((AND(D5<0,E5>0)),(AND(D5<0,E5<0,E5>D5)),(AND(D5<0,E5<0,E5<D5))),-(E5-D5)/D5,IF((AND(D5>0,E5<0)),(E5-D5)/D5,(E5-D5)/D5)))))*100,2)]]></f>
        <v>0</v>
      </c>
      <c r="F6" s="252">
        <f><![CDATA[ROUND((IF(ISERROR(IF(OR((AND(E5<0,F5>0)),(AND(E5<0,F5<0,F5>E5)),(AND(E5<0,F5<0,F5<E5))),-(F5-E5)/E5,IF((AND(E5>0,F5<0)),(F5-E5)/E5,(F5-E5)/E5))),0,(IF(OR((AND(E5<0,F5>0)),(AND(E5<0,F5<0,F5>E5)),(AND(E5<0,F5<0,F5<E5))),-(F5-E5)/E5,IF((AND(E5>0,F5<0)),(F5-E5)/E5,(F5-E5)/E5)))))*100,2)]]></f>
        <v>0.92</v>
      </c>
      <c r="G6" s="253">
        <f><![CDATA[ROUND((IF(ISERROR(IF(OR((AND(F5<0,G5>0)),(AND(F5<0,G5<0,G5>F5)),(AND(F5<0,G5<0,G5<F5))),-(G5-F5)/F5,IF((AND(F5>0,G5<0)),(G5-F5)/F5,(G5-F5)/F5))),0,(IF(OR((AND(F5<0,G5>0)),(AND(F5<0,G5<0,G5>F5)),(AND(F5<0,G5<0,G5<F5))),-(G5-F5)/F5,IF((AND(F5>0,G5<0)),(G5-F5)/F5,(G5-F5)/F5)))))*100,2)]]></f>
        <v>0.65</v>
      </c>
      <c r="H6" s="246"/>
    </row>
    <row r="7" spans="1:8" x14ac:dyDescent="0.2">
      <c r="A7" s="221"/>
      <c r="B7" s="251" t="s">
        <v>292</v>
      </c>
      <c r="C7" s="252">
        <f>ROUND((IF(ISERROR('Restated Financials'!C6/('Restated Financials'!C3+'Restated Financials'!C4+'Restated Financials'!C5)),0,('Restated Financials'!C6/('Restated Financials'!C3+'Restated Financials'!C4+'Restated Financials'!C5)))*100),2)</f>
        <v>0</v>
      </c>
      <c r="D7" s="252">
        <f>ROUND((IF(ISERROR('Restated Financials'!D6/('Restated Financials'!D3+'Restated Financials'!D4+'Restated Financials'!D5)),0,('Restated Financials'!D6/('Restated Financials'!D3+'Restated Financials'!D4+'Restated Financials'!D5)))*100),2)</f>
        <v>0</v>
      </c>
      <c r="E7" s="252">
        <f>ROUND((IF(ISERROR('Restated Financials'!E6/('Restated Financials'!E3+'Restated Financials'!E4+'Restated Financials'!E5)),0,('Restated Financials'!E6/('Restated Financials'!E3+'Restated Financials'!E4+'Restated Financials'!E5)))*100),2)</f>
        <v>0</v>
      </c>
      <c r="F7" s="252">
        <f>ROUND((IF(ISERROR('Restated Financials'!F6/('Restated Financials'!F3+'Restated Financials'!F4+'Restated Financials'!F5)),0,('Restated Financials'!F6/('Restated Financials'!F3+'Restated Financials'!F4+'Restated Financials'!F5)))*100),2)</f>
        <v>0</v>
      </c>
      <c r="G7" s="253">
        <f>ROUND((IF(ISERROR('Restated Financials'!G6/('Restated Financials'!G3+'Restated Financials'!G4+'Restated Financials'!G5)),0,('Restated Financials'!G6/('Restated Financials'!G3+'Restated Financials'!G4+'Restated Financials'!G5)))*100),2)</f>
        <v>0</v>
      </c>
      <c r="H7" s="246"/>
    </row>
    <row r="8" spans="1:8" x14ac:dyDescent="0.2">
      <c r="A8" s="221"/>
      <c r="B8" s="251" t="s">
        <v>293</v>
      </c>
      <c r="C8" s="252">
        <f>ROUND((IF(ISERROR('Restated Financials'!C4/('Restated Financials'!C3+'Restated Financials'!C4+'Restated Financials'!C5)),0,('Restated Financials'!C4/('Restated Financials'!C3+'Restated Financials'!C4+'Restated Financials'!C5)))*100),2)</f>
        <v>0</v>
      </c>
      <c r="D8" s="252">
        <f>ROUND((IF(ISERROR('Restated Financials'!D4/('Restated Financials'!D3+'Restated Financials'!D4+'Restated Financials'!D5)),0,('Restated Financials'!D4/('Restated Financials'!D3+'Restated Financials'!D4+'Restated Financials'!D5)))*100),2)</f>
        <v>0</v>
      </c>
      <c r="E8" s="252">
        <f>ROUND((IF(ISERROR('Restated Financials'!E4/('Restated Financials'!E3+'Restated Financials'!E4+'Restated Financials'!E5)),0,('Restated Financials'!E4/('Restated Financials'!E3+'Restated Financials'!E4+'Restated Financials'!E5)))*100),2)</f>
        <v>0</v>
      </c>
      <c r="F8" s="252">
        <f>ROUND((IF(ISERROR('Restated Financials'!F4/('Restated Financials'!F3+'Restated Financials'!F4+'Restated Financials'!F5)),0,('Restated Financials'!F4/('Restated Financials'!F3+'Restated Financials'!F4+'Restated Financials'!F5)))*100),2)</f>
        <v>0</v>
      </c>
      <c r="G8" s="253">
        <f>ROUND((IF(ISERROR('Restated Financials'!G4/('Restated Financials'!G3+'Restated Financials'!G4+'Restated Financials'!G5)),0,('Restated Financials'!G4/('Restated Financials'!G3+'Restated Financials'!G4+'Restated Financials'!G5)))*100),2)</f>
        <v>0</v>
      </c>
      <c r="H8" s="246"/>
    </row>
    <row r="9" spans="1:8" x14ac:dyDescent="0.2">
      <c r="A9" s="221"/>
      <c r="B9" s="251" t="s">
        <v>20</v>
      </c>
      <c r="C9" s="252">
        <f>ROUND('Restated Financials'!C32*12/Sheet1!C19,2)</f>
        <v>-77.2</v>
      </c>
      <c r="D9" s="252">
        <f>ROUND('Restated Financials'!D32*12/Sheet1!D19,2)</f>
        <v>-142</v>
      </c>
      <c r="E9" s="252">
        <f>ROUND('Restated Financials'!E32*12/Sheet1!E19,2)</f>
        <v>-207.9</v>
      </c>
      <c r="F9" s="252">
        <f>ROUND('Restated Financials'!F32*12/Sheet1!F19,2)</f>
        <v>-270.10000000000002</v>
      </c>
      <c r="G9" s="253">
        <f>ROUND('Restated Financials'!G32*12/Sheet1!G19,2)</f>
        <v>-316.57</v>
      </c>
      <c r="H9" s="246"/>
    </row>
    <row r="10" spans="1:8" x14ac:dyDescent="0.2">
      <c r="A10" s="221"/>
      <c r="B10" s="251" t="s">
        <v>294</v>
      </c>
      <c r="C10" s="252"/>
      <c r="D10" s="252">
        <f><![CDATA[ROUND((IF(ISERROR(IF(OR((AND(C9<0,D9>0)),(AND(C9<0,D9<0,D9>C9)),(AND(C9<0,D9<0,D9<C9))),-(D9-C9)/C9,IF((AND(C9>0,D9<0)),(D9-C9)/C9,(D9-C9)/C9))),0,(IF(OR((AND(C9<0,D9>0)),(AND(C9<0,D9<0,D9>C9)),(AND(C9<0,D9<0,D9<C9))),-(D9-C9)/C9,IF((AND(C9>0,D9<0)),(D9-C9)/C9,(D9-C9)/C9)))))*100,2)]]></f>
        <v>-83.94</v>
      </c>
      <c r="E10" s="252">
        <f><![CDATA[ROUND((IF(ISERROR(IF(OR((AND(D9<0,E9>0)),(AND(D9<0,E9<0,E9>D9)),(AND(D9<0,E9<0,E9<D9))),-(E9-D9)/D9,IF((AND(D9>0,E9<0)),(E9-D9)/D9,(E9-D9)/D9))),0,(IF(OR((AND(D9<0,E9>0)),(AND(D9<0,E9<0,E9>D9)),(AND(D9<0,E9<0,E9<D9))),-(E9-D9)/D9,IF((AND(D9>0,E9<0)),(E9-D9)/D9,(E9-D9)/D9)))))*100,2)]]></f>
        <v>-46.41</v>
      </c>
      <c r="F10" s="252">
        <f><![CDATA[ROUND((IF(ISERROR(IF(OR((AND(E9<0,F9>0)),(AND(E9<0,F9<0,F9>E9)),(AND(E9<0,F9<0,F9<E9))),-(F9-E9)/E9,IF((AND(E9>0,F9<0)),(F9-E9)/E9,(F9-E9)/E9))),0,(IF(OR((AND(E9<0,F9>0)),(AND(E9<0,F9<0,F9>E9)),(AND(E9<0,F9<0,F9<E9))),-(F9-E9)/E9,IF((AND(E9>0,F9<0)),(F9-E9)/E9,(F9-E9)/E9)))))*100,2)]]></f>
        <v>-29.92</v>
      </c>
      <c r="G10" s="253">
        <f><![CDATA[ROUND((IF(ISERROR(IF(OR((AND(F9<0,G9>0)),(AND(F9<0,G9<0,G9>F9)),(AND(F9<0,G9<0,G9<F9))),-(G9-F9)/F9,IF((AND(F9>0,G9<0)),(G9-F9)/F9,(G9-F9)/F9))),0,(IF(OR((AND(F9<0,G9>0)),(AND(F9<0,G9<0,G9>F9)),(AND(F9<0,G9<0,G9<F9))),-(G9-F9)/F9,IF((AND(F9>0,G9<0)),(G9-F9)/F9,(G9-F9)/F9)))))*100,2)]]></f>
        <v>-17.2</v>
      </c>
      <c r="H10" s="246"/>
    </row>
    <row r="11" spans="1:8" x14ac:dyDescent="0.2">
      <c r="A11" s="221"/>
      <c r="B11" s="251" t="s">
        <v>295</v>
      </c>
      <c r="C11" s="252">
        <f>ROUND(('Restated Financials'!C61+'Restated Financials'!C34+'Restated Financials'!C37+'Restated Financials'!C38)*12/Sheet1!C19,2)</f>
        <v>-75.599999999999994</v>
      </c>
      <c r="D11" s="252">
        <f>ROUND(('Restated Financials'!D61+'Restated Financials'!D34+'Restated Financials'!D37+'Restated Financials'!D38)*12/Sheet1!D19,2)</f>
        <v>-139.80000000000001</v>
      </c>
      <c r="E11" s="252">
        <f>ROUND(('Restated Financials'!E61+'Restated Financials'!E34+'Restated Financials'!E37+'Restated Financials'!E38)*12/Sheet1!E19,2)</f>
        <v>-203.5</v>
      </c>
      <c r="F11" s="252">
        <f>ROUND(('Restated Financials'!F61+'Restated Financials'!F34+'Restated Financials'!F37+'Restated Financials'!F38)*12/Sheet1!F19,2)</f>
        <v>-266.39999999999998</v>
      </c>
      <c r="G11" s="253">
        <f>ROUND(('Restated Financials'!G61+'Restated Financials'!G34+'Restated Financials'!G37+'Restated Financials'!G38)*12/Sheet1!G19,2)</f>
        <v>-312.77</v>
      </c>
      <c r="H11" s="246"/>
    </row>
    <row r="12" spans="1:8" x14ac:dyDescent="0.2">
      <c r="A12" s="221"/>
      <c r="B12" s="251" t="s">
        <v>296</v>
      </c>
      <c r="C12" s="252">
        <f>ROUND((C10-(('Restated Financials'!C34)*12/Sheet1!C19)),2)</f>
        <v>-1.2</v>
      </c>
      <c r="D12" s="252">
        <f>ROUND((D10-(('Restated Financials'!D34)*12/Sheet1!D19)),2)</f>
        <v>-88.54</v>
      </c>
      <c r="E12" s="252">
        <f>ROUND((E10-(('Restated Financials'!E34)*12/Sheet1!E19)),2)</f>
        <v>-54.21</v>
      </c>
      <c r="F12" s="252">
        <f>ROUND((F10-(('Restated Financials'!F34)*12/Sheet1!F19)),2)</f>
        <v>-46.42</v>
      </c>
      <c r="G12" s="253">
        <f>ROUND((G10-(('Restated Financials'!G34)*12/Sheet1!G19)),2)</f>
        <v>-37.770000000000003</v>
      </c>
      <c r="H12" s="246"/>
    </row>
    <row r="13" spans="1:8" x14ac:dyDescent="0.2">
      <c r="A13" s="235"/>
      <c r="B13" s="251" t="s">
        <v>297</v>
      </c>
      <c r="C13" s="252">
        <f>ROUND(('Restated Financials'!C71+'Restated Financials'!C54+'Restated Financials'!C34)*12/Sheet1!C19,2)</f>
        <v>-83.3</v>
      </c>
      <c r="D13" s="252">
        <f>ROUND(('Restated Financials'!D71+'Restated Financials'!D54+'Restated Financials'!D34)*12/Sheet1!D19,2)</f>
        <v>-153.6</v>
      </c>
      <c r="E13" s="252">
        <f>ROUND(('Restated Financials'!E71+'Restated Financials'!E54+'Restated Financials'!E34)*12/Sheet1!E19,2)</f>
        <v>-220.3</v>
      </c>
      <c r="F13" s="252">
        <f>ROUND(('Restated Financials'!F71+'Restated Financials'!F54+'Restated Financials'!F34)*12/Sheet1!F19,2)</f>
        <v>-278.5</v>
      </c>
      <c r="G13" s="253">
        <f>ROUND(('Restated Financials'!G71+'Restated Financials'!G54+'Restated Financials'!G34)*12/Sheet1!G19,2)</f>
        <v>-332.48</v>
      </c>
      <c r="H13" s="246"/>
    </row>
    <row r="14" spans="1:8" x14ac:dyDescent="0.2">
      <c r="A14" s="234"/>
      <c r="B14" s="251" t="s">
        <v>298</v>
      </c>
      <c r="C14" s="252">
        <f>ROUND('Restated Financials'!C61*12/Sheet1!C19,2)</f>
        <v>-77</v>
      </c>
      <c r="D14" s="252">
        <f>ROUND('Restated Financials'!D61*12/Sheet1!D19,2)</f>
        <v>-146.19999999999999</v>
      </c>
      <c r="E14" s="252">
        <f>ROUND('Restated Financials'!E61*12/Sheet1!E19,2)</f>
        <v>-212.5</v>
      </c>
      <c r="F14" s="252">
        <f>ROUND('Restated Financials'!F61*12/Sheet1!F19,2)</f>
        <v>-284.10000000000002</v>
      </c>
      <c r="G14" s="253">
        <f>ROUND('Restated Financials'!G61*12/Sheet1!G19,2)</f>
        <v>-335.2</v>
      </c>
      <c r="H14" s="246"/>
    </row>
    <row r="15" spans="1:8" x14ac:dyDescent="0.2">
      <c r="A15" s="234"/>
      <c r="B15" s="251" t="s">
        <v>299</v>
      </c>
      <c r="C15" s="252"/>
      <c r="D15" s="252">
        <f><![CDATA[ROUND((IF(ISERROR(IF(OR((AND(C14<0,D14>0)),(AND(C14<0,D14<0,D14>C14)),(AND(C14<0,D14<0,D14<C14))),-(D14-C14)/C14,IF((AND(C14>0,D14<0)),(D14-C14)/C14,(D14-C14)/C14))),0,(IF(OR((AND(C14<0,D14>0)),(AND(C14<0,D14<0,D14>C14)),(AND(C14<0,D14<0,D14<C14))),-(D14-C14)/C14,IF((AND(C14>0,D14<0)),(D14-C14)/C14,(D14-C14)/C14)))))*100,2)]]></f>
        <v>-89.87</v>
      </c>
      <c r="E15" s="252">
        <f><![CDATA[ROUND((IF(ISERROR(IF(OR((AND(D14<0,E14>0)),(AND(D14<0,E14<0,E14>D14)),(AND(D14<0,E14<0,E14<D14))),-(E14-D14)/D14,IF((AND(D14>0,E14<0)),(E14-D14)/D14,(E14-D14)/D14))),0,(IF(OR((AND(D14<0,E14>0)),(AND(D14<0,E14<0,E14>D14)),(AND(D14<0,E14<0,E14<D14))),-(E14-D14)/D14,IF((AND(D14>0,E14<0)),(E14-D14)/D14,(E14-D14)/D14)))))*100,2)]]></f>
        <v>-45.35</v>
      </c>
      <c r="F15" s="252">
        <f><![CDATA[ROUND((IF(ISERROR(IF(OR((AND(E14<0,F14>0)),(AND(E14<0,F14<0,F14>E14)),(AND(E14<0,F14<0,F14<E14))),-(F14-E14)/E14,IF((AND(E14>0,F14<0)),(F14-E14)/E14,(F14-E14)/E14))),0,(IF(OR((AND(E14<0,F14>0)),(AND(E14<0,F14<0,F14>E14)),(AND(E14<0,F14<0,F14<E14))),-(F14-E14)/E14,IF((AND(E14>0,F14<0)),(F14-E14)/E14,(F14-E14)/E14)))))*100,2)]]></f>
        <v>-33.69</v>
      </c>
      <c r="G15" s="253">
        <f><![CDATA[ROUND((IF(ISERROR(IF(OR((AND(F14<0,G14>0)),(AND(F14<0,G14<0,G14>F14)),(AND(F14<0,G14<0,G14<F14))),-(G14-F14)/F14,IF((AND(F14>0,G14<0)),(G14-F14)/F14,(G14-F14)/F14))),0,(IF(OR((AND(F14<0,G14>0)),(AND(F14<0,G14<0,G14>F14)),(AND(F14<0,G14<0,G14<F14))),-(G14-F14)/F14,IF((AND(F14>0,G14<0)),(G14-F14)/F14,(G14-F14)/F14)))))*100,2)]]></f>
        <v>-17.989999999999998</v>
      </c>
      <c r="H15" s="246"/>
    </row>
    <row r="16" spans="1:8" x14ac:dyDescent="0.2">
      <c r="A16" s="235"/>
      <c r="B16" s="251" t="s">
        <v>300</v>
      </c>
      <c r="C16" s="252">
        <f>ROUND('Restated Financials'!C71*12/Sheet1!C19,2)</f>
        <v>-84.5</v>
      </c>
      <c r="D16" s="252">
        <f>ROUND('Restated Financials'!D71*12/Sheet1!D19,2)</f>
        <v>-158.19999999999999</v>
      </c>
      <c r="E16" s="252">
        <f>ROUND('Restated Financials'!E71*12/Sheet1!E19,2)</f>
        <v>-228.1</v>
      </c>
      <c r="F16" s="252">
        <f>ROUND('Restated Financials'!F71*12/Sheet1!F19,2)</f>
        <v>-295</v>
      </c>
      <c r="G16" s="253">
        <f>ROUND('Restated Financials'!G71*12/Sheet1!G19,2)</f>
        <v>-353.05</v>
      </c>
      <c r="H16" s="246"/>
    </row>
    <row r="17" spans="1:8" x14ac:dyDescent="0.2">
      <c r="A17" s="234"/>
      <c r="B17" s="251" t="s">
        <v>508</v>
      </c>
      <c r="C17" s="252">
        <f>ROUND(('Restated Financials'!C71+'Restated Financials'!C34)*12/Sheet1!C19,2)</f>
        <v>-83.3</v>
      </c>
      <c r="D17" s="252">
        <f>ROUND(('Restated Financials'!D71+'Restated Financials'!D34)*12/Sheet1!D19,2)</f>
        <v>-153.6</v>
      </c>
      <c r="E17" s="252">
        <f>ROUND(('Restated Financials'!E71+'Restated Financials'!E34)*12/Sheet1!E19,2)</f>
        <v>-220.3</v>
      </c>
      <c r="F17" s="252">
        <f>ROUND(('Restated Financials'!F71+'Restated Financials'!F34)*12/Sheet1!F19,2)</f>
        <v>-278.5</v>
      </c>
      <c r="G17" s="253">
        <f>ROUND(('Restated Financials'!G71+'Restated Financials'!G34)*12/Sheet1!G19,2)</f>
        <v>-332.48</v>
      </c>
      <c r="H17" s="246"/>
    </row>
    <row r="18" spans="1:8" x14ac:dyDescent="0.2">
      <c r="A18" s="235"/>
      <c r="B18" s="250" t="s">
        <v>301</v>
      </c>
      <c r="C18" s="299"/>
      <c r="D18" s="299"/>
      <c r="E18" s="299"/>
      <c r="F18" s="299"/>
      <c r="G18" s="300"/>
      <c r="H18" s="246"/>
    </row>
    <row r="19" spans="1:8" x14ac:dyDescent="0.2">
      <c r="A19" s="234"/>
      <c r="B19" s="251" t="s">
        <v>302</v>
      </c>
      <c r="C19" s="252">
        <f>ROUND(IF(ISERROR(C9/C5),0,(C9/C5)*100),2)</f>
        <v>-30.88</v>
      </c>
      <c r="D19" s="252">
        <f>ROUND(IF(ISERROR(D9/D5),0,(D9/D5)*100),2)</f>
        <v>-56.8</v>
      </c>
      <c r="E19" s="252">
        <f>ROUND(IF(ISERROR(E9/E5),0,(E9/E5)*100),2)</f>
        <v>-83.16</v>
      </c>
      <c r="F19" s="252">
        <f>ROUND(IF(ISERROR(F9/F5),0,(F9/F5)*100),2)</f>
        <v>-107.06</v>
      </c>
      <c r="G19" s="253">
        <f>ROUND(IF(ISERROR(G9/G5),0,(G9/G5)*100),2)</f>
        <v>-124.66</v>
      </c>
      <c r="H19" s="246"/>
    </row>
    <row r="20" spans="1:8" x14ac:dyDescent="0.2">
      <c r="A20" s="221"/>
      <c r="B20" s="251" t="s">
        <v>303</v>
      </c>
      <c r="C20" s="252">
        <f>ROUND(IF(ISERROR(C14/C5),0,(C14/C5)*100),2)</f>
        <v>-30.8</v>
      </c>
      <c r="D20" s="252">
        <f>ROUND(IF(ISERROR(D14/D5),0,(D14/D5)*100),2)</f>
        <v>-58.48</v>
      </c>
      <c r="E20" s="252">
        <f>ROUND(IF(ISERROR(E14/E5),0,(E14/E5)*100),2)</f>
        <v>-85</v>
      </c>
      <c r="F20" s="252">
        <f>ROUND(IF(ISERROR(F14/F5),0,(F14/F5)*100),2)</f>
        <v>-112.6</v>
      </c>
      <c r="G20" s="253">
        <f>ROUND(IF(ISERROR(G14/G5),0,(G14/G5)*100),2)</f>
        <v>-132</v>
      </c>
      <c r="H20" s="246"/>
    </row>
    <row r="21" spans="1:8" x14ac:dyDescent="0.2">
      <c r="A21" s="221"/>
      <c r="B21" s="251" t="s">
        <v>304</v>
      </c>
      <c r="C21" s="252">
        <f>ROUND(IF(ISERROR(C16/C5),0,(C16/C5)*100),2)</f>
        <v>-33.799999999999997</v>
      </c>
      <c r="D21" s="252">
        <f>ROUND(IF(ISERROR(D16/D5),0,(D16/D5)*100),2)</f>
        <v>-63.28</v>
      </c>
      <c r="E21" s="252">
        <f>ROUND(IF(ISERROR(E16/E5),0,(E16/E5)*100),2)</f>
        <v>-91.24</v>
      </c>
      <c r="F21" s="252">
        <f>ROUND(IF(ISERROR(F16/F5),0,(F16/F5)*100),2)</f>
        <v>-116.92</v>
      </c>
      <c r="G21" s="253">
        <f>ROUND(IF(ISERROR(G16/G5),0,(G16/G5)*100),2)</f>
        <v>-139.03</v>
      </c>
      <c r="H21" s="246"/>
    </row>
    <row r="22" spans="1:8" x14ac:dyDescent="0.2">
      <c r="A22" s="221"/>
      <c r="B22" s="251" t="s">
        <v>305</v>
      </c>
      <c r="C22" s="252">
        <f>ROUND(IF(ISERROR(C16/'Restated Financials'!C200),0,(C16/'Restated Financials'!C200)*100),2)</f>
        <v>-13.81</v>
      </c>
      <c r="D22" s="252">
        <f>ROUND(IF(ISERROR(D16/'Restated Financials'!D200),0,(D16/'Restated Financials'!D200)*100),2)</f>
        <v>-15.74</v>
      </c>
      <c r="E22" s="252">
        <f>ROUND(IF(ISERROR(E16/'Restated Financials'!E200),0,(E16/'Restated Financials'!E200)*100),2)</f>
        <v>-22.56</v>
      </c>
      <c r="F22" s="252">
        <f>ROUND(IF(ISERROR(F16/'Restated Financials'!F200),0,(F16/'Restated Financials'!F200)*100),2)</f>
        <v>-23.87</v>
      </c>
      <c r="G22" s="253">
        <f>ROUND(IF(ISERROR(G16/'Restated Financials'!G200),0,(G16/'Restated Financials'!G200)*100),2)</f>
        <v>-15.39</v>
      </c>
      <c r="H22" s="246"/>
    </row>
    <row r="23" spans="1:8" x14ac:dyDescent="0.2">
      <c r="A23" s="221"/>
      <c r="B23" s="251" t="s">
        <v>306</v>
      </c>
      <c r="C23" s="252">
        <f>ROUND(IF(ISERROR(C16/C47),0,(C16/C47)*100),2)</f>
        <v>-59.93</v>
      </c>
      <c r="D23" s="252">
        <f>ROUND(IF(ISERROR(D16/D47),0,(D16/D47)*100),2)</f>
        <v>-54.18</v>
      </c>
      <c r="E23" s="252">
        <f>ROUND(IF(ISERROR(E16/E47),0,(E16/E47)*100),2)</f>
        <v>-55.23</v>
      </c>
      <c r="F23" s="252">
        <f>ROUND(IF(ISERROR(F16/F47),0,(F16/F47)*100),2)</f>
        <v>-49</v>
      </c>
      <c r="G23" s="253">
        <f>ROUND(IF(ISERROR(G16/G47),0,(G16/G47)*100),2)</f>
        <v>-39.22</v>
      </c>
      <c r="H23" s="246"/>
    </row>
    <row r="24" spans="1:8" x14ac:dyDescent="0.2">
      <c r="A24" s="221"/>
      <c r="B24" s="251" t="s">
        <v>307</v>
      </c>
      <c r="C24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4" s="252">
        <f>ROUND(IF(ISERROR(((('Restated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24" s="252">
        <f>ROUND(IF(ISERROR(((('Restated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-32.549999999999997</v>
      </c>
      <c r="F24" s="252">
        <f>ROUND(IF(ISERROR(((('Restated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-35.83</v>
      </c>
      <c r="G24" s="253">
        <f>ROUND(IF(ISERROR(((('Restated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-29.58</v>
      </c>
      <c r="H24" s="246"/>
    </row>
    <row r="25" spans="1:8" x14ac:dyDescent="0.2">
      <c r="A25" s="221"/>
      <c r="B25" s="251"/>
      <c r="C25" s="252"/>
      <c r="D25" s="252"/>
      <c r="E25" s="252"/>
      <c r="F25" s="252"/>
      <c r="G25" s="253"/>
      <c r="H25" s="246"/>
    </row>
    <row r="26" spans="1:8" x14ac:dyDescent="0.2">
      <c r="A26" s="221"/>
      <c r="B26" s="250" t="s">
        <v>308</v>
      </c>
      <c r="C26" s="299"/>
      <c r="D26" s="299"/>
      <c r="E26" s="299"/>
      <c r="F26" s="299"/>
      <c r="G26" s="300"/>
      <c r="H26" s="246"/>
    </row>
    <row r="27" spans="1:8" x14ac:dyDescent="0.2">
      <c r="A27" s="221"/>
      <c r="B27" s="251" t="s">
        <v>309</v>
      </c>
      <c r="C27" s="252">
        <f>IF('Model Ratios'!C3="Y",ROUND(IF(AND(C28=0,C29=0,C30=0),9999,(C28+C29-C30)),2),9999)</f>
        <v>-51.07</v>
      </c>
      <c r="D27" s="252">
        <f>IF('Model Ratios'!D3="Y",ROUND(IF(AND(D28=0,D29=0,D30=0),9999,(D28+D29-D30)),2),9999)</f>
        <v>-205.4</v>
      </c>
      <c r="E27" s="252">
        <f>IF('Model Ratios'!E3="Y",ROUND(IF(AND(E28=0,E29=0,E30=0),9999,(E28+E29-E30)),2),9999)</f>
        <v>9999</v>
      </c>
      <c r="F27" s="252">
        <f>IF('Model Ratios'!F3="Y",ROUND(IF(AND(F28=0,F29=0,F30=0),9999,(F28+F29-F30)),2),9999)</f>
        <v>9999</v>
      </c>
      <c r="G27" s="253">
        <f>IF('Model Ratios'!G3="Y",ROUND(IF(AND(G28=0,G29=0,G30=0),9999,(G28+G29-G30)),2),9999)</f>
        <v>-404.1</v>
      </c>
      <c r="H27" s="246"/>
    </row>
    <row r="28" spans="1:8" x14ac:dyDescent="0.2">
      <c r="A28" s="221"/>
      <c r="B28" s="251" t="s">
        <v>310</v>
      </c>
      <c r="C28" s="252">
        <f>ROUND(IF(ISERROR('Restated Financials'!C170*365/((('Restated Financials'!C20+'Restated Financials'!C21))*12/Sheet1!C19)),0,('Restated Financials'!C170*365/((('Restated Financials'!C20+'Restated Financials'!C21))*12/Sheet1!C19))),2)</f>
        <v>100.16</v>
      </c>
      <c r="D28" s="252">
        <f>ROUND(IF(ISERROR('Restated Financials'!D170*365/((('Restated Financials'!D20+'Restated Financials'!D21))*12/Sheet1!D19)),0,('Restated Financials'!D170*365/((('Restated Financials'!D20+'Restated Financials'!D21))*12/Sheet1!D19))),2)</f>
        <v>121.8</v>
      </c>
      <c r="E28" s="252">
        <f>ROUND(IF(ISERROR('Restated Financials'!E170*365/((('Restated Financials'!E20+'Restated Financials'!E21))*12/Sheet1!E19)),0,('Restated Financials'!E170*365/((('Restated Financials'!E20+'Restated Financials'!E21))*12/Sheet1!E19))),2)</f>
        <v>0</v>
      </c>
      <c r="F28" s="252">
        <f>ROUND(IF(ISERROR('Restated Financials'!F170*365/((('Restated Financials'!F20+'Restated Financials'!F21))*12/Sheet1!F19)),0,('Restated Financials'!F170*365/((('Restated Financials'!F20+'Restated Financials'!F21))*12/Sheet1!F19))),2)</f>
        <v>0</v>
      </c>
      <c r="G28" s="253">
        <f>ROUND(IF(ISERROR('Restated Financials'!G170*365/((('Restated Financials'!G20+'Restated Financials'!G21))*12/Sheet1!G19)),0,('Restated Financials'!G170*365/((('Restated Financials'!G20+'Restated Financials'!G21))*12/Sheet1!G19))),2)</f>
        <v>156.16</v>
      </c>
      <c r="H28" s="246"/>
    </row>
    <row r="29" spans="1:8" x14ac:dyDescent="0.2">
      <c r="A29" s="221"/>
      <c r="B29" s="251" t="s">
        <v>311</v>
      </c>
      <c r="C29" s="252">
        <f>ROUND(IF(ISERROR('Restated Financials'!C177*365/((('Restated Financials'!C3+'Restated Financials'!C4+'Restated Financials'!C5))*12/Sheet1!C19)),0,('Restated Financials'!C177*365/((('Restated Financials'!C3+'Restated Financials'!C4+'Restated Financials'!C5))*12/Sheet1!C19))),2)</f>
        <v>21.9</v>
      </c>
      <c r="D29" s="252">
        <f>ROUND(IF(ISERROR('Restated Financials'!D177*365/((('Restated Financials'!D3+'Restated Financials'!D4+'Restated Financials'!D5))*12/Sheet1!D19)),0,('Restated Financials'!D177*365/((('Restated Financials'!D3+'Restated Financials'!D4+'Restated Financials'!D5))*12/Sheet1!D19))),2)</f>
        <v>33.58</v>
      </c>
      <c r="E29" s="252">
        <f>ROUND(IF(ISERROR('Restated Financials'!E177*365/((('Restated Financials'!E3+'Restated Financials'!E4+'Restated Financials'!E5))*12/Sheet1!E19)),0,('Restated Financials'!E177*365/((('Restated Financials'!E3+'Restated Financials'!E4+'Restated Financials'!E5))*12/Sheet1!E19))),2)</f>
        <v>0</v>
      </c>
      <c r="F29" s="252">
        <f>ROUND(IF(ISERROR('Restated Financials'!F177*365/((('Restated Financials'!F3+'Restated Financials'!F4+'Restated Financials'!F5))*12/Sheet1!F19)),0,('Restated Financials'!F177*365/((('Restated Financials'!F3+'Restated Financials'!F4+'Restated Financials'!F5))*12/Sheet1!F19))),2)</f>
        <v>0</v>
      </c>
      <c r="G29" s="253">
        <f>ROUND(IF(ISERROR('Restated Financials'!G177*365/((('Restated Financials'!G3+'Restated Financials'!G4+'Restated Financials'!G5))*12/Sheet1!G19)),0,('Restated Financials'!G177*365/((('Restated Financials'!G3+'Restated Financials'!G4+'Restated Financials'!G5))*12/Sheet1!G19))),2)</f>
        <v>39.46</v>
      </c>
      <c r="H29" s="246"/>
    </row>
    <row r="30" spans="1:8" x14ac:dyDescent="0.2">
      <c r="A30" s="221"/>
      <c r="B30" s="251" t="s">
        <v>312</v>
      </c>
      <c r="C30" s="252">
        <f>ROUND(IF(ISERROR('Restated Financials'!C129*365/(('Restated Financials'!C12+'Restated Financials'!C21)*12/Sheet1!C19)),0,('Restated Financials'!C129*365/(('Restated Financials'!C12+'Restated Financials'!C21)*12/Sheet1!C19))),2)</f>
        <v>173.13</v>
      </c>
      <c r="D30" s="252">
        <f>ROUND(IF(ISERROR('Restated Financials'!D129*365/(('Restated Financials'!D12+'Restated Financials'!D21)*12/Sheet1!D19)),0,('Restated Financials'!D129*365/(('Restated Financials'!D12+'Restated Financials'!D21)*12/Sheet1!D19))),2)</f>
        <v>360.78</v>
      </c>
      <c r="E30" s="252">
        <f>ROUND(IF(ISERROR('Restated Financials'!E129*365/(('Restated Financials'!E12+'Restated Financials'!E21)*12/Sheet1!E19)),0,('Restated Financials'!E129*365/(('Restated Financials'!E12+'Restated Financials'!E21)*12/Sheet1!E19))),2)</f>
        <v>0</v>
      </c>
      <c r="F30" s="252">
        <f>ROUND(IF(ISERROR('Restated Financials'!F129*365/(('Restated Financials'!F12+'Restated Financials'!F21)*12/Sheet1!F19)),0,('Restated Financials'!F129*365/(('Restated Financials'!F12+'Restated Financials'!F21)*12/Sheet1!F19))),2)</f>
        <v>0</v>
      </c>
      <c r="G30" s="253">
        <f>ROUND(IF(ISERROR('Restated Financials'!G129*365/(('Restated Financials'!G12+'Restated Financials'!G21)*12/Sheet1!G19)),0,('Restated Financials'!G129*365/(('Restated Financials'!G12+'Restated Financials'!G21)*12/Sheet1!G19))),2)</f>
        <v>599.72</v>
      </c>
      <c r="H30" s="246"/>
    </row>
    <row r="31" spans="1:8" x14ac:dyDescent="0.2">
      <c r="A31" s="221"/>
      <c r="B31" s="251" t="s">
        <v>313</v>
      </c>
      <c r="C31" s="252">
        <f>ROUND(IF(ISERROR(C5/C43),0,(C5/C43)),2)</f>
        <v>-10</v>
      </c>
      <c r="D31" s="252">
        <f>ROUND(IF(ISERROR(D5/D43),0,(D5/D43)),2)</f>
        <v>-1.57</v>
      </c>
      <c r="E31" s="252">
        <f>ROUND(IF(ISERROR(E5/E43),0,(E5/E43)),2)</f>
        <v>-1.03</v>
      </c>
      <c r="F31" s="252">
        <f>ROUND(IF(ISERROR(F5/F43),0,(F5/F43)),2)</f>
        <v>-1.08</v>
      </c>
      <c r="G31" s="253">
        <f>ROUND(IF(ISERROR(G5/G43),0,(G5/G43)),2)</f>
        <v>-0.39</v>
      </c>
      <c r="H31" s="246"/>
    </row>
    <row r="32" spans="1:8" x14ac:dyDescent="0.2">
      <c r="A32" s="221"/>
      <c r="B32" s="251" t="s">
        <v>314</v>
      </c>
      <c r="C32" s="252">
        <f>ROUND(IF(ISERROR(C5/'Restated Financials'!C154),0,(C5/'Restated Financials'!C154)),2)</f>
        <v>1.25</v>
      </c>
      <c r="D32" s="252">
        <f>ROUND(IF(ISERROR(D5/'Restated Financials'!D154),0,(D5/'Restated Financials'!D154)),2)</f>
        <v>0.5</v>
      </c>
      <c r="E32" s="252">
        <f>ROUND(IF(ISERROR(E5/'Restated Financials'!E154),0,(E5/'Restated Financials'!E154)),2)</f>
        <v>0.33</v>
      </c>
      <c r="F32" s="252">
        <f>ROUND(IF(ISERROR(F5/'Restated Financials'!F154),0,(F5/'Restated Financials'!F154)),2)</f>
        <v>0.23</v>
      </c>
      <c r="G32" s="253">
        <f>ROUND(IF(ISERROR(G5/'Restated Financials'!G154),0,(G5/'Restated Financials'!G154)),2)</f>
        <v>0.14000000000000001</v>
      </c>
      <c r="H32" s="246"/>
    </row>
    <row r="33" spans="1:8" x14ac:dyDescent="0.2">
      <c r="A33" s="221"/>
      <c r="B33" s="251" t="s">
        <v>315</v>
      </c>
      <c r="C33" s="252">
        <f>ROUND(IF(ISERROR(C5/'Restated Financials'!C200),0,(C5/'Restated Financials'!C200)),2)</f>
        <v>0.41</v>
      </c>
      <c r="D33" s="252">
        <f>ROUND(IF(ISERROR(D5/'Restated Financials'!D200),0,(D5/'Restated Financials'!D200)),2)</f>
        <v>0.25</v>
      </c>
      <c r="E33" s="252">
        <f>ROUND(IF(ISERROR(E5/'Restated Financials'!E200),0,(E5/'Restated Financials'!E200)),2)</f>
        <v>0.25</v>
      </c>
      <c r="F33" s="252">
        <f>ROUND(IF(ISERROR(F5/'Restated Financials'!F200),0,(F5/'Restated Financials'!F200)),2)</f>
        <v>0.2</v>
      </c>
      <c r="G33" s="253">
        <f>ROUND(IF(ISERROR(G5/'Restated Financials'!G200),0,(G5/'Restated Financials'!G200)),2)</f>
        <v>0.11</v>
      </c>
      <c r="H33" s="246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316</v>
      </c>
      <c r="C35" s="299"/>
      <c r="D35" s="299"/>
      <c r="E35" s="299"/>
      <c r="F35" s="299"/>
      <c r="G35" s="300"/>
      <c r="H35" s="246"/>
    </row>
    <row r="36" spans="1:8" x14ac:dyDescent="0.2">
      <c r="A36" s="221"/>
      <c r="B36" s="251" t="s">
        <v>317</v>
      </c>
      <c r="C36" s="252">
        <f>ROUND(IF(ISERROR(C11/(('Restated Financials'!C42)*12/Sheet1!C19)),0,(C11/(('Restated Financials'!C42)*12/Sheet1!C19))),2)</f>
        <v>-378</v>
      </c>
      <c r="D36" s="252">
        <f>ROUND(IF(ISERROR(D11/(('Restated Financials'!D42)*12/Sheet1!D19)),0,(D11/(('Restated Financials'!D42)*12/Sheet1!D19))),2)</f>
        <v>-73.58</v>
      </c>
      <c r="E36" s="252">
        <f>ROUND(IF(ISERROR(E11/(('Restated Financials'!E42)*12/Sheet1!E19)),0,(E11/(('Restated Financials'!E42)*12/Sheet1!E19))),2)</f>
        <v>-169.58</v>
      </c>
      <c r="F36" s="252">
        <f>ROUND(IF(ISERROR(F11/(('Restated Financials'!F42)*12/Sheet1!F19)),0,(F11/(('Restated Financials'!F42)*12/Sheet1!F19))),2)</f>
        <v>-222</v>
      </c>
      <c r="G36" s="253">
        <f>ROUND(IF(ISERROR(G11/(('Restated Financials'!G42)*12/Sheet1!G19)),0,(G11/(('Restated Financials'!G42)*12/Sheet1!G19))),2)</f>
        <v>-164.62</v>
      </c>
      <c r="H36" s="246"/>
    </row>
    <row r="37" spans="1:8" x14ac:dyDescent="0.2">
      <c r="A37" s="221"/>
      <c r="B37" s="251" t="s">
        <v>318</v>
      </c>
      <c r="C37" s="252">
        <f>ROUND(IF(ISERROR('Restated Financials'!C71/'Restated Financials'!C73),0,('Restated Financials'!C71/'Restated Financials'!C73)),2)</f>
        <v>0</v>
      </c>
      <c r="D37" s="252">
        <f>ROUND(IF(ISERROR('Restated Financials'!D71/'Restated Financials'!D73),0,('Restated Financials'!D71/'Restated Financials'!D73)),2)</f>
        <v>0</v>
      </c>
      <c r="E37" s="252">
        <f>ROUND(IF(ISERROR('Restated Financials'!E71/'Restated Financials'!E73),0,('Restated Financials'!E71/'Restated Financials'!E73)),2)</f>
        <v>0</v>
      </c>
      <c r="F37" s="252">
        <f>ROUND(IF(ISERROR('Restated Financials'!F71/'Restated Financials'!F73),0,('Restated Financials'!F71/'Restated Financials'!F73)),2)</f>
        <v>0</v>
      </c>
      <c r="G37" s="253">
        <f>ROUND(IF(ISERROR('Restated Financials'!G71/'Restated Financials'!G73),0,('Restated Financials'!G71/'Restated Financials'!G73)),2)</f>
        <v>0</v>
      </c>
      <c r="H37" s="246"/>
    </row>
    <row r="38" spans="1:8" ht="13.5" thickBot="1" x14ac:dyDescent="0.25">
      <c r="A38" s="254"/>
      <c r="B38" s="255" t="s">
        <v>319</v>
      </c>
      <c r="C38" s="301">
        <f>ROUND(IF(ISERROR((C13+('Restated Financials'!C42*12/Sheet1!C19))/('Restated Financials'!C115+('Restated Financials'!C42*12/Sheet1!C19))),0,((C13+('Restated Financials'!C42*12/Sheet1!C19))/('Restated Financials'!C115+('Restated Financials'!C42*12/Sheet1!C19)))),2)</f>
        <v>-415.5</v>
      </c>
      <c r="D38" s="301">
        <f>ROUND(IF(ISERROR((D13+('Restated Financials'!D42*12/Sheet1!D19))/('Restated Financials'!D115+('Restated Financials'!D42*12/Sheet1!D19))),0,((D13+('Restated Financials'!D42*12/Sheet1!D19))/('Restated Financials'!D115+('Restated Financials'!D42*12/Sheet1!D19)))),2)</f>
        <v>-79.84</v>
      </c>
      <c r="E38" s="301">
        <f>ROUND(IF(ISERROR((E13+('Restated Financials'!E42*12/Sheet1!E19))/('Restated Financials'!E115+('Restated Financials'!E42*12/Sheet1!E19))),0,((E13+('Restated Financials'!E42*12/Sheet1!E19))/('Restated Financials'!E115+('Restated Financials'!E42*12/Sheet1!E19)))),2)</f>
        <v>-8.36</v>
      </c>
      <c r="F38" s="301">
        <f>ROUND(IF(ISERROR((F13+('Restated Financials'!F42*12/Sheet1!F19))/('Restated Financials'!F115+('Restated Financials'!F42*12/Sheet1!F19))),0,((F13+('Restated Financials'!F42*12/Sheet1!F19))/('Restated Financials'!F115+('Restated Financials'!F42*12/Sheet1!F19)))),2)</f>
        <v>-17.12</v>
      </c>
      <c r="G38" s="302">
        <f>ROUND(IF(ISERROR((G13+('Restated Financials'!G42*12/Sheet1!G19))/('Restated Financials'!G115+('Restated Financials'!G42*12/Sheet1!G19))),0,((G13+('Restated Financials'!G42*12/Sheet1!G19))/('Restated Financials'!G115+('Restated Financials'!G42*12/Sheet1!G19)))),2)</f>
        <v>-3.66</v>
      </c>
      <c r="H38" s="246"/>
    </row>
    <row r="39" spans="1:8" ht="13.5" thickBot="1" x14ac:dyDescent="0.25">
      <c r="A39" s="240"/>
      <c r="B39" s="244"/>
      <c r="C39" s="245"/>
      <c r="D39" s="245"/>
      <c r="E39" s="245"/>
      <c r="F39" s="245"/>
      <c r="G39" s="245"/>
      <c r="H39" s="246"/>
    </row>
    <row r="40" spans="1:8" ht="19.5" thickBot="1" x14ac:dyDescent="0.25">
      <c r="A40" s="213"/>
      <c r="B40" s="297" t="s">
        <v>731</v>
      </c>
      <c r="C40" s="214"/>
      <c r="D40" s="214"/>
      <c r="E40" s="214"/>
      <c r="F40" s="214"/>
      <c r="G40" s="214"/>
      <c r="H40" s="246"/>
    </row>
    <row r="41" spans="1:8" x14ac:dyDescent="0.2">
      <c r="A41" s="215"/>
      <c r="B41" s="250" t="s">
        <v>320</v>
      </c>
      <c r="C41" s="256"/>
      <c r="D41" s="256"/>
      <c r="E41" s="256"/>
      <c r="F41" s="256"/>
      <c r="G41" s="257"/>
      <c r="H41" s="246"/>
    </row>
    <row r="42" spans="1:8" x14ac:dyDescent="0.2">
      <c r="A42" s="219"/>
      <c r="B42" s="251" t="s">
        <v>509</v>
      </c>
      <c r="C42" s="252">
        <f>ROUND(IF(ISERROR('Restated Financials'!C142/C47),0,('Restated Financials'!C142/C47)),2)</f>
        <v>3.34</v>
      </c>
      <c r="D42" s="252">
        <f>ROUND(IF(ISERROR('Restated Financials'!D142/D47),0,('Restated Financials'!D142/D47)),2)</f>
        <v>2.44</v>
      </c>
      <c r="E42" s="252">
        <f>ROUND(IF(ISERROR('Restated Financials'!E142/E47),0,('Restated Financials'!E142/E47)),2)</f>
        <v>1.45</v>
      </c>
      <c r="F42" s="252">
        <f>ROUND(IF(ISERROR('Restated Financials'!F142/F47),0,('Restated Financials'!F142/F47)),2)</f>
        <v>1.05</v>
      </c>
      <c r="G42" s="253">
        <f>ROUND(IF(ISERROR('Restated Financials'!G142/G47),0,('Restated Financials'!G142/G47)),2)</f>
        <v>1.55</v>
      </c>
      <c r="H42" s="246"/>
    </row>
    <row r="43" spans="1:8" x14ac:dyDescent="0.2">
      <c r="A43" s="221"/>
      <c r="B43" s="251" t="s">
        <v>321</v>
      </c>
      <c r="C43" s="252">
        <f>ROUND('Restated Financials'!C187-'Restated Financials'!C138,2)</f>
        <v>-25</v>
      </c>
      <c r="D43" s="252">
        <f>ROUND('Restated Financials'!D187-'Restated Financials'!D138,2)</f>
        <v>-159</v>
      </c>
      <c r="E43" s="252">
        <f>ROUND('Restated Financials'!E187-'Restated Financials'!E138,2)</f>
        <v>-242</v>
      </c>
      <c r="F43" s="252">
        <f>ROUND('Restated Financials'!F187-'Restated Financials'!F138,2)</f>
        <v>-233</v>
      </c>
      <c r="G43" s="253">
        <f>ROUND('Restated Financials'!G187-'Restated Financials'!G138,2)</f>
        <v>-656.15</v>
      </c>
      <c r="H43" s="246"/>
    </row>
    <row r="44" spans="1:8" x14ac:dyDescent="0.2">
      <c r="A44" s="221"/>
      <c r="B44" s="251" t="s">
        <v>322</v>
      </c>
      <c r="C44" s="252">
        <f>ROUND('Restated Financials'!C187-'Restated Financials'!C140,2)</f>
        <v>-237</v>
      </c>
      <c r="D44" s="252">
        <f>ROUND('Restated Financials'!D187-'Restated Financials'!D140,2)</f>
        <v>-367</v>
      </c>
      <c r="E44" s="252">
        <f>ROUND('Restated Financials'!E187-'Restated Financials'!E140,2)</f>
        <v>-468</v>
      </c>
      <c r="F44" s="252">
        <f>ROUND('Restated Financials'!F187-'Restated Financials'!F140,2)</f>
        <v>-541</v>
      </c>
      <c r="G44" s="253">
        <f>ROUND('Restated Financials'!G187-'Restated Financials'!G140,2)</f>
        <v>-814.35</v>
      </c>
      <c r="H44" s="246"/>
    </row>
    <row r="45" spans="1:8" x14ac:dyDescent="0.2">
      <c r="A45" s="221"/>
      <c r="B45" s="251" t="s">
        <v>323</v>
      </c>
      <c r="C45" s="252">
        <f>ROUND(IF(ISERROR('Restated Financials'!C187/'Restated Financials'!C140),2,('Restated Financials'!C187/'Restated Financials'!C140)),2)</f>
        <v>0.43</v>
      </c>
      <c r="D45" s="252">
        <f>ROUND(IF(ISERROR('Restated Financials'!D187/'Restated Financials'!D140),2,('Restated Financials'!D187/'Restated Financials'!D140)),2)</f>
        <v>0.36</v>
      </c>
      <c r="E45" s="252">
        <f>ROUND(IF(ISERROR('Restated Financials'!E187/'Restated Financials'!E140),2,('Restated Financials'!E187/'Restated Financials'!E140)),2)</f>
        <v>0.18</v>
      </c>
      <c r="F45" s="252">
        <f>ROUND(IF(ISERROR('Restated Financials'!F187/'Restated Financials'!F140),2,('Restated Financials'!F187/'Restated Financials'!F140)),2)</f>
        <v>0.14000000000000001</v>
      </c>
      <c r="G45" s="253">
        <f>ROUND(IF(ISERROR('Restated Financials'!G187/'Restated Financials'!G140),2,('Restated Financials'!G187/'Restated Financials'!G140)),2)</f>
        <v>0.26</v>
      </c>
      <c r="H45" s="246"/>
    </row>
    <row r="46" spans="1:8" x14ac:dyDescent="0.2">
      <c r="A46" s="221"/>
      <c r="B46" s="251" t="s">
        <v>324</v>
      </c>
      <c r="C46" s="252">
        <f>ROUND(IF(ISERROR(('Restated Financials'!C187-'Restated Financials'!C170)/'Restated Financials'!C140),0,(('Restated Financials'!C187-'Restated Financials'!C170)/'Restated Financials'!C140)),2)</f>
        <v>0.25</v>
      </c>
      <c r="D46" s="252">
        <f>ROUND(IF(ISERROR(('Restated Financials'!D187-'Restated Financials'!D170)/'Restated Financials'!D140),0,(('Restated Financials'!D187-'Restated Financials'!D170)/'Restated Financials'!D140)),2)</f>
        <v>0.18</v>
      </c>
      <c r="E46" s="252">
        <f>ROUND(IF(ISERROR(('Restated Financials'!E187-'Restated Financials'!E170)/'Restated Financials'!E140),0,(('Restated Financials'!E187-'Restated Financials'!E170)/'Restated Financials'!E140)),2)</f>
        <v>0.18</v>
      </c>
      <c r="F46" s="252">
        <f>ROUND(IF(ISERROR(('Restated Financials'!F187-'Restated Financials'!F170)/'Restated Financials'!F140),0,(('Restated Financials'!F187-'Restated Financials'!F170)/'Restated Financials'!F140)),2)</f>
        <v>0.14000000000000001</v>
      </c>
      <c r="G46" s="253">
        <f>ROUND(IF(ISERROR(('Restated Financials'!G187-'Restated Financials'!G170)/'Restated Financials'!G140),0,(('Restated Financials'!G187-'Restated Financials'!G170)/'Restated Financials'!G140)),2)</f>
        <v>0.09</v>
      </c>
      <c r="H46" s="246"/>
    </row>
    <row r="47" spans="1:8" x14ac:dyDescent="0.2">
      <c r="A47" s="221"/>
      <c r="B47" s="251" t="s">
        <v>325</v>
      </c>
      <c r="C47" s="252">
        <f>'Restated Financials'!C93</f>
        <v>141</v>
      </c>
      <c r="D47" s="252">
        <f>'Restated Financials'!D93</f>
        <v>292</v>
      </c>
      <c r="E47" s="252">
        <f>'Restated Financials'!E93</f>
        <v>413</v>
      </c>
      <c r="F47" s="252">
        <f>'Restated Financials'!F93</f>
        <v>602</v>
      </c>
      <c r="G47" s="253">
        <f>'Restated Financials'!G93</f>
        <v>900.14</v>
      </c>
      <c r="H47" s="246"/>
    </row>
    <row r="48" spans="1:8" x14ac:dyDescent="0.2">
      <c r="A48" s="221"/>
      <c r="B48" s="251" t="s">
        <v>326</v>
      </c>
      <c r="C48" s="252">
        <f>ROUND('Restated Financials'!C93-'Restated Financials'!C190-'Restated Financials'!C192,2)</f>
        <v>141</v>
      </c>
      <c r="D48" s="252">
        <f>ROUND('Restated Financials'!D93-'Restated Financials'!D190-'Restated Financials'!D192,2)</f>
        <v>292</v>
      </c>
      <c r="E48" s="252">
        <f>ROUND('Restated Financials'!E93-'Restated Financials'!E190-'Restated Financials'!E192,2)</f>
        <v>413</v>
      </c>
      <c r="F48" s="252">
        <f>ROUND('Restated Financials'!F93-'Restated Financials'!F190-'Restated Financials'!F192,2)</f>
        <v>602</v>
      </c>
      <c r="G48" s="253">
        <f>ROUND('Restated Financials'!G93-'Restated Financials'!G190-'Restated Financials'!G192,2)</f>
        <v>900.14</v>
      </c>
      <c r="H48" s="246"/>
    </row>
    <row r="49" spans="1:8" x14ac:dyDescent="0.2">
      <c r="A49" s="221"/>
      <c r="B49" s="251" t="s">
        <v>327</v>
      </c>
      <c r="C49" s="252">
        <f>'Restated Financials'!C126</f>
        <v>265</v>
      </c>
      <c r="D49" s="252">
        <f>'Restated Financials'!D126</f>
        <v>338</v>
      </c>
      <c r="E49" s="252">
        <f>'Restated Financials'!E126</f>
        <v>242</v>
      </c>
      <c r="F49" s="252">
        <f>'Restated Financials'!F126</f>
        <v>310</v>
      </c>
      <c r="G49" s="253">
        <f>'Restated Financials'!G126</f>
        <v>448.66</v>
      </c>
      <c r="H49" s="246"/>
    </row>
    <row r="50" spans="1:8" x14ac:dyDescent="0.2">
      <c r="A50" s="221"/>
      <c r="B50" s="251" t="s">
        <v>328</v>
      </c>
      <c r="C50" s="252">
        <f>ROUND(IF(ISERROR('Restated Financials'!C109/C47),0,('Restated Financials'!C109/C47)),2)</f>
        <v>0.38</v>
      </c>
      <c r="D50" s="252">
        <f>ROUND(IF(ISERROR('Restated Financials'!D109/D47),0,('Restated Financials'!D109/D47)),2)</f>
        <v>0.45</v>
      </c>
      <c r="E50" s="252">
        <f>ROUND(IF(ISERROR('Restated Financials'!E109/E47),0,('Restated Financials'!E109/E47)),2)</f>
        <v>0.04</v>
      </c>
      <c r="F50" s="252">
        <f>ROUND(IF(ISERROR('Restated Financials'!F109/F47),0,('Restated Financials'!F109/F47)),2)</f>
        <v>0</v>
      </c>
      <c r="G50" s="253">
        <f>ROUND(IF(ISERROR('Restated Financials'!G109/G47),0,('Restated Financials'!G109/G47)),2)</f>
        <v>0.32</v>
      </c>
      <c r="H50" s="246"/>
    </row>
    <row r="51" spans="1:8" x14ac:dyDescent="0.2">
      <c r="A51" s="221"/>
      <c r="B51" s="251" t="s">
        <v>329</v>
      </c>
      <c r="C51" s="252">
        <f>ROUND(IF(ISERROR(C49/C47),0,(C49/C47)),2)</f>
        <v>1.88</v>
      </c>
      <c r="D51" s="252">
        <f>ROUND(IF(ISERROR(D49/D47),0,(D49/D47)),2)</f>
        <v>1.1599999999999999</v>
      </c>
      <c r="E51" s="252">
        <f>ROUND(IF(ISERROR(E49/E47),0,(E49/E47)),2)</f>
        <v>0.59</v>
      </c>
      <c r="F51" s="252">
        <f>ROUND(IF(ISERROR(F49/F47),0,(F49/F47)),2)</f>
        <v>0.51</v>
      </c>
      <c r="G51" s="253">
        <f>ROUND(IF(ISERROR(G49/G47),0,(G49/G47)),2)</f>
        <v>0.5</v>
      </c>
      <c r="H51" s="246"/>
    </row>
    <row r="52" spans="1:8" x14ac:dyDescent="0.2">
      <c r="A52" s="235"/>
      <c r="B52" s="251" t="s">
        <v>330</v>
      </c>
      <c r="C52" s="252">
        <f>ROUND(IF(ISERROR(('Restated Financials'!C142-'Restated Financials'!C95)/C47),0,(('Restated Financials'!C142-'Restated Financials'!C95)/C47)),2)</f>
        <v>3.3</v>
      </c>
      <c r="D52" s="252">
        <f>ROUND(IF(ISERROR(('Restated Financials'!D142-'Restated Financials'!D95)/D47),0,(('Restated Financials'!D142-'Restated Financials'!D95)/D47)),2)</f>
        <v>2.41</v>
      </c>
      <c r="E52" s="252">
        <f>ROUND(IF(ISERROR(('Restated Financials'!E142-'Restated Financials'!E95)/E47),0,(('Restated Financials'!E142-'Restated Financials'!E95)/E47)),2)</f>
        <v>1.41</v>
      </c>
      <c r="F52" s="252">
        <f>ROUND(IF(ISERROR(('Restated Financials'!F142-'Restated Financials'!F95)/F47),0,(('Restated Financials'!F142-'Restated Financials'!F95)/F47)),2)</f>
        <v>1.05</v>
      </c>
      <c r="G52" s="253">
        <f>ROUND(IF(ISERROR(('Restated Financials'!G142-'Restated Financials'!G95)/G47),0,(('Restated Financials'!G142-'Restated Financials'!G95)/G47)),2)</f>
        <v>1.55</v>
      </c>
      <c r="H52" s="246"/>
    </row>
    <row r="53" spans="1:8" x14ac:dyDescent="0.2">
      <c r="A53" s="234"/>
      <c r="B53" s="251" t="s">
        <v>331</v>
      </c>
      <c r="C53" s="252">
        <f>ROUND(IF(ISERROR('Restated Financials'!C142/C48),0,('Restated Financials'!C142/C48)),2)</f>
        <v>3.34</v>
      </c>
      <c r="D53" s="252">
        <f>ROUND(IF(ISERROR('Restated Financials'!D142/D48),0,('Restated Financials'!D142/D48)),2)</f>
        <v>2.44</v>
      </c>
      <c r="E53" s="252">
        <f>ROUND(IF(ISERROR('Restated Financials'!E142/E48),0,('Restated Financials'!E142/E48)),2)</f>
        <v>1.45</v>
      </c>
      <c r="F53" s="252">
        <f>ROUND(IF(ISERROR('Restated Financials'!F142/F48),0,('Restated Financials'!F142/F48)),2)</f>
        <v>1.05</v>
      </c>
      <c r="G53" s="253">
        <f>ROUND(IF(ISERROR('Restated Financials'!G142/G48),0,('Restated Financials'!G142/G48)),2)</f>
        <v>1.55</v>
      </c>
      <c r="H53" s="246"/>
    </row>
    <row r="54" spans="1:8" x14ac:dyDescent="0.2">
      <c r="A54" s="234"/>
      <c r="B54" s="251" t="s">
        <v>97</v>
      </c>
      <c r="C54" s="252">
        <f>'Restated Financials'!C159</f>
        <v>189</v>
      </c>
      <c r="D54" s="252">
        <f>'Restated Financials'!D159</f>
        <v>456</v>
      </c>
      <c r="E54" s="252">
        <f>'Restated Financials'!E159</f>
        <v>642</v>
      </c>
      <c r="F54" s="252">
        <f>'Restated Financials'!F159</f>
        <v>914</v>
      </c>
      <c r="G54" s="253">
        <f>'Restated Financials'!G159</f>
        <v>1408.18</v>
      </c>
      <c r="H54" s="246"/>
    </row>
    <row r="55" spans="1:8" x14ac:dyDescent="0.2">
      <c r="A55" s="235"/>
      <c r="B55" s="251" t="s">
        <v>506</v>
      </c>
      <c r="C55" s="252">
        <f>'Restated Financials'!C93-'Restated Financials'!C161</f>
        <v>141</v>
      </c>
      <c r="D55" s="252">
        <f>'Restated Financials'!D93-'Restated Financials'!D161</f>
        <v>292</v>
      </c>
      <c r="E55" s="252">
        <f>'Restated Financials'!E93-'Restated Financials'!E161</f>
        <v>413</v>
      </c>
      <c r="F55" s="252">
        <f>'Restated Financials'!F93-'Restated Financials'!F161</f>
        <v>602</v>
      </c>
      <c r="G55" s="253">
        <f>'Restated Financials'!G93-'Restated Financials'!G161</f>
        <v>893.18999999999994</v>
      </c>
      <c r="H55" s="246"/>
    </row>
    <row r="56" spans="1:8" x14ac:dyDescent="0.2">
      <c r="A56" s="234"/>
      <c r="B56" s="251" t="s">
        <v>507</v>
      </c>
      <c r="C56" s="252">
        <f>ROUND(IF(ISERROR('Restated Financials'!C142/C55),0,('Restated Financials'!C142/C55)),2)</f>
        <v>3.34</v>
      </c>
      <c r="D56" s="252">
        <f>ROUND(IF(ISERROR('Restated Financials'!D142/D55),0,('Restated Financials'!D142/D55)),2)</f>
        <v>2.44</v>
      </c>
      <c r="E56" s="252">
        <f>ROUND(IF(ISERROR('Restated Financials'!E142/E55),0,('Restated Financials'!E142/E55)),2)</f>
        <v>1.45</v>
      </c>
      <c r="F56" s="252">
        <f>ROUND(IF(ISERROR('Restated Financials'!F142/F55),0,('Restated Financials'!F142/F55)),2)</f>
        <v>1.05</v>
      </c>
      <c r="G56" s="253">
        <f>ROUND(IF(ISERROR('Restated Financials'!G142/G55),0,('Restated Financials'!G142/G55)),2)</f>
        <v>1.56</v>
      </c>
      <c r="H56" s="246"/>
    </row>
    <row r="57" spans="1:8" x14ac:dyDescent="0.2">
      <c r="A57" s="235"/>
      <c r="B57" s="250" t="s">
        <v>332</v>
      </c>
      <c r="C57" s="299"/>
      <c r="D57" s="299"/>
      <c r="E57" s="299"/>
      <c r="F57" s="299"/>
      <c r="G57" s="300"/>
      <c r="H57" s="246"/>
    </row>
    <row r="58" spans="1:8" x14ac:dyDescent="0.2">
      <c r="A58" s="234"/>
      <c r="B58" s="251" t="s">
        <v>333</v>
      </c>
      <c r="C58" s="252">
        <f>Sheet1!C211+Sheet1!C212</f>
        <v>2000</v>
      </c>
      <c r="D58" s="252">
        <f>Sheet1!D211+Sheet1!D212</f>
        <v>2000</v>
      </c>
      <c r="E58" s="252">
        <f>Sheet1!E211+Sheet1!E212</f>
        <v>2000</v>
      </c>
      <c r="F58" s="252">
        <f>Sheet1!F211+Sheet1!F212</f>
        <v>2000</v>
      </c>
      <c r="G58" s="253">
        <f>Sheet1!G211+Sheet1!G212</f>
        <v>2000</v>
      </c>
      <c r="H58" s="246"/>
    </row>
    <row r="59" spans="1:8" x14ac:dyDescent="0.2">
      <c r="A59" s="221"/>
      <c r="B59" s="251" t="s">
        <v>334</v>
      </c>
      <c r="C59" s="252">
        <f>Sheet1!C213</f>
        <v>1000</v>
      </c>
      <c r="D59" s="252">
        <f>Sheet1!D213</f>
        <v>1000</v>
      </c>
      <c r="E59" s="252">
        <f>Sheet1!E213</f>
        <v>1000</v>
      </c>
      <c r="F59" s="252">
        <f>Sheet1!F213</f>
        <v>1000</v>
      </c>
      <c r="G59" s="253">
        <f>Sheet1!G213</f>
        <v>1000</v>
      </c>
      <c r="H59" s="246"/>
    </row>
    <row r="60" spans="1:8" x14ac:dyDescent="0.2">
      <c r="A60" s="221"/>
      <c r="B60" s="251" t="s">
        <v>335</v>
      </c>
      <c r="C60" s="252">
        <f>Sheet1!C214</f>
        <v>1000</v>
      </c>
      <c r="D60" s="252">
        <f>Sheet1!D214</f>
        <v>1000</v>
      </c>
      <c r="E60" s="252">
        <f>Sheet1!E214</f>
        <v>1000</v>
      </c>
      <c r="F60" s="252">
        <f>Sheet1!F214</f>
        <v>1000</v>
      </c>
      <c r="G60" s="253">
        <f>Sheet1!G214</f>
        <v>1000</v>
      </c>
      <c r="H60" s="246"/>
    </row>
    <row r="61" spans="1:8" x14ac:dyDescent="0.2">
      <c r="A61" s="221"/>
      <c r="B61" s="251" t="s">
        <v>336</v>
      </c>
      <c r="C61" s="252">
        <f>Sheet1!C215</f>
        <v>1000</v>
      </c>
      <c r="D61" s="252">
        <f>Sheet1!D215</f>
        <v>1000</v>
      </c>
      <c r="E61" s="252">
        <f>Sheet1!E215</f>
        <v>1000</v>
      </c>
      <c r="F61" s="252">
        <f>Sheet1!F215</f>
        <v>1000</v>
      </c>
      <c r="G61" s="253">
        <f>Sheet1!G215</f>
        <v>1000</v>
      </c>
      <c r="H61" s="246"/>
    </row>
    <row r="62" spans="1:8" x14ac:dyDescent="0.2">
      <c r="A62" s="221"/>
      <c r="B62" s="251" t="s">
        <v>337</v>
      </c>
      <c r="C62" s="252">
        <f>Sheet1!C217</f>
        <v>1000</v>
      </c>
      <c r="D62" s="252">
        <f>Sheet1!D217</f>
        <v>1000</v>
      </c>
      <c r="E62" s="252">
        <f>Sheet1!E217</f>
        <v>1000</v>
      </c>
      <c r="F62" s="252">
        <f>Sheet1!F217</f>
        <v>1000</v>
      </c>
      <c r="G62" s="253">
        <f>Sheet1!G217</f>
        <v>1000</v>
      </c>
      <c r="H62" s="246"/>
    </row>
    <row r="63" spans="1:8" x14ac:dyDescent="0.2">
      <c r="A63" s="221"/>
      <c r="B63" s="251" t="s">
        <v>338</v>
      </c>
      <c r="C63" s="252"/>
      <c r="D63" s="252"/>
      <c r="E63" s="252"/>
      <c r="F63" s="252"/>
      <c r="G63" s="253"/>
      <c r="H63" s="246"/>
    </row>
    <row r="64" spans="1:8" x14ac:dyDescent="0.2">
      <c r="A64" s="221"/>
      <c r="B64" s="251" t="s">
        <v>339</v>
      </c>
      <c r="C64" s="252">
        <f>'Restated Financials'!C192</f>
        <v>0</v>
      </c>
      <c r="D64" s="252">
        <f>'Restated Financials'!D192</f>
        <v>0</v>
      </c>
      <c r="E64" s="252">
        <f>'Restated Financials'!E192</f>
        <v>0</v>
      </c>
      <c r="F64" s="252">
        <f>'Restated Financials'!F192</f>
        <v>0</v>
      </c>
      <c r="G64" s="253">
        <f>'Restated Financials'!G192</f>
        <v>0</v>
      </c>
      <c r="H64" s="246"/>
    </row>
    <row r="65" spans="1:8" x14ac:dyDescent="0.2">
      <c r="A65" s="221"/>
      <c r="B65" s="251" t="s">
        <v>340</v>
      </c>
      <c r="C65" s="252">
        <f>'Restated Financials'!C133</f>
        <v>0</v>
      </c>
      <c r="D65" s="252">
        <f>'Restated Financials'!D133</f>
        <v>0</v>
      </c>
      <c r="E65" s="252">
        <f>'Restated Financials'!E133</f>
        <v>0</v>
      </c>
      <c r="F65" s="252">
        <f>'Restated Financials'!F133</f>
        <v>0</v>
      </c>
      <c r="G65" s="253">
        <f>'Restated Financials'!G133</f>
        <v>0</v>
      </c>
      <c r="H65" s="246"/>
    </row>
    <row r="66" spans="1:8" x14ac:dyDescent="0.2">
      <c r="A66" s="221"/>
      <c r="B66" s="251" t="s">
        <v>341</v>
      </c>
      <c r="C66" s="252">
        <f>'Restated Financials'!C190</f>
        <v>0</v>
      </c>
      <c r="D66" s="252">
        <f>'Restated Financials'!D190</f>
        <v>0</v>
      </c>
      <c r="E66" s="252">
        <f>'Restated Financials'!E190</f>
        <v>0</v>
      </c>
      <c r="F66" s="252">
        <f>'Restated Financials'!F190</f>
        <v>0</v>
      </c>
      <c r="G66" s="253">
        <f>'Restated Financials'!G190</f>
        <v>0</v>
      </c>
      <c r="H66" s="246"/>
    </row>
    <row r="67" spans="1:8" x14ac:dyDescent="0.2">
      <c r="A67" s="221"/>
      <c r="B67" s="251" t="s">
        <v>514</v>
      </c>
      <c r="C67" s="252">
        <f>ROUND(IF(ISERROR(C49/C47),0,C49/C47),2)</f>
        <v>1.88</v>
      </c>
      <c r="D67" s="252">
        <f>ROUND(IF(ISERROR(D49/D47),0,D49/D47),2)</f>
        <v>1.1599999999999999</v>
      </c>
      <c r="E67" s="252">
        <f>ROUND(IF(ISERROR(E49/E47),0,E49/E47),2)</f>
        <v>0.59</v>
      </c>
      <c r="F67" s="252">
        <f>ROUND(IF(ISERROR(F49/F47),0,F49/F47),2)</f>
        <v>0.51</v>
      </c>
      <c r="G67" s="253">
        <f>ROUND(IF(ISERROR(G49/G47),0,G49/G47),2)</f>
        <v>0.5</v>
      </c>
      <c r="H67" s="246"/>
    </row>
    <row r="68" spans="1:8" x14ac:dyDescent="0.2">
      <c r="A68" s="221"/>
      <c r="B68" s="250" t="s">
        <v>342</v>
      </c>
      <c r="C68" s="299"/>
      <c r="D68" s="299"/>
      <c r="E68" s="299"/>
      <c r="F68" s="299"/>
      <c r="G68" s="300"/>
      <c r="H68" s="246"/>
    </row>
    <row r="69" spans="1:8" x14ac:dyDescent="0.2">
      <c r="A69" s="221"/>
      <c r="B69" s="251" t="s">
        <v>343</v>
      </c>
      <c r="C69" s="252">
        <f>ROUND(IF(ISERROR(('Restated Financials'!C71*12/Sheet1!C19)/('Restated Financials'!C81/Sheet1!C229)),0,(('Restated Financials'!C71*12/Sheet1!C19)/('Restated Financials'!C81/Sheet1!C229))),2)</f>
        <v>-84500</v>
      </c>
      <c r="D69" s="252">
        <f>ROUND(IF(ISERROR(('Restated Financials'!D71*12/Sheet1!D19)/('Restated Financials'!D81/Sheet1!D229)),0,(('Restated Financials'!D71*12/Sheet1!D19)/('Restated Financials'!D81/Sheet1!D229))),2)</f>
        <v>-158200</v>
      </c>
      <c r="E69" s="252">
        <f>ROUND(IF(ISERROR(('Restated Financials'!E71*12/Sheet1!E19)/('Restated Financials'!E81/Sheet1!E229)),0,(('Restated Financials'!E71*12/Sheet1!E19)/('Restated Financials'!E81/Sheet1!E229))),2)</f>
        <v>-228100</v>
      </c>
      <c r="F69" s="252">
        <f>ROUND(IF(ISERROR(('Restated Financials'!F71*12/Sheet1!F19)/('Restated Financials'!F81/Sheet1!F229)),0,(('Restated Financials'!F71*12/Sheet1!F19)/('Restated Financials'!F81/Sheet1!F229))),2)</f>
        <v>-295000</v>
      </c>
      <c r="G69" s="253">
        <f>ROUND(IF(ISERROR(('Restated Financials'!G71*12/Sheet1!G19)/('Restated Financials'!G81/Sheet1!G229)),0,(('Restated Financials'!G71*12/Sheet1!G19)/('Restated Financials'!G81/Sheet1!G229))),2)</f>
        <v>-349554.46</v>
      </c>
      <c r="H69" s="246"/>
    </row>
    <row r="70" spans="1:8" x14ac:dyDescent="0.2">
      <c r="A70" s="221"/>
      <c r="B70" s="251" t="s">
        <v>344</v>
      </c>
      <c r="C70" s="252">
        <f>ROUND(IF(ISERROR((C13*12/Sheet1!C19)/('Restated Financials'!C81/Sheet1!C229)),0,((C13*12/Sheet1!C19)/('Restated Financials'!C81/Sheet1!C229))),2)</f>
        <v>-83300</v>
      </c>
      <c r="D70" s="252">
        <f>ROUND(IF(ISERROR((D13*12/Sheet1!D19)/('Restated Financials'!D81/Sheet1!D229)),0,((D13*12/Sheet1!D19)/('Restated Financials'!D81/Sheet1!D229))),2)</f>
        <v>-153600</v>
      </c>
      <c r="E70" s="252">
        <f>ROUND(IF(ISERROR((E13*12/Sheet1!E19)/('Restated Financials'!E81/Sheet1!E229)),0,((E13*12/Sheet1!E19)/('Restated Financials'!E81/Sheet1!E229))),2)</f>
        <v>-220300</v>
      </c>
      <c r="F70" s="252">
        <f>ROUND(IF(ISERROR((F13*12/Sheet1!F19)/('Restated Financials'!F81/Sheet1!F229)),0,((F13*12/Sheet1!F19)/('Restated Financials'!F81/Sheet1!F229))),2)</f>
        <v>-278500</v>
      </c>
      <c r="G70" s="253">
        <f>ROUND(IF(ISERROR((G13*12/Sheet1!G19)/('Restated Financials'!G81/Sheet1!G229)),0,((G13*12/Sheet1!G19)/('Restated Financials'!G81/Sheet1!G229))),2)</f>
        <v>-329188.12</v>
      </c>
      <c r="H70" s="246"/>
    </row>
    <row r="71" spans="1:8" x14ac:dyDescent="0.2">
      <c r="A71" s="221"/>
      <c r="B71" s="251" t="s">
        <v>43</v>
      </c>
      <c r="C71" s="252">
        <f>ROUND(IF(ISERROR(('Restated Financials'!C73*12/Sheet1!C19)/('Restated Financials'!C81/Sheet1!C229)),0,(('Restated Financials'!C73*12/Sheet1!C19)/('Restated Financials'!C81/Sheet1!C229))),2)</f>
        <v>0</v>
      </c>
      <c r="D71" s="252">
        <f>ROUND(IF(ISERROR(('Restated Financials'!D73*12/Sheet1!D19)/('Restated Financials'!D81/Sheet1!D229)),0,(('Restated Financials'!D73*12/Sheet1!D19)/('Restated Financials'!D81/Sheet1!D229))),2)</f>
        <v>0</v>
      </c>
      <c r="E71" s="252">
        <f>ROUND(IF(ISERROR(('Restated Financials'!E73*12/Sheet1!E19)/('Restated Financials'!E81/Sheet1!E229)),0,(('Restated Financials'!E73*12/Sheet1!E19)/('Restated Financials'!E81/Sheet1!E229))),2)</f>
        <v>0</v>
      </c>
      <c r="F71" s="252">
        <f>ROUND(IF(ISERROR(('Restated Financials'!F73*12/Sheet1!F19)/('Restated Financials'!F81/Sheet1!F229)),0,(('Restated Financials'!F73*12/Sheet1!F19)/('Restated Financials'!F81/Sheet1!F229))),2)</f>
        <v>0</v>
      </c>
      <c r="G71" s="253">
        <f>ROUND(IF(ISERROR(('Restated Financials'!G73*12/Sheet1!G19)/('Restated Financials'!G81/Sheet1!G229)),0,(('Restated Financials'!G73*12/Sheet1!G19)/('Restated Financials'!G81/Sheet1!G229))),2)</f>
        <v>0</v>
      </c>
      <c r="H71" s="246"/>
    </row>
    <row r="72" spans="1:8" x14ac:dyDescent="0.2">
      <c r="A72" s="221"/>
      <c r="B72" s="251" t="s">
        <v>345</v>
      </c>
      <c r="C72" s="252">
        <f>ROUND(IF(ISERROR('Restated Financials'!C93/('Restated Financials'!C81/Sheet1!C229)),0,('Restated Financials'!C93/('Restated Financials'!C81/Sheet1!C229))),2)</f>
        <v>141000</v>
      </c>
      <c r="D72" s="252">
        <f>ROUND(IF(ISERROR('Restated Financials'!D93/('Restated Financials'!D81/Sheet1!D229)),0,('Restated Financials'!D93/('Restated Financials'!D81/Sheet1!D229))),2)</f>
        <v>292000</v>
      </c>
      <c r="E72" s="252">
        <f>ROUND(IF(ISERROR('Restated Financials'!E93/('Restated Financials'!E81/Sheet1!E229)),0,('Restated Financials'!E93/('Restated Financials'!E81/Sheet1!E229))),2)</f>
        <v>413000</v>
      </c>
      <c r="F72" s="252">
        <f>ROUND(IF(ISERROR('Restated Financials'!F93/('Restated Financials'!F81/Sheet1!F229)),0,('Restated Financials'!F93/('Restated Financials'!F81/Sheet1!F229))),2)</f>
        <v>602000</v>
      </c>
      <c r="G72" s="253">
        <f>ROUND(IF(ISERROR('Restated Financials'!G93/('Restated Financials'!G81/Sheet1!G229)),0,('Restated Financials'!G93/('Restated Financials'!G81/Sheet1!G229))),2)</f>
        <v>891227.72</v>
      </c>
      <c r="H72" s="246"/>
    </row>
    <row r="73" spans="1:8" x14ac:dyDescent="0.2">
      <c r="A73" s="221"/>
      <c r="B73" s="251"/>
      <c r="C73" s="252"/>
      <c r="D73" s="252"/>
      <c r="E73" s="252"/>
      <c r="F73" s="252"/>
      <c r="G73" s="253"/>
      <c r="H73" s="246"/>
    </row>
    <row r="74" spans="1:8" x14ac:dyDescent="0.2">
      <c r="A74" s="221"/>
      <c r="B74" s="250" t="s">
        <v>346</v>
      </c>
      <c r="C74" s="299"/>
      <c r="D74" s="299"/>
      <c r="E74" s="299"/>
      <c r="F74" s="299"/>
      <c r="G74" s="300"/>
      <c r="H74" s="246"/>
    </row>
    <row r="75" spans="1:8" x14ac:dyDescent="0.2">
      <c r="A75" s="221"/>
      <c r="B75" s="251" t="s">
        <v>347</v>
      </c>
      <c r="C75" s="252">
        <f>ROUND(IF(ISERROR(('Restated Financials'!C34*12/Sheet1!C19)/('Restated Financials'!C154-'Restated Financials'!C149)),0,(('Restated Financials'!C34*12/Sheet1!C19)/('Restated Financials'!C154-'Restated Financials'!C149))*100),2)</f>
        <v>0.6</v>
      </c>
      <c r="D75" s="252">
        <f>ROUND(IF(ISERROR(('Restated Financials'!D34*12/Sheet1!D19)/('Restated Financials'!D154-'Restated Financials'!D149)),0,(('Restated Financials'!D34*12/Sheet1!D19)/('Restated Financials'!D154-'Restated Financials'!D149))*100),2)</f>
        <v>0.91</v>
      </c>
      <c r="E75" s="252">
        <f>ROUND(IF(ISERROR(('Restated Financials'!E34*12/Sheet1!E19)/('Restated Financials'!E154-'Restated Financials'!E149)),0,(('Restated Financials'!E34*12/Sheet1!E19)/('Restated Financials'!E154-'Restated Financials'!E149))*100),2)</f>
        <v>1.04</v>
      </c>
      <c r="F75" s="252">
        <f>ROUND(IF(ISERROR(('Restated Financials'!F34*12/Sheet1!F19)/('Restated Financials'!F154-'Restated Financials'!F149)),0,(('Restated Financials'!F34*12/Sheet1!F19)/('Restated Financials'!F154-'Restated Financials'!F149))*100),2)</f>
        <v>1.51</v>
      </c>
      <c r="G75" s="253">
        <f>ROUND(IF(ISERROR(('Restated Financials'!G34*12/Sheet1!G19)/('Restated Financials'!G154-'Restated Financials'!G149)),0,(('Restated Financials'!G34*12/Sheet1!G19)/('Restated Financials'!G154-'Restated Financials'!G149))*100),2)</f>
        <v>1.1200000000000001</v>
      </c>
      <c r="H75" s="246"/>
    </row>
    <row r="76" spans="1:8" x14ac:dyDescent="0.2">
      <c r="A76" s="221"/>
      <c r="B76" s="251" t="s">
        <v>348</v>
      </c>
      <c r="C76" s="252">
        <f>ROUND(IF(ISERROR(('Restated Financials'!C156-'Restated Financials'!C149)/('Restated Financials'!C154-'Restated Financials'!C149)),0,(('Restated Financials'!C156-'Restated Financials'!C149)/('Restated Financials'!C154-'Restated Financials'!C149))*100),2)</f>
        <v>94.5</v>
      </c>
      <c r="D76" s="252">
        <f>ROUND(IF(ISERROR(('Restated Financials'!D156-'Restated Financials'!D149)/('Restated Financials'!D154-'Restated Financials'!D149)),0,(('Restated Financials'!D156-'Restated Financials'!D149)/('Restated Financials'!D154-'Restated Financials'!D149))*100),2)</f>
        <v>88.51</v>
      </c>
      <c r="E76" s="252">
        <f>ROUND(IF(ISERROR(('Restated Financials'!E156-'Restated Financials'!E149)/('Restated Financials'!E154-'Restated Financials'!E149)),0,(('Restated Financials'!E156-'Restated Financials'!E149)/('Restated Financials'!E154-'Restated Financials'!E149))*100),2)</f>
        <v>81.790000000000006</v>
      </c>
      <c r="F76" s="252">
        <f>ROUND(IF(ISERROR(('Restated Financials'!F156-'Restated Financials'!F149)/('Restated Financials'!F154-'Restated Financials'!F149)),0,(('Restated Financials'!F156-'Restated Financials'!F149)/('Restated Financials'!F154-'Restated Financials'!F149))*100),2)</f>
        <v>72.44</v>
      </c>
      <c r="G76" s="253">
        <f>ROUND(IF(ISERROR(('Restated Financials'!G156-'Restated Financials'!G149)/('Restated Financials'!G154-'Restated Financials'!G149)),0,(('Restated Financials'!G156-'Restated Financials'!G149)/('Restated Financials'!G154-'Restated Financials'!G149))*100),2)</f>
        <v>72.849999999999994</v>
      </c>
      <c r="H76" s="246"/>
    </row>
    <row r="77" spans="1:8" x14ac:dyDescent="0.2">
      <c r="A77" s="221"/>
      <c r="B77" s="251" t="s">
        <v>349</v>
      </c>
      <c r="C77" s="252">
        <f>ROUND(IF(ISERROR(('Restated Financials'!C67+'Restated Financials'!C68)/'Restated Financials'!C61),0,(('Restated Financials'!C67+'Restated Financials'!C68)/'Restated Financials'!C61)*100),2)</f>
        <v>-9.74</v>
      </c>
      <c r="D77" s="252">
        <f>ROUND(IF(ISERROR(('Restated Financials'!D67+'Restated Financials'!D68)/'Restated Financials'!D61),0,(('Restated Financials'!D67+'Restated Financials'!D68)/'Restated Financials'!D61)*100),2)</f>
        <v>-8.2799999999999994</v>
      </c>
      <c r="E77" s="252">
        <f>ROUND(IF(ISERROR(('Restated Financials'!E67+'Restated Financials'!E68)/'Restated Financials'!E61),0,(('Restated Financials'!E67+'Restated Financials'!E68)/'Restated Financials'!E61)*100),2)</f>
        <v>-6.59</v>
      </c>
      <c r="F77" s="252">
        <f>ROUND(IF(ISERROR(('Restated Financials'!F67+'Restated Financials'!F68)/'Restated Financials'!F61),0,(('Restated Financials'!F67+'Restated Financials'!F68)/'Restated Financials'!F61)*100),2)</f>
        <v>-3.73</v>
      </c>
      <c r="G77" s="253">
        <f>ROUND(IF(ISERROR(('Restated Financials'!G67+'Restated Financials'!G68)/'Restated Financials'!G61),0,(('Restated Financials'!G67+'Restated Financials'!G68)/'Restated Financials'!G61)*100),2)</f>
        <v>-5.33</v>
      </c>
      <c r="H77" s="246"/>
    </row>
    <row r="78" spans="1:8" x14ac:dyDescent="0.2">
      <c r="A78" s="221"/>
      <c r="B78" s="251" t="s">
        <v>350</v>
      </c>
      <c r="C78" s="252">
        <f>ROUND(IF(('Restated Financials'!C71&lt;0),0,IF(ISERROR('Restated Financials'!C76/'Restated Financials'!C71),0,('Restated Financials'!C76/'Restated Financials'!C71)*100)),2)</f>
        <v>0</v>
      </c>
      <c r="D78" s="252">
        <f>ROUND(IF(('Restated Financials'!D71&lt;0),0,IF(ISERROR('Restated Financials'!D76/'Restated Financials'!D71),0,('Restated Financials'!D76/'Restated Financials'!D71)*100)),2)</f>
        <v>0</v>
      </c>
      <c r="E78" s="252">
        <f>ROUND(IF(('Restated Financials'!E71&lt;0),0,IF(ISERROR('Restated Financials'!E76/'Restated Financials'!E71),0,('Restated Financials'!E76/'Restated Financials'!E71)*100)),2)</f>
        <v>0</v>
      </c>
      <c r="F78" s="252">
        <f>ROUND(IF(('Restated Financials'!F71&lt;0),0,IF(ISERROR('Restated Financials'!F76/'Restated Financials'!F71),0,('Restated Financials'!F76/'Restated Financials'!F71)*100)),2)</f>
        <v>0</v>
      </c>
      <c r="G78" s="253">
        <f>ROUND(IF(('Restated Financials'!G71&lt;0),0,IF(ISERROR('Restated Financials'!G76/'Restated Financials'!G71),0,('Restated Financials'!G76/'Restated Financials'!G71)*100)),2)</f>
        <v>0</v>
      </c>
      <c r="H78" s="246"/>
    </row>
    <row r="79" spans="1:8" x14ac:dyDescent="0.2">
      <c r="A79" s="221"/>
      <c r="B79" s="251" t="s">
        <v>351</v>
      </c>
      <c r="C79" s="252">
        <f>Sheet1!C230</f>
        <v>1000</v>
      </c>
      <c r="D79" s="252">
        <f>Sheet1!D230</f>
        <v>1000</v>
      </c>
      <c r="E79" s="252">
        <f>Sheet1!E230</f>
        <v>1000</v>
      </c>
      <c r="F79" s="252">
        <f>Sheet1!F230</f>
        <v>1000</v>
      </c>
      <c r="G79" s="253">
        <f>Sheet1!G230</f>
        <v>1000</v>
      </c>
      <c r="H79" s="246"/>
    </row>
    <row r="80" spans="1:8" ht="13.5" thickBot="1" x14ac:dyDescent="0.25">
      <c r="A80" s="254"/>
      <c r="B80" s="255" t="s">
        <v>352</v>
      </c>
      <c r="C80" s="301">
        <f>Sheet1!C231</f>
        <v>1000</v>
      </c>
      <c r="D80" s="301">
        <f>Sheet1!D231</f>
        <v>1000</v>
      </c>
      <c r="E80" s="301">
        <f>Sheet1!E231</f>
        <v>1000</v>
      </c>
      <c r="F80" s="301">
        <f>Sheet1!F231</f>
        <v>1000</v>
      </c>
      <c r="G80" s="302">
        <f>Sheet1!G231</f>
        <v>1000</v>
      </c>
      <c r="H80" s="246"/>
    </row>
    <row r="81" spans="1:8" x14ac:dyDescent="0.2">
      <c r="A81" s="240"/>
      <c r="B81" s="241"/>
      <c r="C81" s="242"/>
      <c r="D81" s="242"/>
      <c r="E81" s="242"/>
      <c r="F81" s="242"/>
      <c r="G81" s="242"/>
      <c r="H81" s="246"/>
    </row>
    <row r="82" spans="1:8" x14ac:dyDescent="0.2">
      <c r="A82" s="221"/>
      <c r="B82" s="251" t="s">
        <v>560</v>
      </c>
      <c r="C82" s="252">
        <f>SUM('Restated Financials'!C3:C5)-'Restated Financials'!C7</f>
        <v>250</v>
      </c>
      <c r="D82" s="252">
        <f>SUM('Restated Financials'!D3:D5)-'Restated Financials'!D7</f>
        <v>250</v>
      </c>
      <c r="E82" s="252">
        <f>SUM('Restated Financials'!E3:E5)-'Restated Financials'!E7</f>
        <v>250</v>
      </c>
      <c r="F82" s="252">
        <f>SUM('Restated Financials'!F3:F5)-'Restated Financials'!F7</f>
        <v>252.3</v>
      </c>
      <c r="G82" s="253">
        <f>SUM('Restated Financials'!G3:G5)-'Restated Financials'!G7</f>
        <v>253.94</v>
      </c>
      <c r="H82" s="246"/>
    </row>
    <row r="83" spans="1:8" x14ac:dyDescent="0.2">
      <c r="A83" s="221"/>
      <c r="B83" s="251" t="s">
        <v>561</v>
      </c>
      <c r="C83" s="252">
        <f>C82+'Restated Financials'!C9</f>
        <v>250.9</v>
      </c>
      <c r="D83" s="252">
        <f>D82+'Restated Financials'!D9</f>
        <v>251</v>
      </c>
      <c r="E83" s="252">
        <f>E82+'Restated Financials'!E9</f>
        <v>251.1</v>
      </c>
      <c r="F83" s="252">
        <f>F82+'Restated Financials'!F9</f>
        <v>253.4</v>
      </c>
      <c r="G83" s="253">
        <f>G82+'Restated Financials'!G9</f>
        <v>255.059</v>
      </c>
      <c r="H83" s="246"/>
    </row>
    <row r="84" spans="1:8" x14ac:dyDescent="0.2">
      <c r="A84" s="221"/>
      <c r="B84" s="251" t="s">
        <v>562</v>
      </c>
      <c r="C84" s="252">
        <f>SUM('Restated Financials'!C46:C49)</f>
        <v>1.6</v>
      </c>
      <c r="D84" s="252">
        <f>SUM('Restated Financials'!D46:D49)</f>
        <v>2.2999999999999998</v>
      </c>
      <c r="E84" s="252">
        <f>SUM('Restated Financials'!E46:E49)</f>
        <v>4.4000000000000004</v>
      </c>
      <c r="F84" s="252">
        <f>SUM('Restated Financials'!F46:F49)</f>
        <v>3.7</v>
      </c>
      <c r="G84" s="253">
        <f>SUM('Restated Financials'!G46:G49)</f>
        <v>3.8420000000000001</v>
      </c>
      <c r="H84" s="246"/>
    </row>
    <row r="85" spans="1:8" x14ac:dyDescent="0.2">
      <c r="A85" s="221"/>
      <c r="B85" s="251" t="s">
        <v>563</v>
      </c>
      <c r="C85" s="252">
        <f>'Cash Flow'!D9+'Cash Flow'!D10+'Cash Flow'!D11+'Cash Flow'!D12+'Cash Flow'!D13+'Cash Flow'!D15+'Cash Flow'!D16+'Cash Flow'!D17+'Cash Flow'!D18</f>
        <v>80</v>
      </c>
      <c r="D85" s="252">
        <f>'Cash Flow'!E9+'Cash Flow'!E10+'Cash Flow'!E11+'Cash Flow'!E12+'Cash Flow'!E13+'Cash Flow'!E15+'Cash Flow'!E16+'Cash Flow'!E17+'Cash Flow'!E18</f>
        <v>68</v>
      </c>
      <c r="E85" s="252">
        <f>'Cash Flow'!F9+'Cash Flow'!F10+'Cash Flow'!F11+'Cash Flow'!F12+'Cash Flow'!F13+'Cash Flow'!F15+'Cash Flow'!F16+'Cash Flow'!F17+'Cash Flow'!F18</f>
        <v>31</v>
      </c>
      <c r="F85" s="252">
        <f>'Cash Flow'!G9+'Cash Flow'!G10+'Cash Flow'!G11+'Cash Flow'!G12+'Cash Flow'!G13+'Cash Flow'!G15+'Cash Flow'!G16+'Cash Flow'!G17+'Cash Flow'!G18</f>
        <v>-23.740000000000023</v>
      </c>
      <c r="G85" s="253" t="e">
        <f>#REF!+#REF!+#REF!+#REF!+#REF!+#REF!+#REF!+#REF!+#REF!</f>
        <v>#REF!</v>
      </c>
      <c r="H85" s="246"/>
    </row>
    <row r="86" spans="1:8" x14ac:dyDescent="0.2">
      <c r="A86" s="221"/>
      <c r="B86" s="251" t="s">
        <v>564</v>
      </c>
      <c r="C86" s="252">
        <f>C87+'Restated Financials'!C25+'Restated Financials'!C26+'Restated Financials'!C27</f>
        <v>328.09999999999991</v>
      </c>
      <c r="D86" s="252">
        <f>D87+'Restated Financials'!D25+'Restated Financials'!D26+'Restated Financials'!D27</f>
        <v>393.00000000000006</v>
      </c>
      <c r="E86" s="252">
        <f>E87+'Restated Financials'!E25+'Restated Financials'!E26+'Restated Financials'!E27</f>
        <v>459</v>
      </c>
      <c r="F86" s="252">
        <f>F87+'Restated Financials'!F25+'Restated Financials'!F26+'Restated Financials'!F27</f>
        <v>523.50000000000011</v>
      </c>
      <c r="G86" s="253">
        <f>G87+'Restated Financials'!G25+'Restated Financials'!G26+'Restated Financials'!G27</f>
        <v>571.63499999999999</v>
      </c>
      <c r="H86" s="246"/>
    </row>
    <row r="87" spans="1:8" x14ac:dyDescent="0.2">
      <c r="A87" s="221"/>
      <c r="B87" s="251" t="s">
        <v>565</v>
      </c>
      <c r="C87" s="252">
        <f>C88+'Restated Financials'!C21+'Restated Financials'!C22</f>
        <v>266.02999999999997</v>
      </c>
      <c r="D87" s="252">
        <f>D88+'Restated Financials'!D21+'Restated Financials'!D22</f>
        <v>317.66000000000003</v>
      </c>
      <c r="E87" s="252">
        <f>E88+'Restated Financials'!E21+'Restated Financials'!E22</f>
        <v>365.63</v>
      </c>
      <c r="F87" s="252">
        <f>F88+'Restated Financials'!F21+'Restated Financials'!F22</f>
        <v>424.53000000000009</v>
      </c>
      <c r="G87" s="253">
        <f>G88+'Restated Financials'!G21+'Restated Financials'!G22</f>
        <v>450.63200000000001</v>
      </c>
      <c r="H87" s="246"/>
    </row>
    <row r="88" spans="1:8" x14ac:dyDescent="0.2">
      <c r="A88" s="221"/>
      <c r="B88" s="251" t="s">
        <v>566</v>
      </c>
      <c r="C88" s="252">
        <f>'Restated Financials'!C12+'Restated Financials'!C13+'Restated Financials'!C14+'Restated Financials'!C15+'Restated Financials'!C16+'Restated Financials'!C17</f>
        <v>266.02999999999997</v>
      </c>
      <c r="D88" s="252">
        <f>'Restated Financials'!D12+'Restated Financials'!D13+'Restated Financials'!D14+'Restated Financials'!D15+'Restated Financials'!D16+'Restated Financials'!D17</f>
        <v>317.66000000000003</v>
      </c>
      <c r="E88" s="252">
        <f>'Restated Financials'!E12+'Restated Financials'!E13+'Restated Financials'!E14+'Restated Financials'!E15+'Restated Financials'!E16+'Restated Financials'!E17</f>
        <v>365.63</v>
      </c>
      <c r="F88" s="252">
        <f>'Restated Financials'!F12+'Restated Financials'!F13+'Restated Financials'!F14+'Restated Financials'!F15+'Restated Financials'!F16+'Restated Financials'!F17</f>
        <v>424.53000000000009</v>
      </c>
      <c r="G88" s="253">
        <f>'Restated Financials'!G12+'Restated Financials'!G13+'Restated Financials'!G14+'Restated Financials'!G15+'Restated Financials'!G16+'Restated Financials'!G17</f>
        <v>450.63200000000001</v>
      </c>
      <c r="H88" s="246"/>
    </row>
    <row r="89" spans="1:8" x14ac:dyDescent="0.2">
      <c r="A89" s="221"/>
      <c r="B89" s="251" t="s">
        <v>20</v>
      </c>
      <c r="C89" s="252">
        <f>C83-C86</f>
        <v>-77.199999999999903</v>
      </c>
      <c r="D89" s="252">
        <f>D83-D86</f>
        <v>-142.00000000000006</v>
      </c>
      <c r="E89" s="252">
        <f>E83-E86</f>
        <v>-207.9</v>
      </c>
      <c r="F89" s="252">
        <f>F83-F86</f>
        <v>-270.10000000000014</v>
      </c>
      <c r="G89" s="253">
        <f>G83-G86</f>
        <v>-316.57600000000002</v>
      </c>
      <c r="H89" s="246"/>
    </row>
    <row r="90" spans="1:8" x14ac:dyDescent="0.2">
      <c r="A90" s="221"/>
      <c r="B90" s="251" t="s">
        <v>22</v>
      </c>
      <c r="C90" s="252">
        <f>C89-'Restated Financials'!C34</f>
        <v>-78.399999999999906</v>
      </c>
      <c r="D90" s="252">
        <f>D89-'Restated Financials'!D34</f>
        <v>-146.60000000000005</v>
      </c>
      <c r="E90" s="252">
        <f>E89-'Restated Financials'!E34</f>
        <v>-215.70000000000002</v>
      </c>
      <c r="F90" s="252">
        <f>F89-'Restated Financials'!F34</f>
        <v>-286.60000000000014</v>
      </c>
      <c r="G90" s="253">
        <f>G89-'Restated Financials'!G34</f>
        <v>-337.142</v>
      </c>
      <c r="H90" s="246"/>
    </row>
    <row r="91" spans="1:8" x14ac:dyDescent="0.2">
      <c r="A91" s="221"/>
      <c r="B91" s="251" t="s">
        <v>567</v>
      </c>
      <c r="C91" s="252">
        <f>'Restated Financials'!C37+'Restated Financials'!C38+'Restated Financials'!C39</f>
        <v>0.2</v>
      </c>
      <c r="D91" s="252">
        <f>'Restated Financials'!D37+'Restated Financials'!D38+'Restated Financials'!D39</f>
        <v>1.9000000000000001</v>
      </c>
      <c r="E91" s="252">
        <f>'Restated Financials'!E37+'Restated Financials'!E38+'Restated Financials'!E39</f>
        <v>1.2</v>
      </c>
      <c r="F91" s="252">
        <f>'Restated Financials'!F37+'Restated Financials'!F38+'Restated Financials'!F39</f>
        <v>1.2</v>
      </c>
      <c r="G91" s="253">
        <f>'Restated Financials'!G37+'Restated Financials'!G38+'Restated Financials'!G39</f>
        <v>1.9020000000000001</v>
      </c>
      <c r="H91" s="246"/>
    </row>
    <row r="92" spans="1:8" x14ac:dyDescent="0.2">
      <c r="A92" s="221"/>
      <c r="B92" s="251" t="s">
        <v>27</v>
      </c>
      <c r="C92" s="252">
        <f>C90-C91</f>
        <v>-78.599999999999909</v>
      </c>
      <c r="D92" s="252">
        <f>D90-D91</f>
        <v>-148.50000000000006</v>
      </c>
      <c r="E92" s="252">
        <f>E90-E91</f>
        <v>-216.9</v>
      </c>
      <c r="F92" s="252">
        <f>F90-F91</f>
        <v>-287.80000000000013</v>
      </c>
      <c r="G92" s="253">
        <f>G90-G91</f>
        <v>-339.04399999999998</v>
      </c>
      <c r="H92" s="246"/>
    </row>
    <row r="93" spans="1:8" x14ac:dyDescent="0.2">
      <c r="A93" s="221"/>
      <c r="B93" s="251" t="s">
        <v>568</v>
      </c>
      <c r="C93" s="252">
        <f>C97+C91+'Restated Financials'!C67+'Restated Financials'!C68</f>
        <v>14.700000000000085</v>
      </c>
      <c r="D93" s="252">
        <f>D97+D91+'Restated Financials'!D67+'Restated Financials'!D68</f>
        <v>25.699999999999932</v>
      </c>
      <c r="E93" s="252">
        <f>E97+E91+'Restated Financials'!E67+'Restated Financials'!E68</f>
        <v>28.7</v>
      </c>
      <c r="F93" s="252">
        <f>F97+F91+'Restated Financials'!F67+'Restated Financials'!F68</f>
        <v>23.79999999999983</v>
      </c>
      <c r="G93" s="253">
        <f>G97+G91+'Restated Financials'!G67+'Restated Financials'!G68</f>
        <v>38.249999999999964</v>
      </c>
      <c r="H93" s="246"/>
    </row>
    <row r="94" spans="1:8" x14ac:dyDescent="0.2">
      <c r="A94" s="221"/>
      <c r="B94" s="251" t="s">
        <v>569</v>
      </c>
      <c r="C94" s="252">
        <f>C93+'Restated Financials'!C34</f>
        <v>15.900000000000084</v>
      </c>
      <c r="D94" s="252">
        <f>D93+'Restated Financials'!D34</f>
        <v>30.299999999999933</v>
      </c>
      <c r="E94" s="252">
        <f>E93+'Restated Financials'!E34</f>
        <v>36.5</v>
      </c>
      <c r="F94" s="252">
        <f>F93+'Restated Financials'!F34</f>
        <v>40.299999999999827</v>
      </c>
      <c r="G94" s="253">
        <f>G93+'Restated Financials'!G34</f>
        <v>58.81599999999996</v>
      </c>
      <c r="H94" s="246"/>
    </row>
    <row r="95" spans="1:8" x14ac:dyDescent="0.2">
      <c r="A95" s="221"/>
      <c r="B95" s="251" t="s">
        <v>570</v>
      </c>
      <c r="C95" s="252">
        <f>C92+'Restated Financials'!C52-'Restated Financials'!C59</f>
        <v>-76.999999999999915</v>
      </c>
      <c r="D95" s="252">
        <f>D92+'Restated Financials'!D52-'Restated Financials'!D59</f>
        <v>-146.20000000000005</v>
      </c>
      <c r="E95" s="252">
        <f>E92+'Restated Financials'!E52-'Restated Financials'!E59</f>
        <v>-212.5</v>
      </c>
      <c r="F95" s="252">
        <f>F92+'Restated Financials'!F52-'Restated Financials'!F59</f>
        <v>-284.10000000000014</v>
      </c>
      <c r="G95" s="253">
        <f>G92+'Restated Financials'!G52-'Restated Financials'!G59</f>
        <v>-335.20400000000001</v>
      </c>
      <c r="H95" s="246"/>
    </row>
    <row r="96" spans="1:8" x14ac:dyDescent="0.2">
      <c r="A96" s="221"/>
      <c r="B96" s="251" t="s">
        <v>571</v>
      </c>
      <c r="C96" s="252">
        <f>'Restated Financials'!C67+'Restated Financials'!C68</f>
        <v>7.5</v>
      </c>
      <c r="D96" s="252">
        <f>'Restated Financials'!D67+'Restated Financials'!D68</f>
        <v>12.1</v>
      </c>
      <c r="E96" s="252">
        <f>'Restated Financials'!E67+'Restated Financials'!E68</f>
        <v>14</v>
      </c>
      <c r="F96" s="252">
        <f>'Restated Financials'!F67+'Restated Financials'!F68</f>
        <v>10.6</v>
      </c>
      <c r="G96" s="253">
        <f>'Restated Financials'!G67+'Restated Financials'!G68</f>
        <v>17.856000000000002</v>
      </c>
      <c r="H96" s="246"/>
    </row>
    <row r="97" spans="1:8" x14ac:dyDescent="0.2">
      <c r="A97" s="221"/>
      <c r="B97" s="251" t="s">
        <v>572</v>
      </c>
      <c r="C97" s="252">
        <f>C95+'Restated Financials'!C63-'Restated Financials'!C64-'Restated Financials'!C68-'Restated Financials'!C71</f>
        <v>7.0000000000000853</v>
      </c>
      <c r="D97" s="252">
        <f>D95+'Restated Financials'!D63-'Restated Financials'!D64-'Restated Financials'!D68-'Restated Financials'!D71</f>
        <v>11.699999999999932</v>
      </c>
      <c r="E97" s="252">
        <f>E95+'Restated Financials'!E63-'Restated Financials'!E64-'Restated Financials'!E68-'Restated Financials'!E71</f>
        <v>13.5</v>
      </c>
      <c r="F97" s="252">
        <f>F95+'Restated Financials'!F63-'Restated Financials'!F64-'Restated Financials'!F68-'Restated Financials'!F71</f>
        <v>11.999999999999829</v>
      </c>
      <c r="G97" s="253">
        <f>G95+'Restated Financials'!G63-'Restated Financials'!G64-'Restated Financials'!G68-'Restated Financials'!G71</f>
        <v>18.491999999999962</v>
      </c>
      <c r="H97" s="246"/>
    </row>
    <row r="98" spans="1:8" x14ac:dyDescent="0.2">
      <c r="A98" s="221"/>
      <c r="B98" s="251"/>
      <c r="C98" s="252"/>
      <c r="D98" s="252"/>
      <c r="E98" s="252"/>
      <c r="F98" s="252"/>
      <c r="G98" s="253"/>
      <c r="H98" s="246"/>
    </row>
    <row r="99" spans="1:8" x14ac:dyDescent="0.2">
      <c r="A99" s="221"/>
      <c r="B99" s="251" t="s">
        <v>573</v>
      </c>
      <c r="C99" s="252">
        <f>'Restated Financials'!C90-'Restated Financials'!C161-'Restated Financials'!C158-'Restated Financials'!C92</f>
        <v>141</v>
      </c>
      <c r="D99" s="252">
        <f>'Restated Financials'!D90-'Restated Financials'!D161-'Restated Financials'!D158-'Restated Financials'!D92</f>
        <v>292</v>
      </c>
      <c r="E99" s="252">
        <f>'Restated Financials'!E90-'Restated Financials'!E161-'Restated Financials'!E158-'Restated Financials'!E92</f>
        <v>413</v>
      </c>
      <c r="F99" s="252">
        <f>'Restated Financials'!F90-'Restated Financials'!F161-'Restated Financials'!F158-'Restated Financials'!F92</f>
        <v>602</v>
      </c>
      <c r="G99" s="253">
        <f>'Restated Financials'!G90-'Restated Financials'!G161-'Restated Financials'!G158-'Restated Financials'!G92</f>
        <v>893.18999999999994</v>
      </c>
      <c r="H99" s="246"/>
    </row>
    <row r="100" spans="1:8" x14ac:dyDescent="0.2">
      <c r="A100" s="221"/>
      <c r="B100" s="251" t="s">
        <v>574</v>
      </c>
      <c r="C100" s="252">
        <f>'Restated Financials'!C81+'Restated Financials'!C85+'Restated Financials'!C83+'Restated Financials'!C86+Sheet1!C95</f>
        <v>146</v>
      </c>
      <c r="D100" s="252">
        <f>'Restated Financials'!D81+'Restated Financials'!D85+'Restated Financials'!D83+'Restated Financials'!D86+Sheet1!D95</f>
        <v>292</v>
      </c>
      <c r="E100" s="252">
        <f>'Restated Financials'!E81+'Restated Financials'!E85+'Restated Financials'!E83+'Restated Financials'!E86+Sheet1!E95</f>
        <v>413</v>
      </c>
      <c r="F100" s="252">
        <f>'Restated Financials'!F81+'Restated Financials'!F85+'Restated Financials'!F83+'Restated Financials'!F86+Sheet1!F95</f>
        <v>602</v>
      </c>
      <c r="G100" s="253">
        <f>'Restated Financials'!G81+'Restated Financials'!G85+'Restated Financials'!G83+'Restated Financials'!G86+Sheet1!G95</f>
        <v>915.42</v>
      </c>
      <c r="H100" s="246"/>
    </row>
    <row r="101" spans="1:8" x14ac:dyDescent="0.2">
      <c r="A101" s="221"/>
      <c r="B101" s="251" t="s">
        <v>575</v>
      </c>
      <c r="C101" s="252"/>
      <c r="D101" s="252"/>
      <c r="E101" s="252"/>
      <c r="F101" s="252"/>
      <c r="G101" s="253"/>
      <c r="H101" s="246"/>
    </row>
    <row r="102" spans="1:8" x14ac:dyDescent="0.2">
      <c r="A102" s="221"/>
      <c r="B102" s="251" t="s">
        <v>576</v>
      </c>
      <c r="C102" s="252"/>
      <c r="D102" s="252"/>
      <c r="E102" s="252"/>
      <c r="F102" s="252"/>
      <c r="G102" s="253"/>
      <c r="H102" s="246"/>
    </row>
    <row r="103" spans="1:8" x14ac:dyDescent="0.2">
      <c r="A103" s="221"/>
      <c r="B103" s="251" t="s">
        <v>577</v>
      </c>
      <c r="C103" s="252">
        <f>'Restated Financials'!C104+'Restated Financials'!C116</f>
        <v>46</v>
      </c>
      <c r="D103" s="252">
        <f>'Restated Financials'!D104+'Restated Financials'!D116</f>
        <v>102</v>
      </c>
      <c r="E103" s="252">
        <f>'Restated Financials'!E104+'Restated Financials'!E116</f>
        <v>0</v>
      </c>
      <c r="F103" s="252">
        <f>'Restated Financials'!F104+'Restated Financials'!F116</f>
        <v>0</v>
      </c>
      <c r="G103" s="253">
        <f>'Restated Financials'!G104+'Restated Financials'!G116</f>
        <v>0</v>
      </c>
      <c r="H103" s="246"/>
    </row>
    <row r="104" spans="1:8" x14ac:dyDescent="0.2">
      <c r="A104" s="221"/>
      <c r="B104" s="251" t="s">
        <v>578</v>
      </c>
      <c r="C104" s="252">
        <f>C101+C102</f>
        <v>0</v>
      </c>
      <c r="D104" s="252">
        <f>D101+D102</f>
        <v>0</v>
      </c>
      <c r="E104" s="252">
        <f>E101+E102</f>
        <v>0</v>
      </c>
      <c r="F104" s="252">
        <f>F101+F102</f>
        <v>0</v>
      </c>
      <c r="G104" s="253">
        <f>G101+G102</f>
        <v>0</v>
      </c>
      <c r="H104" s="246"/>
    </row>
    <row r="105" spans="1:8" x14ac:dyDescent="0.2">
      <c r="A105" s="221"/>
      <c r="B105" s="251" t="s">
        <v>579</v>
      </c>
      <c r="C105" s="252">
        <f>'Restated Financials'!C129+'Restated Financials'!C130+'Restated Financials'!C131+'Restated Financials'!C132+'Restated Financials'!C133+'Restated Financials'!C134</f>
        <v>201</v>
      </c>
      <c r="D105" s="252">
        <f>'Restated Financials'!D129+'Restated Financials'!D130+'Restated Financials'!D131+'Restated Financials'!D132+'Restated Financials'!D133+'Restated Financials'!D134</f>
        <v>366</v>
      </c>
      <c r="E105" s="252">
        <f>'Restated Financials'!E129+'Restated Financials'!E130+'Restated Financials'!E131+'Restated Financials'!E132+'Restated Financials'!E133+'Restated Financials'!E134</f>
        <v>342</v>
      </c>
      <c r="F105" s="252">
        <f>'Restated Financials'!F129+'Restated Financials'!F130+'Restated Financials'!F131+'Restated Financials'!F132+'Restated Financials'!F133+'Restated Financials'!F134</f>
        <v>324</v>
      </c>
      <c r="G105" s="253">
        <f>'Restated Financials'!G129+'Restated Financials'!G130+'Restated Financials'!G131+'Restated Financials'!G132+'Restated Financials'!G133+'Restated Financials'!G134</f>
        <v>944.91</v>
      </c>
      <c r="H105" s="246"/>
    </row>
    <row r="106" spans="1:8" x14ac:dyDescent="0.2">
      <c r="A106" s="221"/>
      <c r="B106" s="251" t="s">
        <v>580</v>
      </c>
      <c r="C106" s="252">
        <f>C101+C105</f>
        <v>201</v>
      </c>
      <c r="D106" s="252">
        <f>D101+D105</f>
        <v>366</v>
      </c>
      <c r="E106" s="252">
        <f>E101+E105</f>
        <v>342</v>
      </c>
      <c r="F106" s="252">
        <f>F101+F105</f>
        <v>324</v>
      </c>
      <c r="G106" s="253">
        <f>G101+G105</f>
        <v>944.91</v>
      </c>
      <c r="H106" s="246"/>
    </row>
    <row r="107" spans="1:8" x14ac:dyDescent="0.2">
      <c r="A107" s="221"/>
      <c r="B107" s="251" t="s">
        <v>581</v>
      </c>
      <c r="C107" s="252">
        <f>'Restated Financials'!C172+'Restated Financials'!C173+'Restated Financials'!C182</f>
        <v>1</v>
      </c>
      <c r="D107" s="252">
        <f>'Restated Financials'!D172+'Restated Financials'!D173+'Restated Financials'!D182</f>
        <v>8</v>
      </c>
      <c r="E107" s="252">
        <f>'Restated Financials'!E172+'Restated Financials'!E173+'Restated Financials'!E182</f>
        <v>7</v>
      </c>
      <c r="F107" s="252">
        <f>'Restated Financials'!F172+'Restated Financials'!F173+'Restated Financials'!F182</f>
        <v>8</v>
      </c>
      <c r="G107" s="253">
        <f>'Restated Financials'!G172+'Restated Financials'!G173+'Restated Financials'!G182</f>
        <v>14.46</v>
      </c>
      <c r="H107" s="246"/>
    </row>
    <row r="108" spans="1:8" x14ac:dyDescent="0.2">
      <c r="A108" s="221"/>
      <c r="B108" s="251" t="s">
        <v>582</v>
      </c>
      <c r="C108" s="252">
        <f>'Restated Financials'!C178+'Restated Financials'!C179+'Restated Financials'!C180+'Restated Financials'!C181+'Restated Financials'!C182</f>
        <v>88</v>
      </c>
      <c r="D108" s="252">
        <f>'Restated Financials'!D178+'Restated Financials'!D179+'Restated Financials'!D180+'Restated Financials'!D181+'Restated Financials'!D182</f>
        <v>78</v>
      </c>
      <c r="E108" s="252">
        <f>'Restated Financials'!E178+'Restated Financials'!E179+'Restated Financials'!E180+'Restated Financials'!E181+'Restated Financials'!E182</f>
        <v>100</v>
      </c>
      <c r="F108" s="252">
        <f>'Restated Financials'!F178+'Restated Financials'!F179+'Restated Financials'!F180+'Restated Financials'!F181+'Restated Financials'!F182</f>
        <v>91</v>
      </c>
      <c r="G108" s="253">
        <f>'Restated Financials'!G178+'Restated Financials'!G179+'Restated Financials'!G180+'Restated Financials'!G181+'Restated Financials'!G182</f>
        <v>68.52</v>
      </c>
      <c r="H108" s="246"/>
    </row>
    <row r="109" spans="1:8" x14ac:dyDescent="0.2">
      <c r="A109" s="221"/>
      <c r="B109" s="251" t="s">
        <v>583</v>
      </c>
      <c r="C109" s="252">
        <f>C108+C107+'Restated Financials'!C170</f>
        <v>162</v>
      </c>
      <c r="D109" s="252">
        <f>D108+D107+'Restated Financials'!D170</f>
        <v>192</v>
      </c>
      <c r="E109" s="252">
        <f>E108+E107+'Restated Financials'!E170</f>
        <v>107</v>
      </c>
      <c r="F109" s="252">
        <f>F108+F107+'Restated Financials'!F170</f>
        <v>99</v>
      </c>
      <c r="G109" s="253">
        <f>G108+G107+'Restated Financials'!G170</f>
        <v>275.77</v>
      </c>
      <c r="H109" s="246"/>
    </row>
    <row r="110" spans="1:8" x14ac:dyDescent="0.2">
      <c r="A110" s="221"/>
      <c r="B110" s="251" t="s">
        <v>584</v>
      </c>
      <c r="C110" s="252">
        <f>C58+C59+C60+C61+C62</f>
        <v>6000</v>
      </c>
      <c r="D110" s="252">
        <f>D58+D59+D60+D61+D62</f>
        <v>6000</v>
      </c>
      <c r="E110" s="252">
        <f>E58+E59+E60+E61+E62</f>
        <v>6000</v>
      </c>
      <c r="F110" s="252">
        <f>F58+F59+F60+F61+F62</f>
        <v>6000</v>
      </c>
      <c r="G110" s="253">
        <f>G58+G59+G60+G61+G62</f>
        <v>6000</v>
      </c>
      <c r="H110" s="246"/>
    </row>
    <row r="111" spans="1:8" x14ac:dyDescent="0.2">
      <c r="A111" s="221"/>
      <c r="B111" s="251" t="s">
        <v>585</v>
      </c>
      <c r="C111" s="252">
        <f>'Restated Financials'!C34+'Restated Financials'!C54+'Restated Financials'!C68+'Restated Financials'!C61</f>
        <v>-75.3</v>
      </c>
      <c r="D111" s="252">
        <f>'Restated Financials'!D34+'Restated Financials'!D54+'Restated Financials'!D68+'Restated Financials'!D61</f>
        <v>-141.19999999999999</v>
      </c>
      <c r="E111" s="252">
        <f>'Restated Financials'!E34+'Restated Financials'!E54+'Restated Financials'!E68+'Restated Financials'!E61</f>
        <v>-204.2</v>
      </c>
      <c r="F111" s="252">
        <f>'Restated Financials'!F34+'Restated Financials'!F54+'Restated Financials'!F68+'Restated Financials'!F61</f>
        <v>-269</v>
      </c>
      <c r="G111" s="253">
        <f>'Restated Financials'!G34+'Restated Financials'!G54+'Restated Financials'!G68+'Restated Financials'!G61</f>
        <v>-315.27799999999996</v>
      </c>
      <c r="H111" s="246"/>
    </row>
    <row r="112" spans="1:8" x14ac:dyDescent="0.2">
      <c r="A112" s="221"/>
      <c r="B112" s="251" t="s">
        <v>586</v>
      </c>
      <c r="C112" s="252">
        <f>C111+'Restated Financials'!C63+C85-'Restated Financials'!C64-C96</f>
        <v>-2.7999999999999972</v>
      </c>
      <c r="D112" s="252">
        <f>D111+'Restated Financials'!D63+D85-'Restated Financials'!D64-D96</f>
        <v>-85.199999999999989</v>
      </c>
      <c r="E112" s="252">
        <f>E111+'Restated Financials'!E63+E85-'Restated Financials'!E64-E96</f>
        <v>-188.79999999999998</v>
      </c>
      <c r="F112" s="252">
        <f>F111+'Restated Financials'!F63+F85-'Restated Financials'!F64-F96</f>
        <v>-303.64000000000004</v>
      </c>
      <c r="G112" s="253" t="e">
        <f>G111+'Restated Financials'!G63+G85-'Restated Financials'!G64-G96</f>
        <v>#REF!</v>
      </c>
      <c r="H112" s="246"/>
    </row>
    <row r="113" spans="1:8" x14ac:dyDescent="0.2">
      <c r="A113" s="221"/>
      <c r="B113" s="251"/>
      <c r="C113" s="252"/>
      <c r="D113" s="252"/>
      <c r="E113" s="252"/>
      <c r="F113" s="252"/>
      <c r="G113" s="253"/>
      <c r="H113" s="246"/>
    </row>
    <row r="114" spans="1:8" x14ac:dyDescent="0.2">
      <c r="A114" s="221"/>
      <c r="B114" s="251"/>
      <c r="C114" s="252"/>
      <c r="D114" s="252"/>
      <c r="E114" s="252"/>
      <c r="F114" s="252"/>
      <c r="G114" s="253"/>
      <c r="H114" s="246"/>
    </row>
    <row r="115" spans="1:8" x14ac:dyDescent="0.2">
      <c r="A115" s="221"/>
      <c r="B115" s="251" t="s">
        <v>587</v>
      </c>
      <c r="C115" s="252">
        <f>C99-'Restated Financials'!C190-'Restated Financials'!C192+'Restated Financials'!C104+'Restated Financials'!C116</f>
        <v>187</v>
      </c>
      <c r="D115" s="252">
        <f>D99-'Restated Financials'!D190-'Restated Financials'!D192+'Restated Financials'!D104+'Restated Financials'!D116</f>
        <v>394</v>
      </c>
      <c r="E115" s="252">
        <f>E99-'Restated Financials'!E190-'Restated Financials'!E192+'Restated Financials'!E104+'Restated Financials'!E116</f>
        <v>413</v>
      </c>
      <c r="F115" s="252">
        <f>F99-'Restated Financials'!F190-'Restated Financials'!F192+'Restated Financials'!F104+'Restated Financials'!F116</f>
        <v>602</v>
      </c>
      <c r="G115" s="253">
        <f>G99-'Restated Financials'!G190-'Restated Financials'!G192+'Restated Financials'!G104+'Restated Financials'!G116</f>
        <v>893.18999999999994</v>
      </c>
      <c r="H115" s="246"/>
    </row>
    <row r="116" spans="1:8" x14ac:dyDescent="0.2">
      <c r="A116" s="221"/>
      <c r="B116" s="251" t="s">
        <v>588</v>
      </c>
      <c r="C116" s="252">
        <f>C99-'Restated Financials'!C190-'Restated Financials'!C192</f>
        <v>141</v>
      </c>
      <c r="D116" s="252">
        <f>D99-'Restated Financials'!D190-'Restated Financials'!D192</f>
        <v>292</v>
      </c>
      <c r="E116" s="252">
        <f>E99-'Restated Financials'!E190-'Restated Financials'!E192</f>
        <v>413</v>
      </c>
      <c r="F116" s="252">
        <f>F99-'Restated Financials'!F190-'Restated Financials'!F192</f>
        <v>602</v>
      </c>
      <c r="G116" s="253">
        <f>G99-'Restated Financials'!G190-'Restated Financials'!G192</f>
        <v>893.18999999999994</v>
      </c>
      <c r="H116" s="246"/>
    </row>
    <row r="117" spans="1:8" x14ac:dyDescent="0.2">
      <c r="A117" s="221"/>
      <c r="B117" s="251" t="s">
        <v>589</v>
      </c>
      <c r="C117" s="252">
        <f>C99-'Restated Financials'!C190-'Restated Financials'!C192-'Restated Financials'!C193+'Restated Financials'!C104+'Restated Financials'!C116</f>
        <v>157</v>
      </c>
      <c r="D117" s="252">
        <f>D99-'Restated Financials'!D190-'Restated Financials'!D192-'Restated Financials'!D193+'Restated Financials'!D104+'Restated Financials'!D116</f>
        <v>345</v>
      </c>
      <c r="E117" s="252">
        <f>E99-'Restated Financials'!E190-'Restated Financials'!E192-'Restated Financials'!E193+'Restated Financials'!E104+'Restated Financials'!E116</f>
        <v>366</v>
      </c>
      <c r="F117" s="252">
        <f>F99-'Restated Financials'!F190-'Restated Financials'!F192-'Restated Financials'!F193+'Restated Financials'!F104+'Restated Financials'!F116</f>
        <v>577</v>
      </c>
      <c r="G117" s="253">
        <f>G99-'Restated Financials'!G190-'Restated Financials'!G192-'Restated Financials'!G193+'Restated Financials'!G104+'Restated Financials'!G116</f>
        <v>868.44999999999993</v>
      </c>
      <c r="H117" s="246"/>
    </row>
    <row r="118" spans="1:8" x14ac:dyDescent="0.2">
      <c r="A118" s="221"/>
      <c r="B118" s="251" t="s">
        <v>590</v>
      </c>
      <c r="C118" s="252">
        <f>C99+C103</f>
        <v>187</v>
      </c>
      <c r="D118" s="252">
        <f>D99+D103</f>
        <v>394</v>
      </c>
      <c r="E118" s="252">
        <f>E99+E103</f>
        <v>413</v>
      </c>
      <c r="F118" s="252">
        <f>F99+F103</f>
        <v>602</v>
      </c>
      <c r="G118" s="253">
        <f>G99+G103</f>
        <v>893.18999999999994</v>
      </c>
      <c r="H118" s="246"/>
    </row>
    <row r="119" spans="1:8" x14ac:dyDescent="0.2">
      <c r="A119" s="221"/>
      <c r="B119" s="251" t="s">
        <v>591</v>
      </c>
      <c r="C119" s="252">
        <f>C99+C103</f>
        <v>187</v>
      </c>
      <c r="D119" s="252">
        <f>D99+D103</f>
        <v>394</v>
      </c>
      <c r="E119" s="252">
        <f>E99+E103</f>
        <v>413</v>
      </c>
      <c r="F119" s="252">
        <f>F99+F103</f>
        <v>602</v>
      </c>
      <c r="G119" s="253">
        <f>G99+G103</f>
        <v>893.18999999999994</v>
      </c>
      <c r="H119" s="246"/>
    </row>
    <row r="120" spans="1:8" x14ac:dyDescent="0.2">
      <c r="A120" s="221"/>
      <c r="B120" s="251" t="s">
        <v>592</v>
      </c>
      <c r="C120" s="252">
        <f>C116+C103</f>
        <v>187</v>
      </c>
      <c r="D120" s="252">
        <f>D116+D103</f>
        <v>394</v>
      </c>
      <c r="E120" s="252">
        <f>E116+E103</f>
        <v>413</v>
      </c>
      <c r="F120" s="252">
        <f>F116+F103</f>
        <v>602</v>
      </c>
      <c r="G120" s="253">
        <f>G116+G103</f>
        <v>893.18999999999994</v>
      </c>
      <c r="H120" s="246"/>
    </row>
    <row r="121" spans="1:8" x14ac:dyDescent="0.2">
      <c r="A121" s="221"/>
      <c r="B121" s="251" t="s">
        <v>593</v>
      </c>
      <c r="C121" s="252">
        <f>C82</f>
        <v>250</v>
      </c>
      <c r="D121" s="252">
        <f>D82</f>
        <v>250</v>
      </c>
      <c r="E121" s="252">
        <f>E82</f>
        <v>250</v>
      </c>
      <c r="F121" s="252">
        <f>F82</f>
        <v>252.3</v>
      </c>
      <c r="G121" s="253">
        <f>G82</f>
        <v>253.94</v>
      </c>
      <c r="H121" s="246"/>
    </row>
    <row r="122" spans="1:8" x14ac:dyDescent="0.2">
      <c r="A122" s="221"/>
      <c r="B122" s="251" t="s">
        <v>594</v>
      </c>
      <c r="C122" s="252">
        <f>'Restated Financials'!C200</f>
        <v>612</v>
      </c>
      <c r="D122" s="252">
        <f>'Restated Financials'!D200</f>
        <v>1005</v>
      </c>
      <c r="E122" s="252">
        <f>'Restated Financials'!E200</f>
        <v>1011</v>
      </c>
      <c r="F122" s="252">
        <f>'Restated Financials'!F200</f>
        <v>1236</v>
      </c>
      <c r="G122" s="253">
        <f>'Restated Financials'!G200</f>
        <v>2293.71</v>
      </c>
      <c r="H122" s="246"/>
    </row>
    <row r="123" spans="1:8" x14ac:dyDescent="0.2">
      <c r="A123" s="221"/>
      <c r="B123" s="251" t="s">
        <v>595</v>
      </c>
      <c r="C123" s="252">
        <f>C100</f>
        <v>146</v>
      </c>
      <c r="D123" s="252">
        <f>D100</f>
        <v>292</v>
      </c>
      <c r="E123" s="252">
        <f>E100</f>
        <v>413</v>
      </c>
      <c r="F123" s="252">
        <f>F100</f>
        <v>602</v>
      </c>
      <c r="G123" s="253">
        <f>G100</f>
        <v>915.42</v>
      </c>
      <c r="H123" s="246"/>
    </row>
    <row r="124" spans="1:8" x14ac:dyDescent="0.2">
      <c r="A124" s="221"/>
      <c r="B124" s="251"/>
      <c r="C124" s="252"/>
      <c r="D124" s="252"/>
      <c r="E124" s="252"/>
      <c r="F124" s="252"/>
      <c r="G124" s="253"/>
      <c r="H124" s="246"/>
    </row>
    <row r="125" spans="1:8" x14ac:dyDescent="0.2">
      <c r="A125" s="221"/>
      <c r="B125" s="251"/>
      <c r="C125" s="252"/>
      <c r="D125" s="252"/>
      <c r="E125" s="252"/>
      <c r="F125" s="252"/>
      <c r="G125" s="253"/>
      <c r="H125" s="246"/>
    </row>
    <row r="126" spans="1:8" x14ac:dyDescent="0.2">
      <c r="A126" s="221"/>
      <c r="B126" s="251"/>
      <c r="C126" s="252"/>
      <c r="D126" s="252"/>
      <c r="E126" s="252"/>
      <c r="F126" s="252"/>
      <c r="G126" s="253"/>
      <c r="H126" s="246"/>
    </row>
    <row r="127" spans="1:8" x14ac:dyDescent="0.2">
      <c r="A127" s="221"/>
      <c r="B127" s="251" t="s">
        <v>596</v>
      </c>
      <c r="C127" s="252">
        <f>(C89/C82)*100</f>
        <v>-30.879999999999963</v>
      </c>
      <c r="D127" s="252">
        <f>(D89/D82)*100</f>
        <v>-56.800000000000026</v>
      </c>
      <c r="E127" s="252">
        <f>(E89/E82)*100</f>
        <v>-83.16</v>
      </c>
      <c r="F127" s="252">
        <f>(F89/F82)*100</f>
        <v>-107.05509314308368</v>
      </c>
      <c r="G127" s="253">
        <f>(G89/G82)*100</f>
        <v>-124.66566905568246</v>
      </c>
      <c r="H127" s="246"/>
    </row>
    <row r="128" spans="1:8" x14ac:dyDescent="0.2">
      <c r="A128" s="221"/>
      <c r="B128" s="251" t="s">
        <v>597</v>
      </c>
      <c r="C128" s="252">
        <f>(C94/C82)*100</f>
        <v>6.3600000000000341</v>
      </c>
      <c r="D128" s="252">
        <f>(D94/D82)*100</f>
        <v>12.119999999999974</v>
      </c>
      <c r="E128" s="252">
        <f>(E94/E82)*100</f>
        <v>14.6</v>
      </c>
      <c r="F128" s="252">
        <f>(F94/F82)*100</f>
        <v>15.973047958779162</v>
      </c>
      <c r="G128" s="253">
        <f>(G94/G82)*100</f>
        <v>23.161376703158211</v>
      </c>
      <c r="H128" s="246"/>
    </row>
    <row r="129" spans="1:8" x14ac:dyDescent="0.2">
      <c r="A129" s="221"/>
      <c r="B129" s="251" t="s">
        <v>598</v>
      </c>
      <c r="C129" s="252">
        <f>(C95/C82)*100</f>
        <v>-30.799999999999965</v>
      </c>
      <c r="D129" s="252">
        <f>(D95/D82)*100</f>
        <v>-58.480000000000018</v>
      </c>
      <c r="E129" s="252">
        <f>(E95/E82)*100</f>
        <v>-85</v>
      </c>
      <c r="F129" s="252">
        <f>(F95/F82)*100</f>
        <v>-112.60404280618317</v>
      </c>
      <c r="G129" s="253">
        <f>(G95/G82)*100</f>
        <v>-132.0012601401906</v>
      </c>
      <c r="H129" s="246"/>
    </row>
    <row r="130" spans="1:8" x14ac:dyDescent="0.2">
      <c r="A130" s="221"/>
      <c r="B130" s="251" t="s">
        <v>599</v>
      </c>
      <c r="C130" s="252">
        <f>(C97/C82)*100</f>
        <v>2.800000000000034</v>
      </c>
      <c r="D130" s="252">
        <f>(D97/D82)*100</f>
        <v>4.6799999999999722</v>
      </c>
      <c r="E130" s="252">
        <f>(E97/E82)*100</f>
        <v>5.4</v>
      </c>
      <c r="F130" s="252">
        <f>(F97/F82)*100</f>
        <v>4.7562425683709195</v>
      </c>
      <c r="G130" s="253">
        <f>(G97/G82)*100</f>
        <v>7.2820351264077976</v>
      </c>
      <c r="H130" s="246"/>
    </row>
    <row r="131" spans="1:8" x14ac:dyDescent="0.2">
      <c r="A131" s="221"/>
      <c r="B131" s="251" t="s">
        <v>600</v>
      </c>
      <c r="C131" s="252">
        <f>C93/'Restated Financials'!C200</f>
        <v>2.4019607843137392E-2</v>
      </c>
      <c r="D131" s="252">
        <f>D93/'Restated Financials'!D200</f>
        <v>2.5572139303482518E-2</v>
      </c>
      <c r="E131" s="252">
        <f>E93/'Restated Financials'!E200</f>
        <v>2.8387734915924827E-2</v>
      </c>
      <c r="F131" s="252">
        <f>F93/'Restated Financials'!F200</f>
        <v>1.9255663430420573E-2</v>
      </c>
      <c r="G131" s="253">
        <f>G93/'Restated Financials'!G200</f>
        <v>1.6676040127130268E-2</v>
      </c>
      <c r="H131" s="246"/>
    </row>
    <row r="132" spans="1:8" x14ac:dyDescent="0.2">
      <c r="A132" s="221"/>
      <c r="B132" s="251" t="s">
        <v>601</v>
      </c>
      <c r="C132" s="252">
        <f>(C97+C91+C96)/('Restated Financials'!C90+C104+'Restated Financials'!C95-'Restated Financials'!C161)</f>
        <v>9.7350993377483999E-2</v>
      </c>
      <c r="D132" s="252">
        <f>(D97+D91+D96)/('Restated Financials'!D90+D104+'Restated Financials'!D95-'Restated Financials'!D161)</f>
        <v>8.5382059800664226E-2</v>
      </c>
      <c r="E132" s="252">
        <f>(E97+E91+E96)/('Restated Financials'!E90+E104+'Restated Financials'!E95-'Restated Financials'!E161)</f>
        <v>6.7213114754098358E-2</v>
      </c>
      <c r="F132" s="252">
        <f>(F97+F91+F96)/('Restated Financials'!F90+F104+'Restated Financials'!F95-'Restated Financials'!F161)</f>
        <v>3.9534883720929948E-2</v>
      </c>
      <c r="G132" s="253">
        <f>(G97+G91+G96)/('Restated Financials'!G90+G104+'Restated Financials'!G95-'Restated Financials'!G161)</f>
        <v>4.2103756865939403E-2</v>
      </c>
      <c r="H132" s="246"/>
    </row>
    <row r="133" spans="1:8" x14ac:dyDescent="0.2">
      <c r="A133" s="221"/>
      <c r="B133" s="251" t="s">
        <v>602</v>
      </c>
      <c r="C133" s="252">
        <f>(C97+C91+C96)/(C104+'Restated Financials'!C95+C115)</f>
        <v>7.6562500000000436E-2</v>
      </c>
      <c r="D133" s="252">
        <f>(D97+D91+D96)/(D104+'Restated Financials'!D95+D115)</f>
        <v>6.3771712158808766E-2</v>
      </c>
      <c r="E133" s="252">
        <f>(E97+E91+E96)/(E104+'Restated Financials'!E95+E115)</f>
        <v>6.7213114754098358E-2</v>
      </c>
      <c r="F133" s="252">
        <f>(F97+F91+F96)/(F104+'Restated Financials'!F95+F115)</f>
        <v>3.9534883720929948E-2</v>
      </c>
      <c r="G133" s="253">
        <f>(G97+G91+G96)/(G104+'Restated Financials'!G95+G115)</f>
        <v>4.2824035199677521E-2</v>
      </c>
      <c r="H133" s="246"/>
    </row>
    <row r="134" spans="1:8" x14ac:dyDescent="0.2">
      <c r="A134" s="221"/>
      <c r="B134" s="251" t="s">
        <v>603</v>
      </c>
      <c r="C134" s="252">
        <f>C97/C99</f>
        <v>4.9645390070922592E-2</v>
      </c>
      <c r="D134" s="252">
        <f>D97/D99</f>
        <v>4.0068493150684698E-2</v>
      </c>
      <c r="E134" s="252">
        <f>E97/E99</f>
        <v>3.2687651331719129E-2</v>
      </c>
      <c r="F134" s="252">
        <f>F97/F99</f>
        <v>1.9933554817275465E-2</v>
      </c>
      <c r="G134" s="253">
        <f>G97/G99</f>
        <v>2.0703321801632309E-2</v>
      </c>
      <c r="H134" s="246"/>
    </row>
    <row r="135" spans="1:8" x14ac:dyDescent="0.2">
      <c r="A135" s="221"/>
      <c r="B135" s="251" t="s">
        <v>604</v>
      </c>
      <c r="C135" s="252">
        <f>(C97+C91+C96+'Restated Financials'!C34)/(C99+C104+'Restated Financials'!C95-'Restated Financials'!C161)</f>
        <v>0.10890410958904168</v>
      </c>
      <c r="D135" s="252">
        <f>(D97+D91+D96+'Restated Financials'!D34)/(D99+D104+'Restated Financials'!D95-'Restated Financials'!D161)</f>
        <v>0.1006644518272423</v>
      </c>
      <c r="E135" s="252">
        <f>(E97+E91+E96+'Restated Financials'!E34)/(E99+E104+'Restated Financials'!E95-'Restated Financials'!E161)</f>
        <v>8.5480093676814986E-2</v>
      </c>
      <c r="F135" s="252">
        <f>(F97+F91+F96+'Restated Financials'!F34)/(F99+F104+'Restated Financials'!F95-'Restated Financials'!F161)</f>
        <v>6.6943521594684099E-2</v>
      </c>
      <c r="G135" s="253">
        <f>(G97+G91+G96+'Restated Financials'!G34)/(G99+G104+'Restated Financials'!G95-'Restated Financials'!G161)</f>
        <v>6.6365769994583823E-2</v>
      </c>
      <c r="H135" s="246"/>
    </row>
    <row r="136" spans="1:8" x14ac:dyDescent="0.2">
      <c r="A136" s="221"/>
      <c r="B136" s="251" t="s">
        <v>605</v>
      </c>
      <c r="C136" s="252">
        <f>C109/C106</f>
        <v>0.80597014925373134</v>
      </c>
      <c r="D136" s="252">
        <f>D109/D106</f>
        <v>0.52459016393442626</v>
      </c>
      <c r="E136" s="252">
        <f>E109/E106</f>
        <v>0.3128654970760234</v>
      </c>
      <c r="F136" s="252">
        <f>F109/F106</f>
        <v>0.30555555555555558</v>
      </c>
      <c r="G136" s="253">
        <f>G109/G106</f>
        <v>0.29184790085828277</v>
      </c>
      <c r="H136" s="246"/>
    </row>
    <row r="137" spans="1:8" x14ac:dyDescent="0.2">
      <c r="A137" s="221"/>
      <c r="B137" s="251" t="s">
        <v>606</v>
      </c>
      <c r="C137" s="252">
        <f>(C109-'Restated Financials'!C172)/C106</f>
        <v>0.80597014925373134</v>
      </c>
      <c r="D137" s="252">
        <f>(D109-'Restated Financials'!D172)/D106</f>
        <v>0.51912568306010931</v>
      </c>
      <c r="E137" s="252">
        <f>(E109-'Restated Financials'!E172)/E106</f>
        <v>0.3128654970760234</v>
      </c>
      <c r="F137" s="252">
        <f>(F109-'Restated Financials'!F172)/F106</f>
        <v>0.30555555555555558</v>
      </c>
      <c r="G137" s="253">
        <f>(G109-'Restated Financials'!G172)/G106</f>
        <v>0.28536051052481187</v>
      </c>
      <c r="H137" s="246"/>
    </row>
    <row r="138" spans="1:8" x14ac:dyDescent="0.2">
      <c r="A138" s="221"/>
      <c r="B138" s="251" t="s">
        <v>607</v>
      </c>
      <c r="C138" s="252">
        <f>(C107+C108)/C106</f>
        <v>0.44278606965174128</v>
      </c>
      <c r="D138" s="252">
        <f>(D107+D108)/D106</f>
        <v>0.23497267759562843</v>
      </c>
      <c r="E138" s="252">
        <f>(E107+E108)/E106</f>
        <v>0.3128654970760234</v>
      </c>
      <c r="F138" s="252">
        <f>(F107+F108)/F106</f>
        <v>0.30555555555555558</v>
      </c>
      <c r="G138" s="253">
        <f>(G107+G108)/G106</f>
        <v>8.7817887417849308E-2</v>
      </c>
      <c r="H138" s="246"/>
    </row>
    <row r="139" spans="1:8" x14ac:dyDescent="0.2">
      <c r="A139" s="221"/>
      <c r="B139" s="251" t="s">
        <v>608</v>
      </c>
      <c r="C139" s="252">
        <f>('Restated Financials'!C178+'Restated Financials'!C181+'Restated Financials'!C182)/'Restated Financials'!C140</f>
        <v>6.5375302663438259E-2</v>
      </c>
      <c r="D139" s="252">
        <f>('Restated Financials'!D178+'Restated Financials'!D181+'Restated Financials'!D182)/'Restated Financials'!D140</f>
        <v>0.13588850174216027</v>
      </c>
      <c r="E139" s="252">
        <f>('Restated Financials'!E178+'Restated Financials'!E181+'Restated Financials'!E182)/'Restated Financials'!E140</f>
        <v>0.176056338028169</v>
      </c>
      <c r="F139" s="252">
        <f>('Restated Financials'!F178+'Restated Financials'!F181+'Restated Financials'!F182)/'Restated Financials'!F140</f>
        <v>0.14398734177215189</v>
      </c>
      <c r="G139" s="253">
        <f>('Restated Financials'!G178+'Restated Financials'!G181+'Restated Financials'!G182)/'Restated Financials'!G140</f>
        <v>6.2115292219270972E-2</v>
      </c>
      <c r="H139" s="246"/>
    </row>
    <row r="140" spans="1:8" x14ac:dyDescent="0.2">
      <c r="A140" s="221"/>
      <c r="B140" s="251" t="s">
        <v>609</v>
      </c>
      <c r="C140" s="252">
        <f>('Restated Financials'!C178+'Restated Financials'!C181)/'Restated Financials'!C140</f>
        <v>6.2953995157384993E-2</v>
      </c>
      <c r="D140" s="252">
        <f>('Restated Financials'!D178+'Restated Financials'!D181)/'Restated Financials'!D140</f>
        <v>0.12543554006968641</v>
      </c>
      <c r="E140" s="252">
        <f>('Restated Financials'!E178+'Restated Financials'!E181)/'Restated Financials'!E140</f>
        <v>0.16373239436619719</v>
      </c>
      <c r="F140" s="252">
        <f>('Restated Financials'!F178+'Restated Financials'!F181)/'Restated Financials'!F140</f>
        <v>0.13132911392405064</v>
      </c>
      <c r="G140" s="253">
        <f>('Restated Financials'!G178+'Restated Financials'!G181)/'Restated Financials'!G140</f>
        <v>5.4563914750115586E-2</v>
      </c>
      <c r="H140" s="246"/>
    </row>
    <row r="141" spans="1:8" x14ac:dyDescent="0.2">
      <c r="A141" s="221"/>
      <c r="B141" s="251" t="s">
        <v>610</v>
      </c>
      <c r="C141" s="252">
        <f>(C95+'Restated Financials'!C34+C91+C96)/C91</f>
        <v>-340.49999999999955</v>
      </c>
      <c r="D141" s="252">
        <f>(D95+'Restated Financials'!D34+D91+D96)/D91</f>
        <v>-67.157894736842124</v>
      </c>
      <c r="E141" s="252">
        <f>(E95+'Restated Financials'!E34+E91+E96)/E91</f>
        <v>-157.91666666666669</v>
      </c>
      <c r="F141" s="252">
        <f>(F95+'Restated Financials'!F34+F91+F96)/F91</f>
        <v>-213.1666666666668</v>
      </c>
      <c r="G141" s="253">
        <f>(G95+'Restated Financials'!G34+G91+G96)/G91</f>
        <v>-155.03680336487909</v>
      </c>
      <c r="H141" s="246"/>
    </row>
    <row r="142" spans="1:8" x14ac:dyDescent="0.2">
      <c r="A142" s="221"/>
      <c r="B142" s="251" t="s">
        <v>611</v>
      </c>
      <c r="C142" s="252">
        <f>C89/C91</f>
        <v>-385.99999999999949</v>
      </c>
      <c r="D142" s="252">
        <f>D89/D91</f>
        <v>-74.736842105263179</v>
      </c>
      <c r="E142" s="252">
        <f>E89/E91</f>
        <v>-173.25</v>
      </c>
      <c r="F142" s="252">
        <f>F89/F91</f>
        <v>-225.08333333333346</v>
      </c>
      <c r="G142" s="253">
        <f>G89/G91</f>
        <v>-166.44374342797056</v>
      </c>
      <c r="H142" s="246"/>
    </row>
    <row r="143" spans="1:8" x14ac:dyDescent="0.2">
      <c r="A143" s="221"/>
      <c r="B143" s="251" t="s">
        <v>612</v>
      </c>
      <c r="C143" s="252">
        <f>C93/'Restated Financials'!C37</f>
        <v>73.500000000000412</v>
      </c>
      <c r="D143" s="252">
        <f>D93/'Restated Financials'!D37</f>
        <v>14.277777777777739</v>
      </c>
      <c r="E143" s="252">
        <f>E93/'Restated Financials'!E37</f>
        <v>23.916666666666668</v>
      </c>
      <c r="F143" s="252">
        <f>F93/'Restated Financials'!F37</f>
        <v>19.833333333333194</v>
      </c>
      <c r="G143" s="253">
        <f>G93/'Restated Financials'!G37</f>
        <v>20.46548956661314</v>
      </c>
      <c r="H143" s="246"/>
    </row>
    <row r="144" spans="1:8" x14ac:dyDescent="0.2">
      <c r="A144" s="221"/>
      <c r="B144" s="251" t="s">
        <v>442</v>
      </c>
      <c r="C144" s="252">
        <f>(C97+'Restated Financials'!C34+C91)/(C91+'Common Size'!C112)</f>
        <v>42.000000000000419</v>
      </c>
      <c r="D144" s="252">
        <f>(D97+'Restated Financials'!D34+D91)/(D91+'Common Size'!D112)</f>
        <v>9.5789473684210158</v>
      </c>
      <c r="E144" s="252">
        <f>(E97+'Restated Financials'!E34+E91)/(E91+'Common Size'!E112)</f>
        <v>6.1261176343854356</v>
      </c>
      <c r="F144" s="252">
        <f>(F97+'Restated Financials'!F34+F91)/(F91+'Common Size'!F112)</f>
        <v>12.305309734513203</v>
      </c>
      <c r="G144" s="253">
        <f>(G97+'Restated Financials'!G34+G91)/(G91+'Common Size'!G112)</f>
        <v>7.1122594606581861</v>
      </c>
      <c r="H144" s="246"/>
    </row>
    <row r="145" spans="1:8" x14ac:dyDescent="0.2">
      <c r="A145" s="221"/>
      <c r="B145" s="251" t="s">
        <v>613</v>
      </c>
      <c r="C145" s="252">
        <f>C89/(C91+'Common Size'!C112)</f>
        <v>-385.99999999999949</v>
      </c>
      <c r="D145" s="252">
        <f>D89/(D91+'Common Size'!D112)</f>
        <v>-74.736842105263179</v>
      </c>
      <c r="E145" s="252">
        <f>E89/(E91+'Common Size'!E112)</f>
        <v>-56.605326941721422</v>
      </c>
      <c r="F145" s="252">
        <f>F89/(F91+'Common Size'!F112)</f>
        <v>-111.90788415124703</v>
      </c>
      <c r="G145" s="253">
        <f>G89/(G91+'Common Size'!G112)</f>
        <v>-54.969986597102732</v>
      </c>
      <c r="H145" s="246"/>
    </row>
    <row r="146" spans="1:8" x14ac:dyDescent="0.2">
      <c r="A146" s="221"/>
      <c r="B146" s="251" t="s">
        <v>614</v>
      </c>
      <c r="C146" s="252" t="e">
        <f>C112/C104</f>
        <v>#DIV/0!</v>
      </c>
      <c r="D146" s="252" t="e">
        <f>D112/D104</f>
        <v>#DIV/0!</v>
      </c>
      <c r="E146" s="252" t="e">
        <f>E112/E104</f>
        <v>#DIV/0!</v>
      </c>
      <c r="F146" s="252" t="e">
        <f>F112/F104</f>
        <v>#DIV/0!</v>
      </c>
      <c r="G146" s="253" t="e">
        <f>G112/G104</f>
        <v>#REF!</v>
      </c>
      <c r="H146" s="246"/>
    </row>
    <row r="147" spans="1:8" x14ac:dyDescent="0.2">
      <c r="A147" s="221"/>
      <c r="B147" s="251" t="s">
        <v>615</v>
      </c>
      <c r="C147" s="252" t="e">
        <f>(C97+'Restated Financials'!C54+'Restated Financials'!C34-'Restated Financials'!C73)/C104</f>
        <v>#DIV/0!</v>
      </c>
      <c r="D147" s="252" t="e">
        <f>(D97+'Restated Financials'!D54+'Restated Financials'!D34-'Restated Financials'!D73)/D104</f>
        <v>#DIV/0!</v>
      </c>
      <c r="E147" s="252" t="e">
        <f>(E97+'Restated Financials'!E54+'Restated Financials'!E34-'Restated Financials'!E73)/E104</f>
        <v>#DIV/0!</v>
      </c>
      <c r="F147" s="252" t="e">
        <f>(F97+'Restated Financials'!F54+'Restated Financials'!F34-'Restated Financials'!F73)/F104</f>
        <v>#DIV/0!</v>
      </c>
      <c r="G147" s="253" t="e">
        <f>(G97+'Restated Financials'!G54+'Restated Financials'!G34-'Restated Financials'!G73)/G104</f>
        <v>#DIV/0!</v>
      </c>
      <c r="H147" s="246"/>
    </row>
    <row r="148" spans="1:8" x14ac:dyDescent="0.2">
      <c r="A148" s="221"/>
      <c r="B148" s="251" t="s">
        <v>616</v>
      </c>
      <c r="C148" s="252" t="e">
        <f>(C97+'Restated Financials'!C54+'Restated Financials'!C34-'Restated Financials'!C73+'Restated Financials'!C178+'Restated Financials'!C181)/'Common Size'!C112</f>
        <v>#DIV/0!</v>
      </c>
      <c r="D148" s="252" t="e">
        <f>(D97+'Restated Financials'!D54+'Restated Financials'!D34-'Restated Financials'!D73+'Restated Financials'!D178+'Restated Financials'!D181)/'Common Size'!D112</f>
        <v>#DIV/0!</v>
      </c>
      <c r="E148" s="252">
        <f>(E97+'Restated Financials'!E54+'Restated Financials'!E34-'Restated Financials'!E73+'Restated Financials'!E178+'Restated Financials'!E181)/'Common Size'!E112</f>
        <v>46.222920000000002</v>
      </c>
      <c r="F148" s="252">
        <f>(F97+'Restated Financials'!F54+'Restated Financials'!F34-'Restated Financials'!F73+'Restated Financials'!F178+'Restated Financials'!F181)/'Common Size'!F112</f>
        <v>91.875999999999863</v>
      </c>
      <c r="G148" s="253">
        <f>(G97+'Restated Financials'!G54+'Restated Financials'!G34-'Restated Financials'!G73+'Restated Financials'!G178+'Restated Financials'!G181)/'Common Size'!G112</f>
        <v>25.731449087826373</v>
      </c>
      <c r="H148" s="246"/>
    </row>
    <row r="149" spans="1:8" x14ac:dyDescent="0.2">
      <c r="A149" s="221"/>
      <c r="B149" s="251" t="s">
        <v>617</v>
      </c>
      <c r="C149" s="252">
        <f>(C91+'Common Size'!C112)/C112</f>
        <v>-7.1428571428571508E-2</v>
      </c>
      <c r="D149" s="252">
        <f>(D91+'Common Size'!D112)/D112</f>
        <v>-2.2300469483568081E-2</v>
      </c>
      <c r="E149" s="252">
        <f>(E91+'Common Size'!E112)/E112</f>
        <v>-1.9453385639323379E-2</v>
      </c>
      <c r="F149" s="252">
        <f>(F91+'Common Size'!F112)/F112</f>
        <v>-7.9488612600767637E-3</v>
      </c>
      <c r="G149" s="253" t="e">
        <f>(G91+'Common Size'!G112)/G112</f>
        <v>#REF!</v>
      </c>
      <c r="H149" s="246"/>
    </row>
    <row r="150" spans="1:8" x14ac:dyDescent="0.2">
      <c r="A150" s="221"/>
      <c r="B150" s="251" t="s">
        <v>618</v>
      </c>
      <c r="C150" s="252">
        <f>C104/C89</f>
        <v>0</v>
      </c>
      <c r="D150" s="252">
        <f>D104/D89</f>
        <v>0</v>
      </c>
      <c r="E150" s="252">
        <f>E104/E89</f>
        <v>0</v>
      </c>
      <c r="F150" s="252">
        <f>F104/F89</f>
        <v>0</v>
      </c>
      <c r="G150" s="253">
        <f>G104/G89</f>
        <v>0</v>
      </c>
      <c r="H150" s="246"/>
    </row>
    <row r="151" spans="1:8" x14ac:dyDescent="0.2">
      <c r="A151" s="221"/>
      <c r="B151" s="251" t="s">
        <v>619</v>
      </c>
      <c r="C151" s="252">
        <f>C104/C94</f>
        <v>0</v>
      </c>
      <c r="D151" s="252">
        <f>D104/D94</f>
        <v>0</v>
      </c>
      <c r="E151" s="252">
        <f>E104/E94</f>
        <v>0</v>
      </c>
      <c r="F151" s="252">
        <f>F104/F94</f>
        <v>0</v>
      </c>
      <c r="G151" s="253">
        <f>G104/G94</f>
        <v>0</v>
      </c>
      <c r="H151" s="246"/>
    </row>
    <row r="152" spans="1:8" x14ac:dyDescent="0.2">
      <c r="A152" s="221"/>
      <c r="B152" s="251" t="s">
        <v>620</v>
      </c>
      <c r="C152" s="252">
        <f>(C106+C102)/C99</f>
        <v>1.425531914893617</v>
      </c>
      <c r="D152" s="252">
        <f>(D106+D102)/D99</f>
        <v>1.2534246575342465</v>
      </c>
      <c r="E152" s="252">
        <f>(E106+E102)/E99</f>
        <v>0.8280871670702179</v>
      </c>
      <c r="F152" s="252">
        <f>(F106+F102)/F99</f>
        <v>0.53820598006644516</v>
      </c>
      <c r="G152" s="253">
        <f>(G106+G102)/G99</f>
        <v>1.0579048130856816</v>
      </c>
      <c r="H152" s="246"/>
    </row>
    <row r="153" spans="1:8" x14ac:dyDescent="0.2">
      <c r="A153" s="221"/>
      <c r="B153" s="251" t="s">
        <v>621</v>
      </c>
      <c r="C153" s="252">
        <f>(C106+C102)/(C99-'Restated Financials'!C190-'Restated Financials'!C192)</f>
        <v>1.425531914893617</v>
      </c>
      <c r="D153" s="252">
        <f>(D106+D102)/(D99-'Restated Financials'!D190-'Restated Financials'!D192)</f>
        <v>1.2534246575342465</v>
      </c>
      <c r="E153" s="252">
        <f>(E106+E102)/(E99-'Restated Financials'!E190-'Restated Financials'!E192)</f>
        <v>0.8280871670702179</v>
      </c>
      <c r="F153" s="252">
        <f>(F106+F102)/(F99-'Restated Financials'!F190-'Restated Financials'!F192)</f>
        <v>0.53820598006644516</v>
      </c>
      <c r="G153" s="253">
        <f>(G106+G102)/(G99-'Restated Financials'!G190-'Restated Financials'!G192)</f>
        <v>1.0579048130856816</v>
      </c>
      <c r="H153" s="246"/>
    </row>
    <row r="154" spans="1:8" x14ac:dyDescent="0.2">
      <c r="A154" s="221"/>
      <c r="B154" s="251" t="s">
        <v>622</v>
      </c>
      <c r="C154" s="252">
        <f>(C106+C102-C103)/(C99-'Restated Financials'!C190-'Restated Financials'!C192+C103)</f>
        <v>0.82887700534759357</v>
      </c>
      <c r="D154" s="252">
        <f>(D106+D102-D103)/(D99-'Restated Financials'!D190-'Restated Financials'!D192+D103)</f>
        <v>0.67005076142131981</v>
      </c>
      <c r="E154" s="252">
        <f>(E106+E102-E103)/(E99-'Restated Financials'!E190-'Restated Financials'!E192+E103)</f>
        <v>0.8280871670702179</v>
      </c>
      <c r="F154" s="252">
        <f>(F106+F102-F103)/(F99-'Restated Financials'!F190-'Restated Financials'!F192+F103)</f>
        <v>0.53820598006644516</v>
      </c>
      <c r="G154" s="253">
        <f>(G106+G102-G103)/(G99-'Restated Financials'!G190-'Restated Financials'!G192+G103)</f>
        <v>1.0579048130856816</v>
      </c>
      <c r="H154" s="246"/>
    </row>
    <row r="155" spans="1:8" x14ac:dyDescent="0.2">
      <c r="A155" s="221"/>
      <c r="B155" s="251" t="s">
        <v>623</v>
      </c>
      <c r="C155" s="252">
        <f>(C106+C102-C103)/C117</f>
        <v>0.98726114649681529</v>
      </c>
      <c r="D155" s="252">
        <f>(D106+D102-D103)/D117</f>
        <v>0.76521739130434785</v>
      </c>
      <c r="E155" s="252">
        <f>(E106+E102-E103)/E117</f>
        <v>0.93442622950819676</v>
      </c>
      <c r="F155" s="252">
        <f>(F106+F102-F103)/F117</f>
        <v>0.56152512998266901</v>
      </c>
      <c r="G155" s="253">
        <f>(G106+G102-G103)/G117</f>
        <v>1.08804191375439</v>
      </c>
      <c r="H155" s="246"/>
    </row>
    <row r="156" spans="1:8" x14ac:dyDescent="0.2">
      <c r="A156" s="221"/>
      <c r="B156" s="251" t="s">
        <v>624</v>
      </c>
      <c r="C156" s="252">
        <f>C104/C99</f>
        <v>0</v>
      </c>
      <c r="D156" s="252">
        <f>D104/D99</f>
        <v>0</v>
      </c>
      <c r="E156" s="252">
        <f>E104/E99</f>
        <v>0</v>
      </c>
      <c r="F156" s="252">
        <f>F104/F99</f>
        <v>0</v>
      </c>
      <c r="G156" s="253">
        <f>G104/G99</f>
        <v>0</v>
      </c>
      <c r="H156" s="246"/>
    </row>
    <row r="157" spans="1:8" x14ac:dyDescent="0.2">
      <c r="A157" s="221"/>
      <c r="B157" s="251" t="s">
        <v>625</v>
      </c>
      <c r="C157" s="252">
        <f>('Restated Financials'!C172+'Restated Financials'!C182)/C82</f>
        <v>4.0000000000000001E-3</v>
      </c>
      <c r="D157" s="252">
        <f>('Restated Financials'!D172+'Restated Financials'!D182)/D82</f>
        <v>3.2000000000000001E-2</v>
      </c>
      <c r="E157" s="252">
        <f>('Restated Financials'!E172+'Restated Financials'!E182)/E82</f>
        <v>2.8000000000000001E-2</v>
      </c>
      <c r="F157" s="252">
        <f>('Restated Financials'!F172+'Restated Financials'!F182)/F82</f>
        <v>3.170828378913991E-2</v>
      </c>
      <c r="G157" s="253">
        <f>('Restated Financials'!G172+'Restated Financials'!G182)/G82</f>
        <v>5.6942584862565968E-2</v>
      </c>
      <c r="H157" s="246"/>
    </row>
    <row r="158" spans="1:8" x14ac:dyDescent="0.2">
      <c r="A158" s="221"/>
      <c r="B158" s="251" t="s">
        <v>626</v>
      </c>
      <c r="C158" s="252">
        <f>C109/C82</f>
        <v>0.64800000000000002</v>
      </c>
      <c r="D158" s="252">
        <f>D109/D82</f>
        <v>0.76800000000000002</v>
      </c>
      <c r="E158" s="252">
        <f>E109/E82</f>
        <v>0.42799999999999999</v>
      </c>
      <c r="F158" s="252">
        <f>F109/F82</f>
        <v>0.3923900118906064</v>
      </c>
      <c r="G158" s="253">
        <f>G109/G82</f>
        <v>1.0859651886272348</v>
      </c>
      <c r="H158" s="246"/>
    </row>
    <row r="159" spans="1:8" x14ac:dyDescent="0.2">
      <c r="A159" s="221"/>
      <c r="B159" s="251" t="s">
        <v>627</v>
      </c>
      <c r="C159" s="252">
        <f>(C107/C82)*365</f>
        <v>1.46</v>
      </c>
      <c r="D159" s="252">
        <f>(D107/D82)*365</f>
        <v>11.68</v>
      </c>
      <c r="E159" s="252">
        <f>(E107/E82)*365</f>
        <v>10.220000000000001</v>
      </c>
      <c r="F159" s="252">
        <f>(F107/F82)*365</f>
        <v>11.573523583036067</v>
      </c>
      <c r="G159" s="253">
        <f>(G107/G82)*365</f>
        <v>20.784043474836579</v>
      </c>
      <c r="H159" s="246"/>
    </row>
    <row r="160" spans="1:8" x14ac:dyDescent="0.2">
      <c r="A160" s="221"/>
      <c r="B160" s="251" t="s">
        <v>628</v>
      </c>
      <c r="C160" s="252">
        <f>((C109-C106)/C82)*365</f>
        <v>-56.94</v>
      </c>
      <c r="D160" s="252">
        <f>((D109-D106)/D82)*365</f>
        <v>-254.04</v>
      </c>
      <c r="E160" s="252">
        <f>((E109-E106)/E82)*365</f>
        <v>-343.09999999999997</v>
      </c>
      <c r="F160" s="252">
        <f>((F109-F106)/F82)*365</f>
        <v>-325.50535077288941</v>
      </c>
      <c r="G160" s="253">
        <f>((G109-G106)/G82)*365</f>
        <v>-961.78664251397959</v>
      </c>
      <c r="H160" s="246"/>
    </row>
    <row r="161" spans="1:8" x14ac:dyDescent="0.2">
      <c r="A161" s="221"/>
      <c r="B161" s="251" t="s">
        <v>629</v>
      </c>
      <c r="C161" s="252">
        <f>C159+C165-C167</f>
        <v>-71.511707420905054</v>
      </c>
      <c r="D161" s="252">
        <f>D159+D165-D167</f>
        <v>-227.30616544262978</v>
      </c>
      <c r="E161" s="252">
        <f>E159+E165-E167</f>
        <v>10.220000000000001</v>
      </c>
      <c r="F161" s="252">
        <f>F159+F165-F167</f>
        <v>11.573523583036067</v>
      </c>
      <c r="G161" s="253">
        <f>G159+G165-G167</f>
        <v>-422.78524737356781</v>
      </c>
      <c r="H161" s="246"/>
    </row>
    <row r="162" spans="1:8" x14ac:dyDescent="0.2">
      <c r="A162" s="221"/>
      <c r="B162" s="251" t="s">
        <v>630</v>
      </c>
      <c r="C162" s="252">
        <f>'Restated Financials'!C172/C107</f>
        <v>0</v>
      </c>
      <c r="D162" s="252">
        <f>'Restated Financials'!D172/D107</f>
        <v>0.25</v>
      </c>
      <c r="E162" s="252">
        <f>'Restated Financials'!E172/E107</f>
        <v>0</v>
      </c>
      <c r="F162" s="252">
        <f>'Restated Financials'!F172/F107</f>
        <v>0</v>
      </c>
      <c r="G162" s="253">
        <f>'Restated Financials'!G172/G107</f>
        <v>0.4239280774550484</v>
      </c>
      <c r="H162" s="246"/>
    </row>
    <row r="163" spans="1:8" x14ac:dyDescent="0.2">
      <c r="A163" s="221"/>
      <c r="B163" s="251" t="s">
        <v>631</v>
      </c>
      <c r="C163" s="252">
        <f>(C109-C106)/(C109-(C106-'Restated Financials'!C112-'Restated Financials'!C114))</f>
        <v>-0.23214285714285715</v>
      </c>
      <c r="D163" s="252">
        <f>(D109-D106)/(D109-(D106-'Restated Financials'!D112-'Restated Financials'!D114))</f>
        <v>-6.2142857142857144</v>
      </c>
      <c r="E163" s="252">
        <f>(E109-E106)/(E109-(E106-'Restated Financials'!E112-'Restated Financials'!E114))</f>
        <v>6.9117647058823533</v>
      </c>
      <c r="F163" s="252">
        <f>(F109-F106)/(F109-(F106-'Restated Financials'!F112-'Restated Financials'!F114))</f>
        <v>-3.3088235294117645</v>
      </c>
      <c r="G163" s="253">
        <f>(G109-G106)/(G109-(G106-'Restated Financials'!G112-'Restated Financials'!G114))</f>
        <v>1.1163310588745601</v>
      </c>
      <c r="H163" s="246"/>
    </row>
    <row r="164" spans="1:8" x14ac:dyDescent="0.2">
      <c r="A164" s="221"/>
      <c r="B164" s="251" t="s">
        <v>632</v>
      </c>
      <c r="C164" s="252">
        <f>(C109-C106-(C102-'Restated Financials'!C159))/(C109-(C106-'Restated Financials'!C112-'Restated Financials'!C114))</f>
        <v>0.8928571428571429</v>
      </c>
      <c r="D164" s="252">
        <f>(D109-D106-(D102-'Restated Financials'!D159))/(D109-(D106-'Restated Financials'!D112-'Restated Financials'!D114))</f>
        <v>10.071428571428571</v>
      </c>
      <c r="E164" s="252">
        <f>(E109-E106-(E102-'Restated Financials'!E159))/(E109-(E106-'Restated Financials'!E112-'Restated Financials'!E114))</f>
        <v>-11.970588235294118</v>
      </c>
      <c r="F164" s="252">
        <f>(F109-F106-(F102-'Restated Financials'!F159))/(F109-(F106-'Restated Financials'!F112-'Restated Financials'!F114))</f>
        <v>10.132352941176471</v>
      </c>
      <c r="G164" s="253">
        <f>(G109-G106-(G102-'Restated Financials'!G159))/(G109-(G106-'Restated Financials'!G112-'Restated Financials'!G114))</f>
        <v>-1.2329457299678019</v>
      </c>
      <c r="H164" s="246"/>
    </row>
    <row r="165" spans="1:8" x14ac:dyDescent="0.2">
      <c r="A165" s="221"/>
      <c r="B165" s="251" t="s">
        <v>633</v>
      </c>
      <c r="C165" s="252">
        <f>('Restated Financials'!C170/('Restated Financials'!C20+'Restated Financials'!C21))*365</f>
        <v>100.15787693117319</v>
      </c>
      <c r="D165" s="252">
        <f>('Restated Financials'!D170/('Restated Financials'!D20+'Restated Financials'!D21))*365</f>
        <v>121.79688975634326</v>
      </c>
      <c r="E165" s="252">
        <f>('Restated Financials'!E170/('Restated Financials'!E20+'Restated Financials'!E21))*365</f>
        <v>0</v>
      </c>
      <c r="F165" s="252">
        <f>('Restated Financials'!F170/('Restated Financials'!F20+'Restated Financials'!F21))*365</f>
        <v>0</v>
      </c>
      <c r="G165" s="253">
        <f>('Restated Financials'!G170/('Restated Financials'!G20+'Restated Financials'!G21))*365</f>
        <v>156.15549342032267</v>
      </c>
      <c r="H165" s="246"/>
    </row>
    <row r="166" spans="1:8" x14ac:dyDescent="0.2">
      <c r="A166" s="221"/>
      <c r="B166" s="251" t="s">
        <v>634</v>
      </c>
      <c r="C166" s="252">
        <f>(C107/Sheet1!C30)*365</f>
        <v>1.46</v>
      </c>
      <c r="D166" s="252">
        <f>(D107/Sheet1!D30)*365</f>
        <v>11.68</v>
      </c>
      <c r="E166" s="252">
        <f>(E107/Sheet1!E30)*365</f>
        <v>10.220000000000001</v>
      </c>
      <c r="F166" s="252">
        <f>(F107/Sheet1!F30)*365</f>
        <v>11.573523583036067</v>
      </c>
      <c r="G166" s="253">
        <f>(G107/Sheet1!G30)*365</f>
        <v>20.784043474836579</v>
      </c>
      <c r="H166" s="246"/>
    </row>
    <row r="167" spans="1:8" x14ac:dyDescent="0.2">
      <c r="A167" s="221"/>
      <c r="B167" s="251" t="s">
        <v>635</v>
      </c>
      <c r="C167" s="252">
        <f>('Restated Financials'!C129/('Restated Financials'!C12+'Restated Financials'!C21))*365</f>
        <v>173.12958435207824</v>
      </c>
      <c r="D167" s="252">
        <f>('Restated Financials'!D129/('Restated Financials'!D12+'Restated Financials'!D21))*365</f>
        <v>360.78305519897305</v>
      </c>
      <c r="E167" s="252">
        <f>('Restated Financials'!E129/('Restated Financials'!E12+'Restated Financials'!E21))*365</f>
        <v>0</v>
      </c>
      <c r="F167" s="252">
        <f>('Restated Financials'!F129/('Restated Financials'!F12+'Restated Financials'!F21))*365</f>
        <v>0</v>
      </c>
      <c r="G167" s="253">
        <f>('Restated Financials'!G129/('Restated Financials'!G12+'Restated Financials'!G21))*365</f>
        <v>599.72478426872703</v>
      </c>
      <c r="H167" s="246"/>
    </row>
    <row r="168" spans="1:8" x14ac:dyDescent="0.2">
      <c r="A168" s="221"/>
      <c r="B168" s="251" t="s">
        <v>636</v>
      </c>
      <c r="C168" s="252">
        <f>C165+C166-C167</f>
        <v>-71.511707420905054</v>
      </c>
      <c r="D168" s="252">
        <f>D165+D166-D167</f>
        <v>-227.30616544262978</v>
      </c>
      <c r="E168" s="252">
        <f>E165+E166-E167</f>
        <v>10.220000000000001</v>
      </c>
      <c r="F168" s="252">
        <f>F165+F166-F167</f>
        <v>11.573523583036067</v>
      </c>
      <c r="G168" s="253">
        <f>G165+G166-G167</f>
        <v>-422.78524737356781</v>
      </c>
      <c r="H168" s="246"/>
    </row>
    <row r="169" spans="1:8" x14ac:dyDescent="0.2">
      <c r="A169" s="221"/>
      <c r="B169" s="251" t="s">
        <v>637</v>
      </c>
      <c r="C169" s="252">
        <f>(C109-C106)/365</f>
        <v>-0.10684931506849316</v>
      </c>
      <c r="D169" s="252">
        <f>(D109-D106)/365</f>
        <v>-0.47671232876712327</v>
      </c>
      <c r="E169" s="252">
        <f>(E109-E106)/365</f>
        <v>-0.64383561643835618</v>
      </c>
      <c r="F169" s="252">
        <f>(F109-F106)/365</f>
        <v>-0.61643835616438358</v>
      </c>
      <c r="G169" s="253">
        <f>(G109-G106)/365</f>
        <v>-1.8332602739726027</v>
      </c>
      <c r="H169" s="246"/>
    </row>
    <row r="170" spans="1:8" x14ac:dyDescent="0.2">
      <c r="A170" s="221"/>
      <c r="B170" s="251" t="s">
        <v>638</v>
      </c>
      <c r="C170" s="252">
        <f>('Restated Financials'!C190+'Restated Financials'!C192)/C99</f>
        <v>0</v>
      </c>
      <c r="D170" s="252">
        <f>('Restated Financials'!D190+'Restated Financials'!D192)/D99</f>
        <v>0</v>
      </c>
      <c r="E170" s="252">
        <f>('Restated Financials'!E190+'Restated Financials'!E192)/E99</f>
        <v>0</v>
      </c>
      <c r="F170" s="252">
        <f>('Restated Financials'!F190+'Restated Financials'!F192)/F99</f>
        <v>0</v>
      </c>
      <c r="G170" s="253">
        <f>('Restated Financials'!G190+'Restated Financials'!G192)/G99</f>
        <v>0</v>
      </c>
      <c r="H170" s="246"/>
    </row>
    <row r="171" spans="1:8" x14ac:dyDescent="0.2">
      <c r="A171" s="221"/>
      <c r="B171" s="251" t="s">
        <v>639</v>
      </c>
      <c r="C171" s="252">
        <f>C110/C99</f>
        <v>42.553191489361701</v>
      </c>
      <c r="D171" s="252">
        <f>D110/D99</f>
        <v>20.547945205479451</v>
      </c>
      <c r="E171" s="252">
        <f>E110/E99</f>
        <v>14.527845036319613</v>
      </c>
      <c r="F171" s="252">
        <f>F110/F99</f>
        <v>9.9667774086378742</v>
      </c>
      <c r="G171" s="253">
        <f>G110/G99</f>
        <v>6.7174957175964805</v>
      </c>
      <c r="H171" s="246"/>
    </row>
    <row r="172" spans="1:8" x14ac:dyDescent="0.2">
      <c r="A172" s="221"/>
      <c r="B172" s="251" t="s">
        <v>640</v>
      </c>
      <c r="C172" s="252">
        <f>C165+C166-C167</f>
        <v>-71.511707420905054</v>
      </c>
      <c r="D172" s="252">
        <f>D165+D166-D167</f>
        <v>-227.30616544262978</v>
      </c>
      <c r="E172" s="252">
        <f>E165+E166-E167</f>
        <v>10.220000000000001</v>
      </c>
      <c r="F172" s="252">
        <f>F165+F166-F167</f>
        <v>11.573523583036067</v>
      </c>
      <c r="G172" s="253">
        <f>G165+G166-G167</f>
        <v>-422.78524737356781</v>
      </c>
      <c r="H172" s="246"/>
    </row>
    <row r="173" spans="1:8" x14ac:dyDescent="0.2">
      <c r="A173" s="221"/>
      <c r="B173" s="251" t="s">
        <v>641</v>
      </c>
      <c r="C173" s="252"/>
      <c r="D173" s="252"/>
      <c r="E173" s="252"/>
      <c r="F173" s="252"/>
      <c r="G173" s="253"/>
      <c r="H173" s="246"/>
    </row>
    <row r="174" spans="1:8" x14ac:dyDescent="0.2">
      <c r="A174" s="221"/>
      <c r="B174" s="251" t="s">
        <v>642</v>
      </c>
      <c r="C174" s="252"/>
      <c r="D174" s="252"/>
      <c r="E174" s="252"/>
      <c r="F174" s="252"/>
      <c r="G174" s="253"/>
      <c r="H174" s="246"/>
    </row>
    <row r="175" spans="1:8" x14ac:dyDescent="0.2">
      <c r="A175" s="240"/>
      <c r="B175" s="241"/>
      <c r="C175" s="242"/>
      <c r="D175" s="242"/>
      <c r="E175" s="242"/>
      <c r="F175" s="242"/>
      <c r="G175" s="242"/>
      <c r="H175" s="2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showGridLines="0" topLeftCell="A54" zoomScale="80" zoomScaleNormal="80" workbookViewId="0">
      <selection activeCell="B54" sqref="B54"/>
    </sheetView>
  </sheetViews>
  <sheetFormatPr defaultRowHeight="12.75" x14ac:dyDescent="0.2"/>
  <cols>
    <col min="1" max="1" customWidth="true" style="298" width="4.5703125" collapsed="true"/>
    <col min="2" max="2" customWidth="true" style="298" width="64.7109375" collapsed="true"/>
    <col min="3" max="7" customWidth="true" style="298" width="13.85546875" collapsed="true"/>
    <col min="8" max="16384" style="298" width="9.140625" collapsed="true"/>
  </cols>
  <sheetData>
    <row r="1" spans="1:7" ht="19.5" thickBot="1" x14ac:dyDescent="0.25">
      <c r="A1" s="213"/>
      <c r="B1" s="297" t="s">
        <v>732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0" t="s">
        <v>529</v>
      </c>
      <c r="C3" s="303" t="str">
        <f>IF('Restated Financials'!C144=0,"N","Y")</f>
        <v>Y</v>
      </c>
      <c r="D3" s="303" t="str">
        <f>IF('Restated Financials'!D144=0,"N","Y")</f>
        <v>Y</v>
      </c>
      <c r="E3" s="303" t="str">
        <f>IF('Restated Financials'!E144=0,"N","Y")</f>
        <v>Y</v>
      </c>
      <c r="F3" s="303" t="str">
        <f>IF('Restated Financials'!F144=0,"N","Y")</f>
        <v>Y</v>
      </c>
      <c r="G3" s="304" t="str">
        <f>IF('Restated Financials'!G144=0,"N","Y")</f>
        <v>Y</v>
      </c>
    </row>
    <row r="4" spans="1:7" x14ac:dyDescent="0.2">
      <c r="A4" s="221"/>
      <c r="B4" s="251"/>
      <c r="C4" s="252"/>
      <c r="D4" s="252"/>
      <c r="E4" s="252"/>
      <c r="F4" s="252"/>
      <c r="G4" s="253"/>
    </row>
    <row r="5" spans="1:7" x14ac:dyDescent="0.2">
      <c r="A5" s="221"/>
      <c r="B5" s="259" t="s">
        <v>799</v>
      </c>
      <c r="C5" s="252"/>
      <c r="D5" s="252"/>
      <c r="E5" s="252"/>
      <c r="F5" s="252"/>
      <c r="G5" s="253"/>
    </row>
    <row r="6" spans="1:7" x14ac:dyDescent="0.2">
      <c r="A6" s="221"/>
      <c r="B6" s="251" t="s">
        <v>443</v>
      </c>
      <c r="C6" s="252">
        <f>IF(C3="Y",ROUND(((('Restated Financials'!C71+'Restated Financials'!C68+'Restated Financials'!C67+'Restated Financials'!C42+'Restated Financials'!C34)*12/Sheet1!C19)/('Restated Financials'!C42*12/Sheet1!C19)),2),-836)</f>
        <v>-378</v>
      </c>
      <c r="D6" s="252">
        <f>IF(D3="Y",ROUND(((('Restated Financials'!D71+'Restated Financials'!D68+'Restated Financials'!D67+'Restated Financials'!D42+'Restated Financials'!D34)*12/Sheet1!D19)/('Restated Financials'!D42*12/Sheet1!D19)),2),-836)</f>
        <v>-73.47</v>
      </c>
      <c r="E6" s="252">
        <f>IF(E3="Y",ROUND(((('Restated Financials'!E71+'Restated Financials'!E68+'Restated Financials'!E67+'Restated Financials'!E42+'Restated Financials'!E34)*12/Sheet1!E19)/('Restated Financials'!E42*12/Sheet1!E19)),2),-836)</f>
        <v>-170.92</v>
      </c>
      <c r="F6" s="252">
        <f>IF(F3="Y",ROUND(((('Restated Financials'!F71+'Restated Financials'!F68+'Restated Financials'!F67+'Restated Financials'!F42+'Restated Financials'!F34)*12/Sheet1!F19)/('Restated Financials'!F42*12/Sheet1!F19)),2),-836)</f>
        <v>-222.25</v>
      </c>
      <c r="G6" s="253">
        <f>IF(G3="Y",ROUND(((('Restated Financials'!G71+'Restated Financials'!G68+'Restated Financials'!G67+'Restated Financials'!G42+'Restated Financials'!G34)*12/Sheet1!G19)/('Restated Financials'!G42*12/Sheet1!G19)),2),-836)</f>
        <v>-164.59</v>
      </c>
    </row>
    <row r="7" spans="1:7" x14ac:dyDescent="0.2">
      <c r="A7" s="221"/>
      <c r="B7" s="251" t="s">
        <v>534</v>
      </c>
      <c r="C7" s="252">
        <f>IF(C3="Y",IFERROR(ROUND(('Restated Financials'!C187-'Restated Financials'!C170)/('Restated Financials'!C140),2),9999),-135)</f>
        <v>0.25</v>
      </c>
      <c r="D7" s="252">
        <f>IF(D3="Y",IFERROR(ROUND(('Restated Financials'!D187-'Restated Financials'!D170)/('Restated Financials'!D140),2),9999),-135)</f>
        <v>0.18</v>
      </c>
      <c r="E7" s="252">
        <f>IF(E3="Y",IFERROR(ROUND(('Restated Financials'!E187-'Restated Financials'!E170)/('Restated Financials'!E140),2),9999),-135)</f>
        <v>0.18</v>
      </c>
      <c r="F7" s="252">
        <f>IF(F3="Y",IFERROR(ROUND(('Restated Financials'!F187-'Restated Financials'!F170)/('Restated Financials'!F140),2),9999),-135)</f>
        <v>0.14000000000000001</v>
      </c>
      <c r="G7" s="253">
        <f>IF(G3="Y",IFERROR(ROUND(('Restated Financials'!G187-'Restated Financials'!G170)/('Restated Financials'!G140),2),9999),-135)</f>
        <v>0.09</v>
      </c>
    </row>
    <row r="8" spans="1:7" x14ac:dyDescent="0.2">
      <c r="A8" s="221"/>
      <c r="B8" s="251" t="s">
        <v>517</v>
      </c>
      <c r="C8" s="252">
        <f>IF(C3="Y",ROUND(('Restated Financials'!C126/('Restated Financials'!C32*12/Sheet1!C19)),2),9999)</f>
        <v>-3.43</v>
      </c>
      <c r="D8" s="252">
        <f>IF(D3="Y",ROUND(('Restated Financials'!D126/('Restated Financials'!D32*12/Sheet1!D19)),2),9999)</f>
        <v>-2.38</v>
      </c>
      <c r="E8" s="252">
        <f>IF(E3="Y",ROUND(('Restated Financials'!E126/('Restated Financials'!E32*12/Sheet1!E19)),2),9999)</f>
        <v>-1.1599999999999999</v>
      </c>
      <c r="F8" s="252">
        <f>IF(F3="Y",ROUND(('Restated Financials'!F126/('Restated Financials'!F32*12/Sheet1!F19)),2),9999)</f>
        <v>-1.1499999999999999</v>
      </c>
      <c r="G8" s="253">
        <f>IF(G3="Y",ROUND(('Restated Financials'!G126/('Restated Financials'!G32*12/Sheet1!G19)),2),9999)</f>
        <v>-1.42</v>
      </c>
    </row>
    <row r="9" spans="1:7" x14ac:dyDescent="0.2">
      <c r="A9" s="221"/>
      <c r="B9" s="251" t="s">
        <v>518</v>
      </c>
      <c r="C9" s="252">
        <f>IF(C3="Y",ROUND(IF(ISERROR(('Restated Financials'!C187-'Restated Financials'!C140)/('Restated Financials'!C187-('Restated Financials'!C140-'Restated Financials'!C112-'Restated Financials'!C114))),9999,(('Restated Financials'!C187-'Restated Financials'!C140)/('Restated Financials'!C187-('Restated Financials'!C140-'Restated Financials'!C112-'Restated Financials'!C114)))),2),-119)</f>
        <v>7.9</v>
      </c>
      <c r="D9" s="252">
        <f>IF(D3="Y",ROUND(IF(ISERROR(('Restated Financials'!D187-'Restated Financials'!D140)/('Restated Financials'!D187-('Restated Financials'!D140-'Restated Financials'!D112-'Restated Financials'!D114))),9999,(('Restated Financials'!D187-'Restated Financials'!D140)/('Restated Financials'!D187-('Restated Financials'!D140-'Restated Financials'!D112-'Restated Financials'!D114)))),2),-119)</f>
        <v>2.2200000000000002</v>
      </c>
      <c r="E9" s="252">
        <f>IF(E3="Y",ROUND(IF(ISERROR(('Restated Financials'!E187-'Restated Financials'!E140)/('Restated Financials'!E187-('Restated Financials'!E140-'Restated Financials'!E112-'Restated Financials'!E114))),9999,(('Restated Financials'!E187-'Restated Financials'!E140)/('Restated Financials'!E187-('Restated Financials'!E140-'Restated Financials'!E112-'Restated Financials'!E114)))),2),-119)</f>
        <v>1.75</v>
      </c>
      <c r="F9" s="252">
        <f>IF(F3="Y",ROUND(IF(ISERROR(('Restated Financials'!F187-'Restated Financials'!F140)/('Restated Financials'!F187-('Restated Financials'!F140-'Restated Financials'!F112-'Restated Financials'!F114))),9999,(('Restated Financials'!F187-'Restated Financials'!F140)/('Restated Financials'!F187-('Restated Financials'!F140-'Restated Financials'!F112-'Restated Financials'!F114)))),2),-119)</f>
        <v>2.1800000000000002</v>
      </c>
      <c r="G9" s="253">
        <f>IF(G3="Y",ROUND(IF(ISERROR(('Restated Financials'!G187-'Restated Financials'!G140)/('Restated Financials'!G187-('Restated Financials'!G140-'Restated Financials'!G112-'Restated Financials'!G114))),9999,(('Restated Financials'!G187-'Restated Financials'!G140)/('Restated Financials'!G187-('Restated Financials'!G140-'Restated Financials'!G112-'Restated Financials'!G114)))),2),-119)</f>
        <v>1.0900000000000001</v>
      </c>
    </row>
    <row r="10" spans="1:7" x14ac:dyDescent="0.2">
      <c r="A10" s="221"/>
      <c r="B10" s="251" t="s">
        <v>519</v>
      </c>
      <c r="C10" s="252">
        <f>ROUND('Key Financials'!C27,2)</f>
        <v>-51.07</v>
      </c>
      <c r="D10" s="252">
        <f>ROUND('Key Financials'!D27,2)</f>
        <v>-205.4</v>
      </c>
      <c r="E10" s="252">
        <f>ROUND('Key Financials'!E27,2)</f>
        <v>9999</v>
      </c>
      <c r="F10" s="252">
        <f>ROUND('Key Financials'!F27,2)</f>
        <v>9999</v>
      </c>
      <c r="G10" s="253">
        <f>ROUND('Key Financials'!G27,2)</f>
        <v>-404.1</v>
      </c>
    </row>
    <row r="11" spans="1:7" x14ac:dyDescent="0.2">
      <c r="A11" s="221"/>
      <c r="B11" s="251" t="s">
        <v>520</v>
      </c>
      <c r="C11" s="252">
        <f>IF(C3="Y",ROUND(('Restated Financials'!C109+'Restated Financials'!C140-'Restated Financials'!C104-'Restated Financials'!C116)/('Key Financials'!C47-'Restated Financials'!C161-'Restated Financials'!C190-'Restated Financials'!C192+'Restated Financials'!C104+'Restated Financials'!C116),2),9999)</f>
        <v>2.25</v>
      </c>
      <c r="D11" s="252">
        <f>IF(D3="Y",ROUND(('Restated Financials'!D109+'Restated Financials'!D140-'Restated Financials'!D104-'Restated Financials'!D116)/('Key Financials'!D47-'Restated Financials'!D161-'Restated Financials'!D190-'Restated Financials'!D192+'Restated Financials'!D104+'Restated Financials'!D116),2),9999)</f>
        <v>1.53</v>
      </c>
      <c r="E11" s="252">
        <f>IF(E3="Y",ROUND(('Restated Financials'!E109+'Restated Financials'!E140-'Restated Financials'!E104-'Restated Financials'!E116)/('Key Financials'!E47-'Restated Financials'!E161-'Restated Financials'!E190-'Restated Financials'!E192+'Restated Financials'!E104+'Restated Financials'!E116),2),9999)</f>
        <v>1.41</v>
      </c>
      <c r="F11" s="252">
        <f>IF(F3="Y",ROUND(('Restated Financials'!F109+'Restated Financials'!F140-'Restated Financials'!F104-'Restated Financials'!F116)/('Key Financials'!F47-'Restated Financials'!F161-'Restated Financials'!F190-'Restated Financials'!F192+'Restated Financials'!F104+'Restated Financials'!F116),2),9999)</f>
        <v>1.05</v>
      </c>
      <c r="G11" s="253">
        <f>IF(G3="Y",ROUND(('Restated Financials'!G109+'Restated Financials'!G140-'Restated Financials'!G104-'Restated Financials'!G116)/('Key Financials'!G47-'Restated Financials'!G161-'Restated Financials'!G190-'Restated Financials'!G192+'Restated Financials'!G104+'Restated Financials'!G116),2),9999)</f>
        <v>1.56</v>
      </c>
    </row>
    <row r="12" spans="1:7" x14ac:dyDescent="0.2">
      <c r="A12" s="221"/>
      <c r="B12" s="251" t="s">
        <v>535</v>
      </c>
      <c r="C12" s="252">
        <f>IF(C3="Y",ROUND(('Restated Financials'!C109+'Restated Financials'!C140)/('Key Financials'!C47-'Restated Financials'!C161-'Restated Financials'!C190-'Restated Financials'!C192),2),9999)</f>
        <v>3.3</v>
      </c>
      <c r="D12" s="252">
        <f>IF(D3="Y",ROUND(('Restated Financials'!D109+'Restated Financials'!D140)/('Key Financials'!D47-'Restated Financials'!D161-'Restated Financials'!D190-'Restated Financials'!D192),2),9999)</f>
        <v>2.41</v>
      </c>
      <c r="E12" s="252">
        <f>IF(E3="Y",ROUND(('Restated Financials'!E109+'Restated Financials'!E140)/('Key Financials'!E47-'Restated Financials'!E161-'Restated Financials'!E190-'Restated Financials'!E192),2),9999)</f>
        <v>1.41</v>
      </c>
      <c r="F12" s="252">
        <f>IF(F3="Y",ROUND(('Restated Financials'!F109+'Restated Financials'!F140)/('Key Financials'!F47-'Restated Financials'!F161-'Restated Financials'!F190-'Restated Financials'!F192),2),9999)</f>
        <v>1.05</v>
      </c>
      <c r="G12" s="253">
        <f>IF(G3="Y",ROUND(('Restated Financials'!G109+'Restated Financials'!G140)/('Key Financials'!G47-'Restated Financials'!G161-'Restated Financials'!G190-'Restated Financials'!G192),2),9999)</f>
        <v>1.56</v>
      </c>
    </row>
    <row r="13" spans="1:7" x14ac:dyDescent="0.2">
      <c r="A13" s="221"/>
      <c r="B13" s="251" t="s">
        <v>522</v>
      </c>
      <c r="C13" s="252">
        <f>IF(C3="Y",ROUND(IF(('Restated Financials'!C93+('Restated Financials'!C95-'Restated Financials'!C161)+'Restated Financials'!C126)&lt;0,0,IFERROR((((('Restated Financials'!C71+'Restated Financials'!C68+'Restated Financials'!C67+'Restated Financials'!C42)*12/Sheet1!C19)/('Restated Financials'!C93+('Restated Financials'!C95-'Restated Financials'!C161)+'Restated Financials'!C126))*100),0)),2),0)</f>
        <v>-18.690000000000001</v>
      </c>
      <c r="D13" s="252">
        <f>IF(D3="Y",ROUND(IF(('Restated Financials'!D93+('Restated Financials'!D95-'Restated Financials'!D161)+'Restated Financials'!D126)&lt;0,0,IFERROR((((('Restated Financials'!D71+'Restated Financials'!D68+'Restated Financials'!D67+'Restated Financials'!D42)*12/Sheet1!D19)/('Restated Financials'!D93+('Restated Financials'!D95-'Restated Financials'!D161)+'Restated Financials'!D126))*100),0)),2),0)</f>
        <v>-22.57</v>
      </c>
      <c r="E13" s="252">
        <f>IF(E3="Y",ROUND(IF(('Restated Financials'!E93+('Restated Financials'!E95-'Restated Financials'!E161)+'Restated Financials'!E126)&lt;0,0,IFERROR((((('Restated Financials'!E71+'Restated Financials'!E68+'Restated Financials'!E67+'Restated Financials'!E42)*12/Sheet1!E19)/('Restated Financials'!E93+('Restated Financials'!E95-'Restated Financials'!E161)+'Restated Financials'!E126))*100),0)),2),0)</f>
        <v>-31.82</v>
      </c>
      <c r="F13" s="252">
        <f>IF(F3="Y",ROUND(IF(('Restated Financials'!F93+('Restated Financials'!F95-'Restated Financials'!F161)+'Restated Financials'!F126)&lt;0,0,IFERROR((((('Restated Financials'!F71+'Restated Financials'!F68+'Restated Financials'!F67+'Restated Financials'!F42)*12/Sheet1!F19)/('Restated Financials'!F93+('Restated Financials'!F95-'Restated Financials'!F161)+'Restated Financials'!F126))*100),0)),2),0)</f>
        <v>-31.05</v>
      </c>
      <c r="G13" s="253">
        <f>IF(G3="Y",ROUND(IF(('Restated Financials'!G93+('Restated Financials'!G95-'Restated Financials'!G161)+'Restated Financials'!G126)&lt;0,0,IFERROR((((('Restated Financials'!G71+'Restated Financials'!G68+'Restated Financials'!G67+'Restated Financials'!G42)*12/Sheet1!G19)/('Restated Financials'!G93+('Restated Financials'!G95-'Restated Financials'!G161)+'Restated Financials'!G126))*100),0)),2),0)</f>
        <v>-24.84</v>
      </c>
    </row>
    <row r="14" spans="1:7" x14ac:dyDescent="0.2">
      <c r="A14" s="221"/>
      <c r="B14" s="251" t="s">
        <v>536</v>
      </c>
      <c r="C14" s="252">
        <f>IF(C3="Y",IFERROR(ROUND(('Restated Financials'!C187)/('Restated Financials'!C140),2),9999),-135)</f>
        <v>0.43</v>
      </c>
      <c r="D14" s="252">
        <f>IF(D3="Y",IFERROR(ROUND(('Restated Financials'!D187)/('Restated Financials'!D140),2),9999),-135)</f>
        <v>0.36</v>
      </c>
      <c r="E14" s="252">
        <f>IF(E3="Y",IFERROR(ROUND(('Restated Financials'!E187)/('Restated Financials'!E140),2),9999),-135)</f>
        <v>0.18</v>
      </c>
      <c r="F14" s="252">
        <f>IF(F3="Y",IFERROR(ROUND(('Restated Financials'!F187)/('Restated Financials'!F140),2),9999),-135)</f>
        <v>0.14000000000000001</v>
      </c>
      <c r="G14" s="253">
        <f>IF(G3="Y",IFERROR(ROUND(('Restated Financials'!G187)/('Restated Financials'!G140),2),9999),-135)</f>
        <v>0.26</v>
      </c>
    </row>
    <row r="15" spans="1:7" x14ac:dyDescent="0.2">
      <c r="A15" s="221"/>
      <c r="B15" s="251" t="s">
        <v>537</v>
      </c>
      <c r="C15" s="252">
        <f>IF(C3="Y",IFERROR((('Restated Financials'!C61*12/Sheet1!C19)/('Restated Financials'!C8*12/Sheet1!C19))*100,0),0)</f>
        <v>-30.8</v>
      </c>
      <c r="D15" s="252">
        <f>IF(D3="Y",IFERROR((('Restated Financials'!D61*12/Sheet1!D19)/('Restated Financials'!D8*12/Sheet1!D19))*100,0),0)</f>
        <v>-58.48</v>
      </c>
      <c r="E15" s="252">
        <f>IF(E3="Y",IFERROR((('Restated Financials'!E61*12/Sheet1!E19)/('Restated Financials'!E8*12/Sheet1!E19))*100,0),0)</f>
        <v>-85</v>
      </c>
      <c r="F15" s="252">
        <f>IF(F3="Y",IFERROR((('Restated Financials'!F61*12/Sheet1!F19)/('Restated Financials'!F8*12/Sheet1!F19))*100,0),0)</f>
        <v>-112.6040428061831</v>
      </c>
      <c r="G15" s="253">
        <f>IF(G3="Y",IFERROR((('Restated Financials'!G61*12/Sheet1!G19)/('Restated Financials'!G8*12/Sheet1!G19))*100,0),0)</f>
        <v>-131.99968496495237</v>
      </c>
    </row>
    <row r="16" spans="1:7" x14ac:dyDescent="0.2">
      <c r="A16" s="221"/>
      <c r="B16" s="251" t="s">
        <v>525</v>
      </c>
      <c r="C16" s="252">
        <f>IF(C3="Y",('Restated Financials'!C109+'Restated Financials'!C140)/('Restated Financials'!C93),9999)</f>
        <v>3.3049645390070923</v>
      </c>
      <c r="D16" s="252">
        <f>IF(D3="Y",('Restated Financials'!D109+'Restated Financials'!D140)/('Restated Financials'!D93),9999)</f>
        <v>2.4109589041095889</v>
      </c>
      <c r="E16" s="252">
        <f>IF(E3="Y",('Restated Financials'!E109+'Restated Financials'!E140)/('Restated Financials'!E93),9999)</f>
        <v>1.4140435835351091</v>
      </c>
      <c r="F16" s="252">
        <f>IF(F3="Y",('Restated Financials'!F109+'Restated Financials'!F140)/('Restated Financials'!F93),9999)</f>
        <v>1.0531561461794019</v>
      </c>
      <c r="G16" s="253">
        <f>IF(G3="Y",('Restated Financials'!G109+'Restated Financials'!G140)/('Restated Financials'!G93),9999)</f>
        <v>1.5481702846223919</v>
      </c>
    </row>
    <row r="17" spans="1:7" x14ac:dyDescent="0.2">
      <c r="A17" s="221"/>
      <c r="B17" s="251" t="s">
        <v>527</v>
      </c>
      <c r="C17" s="252">
        <f>IF(C3="Y",ROUND(IFERROR(IF(AND(('Restated Financials'!C170+'Restated Financials'!C177)&lt;0,'Restated Financials'!C8&lt;0),250,((('Restated Financials'!C170+'Restated Financials'!C177)/('Restated Financials'!C8*12/Sheet1!C19))*365)),250),2),9999)</f>
        <v>128.47999999999999</v>
      </c>
      <c r="D17" s="252">
        <f>IF(D3="Y",ROUND(IFERROR(IF(AND(('Restated Financials'!D170+'Restated Financials'!D177)&lt;0,'Restated Financials'!D8&lt;0),250,((('Restated Financials'!D170+'Restated Financials'!D177)/('Restated Financials'!D8*12/Sheet1!D19))*365)),250),2),9999)</f>
        <v>188.34</v>
      </c>
      <c r="E17" s="252">
        <f>IF(E3="Y",ROUND(IFERROR(IF(AND(('Restated Financials'!E170+'Restated Financials'!E177)&lt;0,'Restated Financials'!E8&lt;0),250,((('Restated Financials'!E170+'Restated Financials'!E177)/('Restated Financials'!E8*12/Sheet1!E19))*365)),250),2),9999)</f>
        <v>0</v>
      </c>
      <c r="F17" s="252">
        <f>IF(F3="Y",ROUND(IFERROR(IF(AND(('Restated Financials'!F170+'Restated Financials'!F177)&lt;0,'Restated Financials'!F8&lt;0),250,((('Restated Financials'!F170+'Restated Financials'!F177)/('Restated Financials'!F8*12/Sheet1!F19))*365)),250),2),9999)</f>
        <v>0</v>
      </c>
      <c r="G17" s="253">
        <f>IF(G3="Y",ROUND(IFERROR(IF(AND(('Restated Financials'!G170+'Restated Financials'!G177)&lt;0,'Restated Financials'!G8&lt;0),250,((('Restated Financials'!G170+'Restated Financials'!G177)/('Restated Financials'!G8*12/Sheet1!G19))*365)),250),2),9999)</f>
        <v>316.56</v>
      </c>
    </row>
    <row r="18" spans="1:7" x14ac:dyDescent="0.2">
      <c r="A18" s="221"/>
      <c r="B18" s="251" t="s">
        <v>442</v>
      </c>
      <c r="C18" s="252">
        <f>ROUND(IF(ISERROR((('Restated Financials'!C71+'Restated Financials'!C34+'Restated Financials'!C42)*12/Sheet1!C19)/(('Restated Financials'!C42*12/Sheet1!C19)+'Restated Financials'!C115)),9999,((('Restated Financials'!C71+'Restated Financials'!C34+'Restated Financials'!C42)*12/Sheet1!C19)/(('Restated Financials'!C42*12/Sheet1!C19)+'Restated Financials'!C115))),2)</f>
        <v>-415.5</v>
      </c>
      <c r="D18" s="252">
        <f>ROUND(IF(ISERROR((('Restated Financials'!D71+'Restated Financials'!D34+'Restated Financials'!D42)*12/Sheet1!D19)/(('Restated Financials'!D42*12/Sheet1!D19)+'Restated Financials'!D115)),9999,((('Restated Financials'!D71+'Restated Financials'!D34+'Restated Financials'!D42)*12/Sheet1!D19)/(('Restated Financials'!D42*12/Sheet1!D19)+'Restated Financials'!D115))),2)</f>
        <v>-79.84</v>
      </c>
      <c r="E18" s="252">
        <f>ROUND(IF(ISERROR((('Restated Financials'!E71+'Restated Financials'!E34+'Restated Financials'!E42)*12/Sheet1!E19)/(('Restated Financials'!E42*12/Sheet1!E19)+'Restated Financials'!E115)),9999,((('Restated Financials'!E71+'Restated Financials'!E34+'Restated Financials'!E42)*12/Sheet1!E19)/(('Restated Financials'!E42*12/Sheet1!E19)+'Restated Financials'!E115))),2)</f>
        <v>-8.36</v>
      </c>
      <c r="F18" s="252">
        <f>ROUND(IF(ISERROR((('Restated Financials'!F71+'Restated Financials'!F34+'Restated Financials'!F42)*12/Sheet1!F19)/(('Restated Financials'!F42*12/Sheet1!F19)+'Restated Financials'!F115)),9999,((('Restated Financials'!F71+'Restated Financials'!F34+'Restated Financials'!F42)*12/Sheet1!F19)/(('Restated Financials'!F42*12/Sheet1!F19)+'Restated Financials'!F115))),2)</f>
        <v>-17.12</v>
      </c>
      <c r="G18" s="253">
        <f>ROUND(IF(ISERROR((('Restated Financials'!G71+'Restated Financials'!G34+'Restated Financials'!G42)*12/Sheet1!G19)/(('Restated Financials'!G42*12/Sheet1!G19)+'Restated Financials'!G115)),9999,((('Restated Financials'!G71+'Restated Financials'!G34+'Restated Financials'!G42)*12/Sheet1!G19)/(('Restated Financials'!G42*12/Sheet1!G19)+'Restated Financials'!G115))),2)</f>
        <v>-3.66</v>
      </c>
    </row>
    <row r="19" spans="1:7" x14ac:dyDescent="0.2">
      <c r="A19" s="221"/>
      <c r="B19" s="251" t="s">
        <v>516</v>
      </c>
      <c r="C19" s="252">
        <f>ROUND(IF(ISERROR(('Restated Financials'!C178+'Restated Financials'!C181+'Restated Financials'!C171)/('Restated Financials'!C140)),-9999,('Restated Financials'!C178+'Restated Financials'!C181+'Restated Financials'!C171)/('Restated Financials'!C140)),2)</f>
        <v>0.1</v>
      </c>
      <c r="D19" s="252">
        <f>ROUND(IF(ISERROR(('Restated Financials'!D178+'Restated Financials'!D181+'Restated Financials'!D171)/('Restated Financials'!D140)),-9999,('Restated Financials'!D178+'Restated Financials'!D181+'Restated Financials'!D171)/('Restated Financials'!D140)),2)</f>
        <v>0.16</v>
      </c>
      <c r="E19" s="252">
        <f>ROUND(IF(ISERROR(('Restated Financials'!E178+'Restated Financials'!E181+'Restated Financials'!E171)/('Restated Financials'!E140)),-9999,('Restated Financials'!E178+'Restated Financials'!E181+'Restated Financials'!E171)/('Restated Financials'!E140)),2)</f>
        <v>0.16</v>
      </c>
      <c r="F19" s="252">
        <f>ROUND(IF(ISERROR(('Restated Financials'!F178+'Restated Financials'!F181+'Restated Financials'!F171)/('Restated Financials'!F140)),-9999,('Restated Financials'!F178+'Restated Financials'!F181+'Restated Financials'!F171)/('Restated Financials'!F140)),2)</f>
        <v>0.13</v>
      </c>
      <c r="G19" s="253">
        <f>ROUND(IF(ISERROR(('Restated Financials'!G178+'Restated Financials'!G181+'Restated Financials'!G171)/('Restated Financials'!G140)),-9999,('Restated Financials'!G178+'Restated Financials'!G181+'Restated Financials'!G171)/('Restated Financials'!G140)),2)</f>
        <v>7.0000000000000007E-2</v>
      </c>
    </row>
    <row r="20" spans="1:7" x14ac:dyDescent="0.2">
      <c r="A20" s="221"/>
      <c r="B20" s="251" t="s">
        <v>541</v>
      </c>
      <c r="C20" s="252">
        <f>ROUND(IF(ISERROR(('Restated Financials'!C109+'Restated Financials'!C124)/('Restated Financials'!C67+'Restated Financials'!C68+'Restated Financials'!C71+'Restated Financials'!C34+'Restated Financials'!C42)),9999,('Restated Financials'!C109+'Restated Financials'!C124)/('Restated Financials'!C67+'Restated Financials'!C68+'Restated Financials'!C71+'Restated Financials'!C34+'Restated Financials'!C42)),2)</f>
        <v>-3.51</v>
      </c>
      <c r="D20" s="252">
        <f>ROUND(IF(ISERROR(('Restated Financials'!D109+'Restated Financials'!D124)/('Restated Financials'!D67+'Restated Financials'!D68+'Restated Financials'!D71+'Restated Financials'!D34+'Restated Financials'!D42)),9999,('Restated Financials'!D109+'Restated Financials'!D124)/('Restated Financials'!D67+'Restated Financials'!D68+'Restated Financials'!D71+'Restated Financials'!D34+'Restated Financials'!D42)),2)</f>
        <v>-2.42</v>
      </c>
      <c r="E20" s="252">
        <f>ROUND(IF(ISERROR(('Restated Financials'!E109+'Restated Financials'!E124)/('Restated Financials'!E67+'Restated Financials'!E68+'Restated Financials'!E71+'Restated Financials'!E34+'Restated Financials'!E42)),9999,('Restated Financials'!E109+'Restated Financials'!E124)/('Restated Financials'!E67+'Restated Financials'!E68+'Restated Financials'!E71+'Restated Financials'!E34+'Restated Financials'!E42)),2)</f>
        <v>-1.18</v>
      </c>
      <c r="F20" s="252">
        <f>ROUND(IF(ISERROR(('Restated Financials'!F109+'Restated Financials'!F124)/('Restated Financials'!F67+'Restated Financials'!F68+'Restated Financials'!F71+'Restated Financials'!F34+'Restated Financials'!F42)),9999,('Restated Financials'!F109+'Restated Financials'!F124)/('Restated Financials'!F67+'Restated Financials'!F68+'Restated Financials'!F71+'Restated Financials'!F34+'Restated Financials'!F42)),2)</f>
        <v>-1.1599999999999999</v>
      </c>
      <c r="G20" s="253">
        <f>ROUND(IF(ISERROR(('Restated Financials'!G109+'Restated Financials'!G124)/('Restated Financials'!G67+'Restated Financials'!G68+'Restated Financials'!G71+'Restated Financials'!G34+'Restated Financials'!G42)),9999,('Restated Financials'!G109+'Restated Financials'!G124)/('Restated Financials'!G67+'Restated Financials'!G68+'Restated Financials'!G71+'Restated Financials'!G34+'Restated Financials'!G42)),2)</f>
        <v>-1.43</v>
      </c>
    </row>
    <row r="21" spans="1:7" x14ac:dyDescent="0.2">
      <c r="A21" s="221"/>
      <c r="B21" s="251" t="s">
        <v>542</v>
      </c>
      <c r="C21" s="252">
        <f>ROUND(IF(ISERROR(('Restated Financials'!C109+'Restated Financials'!C124+'Restated Financials'!C138)/('Key Financials'!C47-'Restated Financials'!C161-'Restated Financials'!C190-'Restated Financials'!C192)),9999,('Restated Financials'!C109+'Restated Financials'!C124+'Restated Financials'!C138)/('Key Financials'!C47-'Restated Financials'!C161-'Restated Financials'!C190-'Restated Financials'!C192)),2)</f>
        <v>3.3</v>
      </c>
      <c r="D21" s="252">
        <f>ROUND(IF(ISERROR(('Restated Financials'!D109+'Restated Financials'!D124+'Restated Financials'!D138)/('Key Financials'!D47-'Restated Financials'!D161-'Restated Financials'!D190-'Restated Financials'!D192)),9999,('Restated Financials'!D109+'Restated Financials'!D124+'Restated Financials'!D138)/('Key Financials'!D47-'Restated Financials'!D161-'Restated Financials'!D190-'Restated Financials'!D192)),2)</f>
        <v>2.41</v>
      </c>
      <c r="E21" s="252">
        <f>ROUND(IF(ISERROR(('Restated Financials'!E109+'Restated Financials'!E124+'Restated Financials'!E138)/('Key Financials'!E47-'Restated Financials'!E161-'Restated Financials'!E190-'Restated Financials'!E192)),9999,('Restated Financials'!E109+'Restated Financials'!E124+'Restated Financials'!E138)/('Key Financials'!E47-'Restated Financials'!E161-'Restated Financials'!E190-'Restated Financials'!E192)),2)</f>
        <v>1.41</v>
      </c>
      <c r="F21" s="252">
        <f>ROUND(IF(ISERROR(('Restated Financials'!F109+'Restated Financials'!F124+'Restated Financials'!F138)/('Key Financials'!F47-'Restated Financials'!F161-'Restated Financials'!F190-'Restated Financials'!F192)),9999,('Restated Financials'!F109+'Restated Financials'!F124+'Restated Financials'!F138)/('Key Financials'!F47-'Restated Financials'!F161-'Restated Financials'!F190-'Restated Financials'!F192)),2)</f>
        <v>1.05</v>
      </c>
      <c r="G21" s="253">
        <f>ROUND(IF(ISERROR(('Restated Financials'!G109+'Restated Financials'!G124+'Restated Financials'!G138)/('Key Financials'!G47-'Restated Financials'!G161-'Restated Financials'!G190-'Restated Financials'!G192)),9999,('Restated Financials'!G109+'Restated Financials'!G124+'Restated Financials'!G138)/('Key Financials'!G47-'Restated Financials'!G161-'Restated Financials'!G190-'Restated Financials'!G192)),2)</f>
        <v>1.56</v>
      </c>
    </row>
    <row r="22" spans="1:7" x14ac:dyDescent="0.2">
      <c r="A22" s="221"/>
      <c r="B22" s="251" t="s">
        <v>522</v>
      </c>
      <c r="C22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2" s="252">
        <f>ROUND(IF(ISERROR(((('Restated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Financials'!D126))))))*100),0,(((('Restated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Financials'!D126))))))*100)),2)</f>
        <v>-22.57</v>
      </c>
      <c r="E22" s="252">
        <f>ROUND(IF(ISERROR(((('Restated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Financials'!E126))))))*100),0,(((('Restated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Financials'!E126))))))*100)),2)</f>
        <v>-31.82</v>
      </c>
      <c r="F22" s="252">
        <f>ROUND(IF(ISERROR(((('Restated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Financials'!F126))))))*100),0,(((('Restated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Financials'!F126))))))*100)),2)</f>
        <v>-31.05</v>
      </c>
      <c r="G22" s="253">
        <f>ROUND(IF(ISERROR(((('Restated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Financials'!G126))))))*100),0,(((('Restated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Financials'!G126))))))*100)),2)</f>
        <v>-24.84</v>
      </c>
    </row>
    <row r="23" spans="1:7" x14ac:dyDescent="0.2">
      <c r="A23" s="221"/>
      <c r="B23" s="251" t="s">
        <v>441</v>
      </c>
      <c r="C23" s="252">
        <f>ROUND(IF(ISERROR('Key Financials'!C45),2,'Key Financials'!C45),2)</f>
        <v>0.43</v>
      </c>
      <c r="D23" s="252">
        <f>ROUND(IF(ISERROR('Key Financials'!D45),2,'Key Financials'!D45),2)</f>
        <v>0.36</v>
      </c>
      <c r="E23" s="252">
        <f>ROUND(IF(ISERROR('Key Financials'!E45),2,'Key Financials'!E45),2)</f>
        <v>0.18</v>
      </c>
      <c r="F23" s="252">
        <f>ROUND(IF(ISERROR('Key Financials'!F45),2,'Key Financials'!F45),2)</f>
        <v>0.14000000000000001</v>
      </c>
      <c r="G23" s="253">
        <f>ROUND(IF(ISERROR('Key Financials'!G45),2,'Key Financials'!G45),2)</f>
        <v>0.26</v>
      </c>
    </row>
    <row r="24" spans="1:7" x14ac:dyDescent="0.2">
      <c r="A24" s="221"/>
      <c r="B24" s="251" t="s">
        <v>443</v>
      </c>
      <c r="C24" s="252">
        <f>ROUND(IF(ISERROR((('Restated Financials'!C71+'Restated Financials'!C68+'Restated Financials'!C67+'Restated Financials'!C42+'Restated Financials'!C34)*12/Sheet1!C19)/'Restated Financials'!C42*12/Sheet1!C19),12,((('Restated Financials'!C71+'Restated Financials'!C68+'Restated Financials'!C67+'Restated Financials'!C42+'Restated Financials'!C34)*12/Sheet1!C19)/'Restated Financials'!C42*12/Sheet1!C19)),2)</f>
        <v>-378</v>
      </c>
      <c r="D24" s="252">
        <f>ROUND(IF(ISERROR((('Restated Financials'!D71+'Restated Financials'!D68+'Restated Financials'!D67+'Restated Financials'!D42+'Restated Financials'!D34)*12/Sheet1!D19)/'Restated Financials'!D42*12/Sheet1!D19),12,((('Restated Financials'!D71+'Restated Financials'!D68+'Restated Financials'!D67+'Restated Financials'!D42+'Restated Financials'!D34)*12/Sheet1!D19)/'Restated Financials'!D42*12/Sheet1!D19)),2)</f>
        <v>-73.47</v>
      </c>
      <c r="E24" s="252">
        <f>ROUND(IF(ISERROR((('Restated Financials'!E71+'Restated Financials'!E68+'Restated Financials'!E67+'Restated Financials'!E42+'Restated Financials'!E34)*12/Sheet1!E19)/'Restated Financials'!E42*12/Sheet1!E19),12,((('Restated Financials'!E71+'Restated Financials'!E68+'Restated Financials'!E67+'Restated Financials'!E42+'Restated Financials'!E34)*12/Sheet1!E19)/'Restated Financials'!E42*12/Sheet1!E19)),2)</f>
        <v>-170.92</v>
      </c>
      <c r="F24" s="252">
        <f>ROUND(IF(ISERROR((('Restated Financials'!F71+'Restated Financials'!F68+'Restated Financials'!F67+'Restated Financials'!F42+'Restated Financials'!F34)*12/Sheet1!F19)/'Restated Financials'!F42*12/Sheet1!F19),12,((('Restated Financials'!F71+'Restated Financials'!F68+'Restated Financials'!F67+'Restated Financials'!F42+'Restated Financials'!F34)*12/Sheet1!F19)/'Restated Financials'!F42*12/Sheet1!F19)),2)</f>
        <v>-222.25</v>
      </c>
      <c r="G24" s="253">
        <f>ROUND(IF(ISERROR((('Restated Financials'!G71+'Restated Financials'!G68+'Restated Financials'!G67+'Restated Financials'!G42+'Restated Financials'!G34)*12/Sheet1!G19)/'Restated Financials'!G42*12/Sheet1!G19),12,((('Restated Financials'!G71+'Restated Financials'!G68+'Restated Financials'!G67+'Restated Financials'!G42+'Restated Financials'!G34)*12/Sheet1!G19)/'Restated Financials'!G42*12/Sheet1!G19)),2)</f>
        <v>-164.59</v>
      </c>
    </row>
    <row r="25" spans="1:7" x14ac:dyDescent="0.2">
      <c r="A25" s="221"/>
      <c r="B25" s="251" t="s">
        <v>523</v>
      </c>
      <c r="C25" s="252">
        <f>ROUND(IF(ISERROR((('Restated Financials'!C71*12/Sheet1!C19)/('Restated Financials'!C8*12/Sheet1!C19))*100),0,((('Restated Financials'!C71*12/Sheet1!C19)/('Restated Financials'!C8*12/Sheet1!C19))*100)),2)</f>
        <v>-33.799999999999997</v>
      </c>
      <c r="D25" s="252">
        <f>ROUND(IF(ISERROR((('Restated Financials'!D71*12/Sheet1!D19)/('Restated Financials'!D8*12/Sheet1!D19))*100),0,((('Restated Financials'!D71*12/Sheet1!D19)/('Restated Financials'!D8*12/Sheet1!D19))*100)),2)</f>
        <v>-63.28</v>
      </c>
      <c r="E25" s="252">
        <f>ROUND(IF(ISERROR((('Restated Financials'!E71*12/Sheet1!E19)/('Restated Financials'!E8*12/Sheet1!E19))*100),0,((('Restated Financials'!E71*12/Sheet1!E19)/('Restated Financials'!E8*12/Sheet1!E19))*100)),2)</f>
        <v>-91.24</v>
      </c>
      <c r="F25" s="252">
        <f>ROUND(IF(ISERROR((('Restated Financials'!F71*12/Sheet1!F19)/('Restated Financials'!F8*12/Sheet1!F19))*100),0,((('Restated Financials'!F71*12/Sheet1!F19)/('Restated Financials'!F8*12/Sheet1!F19))*100)),2)</f>
        <v>-116.92</v>
      </c>
      <c r="G25" s="253">
        <f>ROUND(IF(ISERROR((('Restated Financials'!G71*12/Sheet1!G19)/('Restated Financials'!G8*12/Sheet1!G19))*100),0,((('Restated Financials'!G71*12/Sheet1!G19)/('Restated Financials'!G8*12/Sheet1!G19))*100)),2)</f>
        <v>-139.03</v>
      </c>
    </row>
    <row r="26" spans="1:7" x14ac:dyDescent="0.2">
      <c r="A26" s="221"/>
      <c r="B26" s="251" t="s">
        <v>524</v>
      </c>
      <c r="C26" s="252">
        <f>ROUND(('Key Financials'!C47-'Restated Financials'!C161),2)</f>
        <v>141</v>
      </c>
      <c r="D26" s="252">
        <f>ROUND(('Key Financials'!D47-'Restated Financials'!D161),2)</f>
        <v>292</v>
      </c>
      <c r="E26" s="252">
        <f>ROUND(('Key Financials'!E47-'Restated Financials'!E161),2)</f>
        <v>413</v>
      </c>
      <c r="F26" s="252">
        <f>ROUND(('Key Financials'!F47-'Restated Financials'!F161),2)</f>
        <v>602</v>
      </c>
      <c r="G26" s="253">
        <f>ROUND(('Key Financials'!G47-'Restated Financials'!G161),2)</f>
        <v>893.19</v>
      </c>
    </row>
    <row r="27" spans="1:7" x14ac:dyDescent="0.2">
      <c r="A27" s="221"/>
      <c r="B27" s="251" t="s">
        <v>525</v>
      </c>
      <c r="C27" s="252">
        <f>ROUND(IF(ISERROR(('Restated Financials'!C140+'Restated Financials'!C109)/C26),50,(('Restated Financials'!C140+'Restated Financials'!C109)/C26)),2)</f>
        <v>3.3</v>
      </c>
      <c r="D27" s="252">
        <f>ROUND(IF(ISERROR(('Restated Financials'!D140+'Restated Financials'!D109)/D26),50,(('Restated Financials'!D140+'Restated Financials'!D109)/D26)),2)</f>
        <v>2.41</v>
      </c>
      <c r="E27" s="252">
        <f>ROUND(IF(ISERROR(('Restated Financials'!E140+'Restated Financials'!E109)/E26),50,(('Restated Financials'!E140+'Restated Financials'!E109)/E26)),2)</f>
        <v>1.41</v>
      </c>
      <c r="F27" s="252">
        <f>ROUND(IF(ISERROR(('Restated Financials'!F140+'Restated Financials'!F109)/F26),50,(('Restated Financials'!F140+'Restated Financials'!F109)/F26)),2)</f>
        <v>1.05</v>
      </c>
      <c r="G27" s="253">
        <f>ROUND(IF(ISERROR(('Restated Financials'!G140+'Restated Financials'!G109)/G26),50,(('Restated Financials'!G140+'Restated Financials'!G109)/G26)),2)</f>
        <v>1.56</v>
      </c>
    </row>
    <row r="28" spans="1:7" x14ac:dyDescent="0.2">
      <c r="A28" s="221"/>
      <c r="B28" s="251" t="s">
        <v>526</v>
      </c>
      <c r="C28" s="252">
        <f>ROUND(IF(ISERROR((('Restated Financials'!C71+'Restated Financials'!C54+'Restated Financials'!C34-'Restated Financials'!C73)*12/Sheet1!C19)/'Restated Financials'!C126),1,((('Restated Financials'!C71+'Restated Financials'!C54+'Restated Financials'!C34-'Restated Financials'!C73)*12/Sheet1!C19)/'Restated Financials'!C126)),2)</f>
        <v>-0.31</v>
      </c>
      <c r="D28" s="252">
        <f>ROUND(IF(ISERROR((('Restated Financials'!D71+'Restated Financials'!D54+'Restated Financials'!D34-'Restated Financials'!D73)*12/Sheet1!D19)/'Restated Financials'!D126),1,((('Restated Financials'!D71+'Restated Financials'!D54+'Restated Financials'!D34-'Restated Financials'!D73)*12/Sheet1!D19)/'Restated Financials'!D126)),2)</f>
        <v>-0.45</v>
      </c>
      <c r="E28" s="252">
        <f>ROUND(IF(ISERROR((('Restated Financials'!E71+'Restated Financials'!E54+'Restated Financials'!E34-'Restated Financials'!E73)*12/Sheet1!E19)/'Restated Financials'!E126),1,((('Restated Financials'!E71+'Restated Financials'!E54+'Restated Financials'!E34-'Restated Financials'!E73)*12/Sheet1!E19)/'Restated Financials'!E126)),2)</f>
        <v>-0.91</v>
      </c>
      <c r="F28" s="252">
        <f>ROUND(IF(ISERROR((('Restated Financials'!F71+'Restated Financials'!F54+'Restated Financials'!F34-'Restated Financials'!F73)*12/Sheet1!F19)/'Restated Financials'!F126),1,((('Restated Financials'!F71+'Restated Financials'!F54+'Restated Financials'!F34-'Restated Financials'!F73)*12/Sheet1!F19)/'Restated Financials'!F126)),2)</f>
        <v>-0.9</v>
      </c>
      <c r="G28" s="253">
        <f>ROUND(IF(ISERROR((('Restated Financials'!G71+'Restated Financials'!G54+'Restated Financials'!G34-'Restated Financials'!G73)*12/Sheet1!G19)/'Restated Financials'!G126),1,((('Restated Financials'!G71+'Restated Financials'!G54+'Restated Financials'!G34-'Restated Financials'!G73)*12/Sheet1!G19)/'Restated Financials'!G126)),2)</f>
        <v>-0.74</v>
      </c>
    </row>
    <row r="29" spans="1:7" x14ac:dyDescent="0.2">
      <c r="A29" s="221"/>
      <c r="B29" s="251" t="s">
        <v>527</v>
      </c>
      <c r="C29" s="252">
        <f>ROUND(IF(ISERROR((('Restated Financials'!C170+'Restated Financials'!C177)/('Restated Financials'!C8*12/Sheet1!C19))*365),250,((('Restated Financials'!C170+'Restated Financials'!C177)/('Restated Financials'!C8*12/Sheet1!C19))*365)),2)</f>
        <v>128.47999999999999</v>
      </c>
      <c r="D29" s="252">
        <f>ROUND(IF(ISERROR((('Restated Financials'!D170+'Restated Financials'!D177)/('Restated Financials'!D8*12/Sheet1!D19))*365),250,((('Restated Financials'!D170+'Restated Financials'!D177)/('Restated Financials'!D8*12/Sheet1!D19))*365)),2)</f>
        <v>188.34</v>
      </c>
      <c r="E29" s="252">
        <f>ROUND(IF(ISERROR((('Restated Financials'!E170+'Restated Financials'!E177)/('Restated Financials'!E8*12/Sheet1!E19))*365),250,((('Restated Financials'!E170+'Restated Financials'!E177)/('Restated Financials'!E8*12/Sheet1!E19))*365)),2)</f>
        <v>0</v>
      </c>
      <c r="F29" s="252">
        <f>ROUND(IF(ISERROR((('Restated Financials'!F170+'Restated Financials'!F177)/('Restated Financials'!F8*12/Sheet1!F19))*365),250,((('Restated Financials'!F170+'Restated Financials'!F177)/('Restated Financials'!F8*12/Sheet1!F19))*365)),2)</f>
        <v>0</v>
      </c>
      <c r="G29" s="253">
        <f>ROUND(IF(ISERROR((('Restated Financials'!G170+'Restated Financials'!G177)/('Restated Financials'!G8*12/Sheet1!G19))*365),250,((('Restated Financials'!G170+'Restated Financials'!G177)/('Restated Financials'!G8*12/Sheet1!G19))*365)),2)</f>
        <v>316.56</v>
      </c>
    </row>
    <row r="30" spans="1:7" x14ac:dyDescent="0.2">
      <c r="A30" s="221"/>
      <c r="B30" s="251" t="s">
        <v>548</v>
      </c>
      <c r="C30" s="252">
        <f>ROUND(IF(ISERROR(('Restated Financials'!C177/('Restated Financials'!C8*12/Sheet1!C19))*365),250,(('Restated Financials'!C177/('Restated Financials'!C8*12/Sheet1!C19))*365)),2)</f>
        <v>21.9</v>
      </c>
      <c r="D30" s="252">
        <f>ROUND(IF(ISERROR(('Restated Financials'!D177/('Restated Financials'!D8*12/Sheet1!D19))*365),250,(('Restated Financials'!D177/('Restated Financials'!D8*12/Sheet1!D19))*365)),2)</f>
        <v>33.58</v>
      </c>
      <c r="E30" s="252">
        <f>ROUND(IF(ISERROR(('Restated Financials'!E177/('Restated Financials'!E8*12/Sheet1!E19))*365),250,(('Restated Financials'!E177/('Restated Financials'!E8*12/Sheet1!E19))*365)),2)</f>
        <v>0</v>
      </c>
      <c r="F30" s="252">
        <f>ROUND(IF(ISERROR(('Restated Financials'!F177/('Restated Financials'!F8*12/Sheet1!F19))*365),250,(('Restated Financials'!F177/('Restated Financials'!F8*12/Sheet1!F19))*365)),2)</f>
        <v>0</v>
      </c>
      <c r="G30" s="253">
        <f>ROUND(IF(ISERROR(('Restated Financials'!G177/('Restated Financials'!G8*12/Sheet1!G19))*365),250,(('Restated Financials'!G177/('Restated Financials'!G8*12/Sheet1!G19))*365)),2)</f>
        <v>39.46</v>
      </c>
    </row>
    <row r="31" spans="1:7" x14ac:dyDescent="0.2">
      <c r="A31" s="221"/>
      <c r="B31" s="251" t="s">
        <v>522</v>
      </c>
      <c r="C31" s="252">
        <f>ROUND(IF((('Restated Financials'!C93+('Restated Financials'!C95-'Restated Financials'!C161)+'Restated Financials'!C126))&lt;0,0,IF(ISERROR(((('Restated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Financials'!C126))))))),0,(((('Restated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Financials'!C126))))))))),2)</f>
        <v>-0.19</v>
      </c>
      <c r="D31" s="252">
        <f>ROUND(IF((('Restated Financials'!D93+('Restated Financials'!D95-'Restated Financials'!D161)+'Restated Financials'!D126))&lt;0,0,IF(ISERROR(((('Restated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Financials'!D126))))))),0,(((('Restated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Financials'!D126))))))))),2)</f>
        <v>-0.23</v>
      </c>
      <c r="E31" s="252">
        <f>ROUND(IF((('Restated Financials'!E93+('Restated Financials'!E95-'Restated Financials'!E161)+'Restated Financials'!E126))&lt;0,0,IF(ISERROR(((('Restated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Financials'!E126))))))),0,(((('Restated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Financials'!E126))))))))),2)</f>
        <v>-0.32</v>
      </c>
      <c r="F31" s="252">
        <f>ROUND(IF((('Restated Financials'!F93+('Restated Financials'!F95-'Restated Financials'!F161)+'Restated Financials'!F126))&lt;0,0,IF(ISERROR(((('Restated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Financials'!F126))))))),0,(((('Restated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Financials'!F126))))))))),2)</f>
        <v>-0.31</v>
      </c>
      <c r="G31" s="253">
        <f>ROUND(IF((('Restated Financials'!G93+('Restated Financials'!G95-'Restated Financials'!G161)+'Restated Financials'!G126))&lt;0,0,IF(ISERROR(((('Restated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Financials'!G126))))))),0,(((('Restated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Financials'!G126))))))))),2)</f>
        <v>-0.25</v>
      </c>
    </row>
    <row r="32" spans="1:7" x14ac:dyDescent="0.2">
      <c r="A32" s="221"/>
      <c r="B32" s="251" t="s">
        <v>525</v>
      </c>
      <c r="C32" s="252">
        <f>ROUND(IF(ISERROR(('Restated Financials'!C140+'Restated Financials'!C109)/('Restated Financials'!C93-'Restated Financials'!C161)),50,(('Restated Financials'!C140+'Restated Financials'!C109)/('Restated Financials'!C93-'Restated Financials'!C161))),2)</f>
        <v>3.3</v>
      </c>
      <c r="D32" s="252">
        <f>ROUND(IF(ISERROR(('Restated Financials'!D140+'Restated Financials'!D109)/('Restated Financials'!D93-'Restated Financials'!D161)),50,(('Restated Financials'!D140+'Restated Financials'!D109)/('Restated Financials'!D93-'Restated Financials'!D161))),2)</f>
        <v>2.41</v>
      </c>
      <c r="E32" s="252">
        <f>ROUND(IF(ISERROR(('Restated Financials'!E140+'Restated Financials'!E109)/('Restated Financials'!E93-'Restated Financials'!E161)),50,(('Restated Financials'!E140+'Restated Financials'!E109)/('Restated Financials'!E93-'Restated Financials'!E161))),2)</f>
        <v>1.41</v>
      </c>
      <c r="F32" s="252">
        <f>ROUND(IF(ISERROR(('Restated Financials'!F140+'Restated Financials'!F109)/('Restated Financials'!F93-'Restated Financials'!F161)),50,(('Restated Financials'!F140+'Restated Financials'!F109)/('Restated Financials'!F93-'Restated Financials'!F161))),2)</f>
        <v>1.05</v>
      </c>
      <c r="G32" s="253">
        <f>ROUND(IF(ISERROR(('Restated Financials'!G140+'Restated Financials'!G109)/('Restated Financials'!G93-'Restated Financials'!G161)),50,(('Restated Financials'!G140+'Restated Financials'!G109)/('Restated Financials'!G93-'Restated Financials'!G161))),2)</f>
        <v>1.56</v>
      </c>
    </row>
    <row r="33" spans="1:7" x14ac:dyDescent="0.2">
      <c r="A33" s="221"/>
      <c r="B33" s="251" t="s">
        <v>527</v>
      </c>
      <c r="C33" s="252">
        <f>ROUND(IF(ISERROR((('Restated Financials'!C170+'Restated Financials'!C177)/('Restated Financials'!C8*12/Sheet1!C19))*365),250,IF(OR((((('Restated Financials'!C170+'Restated Financials'!C177)/('Restated Financials'!C8*12/Sheet1!C19))*365)&lt;0),AND(('Restated Financials'!C170+'Restated Financials'!C177)&lt;0,'Restated Financials'!C8&lt;0)),250,((('Restated Financials'!C170+'Restated Financials'!C177)/('Restated Financials'!C8*12/Sheet1!C19))*365))),2)</f>
        <v>128.47999999999999</v>
      </c>
      <c r="D33" s="252">
        <f>ROUND(IF(ISERROR((('Restated Financials'!D170+'Restated Financials'!D177)/('Restated Financials'!D8*12/Sheet1!D19))*365),250,IF(OR((((('Restated Financials'!D170+'Restated Financials'!D177)/('Restated Financials'!D8*12/Sheet1!D19))*365)&lt;0),AND(('Restated Financials'!D170+'Restated Financials'!D177)&lt;0,'Restated Financials'!D8&lt;0)),250,((('Restated Financials'!D170+'Restated Financials'!D177)/('Restated Financials'!D8*12/Sheet1!D19))*365))),2)</f>
        <v>188.34</v>
      </c>
      <c r="E33" s="252">
        <f>ROUND(IF(ISERROR((('Restated Financials'!E170+'Restated Financials'!E177)/('Restated Financials'!E8*12/Sheet1!E19))*365),250,IF(OR((((('Restated Financials'!E170+'Restated Financials'!E177)/('Restated Financials'!E8*12/Sheet1!E19))*365)&lt;0),AND(('Restated Financials'!E170+'Restated Financials'!E177)&lt;0,'Restated Financials'!E8&lt;0)),250,((('Restated Financials'!E170+'Restated Financials'!E177)/('Restated Financials'!E8*12/Sheet1!E19))*365))),2)</f>
        <v>0</v>
      </c>
      <c r="F33" s="252">
        <f>ROUND(IF(ISERROR((('Restated Financials'!F170+'Restated Financials'!F177)/('Restated Financials'!F8*12/Sheet1!F19))*365),250,IF(OR((((('Restated Financials'!F170+'Restated Financials'!F177)/('Restated Financials'!F8*12/Sheet1!F19))*365)&lt;0),AND(('Restated Financials'!F170+'Restated Financials'!F177)&lt;0,'Restated Financials'!F8&lt;0)),250,((('Restated Financials'!F170+'Restated Financials'!F177)/('Restated Financials'!F8*12/Sheet1!F19))*365))),2)</f>
        <v>0</v>
      </c>
      <c r="G33" s="253">
        <f>ROUND(IF(ISERROR((('Restated Financials'!G170+'Restated Financials'!G177)/('Restated Financials'!G8*12/Sheet1!G19))*365),250,IF(OR((((('Restated Financials'!G170+'Restated Financials'!G177)/('Restated Financials'!G8*12/Sheet1!G19))*365)&lt;0),AND(('Restated Financials'!G170+'Restated Financials'!G177)&lt;0,'Restated Financials'!G8&lt;0)),250,((('Restated Financials'!G170+'Restated Financials'!G177)/('Restated Financials'!G8*12/Sheet1!G19))*365))),2)</f>
        <v>316.56</v>
      </c>
    </row>
    <row r="34" spans="1:7" x14ac:dyDescent="0.2">
      <c r="A34" s="221"/>
      <c r="B34" s="251" t="s">
        <v>554</v>
      </c>
      <c r="C34" s="252">
        <f>ROUND('Key Financials'!C6,2)</f>
        <v>0</v>
      </c>
      <c r="D34" s="252">
        <f>ROUND('Key Financials'!D6,2)</f>
        <v>0</v>
      </c>
      <c r="E34" s="252">
        <f>ROUND('Key Financials'!E6,2)</f>
        <v>0</v>
      </c>
      <c r="F34" s="252">
        <f>ROUND('Key Financials'!F6,2)</f>
        <v>0.92</v>
      </c>
      <c r="G34" s="253">
        <f>ROUND('Key Financials'!G6,2)</f>
        <v>0.65</v>
      </c>
    </row>
    <row r="35" spans="1:7" ht="13.5" thickBot="1" x14ac:dyDescent="0.25">
      <c r="A35" s="254"/>
      <c r="B35" s="255" t="s">
        <v>555</v>
      </c>
      <c r="C35" s="301">
        <f><![CDATA[ROUND((IF(ISERROR(IF(AND('Key Financials'!B10<0,'Key Financials'!C10<0),0,IF(AND('Key Financials'!B10<0,'Key Financials'!C10>0),0.055,IF(AND('Key Financials'!B10>0,'Key Financials'!C10<0),0,(('Key Financials'!C10-'Key Financials'!B10)/'Key Financials'!B10))))),0,IF(AND('Key Financials'!B10<0,'Key Financials'!C10<0),0,IF(AND('Key Financials'!B10<0,'Key Financials'!C10>0),0.055,IF(AND('Key Financials'!B10>0,'Key Financials'!C10<0),0,(('Key Financials'!C10-'Key Financials'!B10)/'Key Financials'!B10))))))*100,2)]]></f>
        <v>0</v>
      </c>
      <c r="D35" s="301">
        <f><![CDATA[ROUND((IF(ISERROR(IF(AND('Key Financials'!C10<0,'Key Financials'!D10<0),0,IF(AND('Key Financials'!C10<0,'Key Financials'!D10>0),0.055,IF(AND('Key Financials'!C10>0,'Key Financials'!D10<0),0,(('Key Financials'!D10-'Key Financials'!C10)/'Key Financials'!C10))))),0,IF(AND('Key Financials'!C10<0,'Key Financials'!D10<0),0,IF(AND('Key Financials'!C10<0,'Key Financials'!D10>0),0.055,IF(AND('Key Financials'!C10>0,'Key Financials'!D10<0),0,(('Key Financials'!D10-'Key Financials'!C10)/'Key Financials'!C10))))))*100,2)]]></f>
        <v>0</v>
      </c>
      <c r="E35" s="301">
        <f><![CDATA[ROUND((IF(ISERROR(IF(AND('Key Financials'!D10<0,'Key Financials'!E10<0),0,IF(AND('Key Financials'!D10<0,'Key Financials'!E10>0),0.055,IF(AND('Key Financials'!D10>0,'Key Financials'!E10<0),0,(('Key Financials'!E10-'Key Financials'!D10)/'Key Financials'!D10))))),0,IF(AND('Key Financials'!D10<0,'Key Financials'!E10<0),0,IF(AND('Key Financials'!D10<0,'Key Financials'!E10>0),0.055,IF(AND('Key Financials'!D10>0,'Key Financials'!E10<0),0,(('Key Financials'!E10-'Key Financials'!D10)/'Key Financials'!D10))))))*100,2)]]></f>
        <v>0</v>
      </c>
      <c r="F35" s="301">
        <f><![CDATA[ROUND((IF(ISERROR(IF(AND('Key Financials'!E10<0,'Key Financials'!F10<0),0,IF(AND('Key Financials'!E10<0,'Key Financials'!F10>0),0.055,IF(AND('Key Financials'!E10>0,'Key Financials'!F10<0),0,(('Key Financials'!F10-'Key Financials'!E10)/'Key Financials'!E10))))),0,IF(AND('Key Financials'!E10<0,'Key Financials'!F10<0),0,IF(AND('Key Financials'!E10<0,'Key Financials'!F10>0),0.055,IF(AND('Key Financials'!E10>0,'Key Financials'!F10<0),0,(('Key Financials'!F10-'Key Financials'!E10)/'Key Financials'!E10))))))*100,2)]]></f>
        <v>0</v>
      </c>
      <c r="G35" s="302">
        <f><![CDATA[ROUND((IF(ISERROR(IF(AND('Key Financials'!F10<0,'Key Financials'!G10<0),0,IF(AND('Key Financials'!F10<0,'Key Financials'!G10>0),0.055,IF(AND('Key Financials'!F10>0,'Key Financials'!G10<0),0,(('Key Financials'!G10-'Key Financials'!F10)/'Key Financials'!F10))))),0,IF(AND('Key Financials'!F10<0,'Key Financials'!G10<0),0,IF(AND('Key Financials'!F10<0,'Key Financials'!G10>0),0.055,IF(AND('Key Financials'!F10>0,'Key Financials'!G10<0),0,(('Key Financials'!G10-'Key Financials'!F10)/'Key Financials'!F10))))))*100,2)]]></f>
        <v>0</v>
      </c>
    </row>
    <row r="36" spans="1:7" x14ac:dyDescent="0.2">
      <c r="A36" s="240"/>
      <c r="B36" s="260"/>
      <c r="C36" s="261"/>
      <c r="D36" s="261"/>
      <c r="E36" s="261"/>
      <c r="F36" s="261"/>
      <c r="G36" s="261"/>
    </row>
    <row r="37" spans="1:7" x14ac:dyDescent="0.2">
      <c r="A37" s="240"/>
      <c r="B37" s="260"/>
      <c r="C37" s="261"/>
      <c r="D37" s="261"/>
      <c r="E37" s="261"/>
      <c r="F37" s="261"/>
      <c r="G37" s="246"/>
    </row>
    <row r="38" spans="1:7" x14ac:dyDescent="0.2">
      <c r="A38" s="240"/>
      <c r="B38" s="260"/>
      <c r="C38" s="261"/>
      <c r="D38" s="261"/>
      <c r="E38" s="261"/>
      <c r="F38" s="261"/>
      <c r="G38" s="246"/>
    </row>
    <row r="39" spans="1:7" x14ac:dyDescent="0.2">
      <c r="A39" s="240"/>
      <c r="B39" s="262"/>
      <c r="C39" s="261"/>
      <c r="D39" s="261"/>
      <c r="E39" s="261"/>
      <c r="F39" s="261"/>
      <c r="G39" s="246"/>
    </row>
    <row r="40" spans="1:7" ht="13.5" thickBot="1" x14ac:dyDescent="0.25">
      <c r="A40" s="240"/>
      <c r="B40" s="262"/>
      <c r="C40" s="261"/>
      <c r="D40" s="261"/>
      <c r="E40" s="261"/>
      <c r="F40" s="261"/>
      <c r="G40" s="246"/>
    </row>
    <row r="41" spans="1:7" x14ac:dyDescent="0.2">
      <c r="A41" s="263"/>
      <c r="B41" s="264" t="s">
        <v>443</v>
      </c>
      <c r="C41" s="305">
        <f>IFERROR(MAX(E6,-836),9999)</f>
        <v>-170.92</v>
      </c>
      <c r="D41" s="305">
        <f>IFERROR(MAX(F6,-836),9999)</f>
        <v>-222.25</v>
      </c>
      <c r="E41" s="306">
        <f>IFERROR(MAX(G6,-836),9999)</f>
        <v>-164.59</v>
      </c>
      <c r="F41" s="261"/>
      <c r="G41" s="246"/>
    </row>
    <row r="42" spans="1:7" x14ac:dyDescent="0.2">
      <c r="A42" s="221"/>
      <c r="B42" s="251" t="s">
        <v>534</v>
      </c>
      <c r="C42" s="252">
        <f>MAX(IF((AND(C7&gt;0,D7&gt;0,E7&gt;0)),AVERAGE(C7:E7),IF(AND(C7&lt;0,D7&gt;0,E7&gt;0),AVERAGE(D7:E7),IF(AND(C7&lt;0,D7&lt;0,E7&gt;0),E7,IF(AND(C7&gt;0,D7&lt;0,E7&gt;0),AVERAGE(E7,C7),-135)))),-135)</f>
        <v>0.20333333333333334</v>
      </c>
      <c r="D42" s="252">
        <f>MAX(IF((AND(D7&gt;0,E7&gt;0,F7&gt;0)),AVERAGE(D7:F7),IF(AND(D7&lt;0,E7&gt;0,F7&gt;0),AVERAGE(E7:F7),IF(AND(D7&lt;0,E7&lt;0,F7&gt;0),F7,IF(AND(D7&gt;0,E7&lt;0,F7&gt;0),AVERAGE(F7,D7),-135)))),-135)</f>
        <v>0.16666666666666666</v>
      </c>
      <c r="E42" s="253">
        <f>MAX(IF((AND(E7&gt;0,F7&gt;0,G7&gt;0)),AVERAGE(E7:G7),IF(AND(E7&lt;0,F7&gt;0,G7&gt;0),AVERAGE(F7:G7),IF(AND(E7&lt;0,F7&lt;0,G7&gt;0),G7,IF(AND(E7&gt;0,F7&lt;0,G7&gt;0),AVERAGE(G7,E7),-135)))),-135)</f>
        <v>0.13666666666666669</v>
      </c>
      <c r="F42" s="261"/>
      <c r="G42" s="246"/>
    </row>
    <row r="43" spans="1:7" x14ac:dyDescent="0.2">
      <c r="A43" s="221"/>
      <c r="B43" s="251" t="s">
        <v>517</v>
      </c>
      <c r="C43" s="252">
        <f>IFERROR(MAX(E8,-739),9999)</f>
        <v>-1.1599999999999999</v>
      </c>
      <c r="D43" s="252">
        <f t="shared" ref="D43:E43" si="0">IFERROR(MAX(F8,-739),9999)</f>
        <v>-1.1499999999999999</v>
      </c>
      <c r="E43" s="253">
        <f t="shared" si="0"/>
        <v>-1.42</v>
      </c>
      <c r="F43" s="261"/>
      <c r="G43" s="246"/>
    </row>
    <row r="44" spans="1:7" x14ac:dyDescent="0.2">
      <c r="A44" s="221"/>
      <c r="B44" s="251" t="s">
        <v>518</v>
      </c>
      <c r="C44" s="252">
        <f>MAX(IF((AND(C9&gt;0,D9&gt;0,E9&gt;0)),AVERAGE(C9:E9),IF(AND(E9&gt;0,D9&gt;0,C9&lt;0),AVERAGE(D9:E9),IF(AND(E9&gt;0,D9&lt;0,C9&lt;0),E9,IF(AND(E9&gt;0,D9&lt;0,C9&gt;0),AVERAGE(E9,C9),-119)))),-119)</f>
        <v>3.956666666666667</v>
      </c>
      <c r="D44" s="252">
        <f>MAX(IF((AND(D9&gt;0,E9&gt;0,F9&gt;0)),AVERAGE(D9:F9),IF(AND(F9&gt;0,E9&gt;0,D9&lt;0),AVERAGE(E9:F9),IF(AND(F9&gt;0,E9&lt;0,D9&lt;0),F9,IF(AND(F9&gt;0,E9&lt;0,D9&gt;0),AVERAGE(F9,D9),-119)))),-119)</f>
        <v>2.0500000000000003</v>
      </c>
      <c r="E44" s="253">
        <f>MAX(IF((AND(E9&gt;0,F9&gt;0,G9&gt;0)),AVERAGE(E9:G9),IF(AND(G9&gt;0,F9&gt;0,E9&lt;0),AVERAGE(F9:G9),IF(AND(G9&gt;0,F9&lt;0,E9&lt;0),G9,IF(AND(G9&gt;0,F9&lt;0,E9&gt;0),AVERAGE(G9,E9),-119)))),-119)</f>
        <v>1.6733333333333336</v>
      </c>
      <c r="F44" s="261"/>
      <c r="G44" s="246"/>
    </row>
    <row r="45" spans="1:7" x14ac:dyDescent="0.2">
      <c r="A45" s="221"/>
      <c r="B45" s="251" t="s">
        <v>519</v>
      </c>
      <c r="C45" s="252">
        <f><![CDATA[MAX(IF((AND(C10<>9999,D10<>9999,E10<>9999)),AVERAGE(C10:E10),IF(AND(C10=9999,D10<>9999,E10<>9999),AVERAGE(D10:E10),IF(AND(C10=9999,D10=9999,E10<>9999),E10,IF(AND(C10<>9999,D10=9999,E10<>9999),AVERAGE(E10,C10),9999)))),-15571)]]></f>
        <v>9999</v>
      </c>
      <c r="D45" s="252">
        <f><![CDATA[MAX(IF((AND(D10<>9999,E10<>9999,F10<>9999)),AVERAGE(D10:F10),IF(AND(D10=9999,E10<>9999,F10<>9999),AVERAGE(E10:F10),IF(AND(D10=9999,E10=9999,F10<>9999),F10,IF(AND(D10<>9999,E10=9999,F10<>9999),AVERAGE(F10,D10),9999)))),-15571)]]></f>
        <v>9999</v>
      </c>
      <c r="E45" s="253">
        <f><![CDATA[MAX(IF((AND(E10<>9999,F10<>9999,G10<>9999)),AVERAGE(E10:G10),IF(AND(E10=9999,F10<>9999,G10<>9999),AVERAGE(F10:G10),IF(AND(E10=9999,F10=9999,G10<>9999),G10,IF(AND(E10<>9999,F10=9999,G10<>9999),AVERAGE(G10,E10),9999)))),-15571)]]></f>
        <v>-404.1</v>
      </c>
      <c r="F45" s="261"/>
      <c r="G45" s="246"/>
    </row>
    <row r="46" spans="1:7" x14ac:dyDescent="0.2">
      <c r="A46" s="221"/>
      <c r="B46" s="251" t="s">
        <v>520</v>
      </c>
      <c r="C46" s="252">
        <f>IFERROR(MAX(E11,-594),9999)</f>
        <v>1.41</v>
      </c>
      <c r="D46" s="252">
        <f>IFERROR(MAX(F11,-594),9999)</f>
        <v>1.05</v>
      </c>
      <c r="E46" s="253">
        <f>IFERROR(MAX(G11,-594),9999)</f>
        <v>1.56</v>
      </c>
      <c r="F46" s="261"/>
      <c r="G46" s="246"/>
    </row>
    <row r="47" spans="1:7" x14ac:dyDescent="0.2">
      <c r="A47" s="221"/>
      <c r="B47" s="251" t="s">
        <v>535</v>
      </c>
      <c r="C47" s="252">
        <f>IFERROR(MAX(E12,-1103),9999)</f>
        <v>1.41</v>
      </c>
      <c r="D47" s="252">
        <f>IFERROR(MAX(F12,-594),9999)</f>
        <v>1.05</v>
      </c>
      <c r="E47" s="253">
        <f>IFERROR(MAX(G12,-594),9999)</f>
        <v>1.56</v>
      </c>
      <c r="F47" s="261"/>
      <c r="G47" s="246"/>
    </row>
    <row r="48" spans="1:7" x14ac:dyDescent="0.2">
      <c r="A48" s="221"/>
      <c r="B48" s="251" t="s">
        <v>522</v>
      </c>
      <c r="C48" s="252">
        <f>G13</f>
        <v>-24.84</v>
      </c>
      <c r="D48" s="252">
        <f>ROUND(IF((F13&gt;G13),G13,((3*G13+2*F13)/5)),2)</f>
        <v>-27.32</v>
      </c>
      <c r="E48" s="253">
        <f>ROUND(IF((F13&gt;G13),G13,((G13*3+F13*2+E13*1)/6)),2)</f>
        <v>-28.07</v>
      </c>
      <c r="F48" s="261"/>
      <c r="G48" s="246"/>
    </row>
    <row r="49" spans="1:7" x14ac:dyDescent="0.2">
      <c r="A49" s="221"/>
      <c r="B49" s="251" t="s">
        <v>536</v>
      </c>
      <c r="C49" s="252">
        <f>E14</f>
        <v>0.18</v>
      </c>
      <c r="D49" s="252">
        <f>F14</f>
        <v>0.14000000000000001</v>
      </c>
      <c r="E49" s="253">
        <f>G14</f>
        <v>0.26</v>
      </c>
      <c r="F49" s="261"/>
      <c r="G49" s="246"/>
    </row>
    <row r="50" spans="1:7" x14ac:dyDescent="0.2">
      <c r="A50" s="221"/>
      <c r="B50" s="251" t="s">
        <v>537</v>
      </c>
      <c r="C50" s="252">
        <f>G15</f>
        <v>-131.99968496495237</v>
      </c>
      <c r="D50" s="252">
        <f>ROUND(IF((F15&gt;G15),G15,((3*G15+2*F15)/5)),2)</f>
        <v>-132</v>
      </c>
      <c r="E50" s="253">
        <f>ROUND(IF((F15&gt;G15),G15,((G15*3+F15*2+E15*1)/6)),2)</f>
        <v>-132</v>
      </c>
      <c r="F50" s="261"/>
      <c r="G50" s="246"/>
    </row>
    <row r="51" spans="1:7" x14ac:dyDescent="0.2">
      <c r="A51" s="221"/>
      <c r="B51" s="251" t="s">
        <v>525</v>
      </c>
      <c r="C51" s="252">
        <f t="shared" ref="C51:E52" si="1">E16</f>
        <v>1.4140435835351091</v>
      </c>
      <c r="D51" s="252">
        <f t="shared" si="1"/>
        <v>1.0531561461794019</v>
      </c>
      <c r="E51" s="253">
        <f t="shared" si="1"/>
        <v>1.5481702846223919</v>
      </c>
      <c r="F51" s="261"/>
      <c r="G51" s="246"/>
    </row>
    <row r="52" spans="1:7" ht="13.5" thickBot="1" x14ac:dyDescent="0.25">
      <c r="A52" s="254"/>
      <c r="B52" s="255" t="s">
        <v>527</v>
      </c>
      <c r="C52" s="301">
        <f t="shared" si="1"/>
        <v>0</v>
      </c>
      <c r="D52" s="301">
        <f t="shared" si="1"/>
        <v>0</v>
      </c>
      <c r="E52" s="302">
        <f t="shared" si="1"/>
        <v>316.56</v>
      </c>
      <c r="F52" s="261"/>
      <c r="G52" s="246"/>
    </row>
    <row r="53" spans="1:7" ht="13.5" thickBot="1" x14ac:dyDescent="0.25">
      <c r="A53" s="240"/>
      <c r="B53" s="262"/>
      <c r="C53" s="261"/>
      <c r="D53" s="261"/>
      <c r="E53" s="261"/>
      <c r="F53" s="261"/>
      <c r="G53" s="246"/>
    </row>
    <row r="54" spans="1:7" ht="19.5" thickBot="1" x14ac:dyDescent="0.25">
      <c r="A54" s="282"/>
      <c r="B54" s="307" t="s">
        <v>798</v>
      </c>
      <c r="C54" s="308"/>
      <c r="D54" s="309" t="s">
        <v>543</v>
      </c>
      <c r="E54" s="261"/>
      <c r="F54" s="261"/>
      <c r="G54" s="246"/>
    </row>
    <row r="55" spans="1:7" x14ac:dyDescent="0.2">
      <c r="A55" s="265"/>
      <c r="B55" s="266" t="s">
        <v>531</v>
      </c>
      <c r="C55" s="310">
        <f>IF(G3="Y",'Restated Financials'!G8,-9999)</f>
        <v>253.94</v>
      </c>
      <c r="D55" s="311"/>
      <c r="E55" s="261"/>
      <c r="F55" s="261"/>
      <c r="G55" s="246"/>
    </row>
    <row r="56" spans="1:7" x14ac:dyDescent="0.2">
      <c r="A56" s="265"/>
      <c r="B56" s="266" t="s">
        <v>532</v>
      </c>
      <c r="C56" s="310">
        <f>IF(G3="Y",ROUND(('Key Financials'!G47-'Restated Financials'!G161),2),-9999)</f>
        <v>893.19</v>
      </c>
      <c r="D56" s="311"/>
      <c r="E56" s="261"/>
      <c r="F56" s="261"/>
      <c r="G56" s="246"/>
    </row>
    <row r="57" spans="1:7" x14ac:dyDescent="0.2">
      <c r="A57" s="265"/>
      <c r="B57" s="266" t="s">
        <v>533</v>
      </c>
      <c r="C57" s="310">
        <f>IF(G3="Y",ROUND(('Restated Financials'!G71+'Restated Financials'!G54+'Restated Financials'!G34-'Restated Financials'!G73),2),-9999)</f>
        <v>-332.48</v>
      </c>
      <c r="D57" s="311"/>
      <c r="E57" s="261"/>
      <c r="F57" s="261"/>
      <c r="G57" s="246"/>
    </row>
    <row r="58" spans="1:7" x14ac:dyDescent="0.2">
      <c r="A58" s="265"/>
      <c r="B58" s="266" t="s">
        <v>443</v>
      </c>
      <c r="C58" s="310">
        <f t="shared" ref="C58:C64" si="2">E41</f>
        <v>-164.59</v>
      </c>
      <c r="D58" s="311" t="s">
        <v>545</v>
      </c>
      <c r="E58" s="245"/>
      <c r="F58" s="245"/>
      <c r="G58" s="246"/>
    </row>
    <row r="59" spans="1:7" x14ac:dyDescent="0.2">
      <c r="A59" s="265"/>
      <c r="B59" s="266" t="s">
        <v>534</v>
      </c>
      <c r="C59" s="310">
        <f t="shared" si="2"/>
        <v>0.13666666666666669</v>
      </c>
      <c r="D59" s="311" t="s">
        <v>545</v>
      </c>
      <c r="E59" s="245"/>
      <c r="F59" s="245"/>
      <c r="G59" s="246"/>
    </row>
    <row r="60" spans="1:7" x14ac:dyDescent="0.2">
      <c r="A60" s="265"/>
      <c r="B60" s="266" t="s">
        <v>517</v>
      </c>
      <c r="C60" s="310">
        <f t="shared" si="2"/>
        <v>-1.42</v>
      </c>
      <c r="D60" s="311" t="s">
        <v>545</v>
      </c>
      <c r="E60" s="245"/>
      <c r="F60" s="245"/>
      <c r="G60" s="246"/>
    </row>
    <row r="61" spans="1:7" x14ac:dyDescent="0.2">
      <c r="A61" s="265"/>
      <c r="B61" s="266" t="s">
        <v>518</v>
      </c>
      <c r="C61" s="310">
        <f t="shared" si="2"/>
        <v>1.6733333333333336</v>
      </c>
      <c r="D61" s="311" t="s">
        <v>545</v>
      </c>
      <c r="E61" s="245"/>
      <c r="F61" s="245"/>
      <c r="G61" s="246"/>
    </row>
    <row r="62" spans="1:7" x14ac:dyDescent="0.2">
      <c r="A62" s="265"/>
      <c r="B62" s="266" t="s">
        <v>519</v>
      </c>
      <c r="C62" s="310">
        <f t="shared" si="2"/>
        <v>-404.1</v>
      </c>
      <c r="D62" s="311" t="s">
        <v>547</v>
      </c>
      <c r="E62" s="245"/>
      <c r="F62" s="245"/>
      <c r="G62" s="246"/>
    </row>
    <row r="63" spans="1:7" x14ac:dyDescent="0.2">
      <c r="A63" s="265"/>
      <c r="B63" s="266" t="s">
        <v>520</v>
      </c>
      <c r="C63" s="310">
        <f t="shared" si="2"/>
        <v>1.56</v>
      </c>
      <c r="D63" s="311" t="s">
        <v>545</v>
      </c>
      <c r="E63" s="245"/>
      <c r="F63" s="245"/>
      <c r="G63" s="246"/>
    </row>
    <row r="64" spans="1:7" x14ac:dyDescent="0.2">
      <c r="A64" s="265"/>
      <c r="B64" s="266" t="s">
        <v>535</v>
      </c>
      <c r="C64" s="310">
        <f t="shared" si="2"/>
        <v>1.56</v>
      </c>
      <c r="D64" s="311" t="s">
        <v>545</v>
      </c>
      <c r="E64" s="245"/>
      <c r="F64" s="245"/>
      <c r="G64" s="246"/>
    </row>
    <row r="65" spans="1:7" x14ac:dyDescent="0.2">
      <c r="A65" s="265"/>
      <c r="B65" s="266" t="s">
        <v>522</v>
      </c>
      <c r="C65" s="310">
        <f>IF('Restated Financials'!G8=0,0,IF('Restated Financials'!F8=0,C48,IF('Restated Financials'!E8=0,D48,E48)))</f>
        <v>-28.07</v>
      </c>
      <c r="D65" s="311" t="s">
        <v>546</v>
      </c>
      <c r="E65" s="245"/>
      <c r="F65" s="245"/>
      <c r="G65" s="246"/>
    </row>
    <row r="66" spans="1:7" x14ac:dyDescent="0.2">
      <c r="A66" s="265"/>
      <c r="B66" s="266" t="s">
        <v>536</v>
      </c>
      <c r="C66" s="310">
        <f>E49</f>
        <v>0.26</v>
      </c>
      <c r="D66" s="311" t="s">
        <v>546</v>
      </c>
      <c r="E66" s="245"/>
      <c r="F66" s="245"/>
      <c r="G66" s="246"/>
    </row>
    <row r="67" spans="1:7" x14ac:dyDescent="0.2">
      <c r="A67" s="265"/>
      <c r="B67" s="266" t="s">
        <v>537</v>
      </c>
      <c r="C67" s="310">
        <f>IF(('Restated Financials'!G8=0),0,IF(('Restated Financials'!F8=0),C50,IF('Restated Financials'!E8=0,D50,E50)))</f>
        <v>-132</v>
      </c>
      <c r="D67" s="311" t="s">
        <v>546</v>
      </c>
      <c r="E67" s="245"/>
      <c r="F67" s="245"/>
      <c r="G67" s="246"/>
    </row>
    <row r="68" spans="1:7" x14ac:dyDescent="0.2">
      <c r="A68" s="265"/>
      <c r="B68" s="266" t="s">
        <v>525</v>
      </c>
      <c r="C68" s="310">
        <f>E51</f>
        <v>1.5481702846223919</v>
      </c>
      <c r="D68" s="311" t="s">
        <v>546</v>
      </c>
      <c r="E68" s="245"/>
      <c r="F68" s="245"/>
      <c r="G68" s="246"/>
    </row>
    <row r="69" spans="1:7" x14ac:dyDescent="0.2">
      <c r="A69" s="265"/>
      <c r="B69" s="266" t="s">
        <v>527</v>
      </c>
      <c r="C69" s="310">
        <f>E52</f>
        <v>316.56</v>
      </c>
      <c r="D69" s="311" t="s">
        <v>546</v>
      </c>
      <c r="E69" s="245"/>
      <c r="F69" s="245"/>
      <c r="G69" s="246"/>
    </row>
    <row r="70" spans="1:7" x14ac:dyDescent="0.2">
      <c r="A70" s="265"/>
      <c r="B70" s="266" t="s">
        <v>442</v>
      </c>
      <c r="C70" s="310">
        <f>G18</f>
        <v>-3.66</v>
      </c>
      <c r="D70" s="311" t="s">
        <v>550</v>
      </c>
      <c r="E70" s="245"/>
      <c r="F70" s="245"/>
      <c r="G70" s="246"/>
    </row>
    <row r="71" spans="1:7" x14ac:dyDescent="0.2">
      <c r="A71" s="265"/>
      <c r="B71" s="266" t="s">
        <v>516</v>
      </c>
      <c r="C71" s="310">
        <f>IF((AND(E19&gt;0,F19&gt;0,G19&gt;0)),AVERAGE(E19:G19),IF(AND(G19&gt;0,F19&gt;0,E19&lt;0),AVERAGE(F19:G19),IF(AND(G19&gt;0,F19&lt;0,E19&lt;0),G19,IF(AND(G19&gt;0,F19&lt;0,E19&gt;0),AVERAGE(G19,E19),IF(AND(G19&lt;0,F19&gt;0,E19&gt;0),G19,-50)))))</f>
        <v>0.12000000000000001</v>
      </c>
      <c r="D71" s="311" t="s">
        <v>544</v>
      </c>
      <c r="E71" s="245"/>
      <c r="F71" s="245"/>
      <c r="G71" s="246"/>
    </row>
    <row r="72" spans="1:7" x14ac:dyDescent="0.2">
      <c r="A72" s="265"/>
      <c r="B72" s="266" t="s">
        <v>541</v>
      </c>
      <c r="C72" s="310">
        <f>G20</f>
        <v>-1.43</v>
      </c>
      <c r="D72" s="311" t="s">
        <v>544</v>
      </c>
      <c r="E72" s="245"/>
      <c r="F72" s="245"/>
      <c r="G72" s="246"/>
    </row>
    <row r="73" spans="1:7" x14ac:dyDescent="0.2">
      <c r="A73" s="265"/>
      <c r="B73" s="266" t="s">
        <v>542</v>
      </c>
      <c r="C73" s="310">
        <f>G21</f>
        <v>1.56</v>
      </c>
      <c r="D73" s="311" t="s">
        <v>544</v>
      </c>
      <c r="E73" s="245"/>
      <c r="F73" s="245"/>
      <c r="G73" s="246"/>
    </row>
    <row r="74" spans="1:7" x14ac:dyDescent="0.2">
      <c r="A74" s="265"/>
      <c r="B74" s="266" t="s">
        <v>522</v>
      </c>
      <c r="C74" s="310">
        <f>IF('Restated Financials'!G8=0,0,IF('Restated Financials'!F8=0,G31,IF('Restated Financials'!E8=0,IF(F31&gt;G31,G31,(3*G31+2*F31)/5),IF(F31&gt;G31,G31,(3*G31+2*F31+E31)/6))))</f>
        <v>-0.28166666666666668</v>
      </c>
      <c r="D74" s="311" t="s">
        <v>549</v>
      </c>
      <c r="E74" s="245"/>
      <c r="F74" s="245"/>
      <c r="G74" s="246"/>
    </row>
    <row r="75" spans="1:7" x14ac:dyDescent="0.2">
      <c r="A75" s="265"/>
      <c r="B75" s="266" t="s">
        <v>441</v>
      </c>
      <c r="C75" s="310">
        <f>G23</f>
        <v>0.26</v>
      </c>
      <c r="D75" s="311" t="s">
        <v>557</v>
      </c>
      <c r="E75" s="245"/>
      <c r="F75" s="245"/>
      <c r="G75" s="246"/>
    </row>
    <row r="76" spans="1:7" x14ac:dyDescent="0.2">
      <c r="A76" s="265"/>
      <c r="B76" s="266" t="s">
        <v>443</v>
      </c>
      <c r="C76" s="310">
        <f>G24</f>
        <v>-164.59</v>
      </c>
      <c r="D76" s="311" t="s">
        <v>558</v>
      </c>
      <c r="E76" s="245"/>
      <c r="F76" s="245"/>
      <c r="G76" s="246"/>
    </row>
    <row r="77" spans="1:7" x14ac:dyDescent="0.2">
      <c r="A77" s="265"/>
      <c r="B77" s="266" t="s">
        <v>523</v>
      </c>
      <c r="C77" s="310">
        <f>IF('Restated Financials'!G8=0,0,IF('Restated Financials'!F8=0,G25,IF('Restated Financials'!E8=0,IF(F25&gt;G25,G25,(3*G25+2*F25)/5),IF(F25&gt;G25,G25,(3*G25+2*F25+E25)/6))))</f>
        <v>-139.03</v>
      </c>
      <c r="D77" s="311" t="s">
        <v>552</v>
      </c>
      <c r="E77" s="245"/>
      <c r="F77" s="245"/>
      <c r="G77" s="246"/>
    </row>
    <row r="78" spans="1:7" x14ac:dyDescent="0.2">
      <c r="A78" s="265"/>
      <c r="B78" s="266" t="s">
        <v>524</v>
      </c>
      <c r="C78" s="310">
        <f>G26</f>
        <v>893.19</v>
      </c>
      <c r="D78" s="311" t="s">
        <v>552</v>
      </c>
      <c r="E78" s="245"/>
      <c r="F78" s="245"/>
      <c r="G78" s="246"/>
    </row>
    <row r="79" spans="1:7" x14ac:dyDescent="0.2">
      <c r="A79" s="265"/>
      <c r="B79" s="266" t="s">
        <v>525</v>
      </c>
      <c r="C79" s="310">
        <f>G27</f>
        <v>1.56</v>
      </c>
      <c r="D79" s="311" t="s">
        <v>551</v>
      </c>
      <c r="E79" s="245"/>
      <c r="F79" s="245"/>
      <c r="G79" s="246"/>
    </row>
    <row r="80" spans="1:7" x14ac:dyDescent="0.2">
      <c r="A80" s="265"/>
      <c r="B80" s="266" t="s">
        <v>526</v>
      </c>
      <c r="C80" s="310">
        <f>G28</f>
        <v>-0.74</v>
      </c>
      <c r="D80" s="311" t="s">
        <v>549</v>
      </c>
      <c r="E80" s="245"/>
      <c r="F80" s="245"/>
      <c r="G80" s="246"/>
    </row>
    <row r="81" spans="1:7" x14ac:dyDescent="0.2">
      <c r="A81" s="265"/>
      <c r="B81" s="266" t="s">
        <v>527</v>
      </c>
      <c r="C81" s="310">
        <f>G29</f>
        <v>316.56</v>
      </c>
      <c r="D81" s="311" t="s">
        <v>559</v>
      </c>
      <c r="E81" s="245"/>
      <c r="F81" s="245"/>
      <c r="G81" s="246"/>
    </row>
    <row r="82" spans="1:7" x14ac:dyDescent="0.2">
      <c r="A82" s="265"/>
      <c r="B82" s="266" t="s">
        <v>548</v>
      </c>
      <c r="C82" s="310">
        <f>G30</f>
        <v>39.46</v>
      </c>
      <c r="D82" s="311" t="s">
        <v>553</v>
      </c>
      <c r="E82" s="245"/>
      <c r="F82" s="245"/>
      <c r="G82" s="246"/>
    </row>
    <row r="83" spans="1:7" x14ac:dyDescent="0.2">
      <c r="A83" s="265"/>
      <c r="B83" s="266" t="s">
        <v>522</v>
      </c>
      <c r="C83" s="310">
        <f>IF('Restated Financials'!G8=0,0,IF('Restated Financials'!F8=0,G31,IF('Restated Financials'!E8=0,IF(F31&gt;G31,G31,(3*G31+2*F31)/5),IF(F31&gt;G31,G31,(3*G31+2*F31+E31)/6))))</f>
        <v>-0.28166666666666668</v>
      </c>
      <c r="D83" s="311" t="s">
        <v>556</v>
      </c>
      <c r="E83" s="245"/>
      <c r="F83" s="245"/>
      <c r="G83" s="246"/>
    </row>
    <row r="84" spans="1:7" x14ac:dyDescent="0.2">
      <c r="A84" s="265"/>
      <c r="B84" s="266" t="s">
        <v>525</v>
      </c>
      <c r="C84" s="310">
        <f>G32</f>
        <v>1.56</v>
      </c>
      <c r="D84" s="311" t="s">
        <v>556</v>
      </c>
      <c r="E84" s="245"/>
      <c r="F84" s="245"/>
      <c r="G84" s="246"/>
    </row>
    <row r="85" spans="1:7" x14ac:dyDescent="0.2">
      <c r="A85" s="265"/>
      <c r="B85" s="266" t="s">
        <v>527</v>
      </c>
      <c r="C85" s="310">
        <f>G33</f>
        <v>316.56</v>
      </c>
      <c r="D85" s="311" t="s">
        <v>556</v>
      </c>
      <c r="E85" s="245"/>
      <c r="F85" s="245"/>
      <c r="G85" s="246"/>
    </row>
    <row r="86" spans="1:7" x14ac:dyDescent="0.2">
      <c r="A86" s="265"/>
      <c r="B86" s="266" t="s">
        <v>554</v>
      </c>
      <c r="C86" s="310">
        <f>G34</f>
        <v>0.65</v>
      </c>
      <c r="D86" s="311" t="s">
        <v>556</v>
      </c>
      <c r="E86" s="245"/>
      <c r="F86" s="245"/>
      <c r="G86" s="246"/>
    </row>
    <row r="87" spans="1:7" ht="13.5" thickBot="1" x14ac:dyDescent="0.25">
      <c r="A87" s="267"/>
      <c r="B87" s="268" t="s">
        <v>555</v>
      </c>
      <c r="C87" s="312">
        <f>G35</f>
        <v>0</v>
      </c>
      <c r="D87" s="311" t="s">
        <v>556</v>
      </c>
      <c r="E87" s="245"/>
      <c r="F87" s="245"/>
      <c r="G87" s="246"/>
    </row>
  </sheetData>
  <conditionalFormatting sqref="B36">
    <cfRule type="duplicateValues" dxfId="0" priority="1" stopIfTrue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opLeftCell="A3" workbookViewId="0">
      <selection activeCell="E28" sqref="E28:G28"/>
    </sheetView>
  </sheetViews>
  <sheetFormatPr defaultRowHeight="12.75" x14ac:dyDescent="0.2"/>
  <cols>
    <col min="1" max="1" customWidth="true" style="298" width="5.140625" collapsed="true"/>
    <col min="2" max="2" customWidth="true" style="298" width="51.85546875" collapsed="true"/>
    <col min="3" max="7" customWidth="true" style="298" width="16.140625" collapsed="true"/>
    <col min="8" max="16384" style="298" width="9.140625" collapsed="true"/>
  </cols>
  <sheetData>
    <row r="1" spans="1:7" ht="19.5" thickBot="1" x14ac:dyDescent="0.25">
      <c r="A1" s="213"/>
      <c r="B1" s="297" t="s">
        <v>712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37</v>
      </c>
      <c r="C3" s="252"/>
      <c r="D3" s="252">
        <f>IF('Restated Financials'!C200=0," ",ROUND('Restated Financials'!D61-'Restated Financials'!D68,2))</f>
        <v>-146.6</v>
      </c>
      <c r="E3" s="252">
        <f>IF('Restated Financials'!D200=0," ",ROUND('Restated Financials'!E61-'Restated Financials'!E68,2))</f>
        <v>-213</v>
      </c>
      <c r="F3" s="252">
        <f>IF('Restated Financials'!E200=0," ",ROUND('Restated Financials'!F61-'Restated Financials'!F68,2))</f>
        <v>-282.7</v>
      </c>
      <c r="G3" s="253">
        <f>IF('Restated Financials'!F200=0," ",ROUND('Restated Financials'!G61-'Restated Financials'!G68,2))</f>
        <v>-334.56</v>
      </c>
    </row>
    <row r="4" spans="1:7" x14ac:dyDescent="0.2">
      <c r="A4" s="221"/>
      <c r="B4" s="251" t="s">
        <v>353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</row>
    <row r="5" spans="1:7" x14ac:dyDescent="0.2">
      <c r="A5" s="221"/>
      <c r="B5" s="251" t="s">
        <v>354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</row>
    <row r="6" spans="1:7" x14ac:dyDescent="0.2">
      <c r="A6" s="221"/>
      <c r="B6" s="251"/>
      <c r="C6" s="252"/>
      <c r="D6" s="252"/>
      <c r="E6" s="252"/>
      <c r="F6" s="252"/>
      <c r="G6" s="253"/>
    </row>
    <row r="7" spans="1:7" x14ac:dyDescent="0.2">
      <c r="A7" s="221"/>
      <c r="B7" s="250" t="s">
        <v>355</v>
      </c>
      <c r="C7" s="303"/>
      <c r="D7" s="303">
        <f>ROUND(D3+D4+D5,2)</f>
        <v>-142</v>
      </c>
      <c r="E7" s="303">
        <f>ROUND(E3+E4+E5,2)</f>
        <v>-205.2</v>
      </c>
      <c r="F7" s="303">
        <f>ROUND(F3+F4+F5,2)</f>
        <v>-266.2</v>
      </c>
      <c r="G7" s="304">
        <f>ROUND(G3+G4+G5,2)</f>
        <v>-313.99</v>
      </c>
    </row>
    <row r="8" spans="1:7" x14ac:dyDescent="0.2">
      <c r="A8" s="221"/>
      <c r="B8" s="251"/>
      <c r="C8" s="252"/>
      <c r="D8" s="252"/>
      <c r="E8" s="252"/>
      <c r="F8" s="252"/>
      <c r="G8" s="253"/>
    </row>
    <row r="9" spans="1:7" x14ac:dyDescent="0.2">
      <c r="A9" s="221"/>
      <c r="B9" s="251" t="s">
        <v>356</v>
      </c>
      <c r="C9" s="252"/>
      <c r="D9" s="252">
        <f>IF('Restated Financials'!C200=0," ",ROUND(('Restated Financials'!C177-'Restated Financials'!D177),2))</f>
        <v>-8</v>
      </c>
      <c r="E9" s="252">
        <f>IF('Restated Financials'!D200=0," ",ROUND(('Restated Financials'!D177-'Restated Financials'!E177),2))</f>
        <v>23</v>
      </c>
      <c r="F9" s="252">
        <f>IF('Restated Financials'!E200=0," ",ROUND(('Restated Financials'!E177-'Restated Financials'!F177),2))</f>
        <v>0</v>
      </c>
      <c r="G9" s="253">
        <f>IF('Restated Financials'!F200=0," ",ROUND(('Restated Financials'!F177-'Restated Financials'!G177),2))</f>
        <v>-27.45</v>
      </c>
    </row>
    <row r="10" spans="1:7" x14ac:dyDescent="0.2">
      <c r="A10" s="221"/>
      <c r="B10" s="251" t="s">
        <v>357</v>
      </c>
      <c r="C10" s="252"/>
      <c r="D10" s="252">
        <f>IF('Restated Financials'!C200=0," ",ROUND('Restated Financials'!C170-'Restated Financials'!D170,2))</f>
        <v>-33</v>
      </c>
      <c r="E10" s="252">
        <f>IF('Restated Financials'!D200=0," ",ROUND('Restated Financials'!D170-'Restated Financials'!E170,2))</f>
        <v>106</v>
      </c>
      <c r="F10" s="252">
        <f>IF('Restated Financials'!E200=0," ",ROUND('Restated Financials'!E170-'Restated Financials'!F170,2))</f>
        <v>0</v>
      </c>
      <c r="G10" s="253">
        <f>IF('Restated Financials'!F200=0," ",ROUND('Restated Financials'!F170-'Restated Financials'!G170,2))</f>
        <v>-192.79</v>
      </c>
    </row>
    <row r="11" spans="1:7" x14ac:dyDescent="0.2">
      <c r="A11" s="221"/>
      <c r="B11" s="251" t="s">
        <v>358</v>
      </c>
      <c r="C11" s="252"/>
      <c r="D11" s="252">
        <f>IF('Restated Financials'!C200=0," ",ROUND(('Restated Financials'!C179-'Restated Financials'!D179),2))</f>
        <v>61</v>
      </c>
      <c r="E11" s="252">
        <f>IF('Restated Financials'!D200=0," ",ROUND(('Restated Financials'!D179-'Restated Financials'!E179),2))</f>
        <v>0</v>
      </c>
      <c r="F11" s="252">
        <f>IF('Restated Financials'!E200=0," ",ROUND(('Restated Financials'!E179-'Restated Financials'!F179),2))</f>
        <v>0</v>
      </c>
      <c r="G11" s="253">
        <f>IF('Restated Financials'!F200=0," ",ROUND(('Restated Financials'!F179-'Restated Financials'!G179),2))</f>
        <v>0</v>
      </c>
    </row>
    <row r="12" spans="1:7" x14ac:dyDescent="0.2">
      <c r="A12" s="221"/>
      <c r="B12" s="251" t="s">
        <v>359</v>
      </c>
      <c r="C12" s="252"/>
      <c r="D12" s="252">
        <f>IF('Restated Financials'!C200=0," ",(ROUND('Restated Financials'!C182-'Restated Financials'!D182,2)))</f>
        <v>-5</v>
      </c>
      <c r="E12" s="252">
        <f>IF('Restated Financials'!D200=0," ",(ROUND('Restated Financials'!D182-'Restated Financials'!E182,2)))</f>
        <v>-1</v>
      </c>
      <c r="F12" s="252">
        <f>IF('Restated Financials'!E200=0," ",(ROUND('Restated Financials'!E182-'Restated Financials'!F182,2)))</f>
        <v>-1</v>
      </c>
      <c r="G12" s="253">
        <f>IF('Restated Financials'!F200=0," ",(ROUND('Restated Financials'!F182-'Restated Financials'!G182,2)))</f>
        <v>-0.33</v>
      </c>
    </row>
    <row r="13" spans="1:7" x14ac:dyDescent="0.2">
      <c r="A13" s="221"/>
      <c r="B13" s="251" t="s">
        <v>360</v>
      </c>
      <c r="C13" s="252"/>
      <c r="D13" s="252">
        <f>IF('Restated Financials'!C200=0," ",ROUND('Restated Financials'!C190+'Restated Financials'!C191+'Restated Financials'!C194-'Restated Financials'!D190-'Restated Financials'!D191-'Restated Financials'!D194,2))</f>
        <v>-76</v>
      </c>
      <c r="E13" s="252">
        <f>IF('Restated Financials'!D200=0," ",ROUND('Restated Financials'!D190+'Restated Financials'!D191+'Restated Financials'!D194-'Restated Financials'!E190-'Restated Financials'!E191-'Restated Financials'!E194,2))</f>
        <v>71</v>
      </c>
      <c r="F13" s="252">
        <f>IF('Restated Financials'!E200=0," ",ROUND('Restated Financials'!E190+'Restated Financials'!E191+'Restated Financials'!E194-'Restated Financials'!F190-'Restated Financials'!F191-'Restated Financials'!F194,2))</f>
        <v>16</v>
      </c>
      <c r="G13" s="253">
        <f>IF('Restated Financials'!F200=0," ",ROUND('Restated Financials'!F190+'Restated Financials'!F191+'Restated Financials'!F194-'Restated Financials'!G190-'Restated Financials'!G191-'Restated Financials'!G194,2))</f>
        <v>-359.08</v>
      </c>
    </row>
    <row r="14" spans="1:7" x14ac:dyDescent="0.2">
      <c r="A14" s="221"/>
      <c r="B14" s="251"/>
      <c r="C14" s="252"/>
      <c r="D14" s="252"/>
      <c r="E14" s="252"/>
      <c r="F14" s="252"/>
      <c r="G14" s="253"/>
    </row>
    <row r="15" spans="1:7" x14ac:dyDescent="0.2">
      <c r="A15" s="221"/>
      <c r="B15" s="251" t="s">
        <v>361</v>
      </c>
      <c r="C15" s="252"/>
      <c r="D15" s="252">
        <f>IF('Restated Financials'!C200=0," ",(ROUND('Restated Financials'!D129-'Restated Financials'!C129,2)))</f>
        <v>134</v>
      </c>
      <c r="E15" s="252">
        <f>IF('Restated Financials'!D200=0," ",(ROUND('Restated Financials'!E129-'Restated Financials'!D129,2)))</f>
        <v>-231</v>
      </c>
      <c r="F15" s="252">
        <f>IF('Restated Financials'!E200=0," ",(ROUND('Restated Financials'!F129-'Restated Financials'!E129,2)))</f>
        <v>0</v>
      </c>
      <c r="G15" s="253">
        <f>IF('Restated Financials'!F200=0," ",(ROUND('Restated Financials'!G129-'Restated Financials'!F129,2)))</f>
        <v>564.17999999999995</v>
      </c>
    </row>
    <row r="16" spans="1:7" x14ac:dyDescent="0.2">
      <c r="A16" s="221"/>
      <c r="B16" s="251" t="s">
        <v>362</v>
      </c>
      <c r="C16" s="252"/>
      <c r="D16" s="252">
        <f>IF('Restated Financials'!C200=0," ",(ROUND('Restated Financials'!D133-'Restated Financials'!C133,2)))</f>
        <v>0</v>
      </c>
      <c r="E16" s="252">
        <f>IF('Restated Financials'!D200=0," ",(ROUND('Restated Financials'!E133-'Restated Financials'!D133,2)))</f>
        <v>0</v>
      </c>
      <c r="F16" s="252">
        <f>IF('Restated Financials'!E200=0," ",(ROUND('Restated Financials'!F133-'Restated Financials'!E133,2)))</f>
        <v>0</v>
      </c>
      <c r="G16" s="253">
        <f>IF('Restated Financials'!F200=0," ",(ROUND('Restated Financials'!G133-'Restated Financials'!F133,2)))</f>
        <v>0</v>
      </c>
    </row>
    <row r="17" spans="1:7" x14ac:dyDescent="0.2">
      <c r="A17" s="221"/>
      <c r="B17" s="251" t="s">
        <v>363</v>
      </c>
      <c r="C17" s="252"/>
      <c r="D17" s="252">
        <f>IF('Restated Financials'!C200=0," ",(ROUND('Restated Financials'!D132-'Restated Financials'!C132,2)))</f>
        <v>0</v>
      </c>
      <c r="E17" s="252">
        <f>IF('Restated Financials'!D200=0," ",(ROUND('Restated Financials'!E132-'Restated Financials'!D132,2)))</f>
        <v>72</v>
      </c>
      <c r="F17" s="252">
        <f>IF('Restated Financials'!E200=0," ",(ROUND('Restated Financials'!F132-'Restated Financials'!E132,2)))</f>
        <v>-18</v>
      </c>
      <c r="G17" s="253">
        <f>IF('Restated Financials'!F200=0," ",(ROUND('Restated Financials'!G132-'Restated Financials'!F132,2)))</f>
        <v>-18.3</v>
      </c>
    </row>
    <row r="18" spans="1:7" x14ac:dyDescent="0.2">
      <c r="A18" s="221"/>
      <c r="B18" s="251" t="s">
        <v>364</v>
      </c>
      <c r="C18" s="252"/>
      <c r="D18" s="252">
        <f>IF('Restated Financials'!C200=0," ",(ROUND('Restated Financials'!D134-'Restated Financials'!C134,2)))</f>
        <v>7</v>
      </c>
      <c r="E18" s="252">
        <f>IF('Restated Financials'!D200=0," ",(ROUND('Restated Financials'!E134-'Restated Financials'!D134,2)))</f>
        <v>28</v>
      </c>
      <c r="F18" s="252">
        <f>IF('Restated Financials'!E200=0," ",(ROUND('Restated Financials'!F134-'Restated Financials'!E134,2)))</f>
        <v>34</v>
      </c>
      <c r="G18" s="253">
        <f>IF('Restated Financials'!F200=0," ",(ROUND('Restated Financials'!G134-'Restated Financials'!F134,2)))</f>
        <v>10.029999999999999</v>
      </c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1" t="s">
        <v>365</v>
      </c>
      <c r="C20" s="252"/>
      <c r="D20" s="252">
        <f>IF('Restated Financials'!C200=0," ",ROUND('Restated Financials'!D67+'Restated Financials'!C130-'Restated Financials'!D130,2))</f>
        <v>-12.3</v>
      </c>
      <c r="E20" s="252">
        <f>IF('Restated Financials'!D200=0," ",ROUND('Restated Financials'!E67+'Restated Financials'!D130-'Restated Financials'!E130,2))</f>
        <v>-93.5</v>
      </c>
      <c r="F20" s="252">
        <f>IF('Restated Financials'!E200=0," ",ROUND('Restated Financials'!F67+'Restated Financials'!E130-'Restated Financials'!F130,2))</f>
        <v>46</v>
      </c>
      <c r="G20" s="253">
        <f>IF('Restated Financials'!F200=0," ",ROUND('Restated Financials'!G67+'Restated Financials'!F130-'Restated Financials'!G130,2))</f>
        <v>-46.5</v>
      </c>
    </row>
    <row r="21" spans="1:7" x14ac:dyDescent="0.2">
      <c r="A21" s="221"/>
      <c r="B21" s="251" t="s">
        <v>366</v>
      </c>
      <c r="C21" s="252"/>
      <c r="D21" s="252">
        <f>IF('Restated Financials'!C200=0, " ",ROUND('Restated Financials'!D63-'Restated Financials'!D64,2))</f>
        <v>0.1</v>
      </c>
      <c r="E21" s="252">
        <f>IF('Restated Financials'!D200=0, " ",ROUND('Restated Financials'!E63-'Restated Financials'!E64,2))</f>
        <v>-1.6</v>
      </c>
      <c r="F21" s="252">
        <f>IF('Restated Financials'!E200=0, " ",ROUND('Restated Financials'!F63-'Restated Financials'!F64,2))</f>
        <v>-0.3</v>
      </c>
      <c r="G21" s="253">
        <f>IF('Restated Financials'!F200=0, " ",ROUND('Restated Financials'!G63-'Restated Financials'!G64,2))</f>
        <v>0</v>
      </c>
    </row>
    <row r="22" spans="1:7" x14ac:dyDescent="0.2">
      <c r="A22" s="221"/>
      <c r="B22" s="251"/>
      <c r="C22" s="252"/>
      <c r="D22" s="252"/>
      <c r="E22" s="252"/>
      <c r="F22" s="252"/>
      <c r="G22" s="253"/>
    </row>
    <row r="23" spans="1:7" x14ac:dyDescent="0.2">
      <c r="A23" s="221"/>
      <c r="B23" s="250" t="s">
        <v>367</v>
      </c>
      <c r="C23" s="303"/>
      <c r="D23" s="303">
        <f>ROUND(D7+SUM(D9:D18)+D21-D20,2)</f>
        <v>-49.6</v>
      </c>
      <c r="E23" s="303">
        <f>ROUND(E7+SUM(E9:E18)+E21-E20,2)</f>
        <v>-45.3</v>
      </c>
      <c r="F23" s="303">
        <f>ROUND(F7+SUM(F9:F18)+F21-F20,2)</f>
        <v>-281.5</v>
      </c>
      <c r="G23" s="304">
        <f>ROUND(G7+SUM(G9:G18)+G21-G20,2)</f>
        <v>-291.23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368</v>
      </c>
      <c r="C25" s="252"/>
      <c r="D25" s="252">
        <f>IF('Restated Financials'!C200=0," ",(ROUND('Restated Financials'!D109-'Restated Financials'!C109,2)))</f>
        <v>77</v>
      </c>
      <c r="E25" s="252">
        <f>IF('Restated Financials'!D200=0," ",(ROUND('Restated Financials'!E109-'Restated Financials'!D109,2)))</f>
        <v>-114</v>
      </c>
      <c r="F25" s="252">
        <f>IF('Restated Financials'!E200=0," ",(ROUND('Restated Financials'!F109-'Restated Financials'!E109,2)))</f>
        <v>-14</v>
      </c>
      <c r="G25" s="253">
        <f>IF('Restated Financials'!F200=0," ",(ROUND('Restated Financials'!G109-'Restated Financials'!F109,2)))</f>
        <v>288.45999999999998</v>
      </c>
    </row>
    <row r="26" spans="1:7" x14ac:dyDescent="0.2">
      <c r="A26" s="221"/>
      <c r="B26" s="251" t="s">
        <v>369</v>
      </c>
      <c r="C26" s="252"/>
      <c r="D26" s="252">
        <f>IF('Restated Financials'!C200=0," ",(ROUND('Restated Financials'!D124-'Restated Financials'!C124,2)))</f>
        <v>-4</v>
      </c>
      <c r="E26" s="252">
        <f>IF('Restated Financials'!D200=0," ",(ROUND('Restated Financials'!E124-'Restated Financials'!D124,2)))</f>
        <v>18</v>
      </c>
      <c r="F26" s="252">
        <f>IF('Restated Financials'!E200=0," ",(ROUND('Restated Financials'!F124-'Restated Financials'!E124,2)))</f>
        <v>82</v>
      </c>
      <c r="G26" s="253">
        <f>IF('Restated Financials'!F200=0," ",(ROUND('Restated Financials'!G124-'Restated Financials'!F124,2)))</f>
        <v>-149.80000000000001</v>
      </c>
    </row>
    <row r="27" spans="1:7" x14ac:dyDescent="0.2">
      <c r="A27" s="221"/>
      <c r="B27" s="251" t="s">
        <v>370</v>
      </c>
      <c r="C27" s="252"/>
      <c r="D27" s="252">
        <f>IF('Restated Financials'!C200=0," ",ROUND(Sheet1!D225,2))</f>
        <v>1000</v>
      </c>
      <c r="E27" s="252">
        <f>IF('Restated Financials'!D200=0," ",ROUND(Sheet1!E225,2))</f>
        <v>1000</v>
      </c>
      <c r="F27" s="252">
        <f>IF('Restated Financials'!E200=0," ",ROUND(Sheet1!F225,2))</f>
        <v>1000</v>
      </c>
      <c r="G27" s="253">
        <f>IF('Restated Financials'!F200=0," ",ROUND(Sheet1!G225,2))</f>
        <v>1000</v>
      </c>
    </row>
    <row r="28" spans="1:7" x14ac:dyDescent="0.2">
      <c r="A28" s="221"/>
      <c r="B28" s="251" t="s">
        <v>371</v>
      </c>
      <c r="C28" s="252"/>
      <c r="D28" s="252">
        <f>IF('Restated Financials'!C200=0," ",((ROUND(Sheet1!D226-Sheet1!D227,2))))</f>
        <v>0</v>
      </c>
      <c r="E28" s="252">
        <f>IF('Restated Financials'!D200=0," ",((ROUND(Sheet1!E226-Sheet1!E227,2))))</f>
        <v>0</v>
      </c>
      <c r="F28" s="252">
        <f>IF('Restated Financials'!E200=0," ",((ROUND(Sheet1!F226-Sheet1!F227,2))))</f>
        <v>0</v>
      </c>
      <c r="G28" s="253">
        <f>IF('Restated Financials'!F200=0," ",((ROUND(Sheet1!G226-Sheet1!G227,2))))</f>
        <v>0</v>
      </c>
    </row>
    <row r="29" spans="1:7" x14ac:dyDescent="0.2">
      <c r="A29" s="221"/>
      <c r="B29" s="251" t="s">
        <v>372</v>
      </c>
      <c r="C29" s="252"/>
      <c r="D29" s="252">
        <f>IF('Restated Financials'!C200=0," ",(ROUND(Sheet1!D223+('Restated Financials'!D155-'Restated Financials'!C155)-'Restated Financials'!D34,2)))</f>
        <v>1042.4000000000001</v>
      </c>
      <c r="E29" s="252">
        <f>IF('Restated Financials'!D200=0," ",(ROUND(Sheet1!E223+('Restated Financials'!E155-'Restated Financials'!D155)-'Restated Financials'!E34,2)))</f>
        <v>1070.2</v>
      </c>
      <c r="F29" s="252">
        <f>IF('Restated Financials'!E200=0," ",(ROUND(Sheet1!F223+('Restated Financials'!F155-'Restated Financials'!E155)-'Restated Financials'!F34,2)))</f>
        <v>1148.5</v>
      </c>
      <c r="G29" s="253">
        <f>IF('Restated Financials'!F200=0," ",(ROUND(Sheet1!G223+('Restated Financials'!G155-'Restated Financials'!F155)-'Restated Financials'!G34,2)))</f>
        <v>1178.3599999999999</v>
      </c>
    </row>
    <row r="30" spans="1:7" x14ac:dyDescent="0.2">
      <c r="A30" s="221"/>
      <c r="B30" s="251" t="s">
        <v>373</v>
      </c>
      <c r="C30" s="252"/>
      <c r="D30" s="252">
        <f>IF('Restated Financials'!C200=0," ",(ROUND('Restated Financials'!D95-'Restated Financials'!C95,2)))</f>
        <v>4</v>
      </c>
      <c r="E30" s="252">
        <f>IF('Restated Financials'!D200=0," ",(ROUND('Restated Financials'!E95-'Restated Financials'!D95,2)))</f>
        <v>5</v>
      </c>
      <c r="F30" s="252">
        <f>IF('Restated Financials'!E200=0," ",(ROUND('Restated Financials'!F95-'Restated Financials'!E95,2)))</f>
        <v>-14</v>
      </c>
      <c r="G30" s="253">
        <f>IF('Restated Financials'!F200=0," ",(ROUND('Restated Financials'!G95-'Restated Financials'!F95,2)))</f>
        <v>0</v>
      </c>
    </row>
    <row r="31" spans="1:7" x14ac:dyDescent="0.2">
      <c r="A31" s="221"/>
      <c r="B31" s="251" t="s">
        <v>374</v>
      </c>
      <c r="C31" s="252"/>
      <c r="D31" s="252">
        <f>IF('Restated Financials'!C200=0," ",(ROUND('Restated Financials'!C161-'Restated Financials'!D161,2)))</f>
        <v>0</v>
      </c>
      <c r="E31" s="252">
        <f>IF('Restated Financials'!D200=0," ",(ROUND('Restated Financials'!D161-'Restated Financials'!E161,2)))</f>
        <v>0</v>
      </c>
      <c r="F31" s="252">
        <f>IF('Restated Financials'!E200=0," ",(ROUND('Restated Financials'!E161-'Restated Financials'!F161,2)))</f>
        <v>0</v>
      </c>
      <c r="G31" s="253">
        <f>IF('Restated Financials'!F200=0," ",(ROUND('Restated Financials'!F161-'Restated Financials'!G161,2)))</f>
        <v>-6.95</v>
      </c>
    </row>
    <row r="32" spans="1:7" x14ac:dyDescent="0.2">
      <c r="A32" s="221"/>
      <c r="B32" s="251" t="s">
        <v>375</v>
      </c>
      <c r="C32" s="252"/>
      <c r="D32" s="252">
        <f>IF('Restated Financials'!C200=0," ",(ROUND(-'Restated Financials'!D92+'Restated Financials'!C92-'Restated Financials'!D54,2)))</f>
        <v>5</v>
      </c>
      <c r="E32" s="252">
        <f>IF('Restated Financials'!D200=0," ",(ROUND(-'Restated Financials'!E92+'Restated Financials'!D92-'Restated Financials'!E54,2)))</f>
        <v>0</v>
      </c>
      <c r="F32" s="252">
        <f>IF('Restated Financials'!E200=0," ",(ROUND(-'Restated Financials'!F92+'Restated Financials'!E92-'Restated Financials'!F54,2)))</f>
        <v>0</v>
      </c>
      <c r="G32" s="253">
        <f>IF('Restated Financials'!F200=0," ",(ROUND(-'Restated Financials'!G92+'Restated Financials'!F92-'Restated Financials'!G54,2)))</f>
        <v>-15.28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376</v>
      </c>
      <c r="C34" s="252"/>
      <c r="D34" s="252">
        <f>ROUND(SUM(D25:D32),2)</f>
        <v>2124.4</v>
      </c>
      <c r="E34" s="252">
        <f>ROUND(SUM(E25:E32),2)</f>
        <v>1979.2</v>
      </c>
      <c r="F34" s="252">
        <f>ROUND(SUM(F25:F32),2)</f>
        <v>2202.5</v>
      </c>
      <c r="G34" s="253">
        <f>ROUND(SUM(G25:G32),2)</f>
        <v>2294.79</v>
      </c>
    </row>
    <row r="35" spans="1:7" x14ac:dyDescent="0.2">
      <c r="A35" s="221"/>
      <c r="B35" s="251"/>
      <c r="C35" s="252"/>
      <c r="D35" s="252"/>
      <c r="E35" s="252"/>
      <c r="F35" s="252"/>
      <c r="G35" s="253"/>
    </row>
    <row r="36" spans="1:7" x14ac:dyDescent="0.2">
      <c r="A36" s="221"/>
      <c r="B36" s="250" t="s">
        <v>377</v>
      </c>
      <c r="C36" s="303"/>
      <c r="D36" s="303">
        <f>ROUND(D23+D34,2)</f>
        <v>2074.8000000000002</v>
      </c>
      <c r="E36" s="303">
        <f>ROUND(E23+E34,2)</f>
        <v>1933.9</v>
      </c>
      <c r="F36" s="303">
        <f>ROUND(F23+F34,2)</f>
        <v>1921</v>
      </c>
      <c r="G36" s="304">
        <f>ROUND(G23+G34,2)</f>
        <v>2003.56</v>
      </c>
    </row>
    <row r="37" spans="1:7" x14ac:dyDescent="0.2">
      <c r="A37" s="221"/>
      <c r="B37" s="251"/>
      <c r="C37" s="252"/>
      <c r="D37" s="252"/>
      <c r="E37" s="252"/>
      <c r="F37" s="252"/>
      <c r="G37" s="253"/>
    </row>
    <row r="38" spans="1:7" x14ac:dyDescent="0.2">
      <c r="A38" s="221"/>
      <c r="B38" s="251" t="s">
        <v>378</v>
      </c>
      <c r="C38" s="252"/>
      <c r="D38" s="252">
        <f>IF('Restated Financials'!C200=0," ",(ROUND('Restated Financials'!C131+'Restated Financials'!D73-'Restated Financials'!D131,2)))</f>
        <v>0</v>
      </c>
      <c r="E38" s="252">
        <f>IF('Restated Financials'!D200=0," ",(ROUND('Restated Financials'!D131+'Restated Financials'!E73-'Restated Financials'!E131,2)))</f>
        <v>0</v>
      </c>
      <c r="F38" s="252">
        <f>IF('Restated Financials'!E200=0," ",(ROUND('Restated Financials'!E131+'Restated Financials'!F73-'Restated Financials'!F131,2)))</f>
        <v>0</v>
      </c>
      <c r="G38" s="253">
        <f>IF('Restated Financials'!F200=0," ",(ROUND('Restated Financials'!F131+'Restated Financials'!G73-'Restated Financials'!G131,2)))</f>
        <v>0</v>
      </c>
    </row>
    <row r="39" spans="1:7" x14ac:dyDescent="0.2">
      <c r="A39" s="221"/>
      <c r="B39" s="251" t="s">
        <v>379</v>
      </c>
      <c r="C39" s="252"/>
      <c r="D39" s="252">
        <f>IF('Restated Financials'!C200=0," ",(ROUND('Restated Financials'!D159-'Restated Financials'!C159+D4+D29,2)))</f>
        <v>1314</v>
      </c>
      <c r="E39" s="252">
        <f>IF('Restated Financials'!D200=0," ",(ROUND('Restated Financials'!E159-'Restated Financials'!D159+E4+E29,2)))</f>
        <v>1264</v>
      </c>
      <c r="F39" s="252">
        <f>IF('Restated Financials'!E200=0," ",(ROUND('Restated Financials'!F159-'Restated Financials'!E159+F4+F29,2)))</f>
        <v>1437</v>
      </c>
      <c r="G39" s="253">
        <f>IF('Restated Financials'!F200=0," ",(ROUND('Restated Financials'!G159-'Restated Financials'!F159+G4+G29,2)))</f>
        <v>1693.11</v>
      </c>
    </row>
    <row r="40" spans="1:7" x14ac:dyDescent="0.2">
      <c r="A40" s="221"/>
      <c r="B40" s="251" t="s">
        <v>380</v>
      </c>
      <c r="C40" s="252"/>
      <c r="D40" s="252">
        <f>IF('Restated Financials'!C200=0," ",(ROUND('Restated Financials'!D180-'Restated Financials'!C180+'Restated Financials'!D192-'Restated Financials'!C192+'Restated Financials'!D193-'Restated Financials'!C193,2)))</f>
        <v>19</v>
      </c>
      <c r="E40" s="252">
        <f>IF('Restated Financials'!D200=0," ",(ROUND('Restated Financials'!E180-'Restated Financials'!D180+'Restated Financials'!E192-'Restated Financials'!D192+'Restated Financials'!E193-'Restated Financials'!D193,2)))</f>
        <v>-2</v>
      </c>
      <c r="F40" s="252">
        <f>IF('Restated Financials'!E200=0," ",(ROUND('Restated Financials'!F180-'Restated Financials'!E180+'Restated Financials'!F192-'Restated Financials'!E192+'Restated Financials'!F193-'Restated Financials'!E193,2)))</f>
        <v>-22</v>
      </c>
      <c r="G40" s="253">
        <f>IF('Restated Financials'!F200=0," ",(ROUND('Restated Financials'!G180-'Restated Financials'!F180+'Restated Financials'!G192-'Restated Financials'!F192+'Restated Financials'!G193-'Restated Financials'!F193,2)))</f>
        <v>-0.26</v>
      </c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50" t="s">
        <v>381</v>
      </c>
      <c r="C42" s="303"/>
      <c r="D42" s="303">
        <f>ROUND(D38+D40+D39,2)</f>
        <v>1333</v>
      </c>
      <c r="E42" s="303">
        <f>ROUND(E38+E40+E39,2)</f>
        <v>1262</v>
      </c>
      <c r="F42" s="303">
        <f>ROUND(F38+F40+F39,2)</f>
        <v>1415</v>
      </c>
      <c r="G42" s="304">
        <f>ROUND(G38+G40+G39,2)</f>
        <v>1692.85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382</v>
      </c>
      <c r="C44" s="303"/>
      <c r="D44" s="303">
        <f>ROUND(D36-D42,2)</f>
        <v>741.8</v>
      </c>
      <c r="E44" s="303">
        <f>ROUND(E36-E42,2)</f>
        <v>671.9</v>
      </c>
      <c r="F44" s="303">
        <f>ROUND(F36-F42,2)</f>
        <v>506</v>
      </c>
      <c r="G44" s="304">
        <f>ROUND(G36-G42,2)</f>
        <v>310.70999999999998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ht="13.5" thickBot="1" x14ac:dyDescent="0.25">
      <c r="A46" s="254"/>
      <c r="B46" s="258" t="s">
        <v>383</v>
      </c>
      <c r="C46" s="313"/>
      <c r="D46" s="313">
        <f>IF('Restated Financials'!C200=0," ",('Restated Financials'!D178+'Restated Financials'!D181-'Restated Financials'!C178-'Restated Financials'!C181))</f>
        <v>46</v>
      </c>
      <c r="E46" s="313">
        <f>IF('Restated Financials'!D200=0," ",('Restated Financials'!E178+'Restated Financials'!E181-'Restated Financials'!D178-'Restated Financials'!D181))</f>
        <v>21</v>
      </c>
      <c r="F46" s="313">
        <f>IF('Restated Financials'!E200=0," ",('Restated Financials'!F178+'Restated Financials'!F181-'Restated Financials'!E178-'Restated Financials'!E181))</f>
        <v>-10</v>
      </c>
      <c r="G46" s="314">
        <f>IF('Restated Financials'!F200=0," ",('Restated Financials'!G178+'Restated Financials'!G181-'Restated Financials'!F178-'Restated Financials'!F181))</f>
        <v>-22.810000000000002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28" workbookViewId="0">
      <selection activeCell="F31" sqref="F31"/>
    </sheetView>
  </sheetViews>
  <sheetFormatPr defaultRowHeight="12.75" x14ac:dyDescent="0.2"/>
  <cols>
    <col min="1" max="1" customWidth="true" style="298" width="5.28515625" collapsed="true"/>
    <col min="2" max="2" customWidth="true" style="298" width="59.85546875" collapsed="true"/>
    <col min="3" max="7" customWidth="true" style="298" width="17.7109375" collapsed="true"/>
    <col min="8" max="16384" style="298" width="9.140625" collapsed="true"/>
  </cols>
  <sheetData>
    <row r="1" spans="1:8" ht="19.5" thickBot="1" x14ac:dyDescent="0.25">
      <c r="A1" s="213"/>
      <c r="B1" s="297" t="s">
        <v>726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1" t="s">
        <v>42</v>
      </c>
      <c r="C3" s="252"/>
      <c r="D3" s="252">
        <f>IF('Restated Financials'!C200=0," ",ROUND('Restated Financials'!D71,2))</f>
        <v>-158.19999999999999</v>
      </c>
      <c r="E3" s="252">
        <f>IF('Restated Financials'!D200=0," ",ROUND('Restated Financials'!E71,2))</f>
        <v>-228.1</v>
      </c>
      <c r="F3" s="252">
        <f>IF('Restated Financials'!E200=0," ",ROUND('Restated Financials'!F71,2))</f>
        <v>-295</v>
      </c>
      <c r="G3" s="253">
        <f>IF('Restated Financials'!F200=0," ",ROUND('Restated Financials'!G71,2))</f>
        <v>-353.05</v>
      </c>
      <c r="H3" s="246"/>
    </row>
    <row r="4" spans="1:8" x14ac:dyDescent="0.2">
      <c r="A4" s="221"/>
      <c r="B4" s="251" t="s">
        <v>384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  <c r="H4" s="246"/>
    </row>
    <row r="5" spans="1:8" x14ac:dyDescent="0.2">
      <c r="A5" s="221"/>
      <c r="B5" s="251" t="s">
        <v>385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  <c r="H5" s="246"/>
    </row>
    <row r="6" spans="1:8" x14ac:dyDescent="0.2">
      <c r="A6" s="221"/>
      <c r="B6" s="251" t="s">
        <v>386</v>
      </c>
      <c r="C6" s="252"/>
      <c r="D6" s="252">
        <f>ROUND(SUM(D3:D5),2)</f>
        <v>-153.6</v>
      </c>
      <c r="E6" s="252">
        <f>ROUND(SUM(E3:E5),2)</f>
        <v>-220.3</v>
      </c>
      <c r="F6" s="252">
        <f>ROUND(SUM(F3:F5),2)</f>
        <v>-278.5</v>
      </c>
      <c r="G6" s="253">
        <f>ROUND(SUM(G3:G5),2)</f>
        <v>-332.48</v>
      </c>
      <c r="H6" s="274"/>
    </row>
    <row r="7" spans="1:8" x14ac:dyDescent="0.2">
      <c r="A7" s="221"/>
      <c r="B7" s="251" t="s">
        <v>510</v>
      </c>
      <c r="C7" s="252"/>
      <c r="D7" s="252">
        <f>IF('Restated Financials'!C200=0," ",ROUND('Restated Financials'!D130-'Restated Financials'!C130,2))</f>
        <v>24</v>
      </c>
      <c r="E7" s="252">
        <f>IF('Restated Financials'!D200=0," ",ROUND('Restated Financials'!E130-'Restated Financials'!D130,2))</f>
        <v>107</v>
      </c>
      <c r="F7" s="252">
        <f>IF('Restated Financials'!E200=0," ",ROUND('Restated Financials'!F130-'Restated Financials'!E130,2))</f>
        <v>-34</v>
      </c>
      <c r="G7" s="253">
        <f>IF('Restated Financials'!F200=0," ",ROUND('Restated Financials'!G130-'Restated Financials'!F130,2))</f>
        <v>65</v>
      </c>
      <c r="H7" s="246"/>
    </row>
    <row r="8" spans="1:8" x14ac:dyDescent="0.2">
      <c r="A8" s="221"/>
      <c r="B8" s="251" t="s">
        <v>387</v>
      </c>
      <c r="C8" s="252"/>
      <c r="D8" s="252">
        <f>IF('Restated Financials'!C200=0," ",(ROUND('Restated Financials'!C131+'Restated Financials'!D73-'Restated Financials'!D131,2)))</f>
        <v>0</v>
      </c>
      <c r="E8" s="252">
        <f>IF('Restated Financials'!D200=0," ",(ROUND('Restated Financials'!D131+'Restated Financials'!E73-'Restated Financials'!E131,2)))</f>
        <v>0</v>
      </c>
      <c r="F8" s="252">
        <f>IF('Restated Financials'!E200=0," ",(ROUND('Restated Financials'!E131+'Restated Financials'!F73-'Restated Financials'!F131,2)))</f>
        <v>0</v>
      </c>
      <c r="G8" s="253">
        <f>IF('Restated Financials'!F200=0," ",(ROUND('Restated Financials'!F131+'Restated Financials'!G73-'Restated Financials'!G131,2)))</f>
        <v>0</v>
      </c>
      <c r="H8" s="246"/>
    </row>
    <row r="9" spans="1:8" x14ac:dyDescent="0.2">
      <c r="A9" s="221"/>
      <c r="B9" s="250" t="s">
        <v>388</v>
      </c>
      <c r="C9" s="303"/>
      <c r="D9" s="303">
        <f>ROUND(D6-D8+D7,2)</f>
        <v>-129.6</v>
      </c>
      <c r="E9" s="303">
        <f>ROUND(E6-E8+E7,2)</f>
        <v>-113.3</v>
      </c>
      <c r="F9" s="303">
        <f>ROUND(F6-F8+F7,2)</f>
        <v>-312.5</v>
      </c>
      <c r="G9" s="304">
        <f>ROUND(G6-G8+G7,2)</f>
        <v>-267.48</v>
      </c>
      <c r="H9" s="274"/>
    </row>
    <row r="10" spans="1:8" x14ac:dyDescent="0.2">
      <c r="A10" s="221"/>
      <c r="B10" s="251"/>
      <c r="C10" s="252"/>
      <c r="D10" s="252"/>
      <c r="E10" s="252"/>
      <c r="F10" s="252"/>
      <c r="G10" s="253"/>
      <c r="H10" s="246"/>
    </row>
    <row r="11" spans="1:8" x14ac:dyDescent="0.2">
      <c r="A11" s="221"/>
      <c r="B11" s="251" t="s">
        <v>389</v>
      </c>
      <c r="C11" s="252"/>
      <c r="D11" s="252"/>
      <c r="E11" s="252"/>
      <c r="F11" s="252"/>
      <c r="G11" s="253"/>
      <c r="H11" s="274"/>
    </row>
    <row r="12" spans="1:8" x14ac:dyDescent="0.2">
      <c r="A12" s="221"/>
      <c r="B12" s="251" t="s">
        <v>390</v>
      </c>
      <c r="C12" s="252"/>
      <c r="D12" s="252">
        <f>IF('Restated Financials'!C200=0," ",ROUND(Sheet1!D225,2))</f>
        <v>1000</v>
      </c>
      <c r="E12" s="252">
        <f>IF('Restated Financials'!D200=0," ",ROUND(Sheet1!E225,2))</f>
        <v>1000</v>
      </c>
      <c r="F12" s="252">
        <f>IF('Restated Financials'!E200=0," ",ROUND(Sheet1!F225,2))</f>
        <v>1000</v>
      </c>
      <c r="G12" s="253">
        <f>IF('Restated Financials'!F200=0," ",ROUND(Sheet1!G225,2))</f>
        <v>1000</v>
      </c>
      <c r="H12" s="246"/>
    </row>
    <row r="13" spans="1:8" x14ac:dyDescent="0.2">
      <c r="A13" s="221"/>
      <c r="B13" s="251" t="s">
        <v>391</v>
      </c>
      <c r="C13" s="252"/>
      <c r="D13" s="252">
        <f>IF('Restated Financials'!C200=0," ",IF((ROUND('Restated Financials'!D109-'Restated Financials'!C109,2))&gt;0,(ROUND('Restated Financials'!D109-'Restated Financials'!C109,2)),0))</f>
        <v>77</v>
      </c>
      <c r="E13" s="252">
        <f>IF('Restated Financials'!D200=0," ",IF((ROUND('Restated Financials'!E109-'Restated Financials'!D109,2))&gt;0,(ROUND('Restated Financials'!E109-'Restated Financials'!D109,2)),0))</f>
        <v>0</v>
      </c>
      <c r="F13" s="252">
        <f>IF('Restated Financials'!E200=0," ",IF((ROUND('Restated Financials'!F109-'Restated Financials'!E109,2))&gt;0,(ROUND('Restated Financials'!F109-'Restated Financials'!E109,2)),0))</f>
        <v>0</v>
      </c>
      <c r="G13" s="253">
        <f>IF('Restated Financials'!F200=0," ",IF((ROUND('Restated Financials'!G109-'Restated Financials'!F109,2))&gt;0,(ROUND('Restated Financials'!G109-'Restated Financials'!F109,2)),0))</f>
        <v>288.45999999999998</v>
      </c>
      <c r="H13" s="246"/>
    </row>
    <row r="14" spans="1:8" x14ac:dyDescent="0.2">
      <c r="A14" s="221"/>
      <c r="B14" s="251" t="s">
        <v>392</v>
      </c>
      <c r="C14" s="252"/>
      <c r="D14" s="252">
        <f>IF('Restated Financials'!C200=0," ",ROUND(Sheet1!D223+'Restated Financials'!D155-'Restated Financials'!C155-'Restated Financials'!D34,2))</f>
        <v>1042.4000000000001</v>
      </c>
      <c r="E14" s="252">
        <f>IF('Restated Financials'!D200=0," ",ROUND(Sheet1!E223+'Restated Financials'!E155-'Restated Financials'!D155-'Restated Financials'!E34,2))</f>
        <v>1070.2</v>
      </c>
      <c r="F14" s="252">
        <f>IF('Restated Financials'!E200=0," ",ROUND(Sheet1!F223+'Restated Financials'!F155-'Restated Financials'!E155-'Restated Financials'!F34,2))</f>
        <v>1148.5</v>
      </c>
      <c r="G14" s="253">
        <f>IF('Restated Financials'!F200=0," ",ROUND(Sheet1!G223+'Restated Financials'!G155-'Restated Financials'!F155-'Restated Financials'!G34,2))</f>
        <v>1178.3599999999999</v>
      </c>
      <c r="H14" s="246"/>
    </row>
    <row r="15" spans="1:8" x14ac:dyDescent="0.2">
      <c r="A15" s="221"/>
      <c r="B15" s="251" t="s">
        <v>393</v>
      </c>
      <c r="C15" s="252"/>
      <c r="D15" s="252">
        <f>IF('Restated Financials'!C200=0," ",IF((ROUND('Restated Financials'!D198-'Restated Financials'!C198,2))&lt;0,-(ROUND('Restated Financials'!D198-'Restated Financials'!C198,2)),0))</f>
        <v>0</v>
      </c>
      <c r="E15" s="252">
        <f>IF('Restated Financials'!D200=0," ",IF((ROUND('Restated Financials'!E198-'Restated Financials'!D198,2))&lt;0,-(ROUND('Restated Financials'!E198-'Restated Financials'!D198,2)),0))</f>
        <v>73</v>
      </c>
      <c r="F15" s="252">
        <f>IF('Restated Financials'!E200=0," ",IF((ROUND('Restated Financials'!F198-'Restated Financials'!E198,2))&lt;0,-(ROUND('Restated Financials'!F198-'Restated Financials'!E198,2)),0))</f>
        <v>38</v>
      </c>
      <c r="G15" s="253">
        <f>IF('Restated Financials'!F200=0," ",IF((ROUND('Restated Financials'!G198-'Restated Financials'!F198,2))&lt;0,-(ROUND('Restated Financials'!G198-'Restated Financials'!F198,2)),0))</f>
        <v>0</v>
      </c>
      <c r="H15" s="246"/>
    </row>
    <row r="16" spans="1:8" x14ac:dyDescent="0.2">
      <c r="A16" s="221"/>
      <c r="B16" s="251" t="s">
        <v>394</v>
      </c>
      <c r="C16" s="252"/>
      <c r="D16" s="252">
        <f>IF('Restated Financials'!C200=0," ",IF((ROUND('Restated Financials'!D95-'Restated Financials'!C95,2))&gt;0,(ROUND('Restated Financials'!D95-'Restated Financials'!C95,2)),0))</f>
        <v>4</v>
      </c>
      <c r="E16" s="252">
        <f>IF('Restated Financials'!D200=0," ",IF((ROUND('Restated Financials'!E95-'Restated Financials'!D95,2))&gt;0,(ROUND('Restated Financials'!E95-'Restated Financials'!D95,2)),0))</f>
        <v>5</v>
      </c>
      <c r="F16" s="252">
        <f>IF('Restated Financials'!E200=0," ",IF((ROUND('Restated Financials'!F95-'Restated Financials'!E95,2))&gt;0,(ROUND('Restated Financials'!F95-'Restated Financials'!E95,2)),0))</f>
        <v>0</v>
      </c>
      <c r="G16" s="253">
        <f>IF('Restated Financials'!F200=0," ",IF((ROUND('Restated Financials'!G95-'Restated Financials'!F95,2))&gt;0,(ROUND('Restated Financials'!G95-'Restated Financials'!F95,2)),0))</f>
        <v>0</v>
      </c>
      <c r="H16" s="246"/>
    </row>
    <row r="17" spans="1:8" x14ac:dyDescent="0.2">
      <c r="A17" s="221"/>
      <c r="B17" s="251" t="s">
        <v>395</v>
      </c>
      <c r="C17" s="252"/>
      <c r="D17" s="252">
        <f>IF('Restated Financials'!C200=0," ",IF((ROUND('Restated Financials'!D161-'Restated Financials'!C161,2))&lt;0,-(ROUND('Restated Financials'!D161-'Restated Financials'!C161,2)),0))</f>
        <v>0</v>
      </c>
      <c r="E17" s="252">
        <f>IF('Restated Financials'!D200=0," ",IF((ROUND('Restated Financials'!E161-'Restated Financials'!D161,2))&lt;0,-(ROUND('Restated Financials'!E161-'Restated Financials'!D161,2)),0))</f>
        <v>0</v>
      </c>
      <c r="F17" s="252">
        <f>IF('Restated Financials'!E200=0," ",IF((ROUND('Restated Financials'!F161-'Restated Financials'!E161,2))&lt;0,-(ROUND('Restated Financials'!F161-'Restated Financials'!E161,2)),0))</f>
        <v>0</v>
      </c>
      <c r="G17" s="253">
        <f>IF('Restated Financials'!F200=0," ",IF((ROUND('Restated Financials'!G161-'Restated Financials'!F161,2))&lt;0,-(ROUND('Restated Financials'!G161-'Restated Financials'!F161,2)),0))</f>
        <v>0</v>
      </c>
      <c r="H17" s="246"/>
    </row>
    <row r="18" spans="1:8" x14ac:dyDescent="0.2">
      <c r="A18" s="221"/>
      <c r="B18" s="251" t="s">
        <v>396</v>
      </c>
      <c r="C18" s="252"/>
      <c r="D18" s="252">
        <f>IF('Restated Financials'!C200=0," ",ROUND(Sheet1!D226,2))</f>
        <v>1000</v>
      </c>
      <c r="E18" s="252">
        <f>IF('Restated Financials'!D200=0," ",ROUND(Sheet1!E226,2))</f>
        <v>1000</v>
      </c>
      <c r="F18" s="252">
        <f>IF('Restated Financials'!E200=0," ",ROUND(Sheet1!F226,2))</f>
        <v>1000</v>
      </c>
      <c r="G18" s="253">
        <f>IF('Restated Financials'!F200=0," ",ROUND(Sheet1!G226,2))</f>
        <v>1000</v>
      </c>
      <c r="H18" s="246"/>
    </row>
    <row r="19" spans="1:8" x14ac:dyDescent="0.2">
      <c r="A19" s="221"/>
      <c r="B19" s="251"/>
      <c r="C19" s="252"/>
      <c r="D19" s="252"/>
      <c r="E19" s="252"/>
      <c r="F19" s="252"/>
      <c r="G19" s="253"/>
      <c r="H19" s="246"/>
    </row>
    <row r="20" spans="1:8" x14ac:dyDescent="0.2">
      <c r="A20" s="221"/>
      <c r="B20" s="250" t="s">
        <v>397</v>
      </c>
      <c r="C20" s="303"/>
      <c r="D20" s="303">
        <f>ROUND(SUM(D12:D18),2)</f>
        <v>3123.4</v>
      </c>
      <c r="E20" s="303">
        <f>ROUND(SUM(E12:E18),2)</f>
        <v>3148.2</v>
      </c>
      <c r="F20" s="303">
        <f>ROUND(SUM(F12:F18),2)</f>
        <v>3186.5</v>
      </c>
      <c r="G20" s="304">
        <f>ROUND(SUM(G12:G18),2)</f>
        <v>3466.82</v>
      </c>
      <c r="H20" s="274"/>
    </row>
    <row r="21" spans="1:8" x14ac:dyDescent="0.2">
      <c r="A21" s="221"/>
      <c r="B21" s="251"/>
      <c r="C21" s="252"/>
      <c r="D21" s="252"/>
      <c r="E21" s="252"/>
      <c r="F21" s="252"/>
      <c r="G21" s="253"/>
      <c r="H21" s="246"/>
    </row>
    <row r="22" spans="1:8" x14ac:dyDescent="0.2">
      <c r="A22" s="221"/>
      <c r="B22" s="250" t="s">
        <v>398</v>
      </c>
      <c r="C22" s="303"/>
      <c r="D22" s="303"/>
      <c r="E22" s="303"/>
      <c r="F22" s="303"/>
      <c r="G22" s="304"/>
      <c r="H22" s="274"/>
    </row>
    <row r="23" spans="1:8" x14ac:dyDescent="0.2">
      <c r="A23" s="221"/>
      <c r="B23" s="251"/>
      <c r="C23" s="252"/>
      <c r="D23" s="252"/>
      <c r="E23" s="252"/>
      <c r="F23" s="252"/>
      <c r="G23" s="253"/>
      <c r="H23" s="246"/>
    </row>
    <row r="24" spans="1:8" x14ac:dyDescent="0.2">
      <c r="A24" s="221"/>
      <c r="B24" s="251" t="s">
        <v>399</v>
      </c>
      <c r="C24" s="252"/>
      <c r="D24" s="252">
        <f>IF('Restated Financials'!C200=0," ",IF((ROUND('Restated Financials'!D109-'Restated Financials'!C109,2))&lt;0,-(ROUND('Restated Financials'!D109-'Restated Financials'!C109,2)),0))</f>
        <v>0</v>
      </c>
      <c r="E24" s="252">
        <f>IF('Restated Financials'!D200=0," ",IF((ROUND('Restated Financials'!E109-'Restated Financials'!D109,2))&lt;0,-(ROUND('Restated Financials'!E109-'Restated Financials'!D109,2)),0))</f>
        <v>114</v>
      </c>
      <c r="F24" s="252">
        <f>IF('Restated Financials'!E200=0," ",IF((ROUND('Restated Financials'!F109-'Restated Financials'!E109,2))&lt;0,-(ROUND('Restated Financials'!F109-'Restated Financials'!E109,2)),0))</f>
        <v>14</v>
      </c>
      <c r="G24" s="253">
        <f>IF('Restated Financials'!F200=0," ",IF((ROUND('Restated Financials'!G109-'Restated Financials'!F109,2))&lt;0,-(ROUND('Restated Financials'!G109-'Restated Financials'!F109,2)),0))</f>
        <v>0</v>
      </c>
      <c r="H24" s="246"/>
    </row>
    <row r="25" spans="1:8" x14ac:dyDescent="0.2">
      <c r="A25" s="221"/>
      <c r="B25" s="251" t="s">
        <v>400</v>
      </c>
      <c r="C25" s="252"/>
      <c r="D25" s="252">
        <f>IF('Restated Financials'!C200=0," ",(ROUND('Restated Financials'!D159-'Restated Financials'!C159+'Restated Financials'!D155-'Restated Financials'!C155+Sheet1!D223,2)))</f>
        <v>1314</v>
      </c>
      <c r="E25" s="252">
        <f>IF('Restated Financials'!D200=0," ",(ROUND('Restated Financials'!E159-'Restated Financials'!D159+'Restated Financials'!E155-'Restated Financials'!D155+Sheet1!E223,2)))</f>
        <v>1264</v>
      </c>
      <c r="F25" s="252">
        <f>IF('Restated Financials'!E200=0," ",(ROUND('Restated Financials'!F159-'Restated Financials'!E159+'Restated Financials'!F155-'Restated Financials'!E155+Sheet1!F223,2)))</f>
        <v>1437</v>
      </c>
      <c r="G25" s="253">
        <f>IF('Restated Financials'!F200=0," ",(ROUND('Restated Financials'!G159-'Restated Financials'!F159+'Restated Financials'!G155-'Restated Financials'!F155+Sheet1!G223,2)))</f>
        <v>1693.11</v>
      </c>
      <c r="H25" s="246"/>
    </row>
    <row r="26" spans="1:8" x14ac:dyDescent="0.2">
      <c r="A26" s="221"/>
      <c r="B26" s="251" t="s">
        <v>401</v>
      </c>
      <c r="C26" s="252"/>
      <c r="D26" s="252">
        <f>IF('Restated Financials'!C200=0," ",IF((ROUND('Restated Financials'!D198-'Restated Financials'!C198,2))&gt;0,(ROUND('Restated Financials'!D198-'Restated Financials'!C198,2)),0))</f>
        <v>95</v>
      </c>
      <c r="E26" s="252">
        <f>IF('Restated Financials'!D200=0," ",IF((ROUND('Restated Financials'!E198-'Restated Financials'!D198,2))&gt;0,(ROUND('Restated Financials'!E198-'Restated Financials'!D198,2)),0))</f>
        <v>0</v>
      </c>
      <c r="F26" s="252">
        <f>IF('Restated Financials'!E200=0," ",IF((ROUND('Restated Financials'!F198-'Restated Financials'!E198,2))&gt;0,(ROUND('Restated Financials'!F198-'Restated Financials'!E198,2)),0))</f>
        <v>0</v>
      </c>
      <c r="G26" s="253">
        <f>IF('Restated Financials'!F200=0," ",IF((ROUND('Restated Financials'!G198-'Restated Financials'!F198,2))&gt;0,(ROUND('Restated Financials'!G198-'Restated Financials'!F198,2)),0))</f>
        <v>358.82</v>
      </c>
      <c r="H26" s="246"/>
    </row>
    <row r="27" spans="1:8" x14ac:dyDescent="0.2">
      <c r="A27" s="221"/>
      <c r="B27" s="251" t="s">
        <v>402</v>
      </c>
      <c r="C27" s="252"/>
      <c r="D27" s="252">
        <f>IF('Restated Financials'!C200=0," ",(ROUND('Restated Financials'!D180-'Restated Financials'!C180,2)))</f>
        <v>0</v>
      </c>
      <c r="E27" s="252">
        <f>IF('Restated Financials'!D200=0," ",(ROUND('Restated Financials'!E180-'Restated Financials'!D180,2)))</f>
        <v>0</v>
      </c>
      <c r="F27" s="252">
        <f>IF('Restated Financials'!E200=0," ",(ROUND('Restated Financials'!F180-'Restated Financials'!E180,2)))</f>
        <v>0</v>
      </c>
      <c r="G27" s="253">
        <f>IF('Restated Financials'!F200=0," ",(ROUND('Restated Financials'!G180-'Restated Financials'!F180,2)))</f>
        <v>0</v>
      </c>
      <c r="H27" s="246"/>
    </row>
    <row r="28" spans="1:8" x14ac:dyDescent="0.2">
      <c r="A28" s="221"/>
      <c r="B28" s="251" t="s">
        <v>403</v>
      </c>
      <c r="C28" s="252"/>
      <c r="D28" s="252">
        <f>IF('Restated Financials'!C200=0," ",(ROUND('Restated Financials'!D92-'Restated Financials'!C92+'Restated Financials'!D54,2)))</f>
        <v>-5</v>
      </c>
      <c r="E28" s="252">
        <f>IF('Restated Financials'!D200=0," ",(ROUND('Restated Financials'!E92-'Restated Financials'!D92+'Restated Financials'!E54,2)))</f>
        <v>0</v>
      </c>
      <c r="F28" s="252">
        <f>IF('Restated Financials'!E200=0," ",(ROUND('Restated Financials'!F92-'Restated Financials'!E92+'Restated Financials'!F54,2)))</f>
        <v>0</v>
      </c>
      <c r="G28" s="253">
        <f>IF('Restated Financials'!F200=0," ",(ROUND('Restated Financials'!G92-'Restated Financials'!F92+'Restated Financials'!G54,2)))</f>
        <v>15.28</v>
      </c>
      <c r="H28" s="246"/>
    </row>
    <row r="29" spans="1:8" x14ac:dyDescent="0.2">
      <c r="A29" s="221"/>
      <c r="B29" s="251" t="s">
        <v>404</v>
      </c>
      <c r="C29" s="252"/>
      <c r="D29" s="252">
        <f>IF('Restated Financials'!C200=0," ",IF((ROUND('Restated Financials'!D95-'Restated Financials'!C95,2))&lt;0,-(ROUND('Restated Financials'!D95-'Restated Financials'!C95,2)),0))</f>
        <v>0</v>
      </c>
      <c r="E29" s="252">
        <f>IF('Restated Financials'!D200=0," ",IF((ROUND('Restated Financials'!E95-'Restated Financials'!D95,2))&lt;0,-(ROUND('Restated Financials'!E95-'Restated Financials'!D95,2)),0))</f>
        <v>0</v>
      </c>
      <c r="F29" s="252">
        <f>IF('Restated Financials'!E200=0," ",IF((ROUND('Restated Financials'!F95-'Restated Financials'!E95,2))&lt;0,-(ROUND('Restated Financials'!F95-'Restated Financials'!E95,2)),0))</f>
        <v>14</v>
      </c>
      <c r="G29" s="253">
        <f>IF('Restated Financials'!F200=0," ",IF((ROUND('Restated Financials'!G95-'Restated Financials'!F95,2))&lt;0,-(ROUND('Restated Financials'!G95-'Restated Financials'!F95,2)),0))</f>
        <v>0</v>
      </c>
      <c r="H29" s="246"/>
    </row>
    <row r="30" spans="1:8" x14ac:dyDescent="0.2">
      <c r="A30" s="221"/>
      <c r="B30" s="251" t="s">
        <v>405</v>
      </c>
      <c r="C30" s="252"/>
      <c r="D30" s="252">
        <f>IF('Restated Financials'!C200=0," ",IF((ROUND('Restated Financials'!D161-'Restated Financials'!C161,2))&gt;0,(ROUND('Restated Financials'!D161-'Restated Financials'!C161,2)),0))</f>
        <v>0</v>
      </c>
      <c r="E30" s="252">
        <f>IF('Restated Financials'!D200=0," ",IF((ROUND('Restated Financials'!E161-'Restated Financials'!D161,2))&gt;0,(ROUND('Restated Financials'!E161-'Restated Financials'!D161,2)),0))</f>
        <v>0</v>
      </c>
      <c r="F30" s="252">
        <f>IF('Restated Financials'!E200=0," ",IF((ROUND('Restated Financials'!F161-'Restated Financials'!E161,2))&gt;0,(ROUND('Restated Financials'!F161-'Restated Financials'!E161,2)),0))</f>
        <v>0</v>
      </c>
      <c r="G30" s="253">
        <f>IF('Restated Financials'!F200=0," ",IF((ROUND('Restated Financials'!G161-'Restated Financials'!F161,2))&gt;0,(ROUND('Restated Financials'!G161-'Restated Financials'!F161,2)),0))</f>
        <v>6.95</v>
      </c>
      <c r="H30" s="246"/>
    </row>
    <row r="31" spans="1:8" x14ac:dyDescent="0.2">
      <c r="A31" s="221"/>
      <c r="B31" s="251" t="s">
        <v>406</v>
      </c>
      <c r="C31" s="252"/>
      <c r="D31" s="252">
        <f>IF('Restated Financials'!C200=0," ",ROUND(Sheet1!D227,2))</f>
        <v>1000</v>
      </c>
      <c r="E31" s="252">
        <f>IF('Restated Financials'!D200=0," ",ROUND(Sheet1!E227,2))</f>
        <v>1000</v>
      </c>
      <c r="F31" s="252">
        <f>IF('Restated Financials'!E200=0," ",ROUND(Sheet1!F227,2))</f>
        <v>1000</v>
      </c>
      <c r="G31" s="253">
        <f>IF('Restated Financials'!F200=0," ",ROUND(Sheet1!G227,2))</f>
        <v>1000</v>
      </c>
      <c r="H31" s="246"/>
    </row>
    <row r="32" spans="1:8" x14ac:dyDescent="0.2">
      <c r="A32" s="221"/>
      <c r="B32" s="251"/>
      <c r="C32" s="252"/>
      <c r="D32" s="252"/>
      <c r="E32" s="252"/>
      <c r="F32" s="252"/>
      <c r="G32" s="253"/>
      <c r="H32" s="246"/>
    </row>
    <row r="33" spans="1:8" x14ac:dyDescent="0.2">
      <c r="A33" s="221"/>
      <c r="B33" s="250" t="s">
        <v>407</v>
      </c>
      <c r="C33" s="303"/>
      <c r="D33" s="303">
        <f>ROUND(SUM(D24:D31),2)</f>
        <v>2404</v>
      </c>
      <c r="E33" s="303">
        <f>ROUND(SUM(E24:E31),2)</f>
        <v>2378</v>
      </c>
      <c r="F33" s="303">
        <f>ROUND(SUM(F24:F31),2)</f>
        <v>2465</v>
      </c>
      <c r="G33" s="304">
        <f>ROUND(SUM(G24:G31),2)</f>
        <v>3074.16</v>
      </c>
      <c r="H33" s="274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408</v>
      </c>
      <c r="C35" s="303"/>
      <c r="D35" s="303">
        <f>ROUND(D9+D20-D33,2)</f>
        <v>589.79999999999995</v>
      </c>
      <c r="E35" s="303">
        <f>ROUND(E9+E20-E33,2)</f>
        <v>656.9</v>
      </c>
      <c r="F35" s="303">
        <f>ROUND(F9+F20-F33,2)</f>
        <v>409</v>
      </c>
      <c r="G35" s="304">
        <f>ROUND(G9+G20-G33,2)</f>
        <v>125.18</v>
      </c>
      <c r="H35" s="274"/>
    </row>
    <row r="36" spans="1:8" x14ac:dyDescent="0.2">
      <c r="A36" s="221"/>
      <c r="B36" s="251"/>
      <c r="C36" s="252"/>
      <c r="D36" s="252"/>
      <c r="E36" s="252"/>
      <c r="F36" s="252"/>
      <c r="G36" s="253"/>
      <c r="H36" s="246"/>
    </row>
    <row r="37" spans="1:8" x14ac:dyDescent="0.2">
      <c r="A37" s="221"/>
      <c r="B37" s="251" t="s">
        <v>409</v>
      </c>
      <c r="C37" s="252"/>
      <c r="D37" s="252">
        <f>IF('Restated Financials'!C200=0," ",(ROUND('Restated Financials'!C170+'Restated Financials'!C177+'Restated Financials'!C179+'Restated Financials'!C182-'Restated Financials'!D170-'Restated Financials'!D177-'Restated Financials'!D179-'Restated Financials'!D182,2)))</f>
        <v>15</v>
      </c>
      <c r="E37" s="252">
        <f>IF('Restated Financials'!D200=0," ",(ROUND('Restated Financials'!D170+'Restated Financials'!D177+'Restated Financials'!D179+'Restated Financials'!D182-'Restated Financials'!E170-'Restated Financials'!E177-'Restated Financials'!E179-'Restated Financials'!E182,2)))</f>
        <v>128</v>
      </c>
      <c r="F37" s="252">
        <f>IF('Restated Financials'!E200=0," ",(ROUND('Restated Financials'!E170+'Restated Financials'!E177+'Restated Financials'!E179+'Restated Financials'!E182-'Restated Financials'!F170-'Restated Financials'!F177-'Restated Financials'!F179-'Restated Financials'!F182,2)))</f>
        <v>-1</v>
      </c>
      <c r="G37" s="253">
        <f>IF('Restated Financials'!F200=0," ",(ROUND('Restated Financials'!F170+'Restated Financials'!F177+'Restated Financials'!F179+'Restated Financials'!F182-'Restated Financials'!G170-'Restated Financials'!G177-'Restated Financials'!G179-'Restated Financials'!G182,2)))</f>
        <v>-220.57</v>
      </c>
      <c r="H37" s="246"/>
    </row>
    <row r="38" spans="1:8" x14ac:dyDescent="0.2">
      <c r="A38" s="221"/>
      <c r="B38" s="251" t="s">
        <v>364</v>
      </c>
      <c r="C38" s="252"/>
      <c r="D38" s="252">
        <f>IF('Restated Financials'!C200=0," ",ROUND((('Restated Financials'!D138-'Restated Financials'!D131-'Restated Financials'!D130)-('Restated Financials'!C138-'Restated Financials'!C131-'Restated Financials'!C130)),2))</f>
        <v>141</v>
      </c>
      <c r="E38" s="252">
        <f>IF('Restated Financials'!D200=0," ",ROUND((('Restated Financials'!E138-'Restated Financials'!E131-'Restated Financials'!E130)-('Restated Financials'!D138-'Restated Financials'!D131-'Restated Financials'!D130)),2))</f>
        <v>-131</v>
      </c>
      <c r="F38" s="252">
        <f>IF('Restated Financials'!E200=0," ",ROUND((('Restated Financials'!F138-'Restated Financials'!F131-'Restated Financials'!F130)-('Restated Financials'!E138-'Restated Financials'!E131-'Restated Financials'!E130)),2))</f>
        <v>16</v>
      </c>
      <c r="G38" s="253">
        <f>IF('Restated Financials'!F200=0," ",ROUND((('Restated Financials'!G138-'Restated Financials'!G131-'Restated Financials'!G130)-('Restated Financials'!F138-'Restated Financials'!F131-'Restated Financials'!F130)),2))</f>
        <v>555.91</v>
      </c>
      <c r="H38" s="246"/>
    </row>
    <row r="39" spans="1:8" x14ac:dyDescent="0.2">
      <c r="A39" s="221"/>
      <c r="B39" s="251" t="s">
        <v>369</v>
      </c>
      <c r="C39" s="252"/>
      <c r="D39" s="252">
        <f>IF('Restated Financials'!C200=0," ",(ROUND('Restated Financials'!D124-'Restated Financials'!C124,2)))</f>
        <v>-4</v>
      </c>
      <c r="E39" s="252">
        <f>IF('Restated Financials'!D200=0," ",(ROUND('Restated Financials'!E124-'Restated Financials'!D124,2)))</f>
        <v>18</v>
      </c>
      <c r="F39" s="252">
        <f>IF('Restated Financials'!E200=0," ",(ROUND('Restated Financials'!F124-'Restated Financials'!E124,2)))</f>
        <v>82</v>
      </c>
      <c r="G39" s="253">
        <f>IF('Restated Financials'!F200=0," ",(ROUND('Restated Financials'!G124-'Restated Financials'!F124,2)))</f>
        <v>-149.80000000000001</v>
      </c>
      <c r="H39" s="246"/>
    </row>
    <row r="40" spans="1:8" x14ac:dyDescent="0.2">
      <c r="A40" s="221"/>
      <c r="B40" s="251"/>
      <c r="C40" s="252"/>
      <c r="D40" s="252"/>
      <c r="E40" s="252"/>
      <c r="F40" s="252"/>
      <c r="G40" s="253"/>
      <c r="H40" s="246"/>
    </row>
    <row r="41" spans="1:8" x14ac:dyDescent="0.2">
      <c r="A41" s="221"/>
      <c r="B41" s="250" t="s">
        <v>410</v>
      </c>
      <c r="C41" s="303"/>
      <c r="D41" s="303">
        <f>ROUND(SUM(D37:D39),2)</f>
        <v>152</v>
      </c>
      <c r="E41" s="303">
        <f>ROUND(SUM(E37:E39),2)</f>
        <v>15</v>
      </c>
      <c r="F41" s="303">
        <f>ROUND(SUM(F37:F39),2)</f>
        <v>97</v>
      </c>
      <c r="G41" s="304">
        <f>ROUND(SUM(G37:G39),2)</f>
        <v>185.54</v>
      </c>
      <c r="H41" s="274"/>
    </row>
    <row r="42" spans="1:8" x14ac:dyDescent="0.2">
      <c r="A42" s="221"/>
      <c r="B42" s="251"/>
      <c r="C42" s="252"/>
      <c r="D42" s="252"/>
      <c r="E42" s="252"/>
      <c r="F42" s="252"/>
      <c r="G42" s="253"/>
      <c r="H42" s="246"/>
    </row>
    <row r="43" spans="1:8" x14ac:dyDescent="0.2">
      <c r="A43" s="221"/>
      <c r="B43" s="250" t="s">
        <v>411</v>
      </c>
      <c r="C43" s="303"/>
      <c r="D43" s="303">
        <f>ROUND(D35+D41,2)</f>
        <v>741.8</v>
      </c>
      <c r="E43" s="303">
        <f>ROUND(E35+E41,2)</f>
        <v>671.9</v>
      </c>
      <c r="F43" s="303">
        <f>ROUND(F35+F41,2)</f>
        <v>506</v>
      </c>
      <c r="G43" s="304">
        <f>ROUND(G35+G41,2)</f>
        <v>310.72000000000003</v>
      </c>
      <c r="H43" s="274"/>
    </row>
    <row r="44" spans="1:8" x14ac:dyDescent="0.2">
      <c r="A44" s="221"/>
      <c r="B44" s="251"/>
      <c r="C44" s="252"/>
      <c r="D44" s="252"/>
      <c r="E44" s="252"/>
      <c r="F44" s="252"/>
      <c r="G44" s="253"/>
      <c r="H44" s="246"/>
    </row>
    <row r="45" spans="1:8" x14ac:dyDescent="0.2">
      <c r="A45" s="221"/>
      <c r="B45" s="251" t="s">
        <v>412</v>
      </c>
      <c r="C45" s="252"/>
      <c r="D45" s="252"/>
      <c r="E45" s="252"/>
      <c r="F45" s="252"/>
      <c r="G45" s="253"/>
      <c r="H45" s="274"/>
    </row>
    <row r="46" spans="1:8" x14ac:dyDescent="0.2">
      <c r="A46" s="221"/>
      <c r="B46" s="251" t="s">
        <v>413</v>
      </c>
      <c r="C46" s="252"/>
      <c r="D46" s="252">
        <f>IF('Restated Financials'!C200=0," ",(ROUND('Restated Financials'!D178+'Restated Financials'!D181-'Restated Financials'!C178-'Restated Financials'!C181,2)))</f>
        <v>46</v>
      </c>
      <c r="E46" s="252">
        <f>IF('Restated Financials'!D200=0," ",(ROUND('Restated Financials'!E178+'Restated Financials'!E181-'Restated Financials'!D178-'Restated Financials'!D181,2)))</f>
        <v>21</v>
      </c>
      <c r="F46" s="252">
        <f>IF('Restated Financials'!E200=0," ",(ROUND('Restated Financials'!F178+'Restated Financials'!F181-'Restated Financials'!E178-'Restated Financials'!E181,2)))</f>
        <v>-10</v>
      </c>
      <c r="G46" s="253">
        <f>IF('Restated Financials'!F200=0," ",(ROUND('Restated Financials'!G178+'Restated Financials'!G181-'Restated Financials'!F178-'Restated Financials'!F181,2)))</f>
        <v>-22.81</v>
      </c>
      <c r="H46" s="274"/>
    </row>
    <row r="47" spans="1:8" x14ac:dyDescent="0.2">
      <c r="A47" s="221"/>
      <c r="B47" s="251"/>
      <c r="C47" s="252"/>
      <c r="D47" s="252"/>
      <c r="E47" s="252"/>
      <c r="F47" s="252"/>
      <c r="G47" s="253"/>
      <c r="H47" s="246"/>
    </row>
    <row r="48" spans="1:8" x14ac:dyDescent="0.2">
      <c r="A48" s="221"/>
      <c r="B48" s="251" t="s">
        <v>414</v>
      </c>
      <c r="C48" s="252"/>
      <c r="D48" s="252"/>
      <c r="E48" s="252"/>
      <c r="F48" s="252"/>
      <c r="G48" s="253"/>
      <c r="H48" s="274"/>
    </row>
    <row r="49" spans="1:8" x14ac:dyDescent="0.2">
      <c r="A49" s="221"/>
      <c r="B49" s="251"/>
      <c r="C49" s="252"/>
      <c r="D49" s="252"/>
      <c r="E49" s="252"/>
      <c r="F49" s="252"/>
      <c r="G49" s="253"/>
      <c r="H49" s="246"/>
    </row>
    <row r="50" spans="1:8" x14ac:dyDescent="0.2">
      <c r="A50" s="221"/>
      <c r="B50" s="251" t="s">
        <v>415</v>
      </c>
      <c r="C50" s="252"/>
      <c r="D50" s="252">
        <f>IF('Restated Financials'!C200=0," ",(ROUND('Restated Financials'!D8-'Restated Financials'!C8,2)))</f>
        <v>0</v>
      </c>
      <c r="E50" s="252">
        <f>IF('Restated Financials'!D200=0," ",(ROUND('Restated Financials'!E8-'Restated Financials'!D8,2)))</f>
        <v>0</v>
      </c>
      <c r="F50" s="252">
        <f>IF('Restated Financials'!E200=0," ",(ROUND('Restated Financials'!F8-'Restated Financials'!E8,2)))</f>
        <v>2.2999999999999998</v>
      </c>
      <c r="G50" s="253">
        <f>IF('Restated Financials'!F200=0," ",(ROUND('Restated Financials'!G8-'Restated Financials'!F8,2)))</f>
        <v>1.64</v>
      </c>
      <c r="H50" s="246"/>
    </row>
    <row r="51" spans="1:8" x14ac:dyDescent="0.2">
      <c r="A51" s="221"/>
      <c r="B51" s="251"/>
      <c r="C51" s="252"/>
      <c r="D51" s="252"/>
      <c r="E51" s="252"/>
      <c r="F51" s="252"/>
      <c r="G51" s="253"/>
      <c r="H51" s="246"/>
    </row>
    <row r="52" spans="1:8" x14ac:dyDescent="0.2">
      <c r="A52" s="221"/>
      <c r="B52" s="251" t="s">
        <v>416</v>
      </c>
      <c r="C52" s="252"/>
      <c r="D52" s="252"/>
      <c r="E52" s="252"/>
      <c r="F52" s="252"/>
      <c r="G52" s="253"/>
      <c r="H52" s="274"/>
    </row>
    <row r="53" spans="1:8" x14ac:dyDescent="0.2">
      <c r="A53" s="221"/>
      <c r="B53" s="251"/>
      <c r="C53" s="252"/>
      <c r="D53" s="252"/>
      <c r="E53" s="252"/>
      <c r="F53" s="252"/>
      <c r="G53" s="253"/>
      <c r="H53" s="246"/>
    </row>
    <row r="54" spans="1:8" x14ac:dyDescent="0.2">
      <c r="A54" s="221"/>
      <c r="B54" s="251" t="s">
        <v>417</v>
      </c>
      <c r="C54" s="252"/>
      <c r="D54" s="252">
        <f>IF('Restated Financials'!C200=0," ",(ROUND('Restated Financials'!D170-'Restated Financials'!C170,2)))</f>
        <v>33</v>
      </c>
      <c r="E54" s="252">
        <f>IF('Restated Financials'!D200=0," ",(ROUND('Restated Financials'!E170-'Restated Financials'!D170,2)))</f>
        <v>-106</v>
      </c>
      <c r="F54" s="252">
        <f>IF('Restated Financials'!E200=0," ",(ROUND('Restated Financials'!F170-'Restated Financials'!E170,2)))</f>
        <v>0</v>
      </c>
      <c r="G54" s="253">
        <f>IF('Restated Financials'!F200=0," ",(ROUND('Restated Financials'!G170-'Restated Financials'!F170,2)))</f>
        <v>192.79</v>
      </c>
      <c r="H54" s="246"/>
    </row>
    <row r="55" spans="1:8" x14ac:dyDescent="0.2">
      <c r="A55" s="221"/>
      <c r="B55" s="251" t="s">
        <v>418</v>
      </c>
      <c r="C55" s="252"/>
      <c r="D55" s="252">
        <f>IF('Restated Financials'!C200=0," ",(ROUND('Restated Financials'!D177-'Restated Financials'!C177,2)))</f>
        <v>8</v>
      </c>
      <c r="E55" s="252">
        <f>IF('Restated Financials'!D200=0," ",(ROUND('Restated Financials'!E177-'Restated Financials'!D177,2)))</f>
        <v>-23</v>
      </c>
      <c r="F55" s="252">
        <f>IF('Restated Financials'!E200=0," ",(ROUND('Restated Financials'!F177-'Restated Financials'!E177,2)))</f>
        <v>0</v>
      </c>
      <c r="G55" s="253">
        <f>IF('Restated Financials'!F200=0," ",(ROUND('Restated Financials'!G177-'Restated Financials'!F177,2)))</f>
        <v>27.45</v>
      </c>
      <c r="H55" s="246"/>
    </row>
    <row r="56" spans="1:8" x14ac:dyDescent="0.2">
      <c r="A56" s="221"/>
      <c r="B56" s="251" t="s">
        <v>419</v>
      </c>
      <c r="C56" s="252"/>
      <c r="D56" s="252">
        <f>IF('Restated Financials'!C200=0," ",(ROUND('Restated Financials'!D179-'Restated Financials'!C179,2)))</f>
        <v>-61</v>
      </c>
      <c r="E56" s="252">
        <f>IF('Restated Financials'!D200=0," ",(ROUND('Restated Financials'!E179-'Restated Financials'!D179,2)))</f>
        <v>0</v>
      </c>
      <c r="F56" s="252">
        <f>IF('Restated Financials'!E200=0," ",(ROUND('Restated Financials'!F179-'Restated Financials'!E179,2)))</f>
        <v>0</v>
      </c>
      <c r="G56" s="253">
        <f>IF('Restated Financials'!F200=0," ",(ROUND('Restated Financials'!G179-'Restated Financials'!F179,2)))</f>
        <v>0</v>
      </c>
      <c r="H56" s="246"/>
    </row>
    <row r="57" spans="1:8" x14ac:dyDescent="0.2">
      <c r="A57" s="221"/>
      <c r="B57" s="251" t="s">
        <v>420</v>
      </c>
      <c r="C57" s="252"/>
      <c r="D57" s="252">
        <f>IF('Restated Financials'!C200=0," ",(ROUND('Restated Financials'!D182-'Restated Financials'!C182,2)))</f>
        <v>5</v>
      </c>
      <c r="E57" s="252">
        <f>IF('Restated Financials'!D200=0," ",(ROUND('Restated Financials'!E182-'Restated Financials'!D182,2)))</f>
        <v>1</v>
      </c>
      <c r="F57" s="252">
        <f>IF('Restated Financials'!E200=0," ",(ROUND('Restated Financials'!F182-'Restated Financials'!E182,2)))</f>
        <v>1</v>
      </c>
      <c r="G57" s="253">
        <f>IF('Restated Financials'!F200=0," ",(ROUND('Restated Financials'!G182-'Restated Financials'!F182,2)))</f>
        <v>0.33</v>
      </c>
      <c r="H57" s="246"/>
    </row>
    <row r="58" spans="1:8" ht="13.5" thickBot="1" x14ac:dyDescent="0.25">
      <c r="A58" s="254"/>
      <c r="B58" s="258" t="s">
        <v>421</v>
      </c>
      <c r="C58" s="313"/>
      <c r="D58" s="313">
        <f>ROUND(SUM(D54:D57),2)</f>
        <v>-15</v>
      </c>
      <c r="E58" s="313">
        <f>ROUND(SUM(E54:E57),2)</f>
        <v>-128</v>
      </c>
      <c r="F58" s="313">
        <f>ROUND(SUM(F54:F57),2)</f>
        <v>1</v>
      </c>
      <c r="G58" s="314">
        <f>ROUND(SUM(G54:G57),2)</f>
        <v>220.57</v>
      </c>
      <c r="H58" s="2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showGridLines="0" topLeftCell="A19" workbookViewId="0">
      <selection activeCell="C10" sqref="C10"/>
    </sheetView>
  </sheetViews>
  <sheetFormatPr defaultRowHeight="12.75" x14ac:dyDescent="0.2"/>
  <cols>
    <col min="1" max="1" customWidth="true" style="298" width="5.42578125" collapsed="true"/>
    <col min="2" max="2" customWidth="true" style="298" width="63.7109375" collapsed="true"/>
    <col min="3" max="7" customWidth="true" style="298" width="12.28515625" collapsed="true"/>
    <col min="8" max="16384" style="298" width="9.140625" collapsed="true"/>
  </cols>
  <sheetData>
    <row r="1" spans="1:7" ht="19.5" thickBot="1" x14ac:dyDescent="0.25">
      <c r="A1" s="213"/>
      <c r="B1" s="297" t="s">
        <v>501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0</v>
      </c>
      <c r="C3" s="252">
        <f>('Restated Financials'!C3/'Restated Financials'!C$8)*100</f>
        <v>100</v>
      </c>
      <c r="D3" s="252">
        <f>('Restated Financials'!D3/'Restated Financials'!D$8)*100</f>
        <v>100</v>
      </c>
      <c r="E3" s="252">
        <f>('Restated Financials'!E3/'Restated Financials'!E$8)*100</f>
        <v>100</v>
      </c>
      <c r="F3" s="252">
        <f>('Restated Financials'!F3/'Restated Financials'!F$8)*100</f>
        <v>99.088386841062231</v>
      </c>
      <c r="G3" s="253">
        <f>('Restated Financials'!G3/'Restated Financials'!G$8)*100</f>
        <v>98.448452390328427</v>
      </c>
    </row>
    <row r="4" spans="1:7" x14ac:dyDescent="0.2">
      <c r="A4" s="221"/>
      <c r="B4" s="251" t="s">
        <v>1</v>
      </c>
      <c r="C4" s="252">
        <f>('Restated Financials'!C4/'Restated Financials'!C$8)*100</f>
        <v>0</v>
      </c>
      <c r="D4" s="252">
        <f>('Restated Financials'!D4/'Restated Financials'!D$8)*100</f>
        <v>0</v>
      </c>
      <c r="E4" s="252">
        <f>('Restated Financials'!E4/'Restated Financials'!E$8)*100</f>
        <v>0</v>
      </c>
      <c r="F4" s="252">
        <f>('Restated Financials'!F4/'Restated Financials'!F$8)*100</f>
        <v>0</v>
      </c>
      <c r="G4" s="253">
        <f>('Restated Financials'!G4/'Restated Financials'!G$8)*100</f>
        <v>0</v>
      </c>
    </row>
    <row r="5" spans="1:7" x14ac:dyDescent="0.2">
      <c r="A5" s="221"/>
      <c r="B5" s="251" t="s">
        <v>487</v>
      </c>
      <c r="C5" s="252">
        <f>('Restated Financials'!C5/'Restated Financials'!C$8)*100</f>
        <v>0</v>
      </c>
      <c r="D5" s="252">
        <f>('Restated Financials'!D5/'Restated Financials'!D$8)*100</f>
        <v>0</v>
      </c>
      <c r="E5" s="252">
        <f>('Restated Financials'!E5/'Restated Financials'!E$8)*100</f>
        <v>0</v>
      </c>
      <c r="F5" s="252">
        <f>('Restated Financials'!F5/'Restated Financials'!F$8)*100</f>
        <v>0.91161315893777228</v>
      </c>
      <c r="G5" s="253">
        <f>('Restated Financials'!G5/'Restated Financials'!G$8)*100</f>
        <v>1.5515476096715759</v>
      </c>
    </row>
    <row r="6" spans="1:7" x14ac:dyDescent="0.2">
      <c r="A6" s="221"/>
      <c r="B6" s="251" t="s">
        <v>2</v>
      </c>
      <c r="C6" s="252">
        <f>('Restated Financials'!C6/'Restated Financials'!C$8)*100</f>
        <v>0</v>
      </c>
      <c r="D6" s="252">
        <f>('Restated Financials'!D6/'Restated Financials'!D$8)*100</f>
        <v>0</v>
      </c>
      <c r="E6" s="252">
        <f>('Restated Financials'!E6/'Restated Financials'!E$8)*100</f>
        <v>0</v>
      </c>
      <c r="F6" s="252">
        <f>('Restated Financials'!F6/'Restated Financials'!F$8)*100</f>
        <v>0</v>
      </c>
      <c r="G6" s="253">
        <f>('Restated Financials'!G6/'Restated Financials'!G$8)*100</f>
        <v>0</v>
      </c>
    </row>
    <row r="7" spans="1:7" x14ac:dyDescent="0.2">
      <c r="A7" s="221"/>
      <c r="B7" s="251" t="s">
        <v>725</v>
      </c>
      <c r="C7" s="252">
        <f>('Restated Financials'!C7/'Restated Financials'!C$8)*100</f>
        <v>0</v>
      </c>
      <c r="D7" s="252">
        <f>('Restated Financials'!D7/'Restated Financials'!D$8)*100</f>
        <v>0</v>
      </c>
      <c r="E7" s="252">
        <f>('Restated Financials'!E7/'Restated Financials'!E$8)*100</f>
        <v>0</v>
      </c>
      <c r="F7" s="252">
        <f>('Restated Financials'!F7/'Restated Financials'!F$8)*100</f>
        <v>0</v>
      </c>
      <c r="G7" s="253">
        <f>('Restated Financials'!G7/'Restated Financials'!G$8)*100</f>
        <v>0</v>
      </c>
    </row>
    <row r="8" spans="1:7" x14ac:dyDescent="0.2">
      <c r="A8" s="221"/>
      <c r="B8" s="269" t="s">
        <v>3</v>
      </c>
      <c r="C8" s="315">
        <f>('Restated Financials'!C8/'Restated Financials'!C$8)*100</f>
        <v>100</v>
      </c>
      <c r="D8" s="315">
        <f>('Restated Financials'!D8/'Restated Financials'!D$8)*100</f>
        <v>100</v>
      </c>
      <c r="E8" s="315">
        <f>('Restated Financials'!E8/'Restated Financials'!E$8)*100</f>
        <v>100</v>
      </c>
      <c r="F8" s="315">
        <f>('Restated Financials'!F8/'Restated Financials'!F$8)*100</f>
        <v>100</v>
      </c>
      <c r="G8" s="316">
        <f>('Restated Financials'!G8/'Restated Financials'!G$8)*100</f>
        <v>100</v>
      </c>
    </row>
    <row r="9" spans="1:7" x14ac:dyDescent="0.2">
      <c r="A9" s="221"/>
      <c r="B9" s="251" t="s">
        <v>4</v>
      </c>
      <c r="C9" s="252">
        <f>('Restated Financials'!C9/'Restated Financials'!C$8)*100</f>
        <v>0.36</v>
      </c>
      <c r="D9" s="252">
        <f>('Restated Financials'!D9/'Restated Financials'!D$8)*100</f>
        <v>0.4</v>
      </c>
      <c r="E9" s="252">
        <f>('Restated Financials'!E9/'Restated Financials'!E$8)*100</f>
        <v>0.44</v>
      </c>
      <c r="F9" s="252">
        <f>('Restated Financials'!F9/'Restated Financials'!F$8)*100</f>
        <v>0.43598890210067387</v>
      </c>
      <c r="G9" s="253">
        <f>('Restated Financials'!G9/'Restated Financials'!G$8)*100</f>
        <v>0.44065527289911005</v>
      </c>
    </row>
    <row r="10" spans="1:7" x14ac:dyDescent="0.2">
      <c r="A10" s="221"/>
      <c r="B10" s="250" t="s">
        <v>5</v>
      </c>
      <c r="C10" s="303">
        <f>('Restated Financials'!C10/'Restated Financials'!C$8)*100</f>
        <v>100.36</v>
      </c>
      <c r="D10" s="303">
        <f>('Restated Financials'!D10/'Restated Financials'!D$8)*100</f>
        <v>100.4</v>
      </c>
      <c r="E10" s="303">
        <f>('Restated Financials'!E10/'Restated Financials'!E$8)*100</f>
        <v>100.44</v>
      </c>
      <c r="F10" s="303">
        <f>('Restated Financials'!F10/'Restated Financials'!F$8)*100</f>
        <v>100.43598890210068</v>
      </c>
      <c r="G10" s="304">
        <f>('Restated Financials'!G10/'Restated Financials'!G$8)*100</f>
        <v>100.44104906670867</v>
      </c>
    </row>
    <row r="11" spans="1:7" x14ac:dyDescent="0.2">
      <c r="A11" s="221"/>
      <c r="B11" s="251"/>
      <c r="C11" s="252"/>
      <c r="D11" s="252"/>
      <c r="E11" s="252"/>
      <c r="F11" s="252"/>
      <c r="G11" s="253"/>
    </row>
    <row r="12" spans="1:7" x14ac:dyDescent="0.2">
      <c r="A12" s="221"/>
      <c r="B12" s="251" t="s">
        <v>6</v>
      </c>
      <c r="C12" s="252">
        <f>('Restated Financials'!C12/'Restated Financials'!$C$8)*100</f>
        <v>81.8</v>
      </c>
      <c r="D12" s="252">
        <f>('Restated Financials'!D12/'Restated Financials'!D$8)*100</f>
        <v>93.47999999999999</v>
      </c>
      <c r="E12" s="252">
        <f>('Restated Financials'!E12/'Restated Financials'!E$8)*100</f>
        <v>104.08</v>
      </c>
      <c r="F12" s="252">
        <f>('Restated Financials'!F12/'Restated Financials'!F$8)*100</f>
        <v>127.34839476813318</v>
      </c>
      <c r="G12" s="253">
        <f>('Restated Financials'!G12/'Restated Financials'!G$8)*100</f>
        <v>135.21579900763959</v>
      </c>
    </row>
    <row r="13" spans="1:7" x14ac:dyDescent="0.2">
      <c r="A13" s="221"/>
      <c r="B13" s="251" t="s">
        <v>7</v>
      </c>
      <c r="C13" s="252">
        <f>('Restated Financials'!C13/'Restated Financials'!$C$8)*100</f>
        <v>2.68</v>
      </c>
      <c r="D13" s="252">
        <f>('Restated Financials'!D13/'Restated Financials'!D$8)*100</f>
        <v>4</v>
      </c>
      <c r="E13" s="252">
        <f>('Restated Financials'!E13/'Restated Financials'!E$8)*100</f>
        <v>6.92</v>
      </c>
      <c r="F13" s="252">
        <f>('Restated Financials'!F13/'Restated Financials'!F$8)*100</f>
        <v>7.7685295283392781</v>
      </c>
      <c r="G13" s="253">
        <f>('Restated Financials'!G13/'Restated Financials'!G$8)*100</f>
        <v>8.0956131369614859</v>
      </c>
    </row>
    <row r="14" spans="1:7" x14ac:dyDescent="0.2">
      <c r="A14" s="221"/>
      <c r="B14" s="251" t="s">
        <v>8</v>
      </c>
      <c r="C14" s="252">
        <f>('Restated Financials'!C14/'Restated Financials'!$C$8)*100</f>
        <v>15.372</v>
      </c>
      <c r="D14" s="252">
        <f>('Restated Financials'!D14/'Restated Financials'!D$8)*100</f>
        <v>18.143999999999998</v>
      </c>
      <c r="E14" s="252">
        <f>('Restated Financials'!E14/'Restated Financials'!E$8)*100</f>
        <v>24.611999999999998</v>
      </c>
      <c r="F14" s="252">
        <f>('Restated Financials'!F14/'Restated Financials'!F$8)*100</f>
        <v>25.774871185097105</v>
      </c>
      <c r="G14" s="253">
        <f>('Restated Financials'!G14/'Restated Financials'!G$8)*100</f>
        <v>28.272426557454516</v>
      </c>
    </row>
    <row r="15" spans="1:7" x14ac:dyDescent="0.2">
      <c r="A15" s="221"/>
      <c r="B15" s="251" t="s">
        <v>9</v>
      </c>
      <c r="C15" s="252">
        <f>('Restated Financials'!C15/'Restated Financials'!$C$8)*100</f>
        <v>6.5599999999999987</v>
      </c>
      <c r="D15" s="252">
        <f>('Restated Financials'!D15/'Restated Financials'!D$8)*100</f>
        <v>11.44</v>
      </c>
      <c r="E15" s="252">
        <f>('Restated Financials'!E15/'Restated Financials'!E$8)*100</f>
        <v>10.64</v>
      </c>
      <c r="F15" s="252">
        <f>('Restated Financials'!F15/'Restated Financials'!F$8)*100</f>
        <v>7.3721759809750305</v>
      </c>
      <c r="G15" s="253">
        <f>('Restated Financials'!G15/'Restated Financials'!G$8)*100</f>
        <v>5.8722532881783103</v>
      </c>
    </row>
    <row r="16" spans="1:7" x14ac:dyDescent="0.2">
      <c r="A16" s="221"/>
      <c r="B16" s="251" t="s">
        <v>10</v>
      </c>
      <c r="C16" s="252">
        <f>('Restated Financials'!C16/'Restated Financials'!$C$8)*100</f>
        <v>0</v>
      </c>
      <c r="D16" s="252">
        <f>('Restated Financials'!D16/'Restated Financials'!D$8)*100</f>
        <v>0</v>
      </c>
      <c r="E16" s="252">
        <f>('Restated Financials'!E16/'Restated Financials'!E$8)*100</f>
        <v>0</v>
      </c>
      <c r="F16" s="252">
        <f>('Restated Financials'!F16/'Restated Financials'!F$8)*100</f>
        <v>0</v>
      </c>
      <c r="G16" s="253">
        <f>('Restated Financials'!G16/'Restated Financials'!G$8)*100</f>
        <v>0</v>
      </c>
    </row>
    <row r="17" spans="1:7" x14ac:dyDescent="0.2">
      <c r="A17" s="221"/>
      <c r="B17" s="251" t="s">
        <v>11</v>
      </c>
      <c r="C17" s="252">
        <f>('Restated Financials'!C17/'Restated Financials'!$C$8)*100</f>
        <v>0</v>
      </c>
      <c r="D17" s="252">
        <f>('Restated Financials'!D17/'Restated Financials'!D$8)*100</f>
        <v>0</v>
      </c>
      <c r="E17" s="252">
        <f>('Restated Financials'!E17/'Restated Financials'!E$8)*100</f>
        <v>0</v>
      </c>
      <c r="F17" s="252">
        <f>('Restated Financials'!F17/'Restated Financials'!F$8)*100</f>
        <v>0</v>
      </c>
      <c r="G17" s="253">
        <f>('Restated Financials'!G17/'Restated Financials'!G$8)*100</f>
        <v>0</v>
      </c>
    </row>
    <row r="18" spans="1:7" x14ac:dyDescent="0.2">
      <c r="A18" s="221"/>
      <c r="B18" s="251"/>
      <c r="C18" s="252"/>
      <c r="D18" s="252"/>
      <c r="E18" s="252"/>
      <c r="F18" s="252"/>
      <c r="G18" s="253"/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0" t="s">
        <v>12</v>
      </c>
      <c r="C20" s="303">
        <f>('Restated Financials'!C20/'Restated Financials'!$C$8)*100</f>
        <v>106.41199999999999</v>
      </c>
      <c r="D20" s="303">
        <f>('Restated Financials'!D20/'Restated Financials'!D$8)*100</f>
        <v>127.06399999999999</v>
      </c>
      <c r="E20" s="303">
        <f>('Restated Financials'!E20/'Restated Financials'!E$8)*100</f>
        <v>146.25200000000001</v>
      </c>
      <c r="F20" s="303">
        <f>('Restated Financials'!F20/'Restated Financials'!F$8)*100</f>
        <v>168.26397146254456</v>
      </c>
      <c r="G20" s="304">
        <f>('Restated Financials'!G20/'Restated Financials'!G$8)*100</f>
        <v>177.45530440261479</v>
      </c>
    </row>
    <row r="21" spans="1:7" x14ac:dyDescent="0.2">
      <c r="A21" s="221"/>
      <c r="B21" s="251" t="s">
        <v>13</v>
      </c>
      <c r="C21" s="252">
        <f>('Restated Financials'!C21/'Restated Financials'!$C$8)*100</f>
        <v>0</v>
      </c>
      <c r="D21" s="252">
        <f>('Restated Financials'!D21/'Restated Financials'!D$8)*100</f>
        <v>0</v>
      </c>
      <c r="E21" s="252">
        <f>('Restated Financials'!E21/'Restated Financials'!E$8)*100</f>
        <v>0</v>
      </c>
      <c r="F21" s="252">
        <f>('Restated Financials'!F21/'Restated Financials'!F$8)*100</f>
        <v>0</v>
      </c>
      <c r="G21" s="253">
        <f>('Restated Financials'!G21/'Restated Financials'!G$8)*100</f>
        <v>0</v>
      </c>
    </row>
    <row r="22" spans="1:7" x14ac:dyDescent="0.2">
      <c r="A22" s="221"/>
      <c r="B22" s="251" t="s">
        <v>14</v>
      </c>
      <c r="C22" s="252">
        <f>('Restated Financials'!C22/'Restated Financials'!$C$8)*100</f>
        <v>0</v>
      </c>
      <c r="D22" s="252">
        <f>('Restated Financials'!D22/'Restated Financials'!D$8)*100</f>
        <v>0</v>
      </c>
      <c r="E22" s="252">
        <f>('Restated Financials'!E22/'Restated Financials'!E$8)*100</f>
        <v>0</v>
      </c>
      <c r="F22" s="252">
        <f>('Restated Financials'!F22/'Restated Financials'!F$8)*100</f>
        <v>0</v>
      </c>
      <c r="G22" s="253">
        <f>('Restated Financials'!G22/'Restated Financials'!G$8)*100</f>
        <v>0</v>
      </c>
    </row>
    <row r="23" spans="1:7" x14ac:dyDescent="0.2">
      <c r="A23" s="221"/>
      <c r="B23" s="250" t="s">
        <v>15</v>
      </c>
      <c r="C23" s="303">
        <f>('Restated Financials'!C23/'Restated Financials'!$C$8)*100</f>
        <v>106.41199999999999</v>
      </c>
      <c r="D23" s="303">
        <f>('Restated Financials'!D23/'Restated Financials'!D$8)*100</f>
        <v>127.06399999999999</v>
      </c>
      <c r="E23" s="303">
        <f>('Restated Financials'!E23/'Restated Financials'!E$8)*100</f>
        <v>146.25200000000001</v>
      </c>
      <c r="F23" s="303">
        <f>('Restated Financials'!F23/'Restated Financials'!F$8)*100</f>
        <v>168.26397146254456</v>
      </c>
      <c r="G23" s="304">
        <f>('Restated Financials'!G23/'Restated Financials'!G$8)*100</f>
        <v>177.45530440261479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16</v>
      </c>
      <c r="C25" s="252">
        <f>('Restated Financials'!C25/'Restated Financials'!$C$8)*100</f>
        <v>16.16</v>
      </c>
      <c r="D25" s="252">
        <f>('Restated Financials'!D25/'Restated Financials'!D$8)*100</f>
        <v>20.04</v>
      </c>
      <c r="E25" s="252">
        <f>('Restated Financials'!E25/'Restated Financials'!E$8)*100</f>
        <v>23.76</v>
      </c>
      <c r="F25" s="252">
        <f>('Restated Financials'!F25/'Restated Financials'!F$8)*100</f>
        <v>24.573919936583433</v>
      </c>
      <c r="G25" s="253">
        <f>('Restated Financials'!G25/'Restated Financials'!G$8)*100</f>
        <v>29.523903284240372</v>
      </c>
    </row>
    <row r="26" spans="1:7" x14ac:dyDescent="0.2">
      <c r="A26" s="221"/>
      <c r="B26" s="251" t="s">
        <v>17</v>
      </c>
      <c r="C26" s="252">
        <f>('Restated Financials'!C26/'Restated Financials'!$C$8)*100</f>
        <v>2.08</v>
      </c>
      <c r="D26" s="252">
        <f>('Restated Financials'!D26/'Restated Financials'!D$8)*100</f>
        <v>2.3199999999999998</v>
      </c>
      <c r="E26" s="252">
        <f>('Restated Financials'!E26/'Restated Financials'!E$8)*100</f>
        <v>3.04</v>
      </c>
      <c r="F26" s="252">
        <f>('Restated Financials'!F26/'Restated Financials'!F$8)*100</f>
        <v>3.6068172810146648</v>
      </c>
      <c r="G26" s="253">
        <f>('Restated Financials'!G26/'Restated Financials'!G$8)*100</f>
        <v>6.0096873277152092</v>
      </c>
    </row>
    <row r="27" spans="1:7" x14ac:dyDescent="0.2">
      <c r="A27" s="221"/>
      <c r="B27" s="251" t="s">
        <v>18</v>
      </c>
      <c r="C27" s="252">
        <f>('Restated Financials'!C27/'Restated Financials'!$C$8)*100</f>
        <v>6.5879999999999992</v>
      </c>
      <c r="D27" s="252">
        <f>('Restated Financials'!D27/'Restated Financials'!D$8)*100</f>
        <v>7.7760000000000007</v>
      </c>
      <c r="E27" s="252">
        <f>('Restated Financials'!E27/'Restated Financials'!E$8)*100</f>
        <v>10.547999999999998</v>
      </c>
      <c r="F27" s="252">
        <f>('Restated Financials'!F27/'Restated Financials'!F$8)*100</f>
        <v>11.046373365041616</v>
      </c>
      <c r="G27" s="253">
        <f>('Restated Financials'!G27/'Restated Financials'!G$8)*100</f>
        <v>12.116641726392061</v>
      </c>
    </row>
    <row r="28" spans="1:7" x14ac:dyDescent="0.2">
      <c r="A28" s="221"/>
      <c r="B28" s="251"/>
      <c r="C28" s="252"/>
      <c r="D28" s="252"/>
      <c r="E28" s="252"/>
      <c r="F28" s="252"/>
      <c r="G28" s="253"/>
    </row>
    <row r="29" spans="1:7" x14ac:dyDescent="0.2">
      <c r="A29" s="221"/>
      <c r="B29" s="251"/>
      <c r="C29" s="252"/>
      <c r="D29" s="252"/>
      <c r="E29" s="252"/>
      <c r="F29" s="252"/>
      <c r="G29" s="253"/>
    </row>
    <row r="30" spans="1:7" x14ac:dyDescent="0.2">
      <c r="A30" s="221"/>
      <c r="B30" s="250" t="s">
        <v>19</v>
      </c>
      <c r="C30" s="303">
        <f>('Restated Financials'!C30/'Restated Financials'!$C$8)*100</f>
        <v>131.24</v>
      </c>
      <c r="D30" s="303">
        <f>('Restated Financials'!D30/'Restated Financials'!D$8)*100</f>
        <v>157.20000000000002</v>
      </c>
      <c r="E30" s="303">
        <f>('Restated Financials'!E30/'Restated Financials'!E$8)*100</f>
        <v>183.6</v>
      </c>
      <c r="F30" s="303">
        <f>('Restated Financials'!F30/'Restated Financials'!F$8)*100</f>
        <v>207.4910820451843</v>
      </c>
      <c r="G30" s="304">
        <f>('Restated Financials'!G30/'Restated Financials'!G$8)*100</f>
        <v>225.10435535953377</v>
      </c>
    </row>
    <row r="31" spans="1:7" x14ac:dyDescent="0.2">
      <c r="A31" s="221"/>
      <c r="B31" s="251"/>
      <c r="C31" s="252"/>
      <c r="D31" s="252"/>
      <c r="E31" s="252"/>
      <c r="F31" s="252"/>
      <c r="G31" s="253"/>
    </row>
    <row r="32" spans="1:7" x14ac:dyDescent="0.2">
      <c r="A32" s="221"/>
      <c r="B32" s="250" t="s">
        <v>20</v>
      </c>
      <c r="C32" s="303">
        <f>('Restated Financials'!C32/'Restated Financials'!$C$8)*100</f>
        <v>-30.880000000000003</v>
      </c>
      <c r="D32" s="303">
        <f>('Restated Financials'!D32/'Restated Financials'!D$8)*100</f>
        <v>-56.8</v>
      </c>
      <c r="E32" s="303">
        <f>('Restated Financials'!E32/'Restated Financials'!E$8)*100</f>
        <v>-83.16</v>
      </c>
      <c r="F32" s="303">
        <f>('Restated Financials'!F32/'Restated Financials'!F$8)*100</f>
        <v>-107.05509314308364</v>
      </c>
      <c r="G32" s="304">
        <f>('Restated Financials'!G32/'Restated Financials'!G$8)*100</f>
        <v>-124.66330629282507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21</v>
      </c>
      <c r="C34" s="252">
        <f>('Restated Financials'!C34/'Restated Financials'!$C$8)*100</f>
        <v>0.48</v>
      </c>
      <c r="D34" s="252">
        <f>('Restated Financials'!D34/'Restated Financials'!D$8)*100</f>
        <v>1.8399999999999999</v>
      </c>
      <c r="E34" s="252">
        <f>('Restated Financials'!E34/'Restated Financials'!E$8)*100</f>
        <v>3.1199999999999997</v>
      </c>
      <c r="F34" s="252">
        <f>('Restated Financials'!F34/'Restated Financials'!F$8)*100</f>
        <v>6.5398335315101068</v>
      </c>
      <c r="G34" s="253">
        <f>('Restated Financials'!G34/'Restated Financials'!G$8)*100</f>
        <v>8.0987634874379761</v>
      </c>
    </row>
    <row r="35" spans="1:7" x14ac:dyDescent="0.2">
      <c r="A35" s="221"/>
      <c r="B35" s="250" t="s">
        <v>22</v>
      </c>
      <c r="C35" s="303">
        <f>('Restated Financials'!C35/'Restated Financials'!$C$8)*100</f>
        <v>-31.360000000000003</v>
      </c>
      <c r="D35" s="303">
        <f>('Restated Financials'!D35/'Restated Financials'!D$8)*100</f>
        <v>-58.64</v>
      </c>
      <c r="E35" s="303">
        <f>('Restated Financials'!E35/'Restated Financials'!E$8)*100</f>
        <v>-86.279999999999987</v>
      </c>
      <c r="F35" s="303">
        <f>('Restated Financials'!F35/'Restated Financials'!F$8)*100</f>
        <v>-113.59492667459375</v>
      </c>
      <c r="G35" s="304">
        <f>('Restated Financials'!G35/'Restated Financials'!G$8)*100</f>
        <v>-132.76364495550129</v>
      </c>
    </row>
    <row r="36" spans="1:7" x14ac:dyDescent="0.2">
      <c r="A36" s="221"/>
      <c r="B36" s="251"/>
      <c r="C36" s="252"/>
      <c r="D36" s="252"/>
      <c r="E36" s="252"/>
      <c r="F36" s="252"/>
      <c r="G36" s="253"/>
    </row>
    <row r="37" spans="1:7" x14ac:dyDescent="0.2">
      <c r="A37" s="221"/>
      <c r="B37" s="251" t="s">
        <v>23</v>
      </c>
      <c r="C37" s="252">
        <f>('Restated Financials'!C37/'Restated Financials'!$C$8)*100</f>
        <v>0.08</v>
      </c>
      <c r="D37" s="252">
        <f>('Restated Financials'!D37/'Restated Financials'!D$8)*100</f>
        <v>0.72</v>
      </c>
      <c r="E37" s="252">
        <f>('Restated Financials'!E37/'Restated Financials'!E$8)*100</f>
        <v>0.48</v>
      </c>
      <c r="F37" s="252">
        <f>('Restated Financials'!F37/'Restated Financials'!F$8)*100</f>
        <v>0.47562425683709864</v>
      </c>
      <c r="G37" s="253">
        <f>('Restated Financials'!G37/'Restated Financials'!G$8)*100</f>
        <v>0.73600063007009542</v>
      </c>
    </row>
    <row r="38" spans="1:7" x14ac:dyDescent="0.2">
      <c r="A38" s="221"/>
      <c r="B38" s="251" t="s">
        <v>24</v>
      </c>
      <c r="C38" s="252">
        <f>('Restated Financials'!C38/'Restated Financials'!$C$8)*100</f>
        <v>0</v>
      </c>
      <c r="D38" s="252">
        <f>('Restated Financials'!D38/'Restated Financials'!D$8)*100</f>
        <v>0</v>
      </c>
      <c r="E38" s="252">
        <f>('Restated Financials'!E38/'Restated Financials'!E$8)*100</f>
        <v>0</v>
      </c>
      <c r="F38" s="252">
        <f>('Restated Financials'!F38/'Restated Financials'!F$8)*100</f>
        <v>0</v>
      </c>
      <c r="G38" s="253">
        <f>('Restated Financials'!G38/'Restated Financials'!G$8)*100</f>
        <v>0</v>
      </c>
    </row>
    <row r="39" spans="1:7" x14ac:dyDescent="0.2">
      <c r="A39" s="221"/>
      <c r="B39" s="251" t="s">
        <v>25</v>
      </c>
      <c r="C39" s="252">
        <f>('Restated Financials'!C39/'Restated Financials'!$C$8)*100</f>
        <v>0</v>
      </c>
      <c r="D39" s="252">
        <f>('Restated Financials'!D39/'Restated Financials'!D$8)*100</f>
        <v>0.04</v>
      </c>
      <c r="E39" s="252">
        <f>('Restated Financials'!E39/'Restated Financials'!E$8)*100</f>
        <v>0</v>
      </c>
      <c r="F39" s="252">
        <f>('Restated Financials'!F39/'Restated Financials'!F$8)*100</f>
        <v>0</v>
      </c>
      <c r="G39" s="253">
        <f>('Restated Financials'!G39/'Restated Financials'!G$8)*100</f>
        <v>1.2995195715523352E-2</v>
      </c>
    </row>
    <row r="40" spans="1:7" x14ac:dyDescent="0.2">
      <c r="A40" s="221"/>
      <c r="B40" s="251"/>
      <c r="C40" s="252"/>
      <c r="D40" s="252"/>
      <c r="E40" s="252"/>
      <c r="F40" s="252"/>
      <c r="G40" s="253"/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69" t="s">
        <v>26</v>
      </c>
      <c r="C42" s="315">
        <f>('Restated Financials'!C42/'Restated Financials'!$C$8)*100</f>
        <v>0.08</v>
      </c>
      <c r="D42" s="315">
        <f>('Restated Financials'!D42/'Restated Financials'!D$8)*100</f>
        <v>0.76</v>
      </c>
      <c r="E42" s="315">
        <f>('Restated Financials'!E42/'Restated Financials'!E$8)*100</f>
        <v>0.48</v>
      </c>
      <c r="F42" s="315">
        <f>('Restated Financials'!F42/'Restated Financials'!F$8)*100</f>
        <v>0.47562425683709864</v>
      </c>
      <c r="G42" s="316">
        <f>('Restated Financials'!G42/'Restated Financials'!G$8)*100</f>
        <v>0.74820823816649606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27</v>
      </c>
      <c r="C44" s="303">
        <f>('Restated Financials'!C44/'Restated Financials'!$C$8)*100</f>
        <v>-31.439999999999994</v>
      </c>
      <c r="D44" s="303">
        <f>('Restated Financials'!D44/'Restated Financials'!D$8)*100</f>
        <v>-59.4</v>
      </c>
      <c r="E44" s="303">
        <f>('Restated Financials'!E44/'Restated Financials'!E$8)*100</f>
        <v>-86.76</v>
      </c>
      <c r="F44" s="303">
        <f>('Restated Financials'!F44/'Restated Financials'!F$8)*100</f>
        <v>-114.07055093143083</v>
      </c>
      <c r="G44" s="304">
        <f>('Restated Financials'!G44/'Restated Financials'!G$8)*100</f>
        <v>-133.5118531936678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x14ac:dyDescent="0.2">
      <c r="A46" s="221"/>
      <c r="B46" s="251" t="s">
        <v>28</v>
      </c>
      <c r="C46" s="252">
        <f>('Restated Financials'!C46/'Restated Financials'!$C$8)*100</f>
        <v>0</v>
      </c>
      <c r="D46" s="252">
        <f>('Restated Financials'!D46/'Restated Financials'!D$8)*100</f>
        <v>0</v>
      </c>
      <c r="E46" s="252">
        <f>('Restated Financials'!E46/'Restated Financials'!E$8)*100</f>
        <v>0</v>
      </c>
      <c r="F46" s="252">
        <f>('Restated Financials'!F46/'Restated Financials'!F$8)*100</f>
        <v>0</v>
      </c>
      <c r="G46" s="253">
        <f>('Restated Financials'!G46/'Restated Financials'!G$8)*100</f>
        <v>0</v>
      </c>
    </row>
    <row r="47" spans="1:7" x14ac:dyDescent="0.2">
      <c r="A47" s="221"/>
      <c r="B47" s="251" t="s">
        <v>29</v>
      </c>
      <c r="C47" s="252">
        <f>('Restated Financials'!C47/'Restated Financials'!$C$8)*100</f>
        <v>0</v>
      </c>
      <c r="D47" s="252">
        <f>('Restated Financials'!D47/'Restated Financials'!D$8)*100</f>
        <v>0</v>
      </c>
      <c r="E47" s="252">
        <f>('Restated Financials'!E47/'Restated Financials'!E$8)*100</f>
        <v>0</v>
      </c>
      <c r="F47" s="252">
        <f>('Restated Financials'!F47/'Restated Financials'!F$8)*100</f>
        <v>0</v>
      </c>
      <c r="G47" s="253">
        <f>('Restated Financials'!G47/'Restated Financials'!G$8)*100</f>
        <v>0</v>
      </c>
    </row>
    <row r="48" spans="1:7" x14ac:dyDescent="0.2">
      <c r="A48" s="221"/>
      <c r="B48" s="251" t="s">
        <v>30</v>
      </c>
      <c r="C48" s="252">
        <f>('Restated Financials'!C48/'Restated Financials'!$C$8)*100</f>
        <v>0</v>
      </c>
      <c r="D48" s="252">
        <f>('Restated Financials'!D48/'Restated Financials'!D$8)*100</f>
        <v>0</v>
      </c>
      <c r="E48" s="252">
        <f>('Restated Financials'!E48/'Restated Financials'!E$8)*100</f>
        <v>0</v>
      </c>
      <c r="F48" s="252">
        <f>('Restated Financials'!F48/'Restated Financials'!F$8)*100</f>
        <v>0</v>
      </c>
      <c r="G48" s="253">
        <f>('Restated Financials'!G48/'Restated Financials'!G$8)*100</f>
        <v>0</v>
      </c>
    </row>
    <row r="49" spans="1:7" x14ac:dyDescent="0.2">
      <c r="A49" s="221"/>
      <c r="B49" s="251" t="s">
        <v>31</v>
      </c>
      <c r="C49" s="252">
        <f>('Restated Financials'!C49/'Restated Financials'!$C$8)*100</f>
        <v>0.64</v>
      </c>
      <c r="D49" s="252">
        <f>('Restated Financials'!D49/'Restated Financials'!D$8)*100</f>
        <v>0.91999999999999993</v>
      </c>
      <c r="E49" s="252">
        <f>('Restated Financials'!E49/'Restated Financials'!E$8)*100</f>
        <v>1.76</v>
      </c>
      <c r="F49" s="252">
        <f>('Restated Financials'!F49/'Restated Financials'!F$8)*100</f>
        <v>1.466508125247721</v>
      </c>
      <c r="G49" s="253">
        <f>('Restated Financials'!G49/'Restated Financials'!G$8)*100</f>
        <v>1.5129558163345673</v>
      </c>
    </row>
    <row r="50" spans="1:7" x14ac:dyDescent="0.2">
      <c r="A50" s="221"/>
      <c r="B50" s="251"/>
      <c r="C50" s="252"/>
      <c r="D50" s="252"/>
      <c r="E50" s="252"/>
      <c r="F50" s="252"/>
      <c r="G50" s="253"/>
    </row>
    <row r="51" spans="1:7" x14ac:dyDescent="0.2">
      <c r="A51" s="221"/>
      <c r="B51" s="251"/>
      <c r="C51" s="252"/>
      <c r="D51" s="252"/>
      <c r="E51" s="252"/>
      <c r="F51" s="252"/>
      <c r="G51" s="253"/>
    </row>
    <row r="52" spans="1:7" x14ac:dyDescent="0.2">
      <c r="A52" s="221"/>
      <c r="B52" s="269" t="s">
        <v>32</v>
      </c>
      <c r="C52" s="315">
        <f>('Restated Financials'!C52/'Restated Financials'!$C$8)*100</f>
        <v>0.64</v>
      </c>
      <c r="D52" s="315">
        <f>('Restated Financials'!D52/'Restated Financials'!D$8)*100</f>
        <v>0.91999999999999993</v>
      </c>
      <c r="E52" s="315">
        <f>('Restated Financials'!E52/'Restated Financials'!E$8)*100</f>
        <v>1.76</v>
      </c>
      <c r="F52" s="315">
        <f>('Restated Financials'!F52/'Restated Financials'!F$8)*100</f>
        <v>1.466508125247721</v>
      </c>
      <c r="G52" s="316">
        <f>('Restated Financials'!G52/'Restated Financials'!G$8)*100</f>
        <v>1.5121682287154445</v>
      </c>
    </row>
    <row r="53" spans="1:7" x14ac:dyDescent="0.2">
      <c r="A53" s="221"/>
      <c r="B53" s="251"/>
      <c r="C53" s="252"/>
      <c r="D53" s="252"/>
      <c r="E53" s="252"/>
      <c r="F53" s="252"/>
      <c r="G53" s="253"/>
    </row>
    <row r="54" spans="1:7" x14ac:dyDescent="0.2">
      <c r="A54" s="221"/>
      <c r="B54" s="251" t="s">
        <v>33</v>
      </c>
      <c r="C54" s="252">
        <f>('Restated Financials'!C54/'Restated Financials'!$C$8)*100</f>
        <v>0</v>
      </c>
      <c r="D54" s="252">
        <f>('Restated Financials'!D54/'Restated Financials'!D$8)*100</f>
        <v>0</v>
      </c>
      <c r="E54" s="252">
        <f>('Restated Financials'!E54/'Restated Financials'!E$8)*100</f>
        <v>0</v>
      </c>
      <c r="F54" s="252">
        <f>('Restated Financials'!F54/'Restated Financials'!F$8)*100</f>
        <v>0</v>
      </c>
      <c r="G54" s="253">
        <f>('Restated Financials'!G54/'Restated Financials'!G$8)*100</f>
        <v>0</v>
      </c>
    </row>
    <row r="55" spans="1:7" x14ac:dyDescent="0.2">
      <c r="A55" s="221"/>
      <c r="B55" s="251" t="s">
        <v>34</v>
      </c>
      <c r="C55" s="252">
        <f>('Restated Financials'!C55/'Restated Financials'!$C$8)*100</f>
        <v>0</v>
      </c>
      <c r="D55" s="252">
        <f>('Restated Financials'!D55/'Restated Financials'!D$8)*100</f>
        <v>0</v>
      </c>
      <c r="E55" s="252">
        <f>('Restated Financials'!E55/'Restated Financials'!E$8)*100</f>
        <v>0</v>
      </c>
      <c r="F55" s="252">
        <f>('Restated Financials'!F55/'Restated Financials'!F$8)*100</f>
        <v>0</v>
      </c>
      <c r="G55" s="253">
        <f>('Restated Financials'!G55/'Restated Financials'!G$8)*100</f>
        <v>0</v>
      </c>
    </row>
    <row r="56" spans="1:7" x14ac:dyDescent="0.2">
      <c r="A56" s="221"/>
      <c r="B56" s="251" t="s">
        <v>35</v>
      </c>
      <c r="C56" s="252">
        <f>('Restated Financials'!C56/'Restated Financials'!$C$8)*100</f>
        <v>0</v>
      </c>
      <c r="D56" s="252">
        <f>('Restated Financials'!D56/'Restated Financials'!D$8)*100</f>
        <v>0</v>
      </c>
      <c r="E56" s="252">
        <f>('Restated Financials'!E56/'Restated Financials'!E$8)*100</f>
        <v>0</v>
      </c>
      <c r="F56" s="252">
        <f>('Restated Financials'!F56/'Restated Financials'!F$8)*100</f>
        <v>0</v>
      </c>
      <c r="G56" s="253">
        <f>('Restated Financials'!G56/'Restated Financials'!G$8)*100</f>
        <v>0</v>
      </c>
    </row>
    <row r="57" spans="1:7" x14ac:dyDescent="0.2">
      <c r="A57" s="221"/>
      <c r="B57" s="251"/>
      <c r="C57" s="252"/>
      <c r="D57" s="252"/>
      <c r="E57" s="252"/>
      <c r="F57" s="252"/>
      <c r="G57" s="253"/>
    </row>
    <row r="58" spans="1:7" x14ac:dyDescent="0.2">
      <c r="A58" s="221"/>
      <c r="B58" s="251"/>
      <c r="C58" s="252"/>
      <c r="D58" s="252"/>
      <c r="E58" s="252"/>
      <c r="F58" s="252"/>
      <c r="G58" s="253"/>
    </row>
    <row r="59" spans="1:7" x14ac:dyDescent="0.2">
      <c r="A59" s="221"/>
      <c r="B59" s="269" t="s">
        <v>36</v>
      </c>
      <c r="C59" s="315">
        <f>('Restated Financials'!C59/'Restated Financials'!$C$8)*100</f>
        <v>0</v>
      </c>
      <c r="D59" s="315">
        <f>('Restated Financials'!D59/'Restated Financials'!D$8)*100</f>
        <v>0</v>
      </c>
      <c r="E59" s="315">
        <f>('Restated Financials'!E59/'Restated Financials'!E$8)*100</f>
        <v>0</v>
      </c>
      <c r="F59" s="315">
        <f>('Restated Financials'!F59/'Restated Financials'!F$8)*100</f>
        <v>0</v>
      </c>
      <c r="G59" s="316">
        <f>('Restated Financials'!G59/'Restated Financials'!G$8)*100</f>
        <v>0</v>
      </c>
    </row>
    <row r="60" spans="1:7" x14ac:dyDescent="0.2">
      <c r="A60" s="221"/>
      <c r="B60" s="251"/>
      <c r="C60" s="252"/>
      <c r="D60" s="252"/>
      <c r="E60" s="252"/>
      <c r="F60" s="252"/>
      <c r="G60" s="253"/>
    </row>
    <row r="61" spans="1:7" x14ac:dyDescent="0.2">
      <c r="A61" s="221"/>
      <c r="B61" s="250" t="s">
        <v>37</v>
      </c>
      <c r="C61" s="303">
        <f>('Restated Financials'!C61/'Restated Financials'!$C$8)*100</f>
        <v>-30.8</v>
      </c>
      <c r="D61" s="303">
        <f>('Restated Financials'!D61/'Restated Financials'!D$8)*100</f>
        <v>-58.48</v>
      </c>
      <c r="E61" s="303">
        <f>('Restated Financials'!E61/'Restated Financials'!E$8)*100</f>
        <v>-85</v>
      </c>
      <c r="F61" s="303">
        <f>('Restated Financials'!F61/'Restated Financials'!F$8)*100</f>
        <v>-112.60404280618313</v>
      </c>
      <c r="G61" s="304">
        <f>('Restated Financials'!G61/'Restated Financials'!G$8)*100</f>
        <v>-131.99968496495237</v>
      </c>
    </row>
    <row r="62" spans="1:7" x14ac:dyDescent="0.2">
      <c r="A62" s="221"/>
      <c r="B62" s="251"/>
      <c r="C62" s="252"/>
      <c r="D62" s="252"/>
      <c r="E62" s="252"/>
      <c r="F62" s="252"/>
      <c r="G62" s="253"/>
    </row>
    <row r="63" spans="1:7" x14ac:dyDescent="0.2">
      <c r="A63" s="221"/>
      <c r="B63" s="251" t="s">
        <v>38</v>
      </c>
      <c r="C63" s="252">
        <f>('Restated Financials'!C63/'Restated Financials'!$C$8)*100</f>
        <v>0</v>
      </c>
      <c r="D63" s="252">
        <f>('Restated Financials'!D63/'Restated Financials'!D$8)*100</f>
        <v>0.04</v>
      </c>
      <c r="E63" s="252">
        <f>('Restated Financials'!E63/'Restated Financials'!E$8)*100</f>
        <v>0</v>
      </c>
      <c r="F63" s="252">
        <f>('Restated Financials'!F63/'Restated Financials'!F$8)*100</f>
        <v>0</v>
      </c>
      <c r="G63" s="253">
        <f>('Restated Financials'!G63/'Restated Financials'!G$8)*100</f>
        <v>0.26738599669213203</v>
      </c>
    </row>
    <row r="64" spans="1:7" x14ac:dyDescent="0.2">
      <c r="A64" s="221"/>
      <c r="B64" s="251" t="s">
        <v>39</v>
      </c>
      <c r="C64" s="252">
        <f>('Restated Financials'!C64/'Restated Financials'!$C$8)*100</f>
        <v>0</v>
      </c>
      <c r="D64" s="252">
        <f>('Restated Financials'!D64/'Restated Financials'!D$8)*100</f>
        <v>0</v>
      </c>
      <c r="E64" s="252">
        <f>('Restated Financials'!E64/'Restated Financials'!E$8)*100</f>
        <v>0.64</v>
      </c>
      <c r="F64" s="252">
        <f>('Restated Financials'!F64/'Restated Financials'!F$8)*100</f>
        <v>0.11890606420927466</v>
      </c>
      <c r="G64" s="253">
        <f>('Restated Financials'!G64/'Restated Financials'!G$8)*100</f>
        <v>0.26659840907300936</v>
      </c>
    </row>
    <row r="65" spans="1:7" x14ac:dyDescent="0.2">
      <c r="A65" s="221"/>
      <c r="B65" s="251"/>
      <c r="C65" s="252"/>
      <c r="D65" s="252"/>
      <c r="E65" s="252"/>
      <c r="F65" s="252"/>
      <c r="G65" s="253"/>
    </row>
    <row r="66" spans="1:7" x14ac:dyDescent="0.2">
      <c r="A66" s="221"/>
      <c r="B66" s="251"/>
      <c r="C66" s="252"/>
      <c r="D66" s="252"/>
      <c r="E66" s="252"/>
      <c r="F66" s="252"/>
      <c r="G66" s="253"/>
    </row>
    <row r="67" spans="1:7" x14ac:dyDescent="0.2">
      <c r="A67" s="221"/>
      <c r="B67" s="251" t="s">
        <v>40</v>
      </c>
      <c r="C67" s="252">
        <f>('Restated Financials'!C67/'Restated Financials'!$C$8)*100</f>
        <v>2.8000000000000003</v>
      </c>
      <c r="D67" s="252">
        <f>('Restated Financials'!D67/'Restated Financials'!D$8)*100</f>
        <v>4.68</v>
      </c>
      <c r="E67" s="252">
        <f>('Restated Financials'!E67/'Restated Financials'!E$8)*100</f>
        <v>5.4</v>
      </c>
      <c r="F67" s="252">
        <f>('Restated Financials'!F67/'Restated Financials'!F$8)*100</f>
        <v>4.7562425683709861</v>
      </c>
      <c r="G67" s="253">
        <f>('Restated Financials'!G67/'Restated Financials'!G$8)*100</f>
        <v>7.2851854768843038</v>
      </c>
    </row>
    <row r="68" spans="1:7" x14ac:dyDescent="0.2">
      <c r="A68" s="221"/>
      <c r="B68" s="251" t="s">
        <v>41</v>
      </c>
      <c r="C68" s="252">
        <f>('Restated Financials'!C68/'Restated Financials'!$C$8)*100</f>
        <v>0.2</v>
      </c>
      <c r="D68" s="252">
        <f>('Restated Financials'!D68/'Restated Financials'!D$8)*100</f>
        <v>0.16</v>
      </c>
      <c r="E68" s="252">
        <f>('Restated Financials'!E68/'Restated Financials'!E$8)*100</f>
        <v>0.2</v>
      </c>
      <c r="F68" s="252">
        <f>('Restated Financials'!F68/'Restated Financials'!F$8)*100</f>
        <v>-0.55489496630994839</v>
      </c>
      <c r="G68" s="253">
        <f>('Restated Financials'!G68/'Restated Financials'!G$8)*100</f>
        <v>-0.25360321335748603</v>
      </c>
    </row>
    <row r="69" spans="1:7" x14ac:dyDescent="0.2">
      <c r="A69" s="221"/>
      <c r="B69" s="250" t="s">
        <v>42</v>
      </c>
      <c r="C69" s="303">
        <f>('Restated Financials'!C71/'Restated Financials'!$C$8)*100</f>
        <v>-33.800000000000004</v>
      </c>
      <c r="D69" s="303">
        <f>('Restated Financials'!D71/'Restated Financials'!D$8)*100</f>
        <v>-63.279999999999994</v>
      </c>
      <c r="E69" s="303">
        <f>('Restated Financials'!E71/'Restated Financials'!E$8)*100</f>
        <v>-91.24</v>
      </c>
      <c r="F69" s="303">
        <f>('Restated Financials'!F71/'Restated Financials'!F$8)*100</f>
        <v>-116.92429647245342</v>
      </c>
      <c r="G69" s="304">
        <f>('Restated Financials'!G71/'Restated Financials'!G$8)*100</f>
        <v>-139.02890446562182</v>
      </c>
    </row>
    <row r="70" spans="1:7" x14ac:dyDescent="0.2">
      <c r="A70" s="221"/>
      <c r="B70" s="251"/>
      <c r="C70" s="252"/>
      <c r="D70" s="252"/>
      <c r="E70" s="252"/>
      <c r="F70" s="252"/>
      <c r="G70" s="253"/>
    </row>
    <row r="71" spans="1:7" x14ac:dyDescent="0.2">
      <c r="A71" s="221"/>
      <c r="B71" s="251" t="s">
        <v>43</v>
      </c>
      <c r="C71" s="252">
        <f>('Restated Financials'!C73/'Restated Financials'!$C$8)*100</f>
        <v>0</v>
      </c>
      <c r="D71" s="252">
        <f>('Restated Financials'!D73/'Restated Financials'!D$8)*100</f>
        <v>0</v>
      </c>
      <c r="E71" s="252">
        <f>('Restated Financials'!E73/'Restated Financials'!E$8)*100</f>
        <v>0</v>
      </c>
      <c r="F71" s="252">
        <f>('Restated Financials'!F73/'Restated Financials'!F$8)*100</f>
        <v>0</v>
      </c>
      <c r="G71" s="253">
        <f>('Restated Financials'!G73/'Restated Financials'!G$8)*100</f>
        <v>0</v>
      </c>
    </row>
    <row r="72" spans="1:7" ht="13.5" thickBot="1" x14ac:dyDescent="0.25">
      <c r="A72" s="254"/>
      <c r="B72" s="258" t="s">
        <v>44</v>
      </c>
      <c r="C72" s="313">
        <f>('Restated Financials'!C76/'Restated Financials'!$C$8)*100</f>
        <v>-33.800000000000004</v>
      </c>
      <c r="D72" s="313">
        <f>('Restated Financials'!D76/'Restated Financials'!D$8)*100</f>
        <v>-63.279999999999994</v>
      </c>
      <c r="E72" s="313">
        <f>('Restated Financials'!E76/'Restated Financials'!E$8)*100</f>
        <v>-91.24</v>
      </c>
      <c r="F72" s="313">
        <f>('Restated Financials'!F76/'Restated Financials'!F$8)*100</f>
        <v>-116.92429647245342</v>
      </c>
      <c r="G72" s="314">
        <f>('Restated Financials'!G76/'Restated Financials'!G$8)*100</f>
        <v>-139.02890446562182</v>
      </c>
    </row>
    <row r="73" spans="1:7" ht="13.5" thickBot="1" x14ac:dyDescent="0.25">
      <c r="A73" s="246"/>
      <c r="B73" s="244"/>
      <c r="C73" s="245"/>
      <c r="D73" s="245"/>
      <c r="E73" s="245"/>
      <c r="F73" s="245"/>
      <c r="G73" s="245"/>
    </row>
    <row r="74" spans="1:7" ht="19.5" thickBot="1" x14ac:dyDescent="0.25">
      <c r="A74" s="213"/>
      <c r="B74" s="297" t="s">
        <v>502</v>
      </c>
      <c r="C74" s="214"/>
      <c r="D74" s="214"/>
      <c r="E74" s="214"/>
      <c r="F74" s="214"/>
      <c r="G74" s="214"/>
    </row>
    <row r="75" spans="1:7" x14ac:dyDescent="0.2">
      <c r="A75" s="215"/>
      <c r="B75" s="247"/>
      <c r="C75" s="248"/>
      <c r="D75" s="248"/>
      <c r="E75" s="248"/>
      <c r="F75" s="248"/>
      <c r="G75" s="249"/>
    </row>
    <row r="76" spans="1:7" ht="15" x14ac:dyDescent="0.2">
      <c r="A76" s="219"/>
      <c r="B76" s="270" t="s">
        <v>503</v>
      </c>
      <c r="C76" s="317"/>
      <c r="D76" s="317"/>
      <c r="E76" s="317"/>
      <c r="F76" s="317"/>
      <c r="G76" s="318"/>
    </row>
    <row r="77" spans="1:7" x14ac:dyDescent="0.2">
      <c r="A77" s="221"/>
      <c r="B77" s="251" t="s">
        <v>45</v>
      </c>
      <c r="C77" s="252"/>
      <c r="D77" s="252"/>
      <c r="E77" s="252"/>
      <c r="F77" s="252"/>
      <c r="G77" s="253"/>
    </row>
    <row r="78" spans="1:7" x14ac:dyDescent="0.2">
      <c r="A78" s="221"/>
      <c r="B78" s="251" t="s">
        <v>46</v>
      </c>
      <c r="C78" s="252">
        <f>('Restated Financials'!C81/'Restated Financials'!C$144)*100</f>
        <v>0.16339869281045752</v>
      </c>
      <c r="D78" s="252">
        <f>('Restated Financials'!D81/'Restated Financials'!D$144)*100</f>
        <v>9.9502487562189046E-2</v>
      </c>
      <c r="E78" s="252">
        <f>('Restated Financials'!E81/'Restated Financials'!E$144)*100</f>
        <v>9.8911968348170121E-2</v>
      </c>
      <c r="F78" s="252">
        <f>('Restated Financials'!F81/'Restated Financials'!F$144)*100</f>
        <v>8.0906148867313926E-2</v>
      </c>
      <c r="G78" s="253">
        <f>('Restated Financials'!G81/'Restated Financials'!G$144)*100</f>
        <v>4.4033465433729636E-2</v>
      </c>
    </row>
    <row r="79" spans="1:7" x14ac:dyDescent="0.2">
      <c r="A79" s="221"/>
      <c r="B79" s="251" t="s">
        <v>47</v>
      </c>
      <c r="C79" s="252">
        <f>('Restated Financials'!C82/'Restated Financials'!C$144)*100</f>
        <v>0</v>
      </c>
      <c r="D79" s="252">
        <f>('Restated Financials'!D82/'Restated Financials'!D$144)*100</f>
        <v>0</v>
      </c>
      <c r="E79" s="252">
        <f>('Restated Financials'!E82/'Restated Financials'!E$144)*100</f>
        <v>0</v>
      </c>
      <c r="F79" s="252">
        <f>('Restated Financials'!F82/'Restated Financials'!F$144)*100</f>
        <v>0</v>
      </c>
      <c r="G79" s="253">
        <f>('Restated Financials'!G82/'Restated Financials'!G$144)*100</f>
        <v>0</v>
      </c>
    </row>
    <row r="80" spans="1:7" x14ac:dyDescent="0.2">
      <c r="A80" s="221"/>
      <c r="B80" s="251" t="s">
        <v>48</v>
      </c>
      <c r="C80" s="252">
        <f>('Restated Financials'!C83/'Restated Financials'!C$144)*100</f>
        <v>0</v>
      </c>
      <c r="D80" s="252">
        <f>('Restated Financials'!D83/'Restated Financials'!D$144)*100</f>
        <v>0</v>
      </c>
      <c r="E80" s="252">
        <f>('Restated Financials'!E83/'Restated Financials'!E$144)*100</f>
        <v>0</v>
      </c>
      <c r="F80" s="252">
        <f>('Restated Financials'!F83/'Restated Financials'!F$144)*100</f>
        <v>0</v>
      </c>
      <c r="G80" s="253">
        <f>('Restated Financials'!G83/'Restated Financials'!G$144)*100</f>
        <v>0</v>
      </c>
    </row>
    <row r="81" spans="1:7" x14ac:dyDescent="0.2">
      <c r="A81" s="221"/>
      <c r="B81" s="269" t="s">
        <v>49</v>
      </c>
      <c r="C81" s="315">
        <f>('Restated Financials'!C84/'Restated Financials'!C$144)*100</f>
        <v>0</v>
      </c>
      <c r="D81" s="315">
        <f>('Restated Financials'!D84/'Restated Financials'!D$144)*100</f>
        <v>0</v>
      </c>
      <c r="E81" s="315">
        <f>('Restated Financials'!E84/'Restated Financials'!E$144)*100</f>
        <v>0</v>
      </c>
      <c r="F81" s="315">
        <f>('Restated Financials'!F84/'Restated Financials'!F$144)*100</f>
        <v>0</v>
      </c>
      <c r="G81" s="316">
        <f>('Restated Financials'!G84/'Restated Financials'!G$144)*100</f>
        <v>0</v>
      </c>
    </row>
    <row r="82" spans="1:7" x14ac:dyDescent="0.2">
      <c r="A82" s="221"/>
      <c r="B82" s="251" t="s">
        <v>50</v>
      </c>
      <c r="C82" s="252">
        <f>('Restated Financials'!C85/'Restated Financials'!C$144)*100</f>
        <v>0</v>
      </c>
      <c r="D82" s="252">
        <f>('Restated Financials'!D85/'Restated Financials'!D$144)*100</f>
        <v>0</v>
      </c>
      <c r="E82" s="252">
        <f>('Restated Financials'!E85/'Restated Financials'!E$144)*100</f>
        <v>0</v>
      </c>
      <c r="F82" s="252">
        <f>('Restated Financials'!F85/'Restated Financials'!F$144)*100</f>
        <v>0</v>
      </c>
      <c r="G82" s="253">
        <f>('Restated Financials'!G85/'Restated Financials'!G$144)*100</f>
        <v>0</v>
      </c>
    </row>
    <row r="83" spans="1:7" x14ac:dyDescent="0.2">
      <c r="A83" s="221"/>
      <c r="B83" s="251" t="s">
        <v>51</v>
      </c>
      <c r="C83" s="252">
        <f>('Restated Financials'!C86/'Restated Financials'!C$144)*100</f>
        <v>23.692810457516337</v>
      </c>
      <c r="D83" s="252">
        <f>('Restated Financials'!D86/'Restated Financials'!D$144)*100</f>
        <v>28.955223880597014</v>
      </c>
      <c r="E83" s="252">
        <f>('Restated Financials'!E86/'Restated Financials'!E$144)*100</f>
        <v>40.751730959446093</v>
      </c>
      <c r="F83" s="252">
        <f>('Restated Financials'!F86/'Restated Financials'!F$144)*100</f>
        <v>48.624595469255667</v>
      </c>
      <c r="G83" s="253">
        <f>('Restated Financials'!G86/'Restated Financials'!G$144)*100</f>
        <v>39.865981314115558</v>
      </c>
    </row>
    <row r="84" spans="1:7" x14ac:dyDescent="0.2">
      <c r="A84" s="221"/>
      <c r="B84" s="251"/>
      <c r="C84" s="252"/>
      <c r="D84" s="252"/>
      <c r="E84" s="252"/>
      <c r="F84" s="252"/>
      <c r="G84" s="253"/>
    </row>
    <row r="85" spans="1:7" x14ac:dyDescent="0.2">
      <c r="A85" s="221"/>
      <c r="B85" s="251"/>
      <c r="C85" s="252"/>
      <c r="D85" s="252"/>
      <c r="E85" s="252"/>
      <c r="F85" s="252"/>
      <c r="G85" s="253"/>
    </row>
    <row r="86" spans="1:7" x14ac:dyDescent="0.2">
      <c r="A86" s="221"/>
      <c r="B86" s="251"/>
      <c r="C86" s="252"/>
      <c r="D86" s="252"/>
      <c r="E86" s="252"/>
      <c r="F86" s="252"/>
      <c r="G86" s="253"/>
    </row>
    <row r="87" spans="1:7" x14ac:dyDescent="0.2">
      <c r="A87" s="221"/>
      <c r="B87" s="250" t="s">
        <v>52</v>
      </c>
      <c r="C87" s="303">
        <f>('Restated Financials'!C90/'Restated Financials'!C$144)*100</f>
        <v>23.856209150326798</v>
      </c>
      <c r="D87" s="303">
        <f>('Restated Financials'!D90/'Restated Financials'!D$144)*100</f>
        <v>29.054726368159205</v>
      </c>
      <c r="E87" s="303">
        <f>('Restated Financials'!E90/'Restated Financials'!E$144)*100</f>
        <v>40.850642927794262</v>
      </c>
      <c r="F87" s="303">
        <f>('Restated Financials'!F90/'Restated Financials'!F$144)*100</f>
        <v>48.705501618122973</v>
      </c>
      <c r="G87" s="304">
        <f>('Restated Financials'!G90/'Restated Financials'!G$144)*100</f>
        <v>39.910014779549286</v>
      </c>
    </row>
    <row r="88" spans="1:7" x14ac:dyDescent="0.2">
      <c r="A88" s="221"/>
      <c r="B88" s="251" t="s">
        <v>53</v>
      </c>
      <c r="C88" s="252">
        <f>('Restated Financials'!C91/'Restated Financials'!C$144)*100</f>
        <v>0</v>
      </c>
      <c r="D88" s="252">
        <f>('Restated Financials'!D91/'Restated Financials'!D$144)*100</f>
        <v>0</v>
      </c>
      <c r="E88" s="252">
        <f>('Restated Financials'!E91/'Restated Financials'!E$144)*100</f>
        <v>0</v>
      </c>
      <c r="F88" s="252">
        <f>('Restated Financials'!F91/'Restated Financials'!F$144)*100</f>
        <v>0</v>
      </c>
      <c r="G88" s="253">
        <f>('Restated Financials'!G91/'Restated Financials'!G$144)*100</f>
        <v>0</v>
      </c>
    </row>
    <row r="89" spans="1:7" x14ac:dyDescent="0.2">
      <c r="A89" s="271"/>
      <c r="B89" s="251" t="s">
        <v>54</v>
      </c>
      <c r="C89" s="252">
        <f>('Restated Financials'!C92/'Restated Financials'!C$144)*100</f>
        <v>0.81699346405228768</v>
      </c>
      <c r="D89" s="252">
        <f>('Restated Financials'!D92/'Restated Financials'!D$144)*100</f>
        <v>0</v>
      </c>
      <c r="E89" s="252">
        <f>('Restated Financials'!E92/'Restated Financials'!E$144)*100</f>
        <v>0</v>
      </c>
      <c r="F89" s="252">
        <f>('Restated Financials'!F92/'Restated Financials'!F$144)*100</f>
        <v>0</v>
      </c>
      <c r="G89" s="253">
        <f>('Restated Financials'!G92/'Restated Financials'!G$144)*100</f>
        <v>0.66616965527464234</v>
      </c>
    </row>
    <row r="90" spans="1:7" x14ac:dyDescent="0.2">
      <c r="A90" s="271"/>
      <c r="B90" s="251" t="s">
        <v>55</v>
      </c>
      <c r="C90" s="252">
        <f>('Restated Financials'!C93/'Restated Financials'!C$144)*100</f>
        <v>23.03921568627451</v>
      </c>
      <c r="D90" s="252">
        <f>('Restated Financials'!D93/'Restated Financials'!D$144)*100</f>
        <v>29.054726368159205</v>
      </c>
      <c r="E90" s="252">
        <f>('Restated Financials'!E93/'Restated Financials'!E$144)*100</f>
        <v>40.850642927794262</v>
      </c>
      <c r="F90" s="252">
        <f>('Restated Financials'!F93/'Restated Financials'!F$144)*100</f>
        <v>48.705501618122973</v>
      </c>
      <c r="G90" s="253">
        <f>('Restated Financials'!G93/'Restated Financials'!G$144)*100</f>
        <v>39.243845124274642</v>
      </c>
    </row>
    <row r="91" spans="1:7" x14ac:dyDescent="0.2">
      <c r="A91" s="271"/>
      <c r="B91" s="251"/>
      <c r="C91" s="252"/>
      <c r="D91" s="252"/>
      <c r="E91" s="252"/>
      <c r="F91" s="252"/>
      <c r="G91" s="253"/>
    </row>
    <row r="92" spans="1:7" x14ac:dyDescent="0.2">
      <c r="A92" s="271"/>
      <c r="B92" s="251" t="s">
        <v>56</v>
      </c>
      <c r="C92" s="252">
        <f>('Restated Financials'!C95/'Restated Financials'!C$144)*100</f>
        <v>0.81699346405228768</v>
      </c>
      <c r="D92" s="252">
        <f>('Restated Financials'!D95/'Restated Financials'!D$144)*100</f>
        <v>0.89552238805970152</v>
      </c>
      <c r="E92" s="252">
        <f>('Restated Financials'!E95/'Restated Financials'!E$144)*100</f>
        <v>1.3847675568743818</v>
      </c>
      <c r="F92" s="252">
        <f>('Restated Financials'!F95/'Restated Financials'!F$144)*100</f>
        <v>0</v>
      </c>
      <c r="G92" s="253">
        <f>('Restated Financials'!G95/'Restated Financials'!G$144)*100</f>
        <v>0</v>
      </c>
    </row>
    <row r="93" spans="1:7" x14ac:dyDescent="0.2">
      <c r="A93" s="271"/>
      <c r="B93" s="251"/>
      <c r="C93" s="252"/>
      <c r="D93" s="252"/>
      <c r="E93" s="252"/>
      <c r="F93" s="252"/>
      <c r="G93" s="253"/>
    </row>
    <row r="94" spans="1:7" x14ac:dyDescent="0.2">
      <c r="A94" s="271"/>
      <c r="B94" s="250" t="s">
        <v>57</v>
      </c>
      <c r="C94" s="303"/>
      <c r="D94" s="303"/>
      <c r="E94" s="303"/>
      <c r="F94" s="303"/>
      <c r="G94" s="304"/>
    </row>
    <row r="95" spans="1:7" x14ac:dyDescent="0.2">
      <c r="A95" s="271"/>
      <c r="B95" s="251" t="s">
        <v>58</v>
      </c>
      <c r="C95" s="252">
        <f>('Restated Financials'!C98/'Restated Financials'!C$144)*100</f>
        <v>0</v>
      </c>
      <c r="D95" s="252">
        <f>('Restated Financials'!D98/'Restated Financials'!D$144)*100</f>
        <v>0</v>
      </c>
      <c r="E95" s="252">
        <f>('Restated Financials'!E98/'Restated Financials'!E$144)*100</f>
        <v>0</v>
      </c>
      <c r="F95" s="252">
        <f>('Restated Financials'!F98/'Restated Financials'!F$144)*100</f>
        <v>0</v>
      </c>
      <c r="G95" s="253">
        <f>('Restated Financials'!G98/'Restated Financials'!G$144)*100</f>
        <v>0</v>
      </c>
    </row>
    <row r="96" spans="1:7" x14ac:dyDescent="0.2">
      <c r="A96" s="271"/>
      <c r="B96" s="251" t="s">
        <v>59</v>
      </c>
      <c r="C96" s="252">
        <f>('Restated Financials'!C99/'Restated Financials'!C$144)*100</f>
        <v>0</v>
      </c>
      <c r="D96" s="252">
        <f>('Restated Financials'!D99/'Restated Financials'!D$144)*100</f>
        <v>0</v>
      </c>
      <c r="E96" s="252">
        <f>('Restated Financials'!E99/'Restated Financials'!E$144)*100</f>
        <v>0</v>
      </c>
      <c r="F96" s="252">
        <f>('Restated Financials'!F99/'Restated Financials'!F$144)*100</f>
        <v>0</v>
      </c>
      <c r="G96" s="253">
        <f>('Restated Financials'!G99/'Restated Financials'!G$144)*100</f>
        <v>0</v>
      </c>
    </row>
    <row r="97" spans="1:7" x14ac:dyDescent="0.2">
      <c r="A97" s="271"/>
      <c r="B97" s="251" t="s">
        <v>60</v>
      </c>
      <c r="C97" s="252">
        <f>('Restated Financials'!C100/'Restated Financials'!C$144)*100</f>
        <v>0</v>
      </c>
      <c r="D97" s="252">
        <f>('Restated Financials'!D100/'Restated Financials'!D$144)*100</f>
        <v>0</v>
      </c>
      <c r="E97" s="252">
        <f>('Restated Financials'!E100/'Restated Financials'!E$144)*100</f>
        <v>0</v>
      </c>
      <c r="F97" s="252">
        <f>('Restated Financials'!F100/'Restated Financials'!F$144)*100</f>
        <v>0</v>
      </c>
      <c r="G97" s="253">
        <f>('Restated Financials'!G100/'Restated Financials'!G$144)*100</f>
        <v>0</v>
      </c>
    </row>
    <row r="98" spans="1:7" x14ac:dyDescent="0.2">
      <c r="A98" s="271"/>
      <c r="B98" s="251" t="s">
        <v>61</v>
      </c>
      <c r="C98" s="252">
        <f>('Restated Financials'!C101/'Restated Financials'!C$144)*100</f>
        <v>0</v>
      </c>
      <c r="D98" s="252">
        <f>('Restated Financials'!D101/'Restated Financials'!D$144)*100</f>
        <v>0</v>
      </c>
      <c r="E98" s="252">
        <f>('Restated Financials'!E101/'Restated Financials'!E$144)*100</f>
        <v>0</v>
      </c>
      <c r="F98" s="252">
        <f>('Restated Financials'!F101/'Restated Financials'!F$144)*100</f>
        <v>0</v>
      </c>
      <c r="G98" s="253">
        <f>('Restated Financials'!G101/'Restated Financials'!G$144)*100</f>
        <v>0</v>
      </c>
    </row>
    <row r="99" spans="1:7" x14ac:dyDescent="0.2">
      <c r="A99" s="271"/>
      <c r="B99" s="251" t="s">
        <v>62</v>
      </c>
      <c r="C99" s="252">
        <f>('Restated Financials'!C102/'Restated Financials'!C$144)*100</f>
        <v>1.1437908496732025</v>
      </c>
      <c r="D99" s="252">
        <f>('Restated Financials'!D102/'Restated Financials'!D$144)*100</f>
        <v>2.7860696517412937</v>
      </c>
      <c r="E99" s="252">
        <f>('Restated Financials'!E102/'Restated Financials'!E$144)*100</f>
        <v>1.5825914935707219</v>
      </c>
      <c r="F99" s="252">
        <f>('Restated Financials'!F102/'Restated Financials'!F$144)*100</f>
        <v>0.16181229773462785</v>
      </c>
      <c r="G99" s="253">
        <f>('Restated Financials'!G102/'Restated Financials'!G$144)*100</f>
        <v>12.425284800606876</v>
      </c>
    </row>
    <row r="100" spans="1:7" x14ac:dyDescent="0.2">
      <c r="A100" s="271"/>
      <c r="B100" s="251" t="s">
        <v>63</v>
      </c>
      <c r="C100" s="252">
        <f>('Restated Financials'!C103/'Restated Financials'!C$144)*100</f>
        <v>0</v>
      </c>
      <c r="D100" s="252">
        <f>('Restated Financials'!D103/'Restated Financials'!D$144)*100</f>
        <v>0</v>
      </c>
      <c r="E100" s="252">
        <f>('Restated Financials'!E103/'Restated Financials'!E$144)*100</f>
        <v>0</v>
      </c>
      <c r="F100" s="252">
        <f>('Restated Financials'!F103/'Restated Financials'!F$144)*100</f>
        <v>0</v>
      </c>
      <c r="G100" s="253">
        <f>('Restated Financials'!G103/'Restated Financials'!G$144)*100</f>
        <v>0</v>
      </c>
    </row>
    <row r="101" spans="1:7" x14ac:dyDescent="0.2">
      <c r="A101" s="271"/>
      <c r="B101" s="251" t="s">
        <v>64</v>
      </c>
      <c r="C101" s="252">
        <f>('Restated Financials'!C104/'Restated Financials'!C$144)*100</f>
        <v>7.5163398692810457</v>
      </c>
      <c r="D101" s="252">
        <f>('Restated Financials'!D104/'Restated Financials'!D$144)*100</f>
        <v>10.149253731343283</v>
      </c>
      <c r="E101" s="252">
        <f>('Restated Financials'!E104/'Restated Financials'!E$144)*100</f>
        <v>0</v>
      </c>
      <c r="F101" s="252">
        <f>('Restated Financials'!F104/'Restated Financials'!F$144)*100</f>
        <v>0</v>
      </c>
      <c r="G101" s="253">
        <f>('Restated Financials'!G104/'Restated Financials'!G$144)*100</f>
        <v>0</v>
      </c>
    </row>
    <row r="102" spans="1:7" x14ac:dyDescent="0.2">
      <c r="A102" s="271"/>
      <c r="B102" s="251" t="s">
        <v>65</v>
      </c>
      <c r="C102" s="252">
        <f>('Restated Financials'!C105/'Restated Financials'!C$144)*100</f>
        <v>0</v>
      </c>
      <c r="D102" s="252">
        <f>('Restated Financials'!D105/'Restated Financials'!D$144)*100</f>
        <v>0</v>
      </c>
      <c r="E102" s="252">
        <f>('Restated Financials'!E105/'Restated Financials'!E$144)*100</f>
        <v>0</v>
      </c>
      <c r="F102" s="252">
        <f>('Restated Financials'!F105/'Restated Financials'!F$144)*100</f>
        <v>0</v>
      </c>
      <c r="G102" s="253">
        <f>('Restated Financials'!G105/'Restated Financials'!G$144)*100</f>
        <v>0.23804229828531068</v>
      </c>
    </row>
    <row r="103" spans="1:7" x14ac:dyDescent="0.2">
      <c r="A103" s="271"/>
      <c r="B103" s="251"/>
      <c r="C103" s="252"/>
      <c r="D103" s="252"/>
      <c r="E103" s="252"/>
      <c r="F103" s="252"/>
      <c r="G103" s="253"/>
    </row>
    <row r="104" spans="1:7" x14ac:dyDescent="0.2">
      <c r="A104" s="271"/>
      <c r="B104" s="251"/>
      <c r="C104" s="252"/>
      <c r="D104" s="252"/>
      <c r="E104" s="252"/>
      <c r="F104" s="252"/>
      <c r="G104" s="253"/>
    </row>
    <row r="105" spans="1:7" x14ac:dyDescent="0.2">
      <c r="A105" s="271"/>
      <c r="B105" s="251"/>
      <c r="C105" s="252"/>
      <c r="D105" s="252"/>
      <c r="E105" s="252"/>
      <c r="F105" s="252"/>
      <c r="G105" s="253"/>
    </row>
    <row r="106" spans="1:7" x14ac:dyDescent="0.2">
      <c r="A106" s="271"/>
      <c r="B106" s="250" t="s">
        <v>66</v>
      </c>
      <c r="C106" s="303">
        <f>('Restated Financials'!C109/'Restated Financials'!C$144)*100</f>
        <v>8.6601307189542478</v>
      </c>
      <c r="D106" s="303">
        <f>('Restated Financials'!D109/'Restated Financials'!D$144)*100</f>
        <v>12.935323383084576</v>
      </c>
      <c r="E106" s="303">
        <f>('Restated Financials'!E109/'Restated Financials'!E$144)*100</f>
        <v>1.5825914935707219</v>
      </c>
      <c r="F106" s="303">
        <f>('Restated Financials'!F109/'Restated Financials'!F$144)*100</f>
        <v>0.16181229773462785</v>
      </c>
      <c r="G106" s="304">
        <f>('Restated Financials'!G109/'Restated Financials'!G$144)*100</f>
        <v>12.663327098892186</v>
      </c>
    </row>
    <row r="107" spans="1:7" x14ac:dyDescent="0.2">
      <c r="A107" s="271"/>
      <c r="B107" s="251"/>
      <c r="C107" s="252"/>
      <c r="D107" s="252"/>
      <c r="E107" s="252"/>
      <c r="F107" s="252"/>
      <c r="G107" s="253"/>
    </row>
    <row r="108" spans="1:7" x14ac:dyDescent="0.2">
      <c r="A108" s="271"/>
      <c r="B108" s="250" t="s">
        <v>67</v>
      </c>
      <c r="C108" s="303"/>
      <c r="D108" s="303"/>
      <c r="E108" s="303"/>
      <c r="F108" s="303"/>
      <c r="G108" s="304"/>
    </row>
    <row r="109" spans="1:7" x14ac:dyDescent="0.2">
      <c r="A109" s="271"/>
      <c r="B109" s="251" t="s">
        <v>68</v>
      </c>
      <c r="C109" s="252">
        <f>('Restated Financials'!C112/'Restated Financials'!C$144)*100</f>
        <v>33.82352941176471</v>
      </c>
      <c r="D109" s="252">
        <f>('Restated Financials'!D112/'Restated Financials'!D$144)*100</f>
        <v>20.099502487562191</v>
      </c>
      <c r="E109" s="252">
        <f>('Restated Financials'!E112/'Restated Financials'!E$144)*100</f>
        <v>19.881305637982198</v>
      </c>
      <c r="F109" s="252">
        <f>('Restated Financials'!F112/'Restated Financials'!F$144)*100</f>
        <v>23.705501618122977</v>
      </c>
      <c r="G109" s="253">
        <f>('Restated Financials'!G112/'Restated Financials'!G$144)*100</f>
        <v>3.0400530145484828</v>
      </c>
    </row>
    <row r="110" spans="1:7" x14ac:dyDescent="0.2">
      <c r="A110" s="271"/>
      <c r="B110" s="251" t="s">
        <v>69</v>
      </c>
      <c r="C110" s="252">
        <f>('Restated Financials'!C113/'Restated Financials'!C$144)*100</f>
        <v>0</v>
      </c>
      <c r="D110" s="252">
        <f>('Restated Financials'!D113/'Restated Financials'!D$144)*100</f>
        <v>0</v>
      </c>
      <c r="E110" s="252">
        <f>('Restated Financials'!E113/'Restated Financials'!E$144)*100</f>
        <v>0</v>
      </c>
      <c r="F110" s="252">
        <f>('Restated Financials'!F113/'Restated Financials'!F$144)*100</f>
        <v>0</v>
      </c>
      <c r="G110" s="253">
        <f>('Restated Financials'!G113/'Restated Financials'!G$144)*100</f>
        <v>0</v>
      </c>
    </row>
    <row r="111" spans="1:7" x14ac:dyDescent="0.2">
      <c r="A111" s="271"/>
      <c r="B111" s="251" t="s">
        <v>70</v>
      </c>
      <c r="C111" s="252">
        <f>('Restated Financials'!C114/'Restated Financials'!C$144)*100</f>
        <v>0</v>
      </c>
      <c r="D111" s="252">
        <f>('Restated Financials'!D114/'Restated Financials'!D$144)*100</f>
        <v>0</v>
      </c>
      <c r="E111" s="252">
        <f>('Restated Financials'!E114/'Restated Financials'!E$144)*100</f>
        <v>0</v>
      </c>
      <c r="F111" s="252">
        <f>('Restated Financials'!F114/'Restated Financials'!F$144)*100</f>
        <v>0</v>
      </c>
      <c r="G111" s="253">
        <f>('Restated Financials'!G114/'Restated Financials'!G$144)*100</f>
        <v>0</v>
      </c>
    </row>
    <row r="112" spans="1:7" x14ac:dyDescent="0.2">
      <c r="A112" s="271"/>
      <c r="B112" s="251" t="s">
        <v>71</v>
      </c>
      <c r="C112" s="252">
        <f>('Restated Financials'!C115/'Restated Financials'!C$144)*100</f>
        <v>0</v>
      </c>
      <c r="D112" s="252">
        <f>('Restated Financials'!D115/'Restated Financials'!D$144)*100</f>
        <v>0</v>
      </c>
      <c r="E112" s="252">
        <f>('Restated Financials'!E115/'Restated Financials'!E$144)*100</f>
        <v>2.4727992087042532</v>
      </c>
      <c r="F112" s="252">
        <f>('Restated Financials'!F115/'Restated Financials'!F$144)*100</f>
        <v>1.2135922330097086</v>
      </c>
      <c r="G112" s="253">
        <f>('Restated Financials'!G115/'Restated Financials'!G$144)*100</f>
        <v>3.857069987051545</v>
      </c>
    </row>
    <row r="113" spans="1:7" x14ac:dyDescent="0.2">
      <c r="A113" s="271"/>
      <c r="B113" s="251" t="s">
        <v>64</v>
      </c>
      <c r="C113" s="252">
        <f>('Restated Financials'!C116/'Restated Financials'!C$144)*100</f>
        <v>0</v>
      </c>
      <c r="D113" s="252">
        <f>('Restated Financials'!D116/'Restated Financials'!D$144)*100</f>
        <v>0</v>
      </c>
      <c r="E113" s="252">
        <f>('Restated Financials'!E116/'Restated Financials'!E$144)*100</f>
        <v>0</v>
      </c>
      <c r="F113" s="252">
        <f>('Restated Financials'!F116/'Restated Financials'!F$144)*100</f>
        <v>0</v>
      </c>
      <c r="G113" s="253">
        <f>('Restated Financials'!G116/'Restated Financials'!G$144)*100</f>
        <v>0</v>
      </c>
    </row>
    <row r="114" spans="1:7" x14ac:dyDescent="0.2">
      <c r="A114" s="271"/>
      <c r="B114" s="251" t="s">
        <v>72</v>
      </c>
      <c r="C114" s="252">
        <f>('Restated Financials'!C117/'Restated Financials'!C$144)*100</f>
        <v>0</v>
      </c>
      <c r="D114" s="252">
        <f>('Restated Financials'!D117/'Restated Financials'!D$144)*100</f>
        <v>0</v>
      </c>
      <c r="E114" s="252">
        <f>('Restated Financials'!E117/'Restated Financials'!E$144)*100</f>
        <v>0</v>
      </c>
      <c r="F114" s="252">
        <f>('Restated Financials'!F117/'Restated Financials'!F$144)*100</f>
        <v>0</v>
      </c>
      <c r="G114" s="253">
        <f>('Restated Financials'!G117/'Restated Financials'!G$144)*100</f>
        <v>0</v>
      </c>
    </row>
    <row r="115" spans="1:7" x14ac:dyDescent="0.2">
      <c r="A115" s="271"/>
      <c r="B115" s="251" t="s">
        <v>73</v>
      </c>
      <c r="C115" s="252">
        <f>('Restated Financials'!C118/'Restated Financials'!C$144)*100</f>
        <v>0</v>
      </c>
      <c r="D115" s="252">
        <f>('Restated Financials'!D118/'Restated Financials'!D$144)*100</f>
        <v>0</v>
      </c>
      <c r="E115" s="252">
        <f>('Restated Financials'!E118/'Restated Financials'!E$144)*100</f>
        <v>0</v>
      </c>
      <c r="F115" s="252">
        <f>('Restated Financials'!F118/'Restated Financials'!F$144)*100</f>
        <v>0</v>
      </c>
      <c r="G115" s="253">
        <f>('Restated Financials'!G118/'Restated Financials'!G$144)*100</f>
        <v>0</v>
      </c>
    </row>
    <row r="116" spans="1:7" x14ac:dyDescent="0.2">
      <c r="A116" s="271"/>
      <c r="B116" s="251" t="s">
        <v>74</v>
      </c>
      <c r="C116" s="252">
        <f>('Restated Financials'!C119/'Restated Financials'!C$144)*100</f>
        <v>0.81699346405228768</v>
      </c>
      <c r="D116" s="252">
        <f>('Restated Financials'!D119/'Restated Financials'!D$144)*100</f>
        <v>0.59701492537313439</v>
      </c>
      <c r="E116" s="252">
        <f>('Restated Financials'!E119/'Restated Financials'!E$144)*100</f>
        <v>0</v>
      </c>
      <c r="F116" s="252">
        <f>('Restated Financials'!F119/'Restated Financials'!F$144)*100</f>
        <v>0</v>
      </c>
      <c r="G116" s="253">
        <f>('Restated Financials'!G119/'Restated Financials'!G$144)*100</f>
        <v>0</v>
      </c>
    </row>
    <row r="117" spans="1:7" x14ac:dyDescent="0.2">
      <c r="A117" s="271"/>
      <c r="B117" s="251" t="s">
        <v>75</v>
      </c>
      <c r="C117" s="252">
        <f>('Restated Financials'!C120/'Restated Financials'!C$144)*100</f>
        <v>0</v>
      </c>
      <c r="D117" s="252">
        <f>('Restated Financials'!D120/'Restated Financials'!D$144)*100</f>
        <v>0</v>
      </c>
      <c r="E117" s="252">
        <f>('Restated Financials'!E120/'Restated Financials'!E$144)*100</f>
        <v>0</v>
      </c>
      <c r="F117" s="252">
        <f>('Restated Financials'!F120/'Restated Financials'!F$144)*100</f>
        <v>0</v>
      </c>
      <c r="G117" s="253">
        <f>('Restated Financials'!G120/'Restated Financials'!G$144)*100</f>
        <v>0</v>
      </c>
    </row>
    <row r="118" spans="1:7" x14ac:dyDescent="0.2">
      <c r="A118" s="271"/>
      <c r="B118" s="251"/>
      <c r="C118" s="252"/>
      <c r="D118" s="252"/>
      <c r="E118" s="252"/>
      <c r="F118" s="252"/>
      <c r="G118" s="253"/>
    </row>
    <row r="119" spans="1:7" x14ac:dyDescent="0.2">
      <c r="A119" s="271"/>
      <c r="B119" s="251"/>
      <c r="C119" s="252"/>
      <c r="D119" s="252"/>
      <c r="E119" s="252"/>
      <c r="F119" s="252"/>
      <c r="G119" s="253"/>
    </row>
    <row r="120" spans="1:7" x14ac:dyDescent="0.2">
      <c r="A120" s="271"/>
      <c r="B120" s="251"/>
      <c r="C120" s="252"/>
      <c r="D120" s="252"/>
      <c r="E120" s="252"/>
      <c r="F120" s="252"/>
      <c r="G120" s="253"/>
    </row>
    <row r="121" spans="1:7" x14ac:dyDescent="0.2">
      <c r="A121" s="271"/>
      <c r="B121" s="250" t="s">
        <v>76</v>
      </c>
      <c r="C121" s="303">
        <f>('Restated Financials'!C124/'Restated Financials'!C$144)*100</f>
        <v>34.640522875816991</v>
      </c>
      <c r="D121" s="303">
        <f>('Restated Financials'!D124/'Restated Financials'!D$144)*100</f>
        <v>20.696517412935322</v>
      </c>
      <c r="E121" s="303">
        <f>('Restated Financials'!E124/'Restated Financials'!E$144)*100</f>
        <v>22.354104846686447</v>
      </c>
      <c r="F121" s="303">
        <f>('Restated Financials'!F124/'Restated Financials'!F$144)*100</f>
        <v>24.919093851132686</v>
      </c>
      <c r="G121" s="304">
        <f>('Restated Financials'!G124/'Restated Financials'!G$144)*100</f>
        <v>6.8971230016000282</v>
      </c>
    </row>
    <row r="122" spans="1:7" x14ac:dyDescent="0.2">
      <c r="A122" s="271"/>
      <c r="B122" s="251"/>
      <c r="C122" s="252"/>
      <c r="D122" s="252"/>
      <c r="E122" s="252"/>
      <c r="F122" s="252"/>
      <c r="G122" s="253"/>
    </row>
    <row r="123" spans="1:7" x14ac:dyDescent="0.2">
      <c r="A123" s="271"/>
      <c r="B123" s="250" t="s">
        <v>77</v>
      </c>
      <c r="C123" s="303">
        <f>('Restated Financials'!C126/'Restated Financials'!C$144)*100</f>
        <v>43.300653594771241</v>
      </c>
      <c r="D123" s="303">
        <f>('Restated Financials'!D126/'Restated Financials'!D$144)*100</f>
        <v>33.631840796019901</v>
      </c>
      <c r="E123" s="303">
        <f>('Restated Financials'!E126/'Restated Financials'!E$144)*100</f>
        <v>23.936696340257171</v>
      </c>
      <c r="F123" s="303">
        <f>('Restated Financials'!F126/'Restated Financials'!F$144)*100</f>
        <v>25.080906148867317</v>
      </c>
      <c r="G123" s="304">
        <f>('Restated Financials'!G126/'Restated Financials'!G$144)*100</f>
        <v>19.560450100492215</v>
      </c>
    </row>
    <row r="124" spans="1:7" x14ac:dyDescent="0.2">
      <c r="A124" s="271"/>
      <c r="B124" s="251"/>
      <c r="C124" s="252"/>
      <c r="D124" s="252"/>
      <c r="E124" s="252"/>
      <c r="F124" s="252"/>
      <c r="G124" s="253"/>
    </row>
    <row r="125" spans="1:7" x14ac:dyDescent="0.2">
      <c r="A125" s="271"/>
      <c r="B125" s="251" t="s">
        <v>78</v>
      </c>
      <c r="C125" s="252"/>
      <c r="D125" s="252"/>
      <c r="E125" s="252"/>
      <c r="F125" s="252"/>
      <c r="G125" s="253"/>
    </row>
    <row r="126" spans="1:7" x14ac:dyDescent="0.2">
      <c r="A126" s="271"/>
      <c r="B126" s="251" t="s">
        <v>79</v>
      </c>
      <c r="C126" s="252">
        <f>('Restated Financials'!C129/'Restated Financials'!C$144)*100</f>
        <v>15.849673202614378</v>
      </c>
      <c r="D126" s="252">
        <f>('Restated Financials'!D129/'Restated Financials'!D$144)*100</f>
        <v>22.985074626865671</v>
      </c>
      <c r="E126" s="252">
        <f>('Restated Financials'!E129/'Restated Financials'!E$144)*100</f>
        <v>0</v>
      </c>
      <c r="F126" s="252">
        <f>('Restated Financials'!F129/'Restated Financials'!F$144)*100</f>
        <v>0</v>
      </c>
      <c r="G126" s="253">
        <f>('Restated Financials'!G129/'Restated Financials'!G$144)*100</f>
        <v>24.596832206338203</v>
      </c>
    </row>
    <row r="127" spans="1:7" x14ac:dyDescent="0.2">
      <c r="A127" s="271"/>
      <c r="B127" s="251" t="s">
        <v>80</v>
      </c>
      <c r="C127" s="252">
        <f>('Restated Financials'!C130/'Restated Financials'!C$144)*100</f>
        <v>3.7581699346405228</v>
      </c>
      <c r="D127" s="252">
        <f>('Restated Financials'!D130/'Restated Financials'!D$144)*100</f>
        <v>4.6766169154228852</v>
      </c>
      <c r="E127" s="252">
        <f>('Restated Financials'!E130/'Restated Financials'!E$144)*100</f>
        <v>15.2324431256182</v>
      </c>
      <c r="F127" s="252">
        <f>('Restated Financials'!F130/'Restated Financials'!F$144)*100</f>
        <v>9.7087378640776691</v>
      </c>
      <c r="G127" s="253">
        <f>('Restated Financials'!G130/'Restated Financials'!G$144)*100</f>
        <v>8.0655357477623593</v>
      </c>
    </row>
    <row r="128" spans="1:7" x14ac:dyDescent="0.2">
      <c r="A128" s="271"/>
      <c r="B128" s="251" t="s">
        <v>81</v>
      </c>
      <c r="C128" s="252">
        <f>('Restated Financials'!C131/'Restated Financials'!C$144)*100</f>
        <v>0</v>
      </c>
      <c r="D128" s="252">
        <f>('Restated Financials'!D131/'Restated Financials'!D$144)*100</f>
        <v>0</v>
      </c>
      <c r="E128" s="252">
        <f>('Restated Financials'!E131/'Restated Financials'!E$144)*100</f>
        <v>0</v>
      </c>
      <c r="F128" s="252">
        <f>('Restated Financials'!F131/'Restated Financials'!F$144)*100</f>
        <v>0</v>
      </c>
      <c r="G128" s="253">
        <f>('Restated Financials'!G131/'Restated Financials'!G$144)*100</f>
        <v>0</v>
      </c>
    </row>
    <row r="129" spans="1:7" x14ac:dyDescent="0.2">
      <c r="A129" s="271"/>
      <c r="B129" s="251" t="s">
        <v>82</v>
      </c>
      <c r="C129" s="252">
        <f>('Restated Financials'!C132/'Restated Financials'!C$144)*100</f>
        <v>0.16339869281045752</v>
      </c>
      <c r="D129" s="252">
        <f>('Restated Financials'!D132/'Restated Financials'!D$144)*100</f>
        <v>9.9502487562189046E-2</v>
      </c>
      <c r="E129" s="252">
        <f>('Restated Financials'!E132/'Restated Financials'!E$144)*100</f>
        <v>7.220573689416419</v>
      </c>
      <c r="F129" s="252">
        <f>('Restated Financials'!F132/'Restated Financials'!F$144)*100</f>
        <v>4.449838187702265</v>
      </c>
      <c r="G129" s="253">
        <f>('Restated Financials'!G132/'Restated Financials'!G$144)*100</f>
        <v>1.6000279023939386</v>
      </c>
    </row>
    <row r="130" spans="1:7" x14ac:dyDescent="0.2">
      <c r="A130" s="271"/>
      <c r="B130" s="251" t="s">
        <v>83</v>
      </c>
      <c r="C130" s="252">
        <f>('Restated Financials'!C133/'Restated Financials'!C$144)*100</f>
        <v>0</v>
      </c>
      <c r="D130" s="252">
        <f>('Restated Financials'!D133/'Restated Financials'!D$144)*100</f>
        <v>0</v>
      </c>
      <c r="E130" s="252">
        <f>('Restated Financials'!E133/'Restated Financials'!E$144)*100</f>
        <v>0</v>
      </c>
      <c r="F130" s="252">
        <f>('Restated Financials'!F133/'Restated Financials'!F$144)*100</f>
        <v>0</v>
      </c>
      <c r="G130" s="253">
        <f>('Restated Financials'!G133/'Restated Financials'!G$144)*100</f>
        <v>0</v>
      </c>
    </row>
    <row r="131" spans="1:7" x14ac:dyDescent="0.2">
      <c r="A131" s="271"/>
      <c r="B131" s="251" t="s">
        <v>84</v>
      </c>
      <c r="C131" s="252">
        <f>('Restated Financials'!C134/'Restated Financials'!C$144)*100</f>
        <v>13.071895424836603</v>
      </c>
      <c r="D131" s="252">
        <f>('Restated Financials'!D134/'Restated Financials'!D$144)*100</f>
        <v>8.6567164179104488</v>
      </c>
      <c r="E131" s="252">
        <f>('Restated Financials'!E134/'Restated Financials'!E$144)*100</f>
        <v>11.374876360039565</v>
      </c>
      <c r="F131" s="252">
        <f>('Restated Financials'!F134/'Restated Financials'!F$144)*100</f>
        <v>12.055016181229773</v>
      </c>
      <c r="G131" s="253">
        <f>('Restated Financials'!G134/'Restated Financials'!G$144)*100</f>
        <v>6.9333089187386374</v>
      </c>
    </row>
    <row r="132" spans="1:7" x14ac:dyDescent="0.2">
      <c r="A132" s="271"/>
      <c r="B132" s="251"/>
      <c r="C132" s="252"/>
      <c r="D132" s="252"/>
      <c r="E132" s="252"/>
      <c r="F132" s="252"/>
      <c r="G132" s="253"/>
    </row>
    <row r="133" spans="1:7" x14ac:dyDescent="0.2">
      <c r="A133" s="271"/>
      <c r="B133" s="251"/>
      <c r="C133" s="252"/>
      <c r="D133" s="252"/>
      <c r="E133" s="252"/>
      <c r="F133" s="252"/>
      <c r="G133" s="253"/>
    </row>
    <row r="134" spans="1:7" x14ac:dyDescent="0.2">
      <c r="A134" s="271"/>
      <c r="B134" s="251"/>
      <c r="C134" s="252"/>
      <c r="D134" s="252"/>
      <c r="E134" s="252"/>
      <c r="F134" s="252"/>
      <c r="G134" s="253"/>
    </row>
    <row r="135" spans="1:7" x14ac:dyDescent="0.2">
      <c r="A135" s="271"/>
      <c r="B135" s="250" t="s">
        <v>85</v>
      </c>
      <c r="C135" s="303">
        <f>('Restated Financials'!C138/'Restated Financials'!C$144)*100</f>
        <v>32.843137254901961</v>
      </c>
      <c r="D135" s="303">
        <f>('Restated Financials'!D138/'Restated Financials'!D$144)*100</f>
        <v>36.417910447761194</v>
      </c>
      <c r="E135" s="303">
        <f>('Restated Financials'!E138/'Restated Financials'!E$144)*100</f>
        <v>33.827893175074188</v>
      </c>
      <c r="F135" s="303">
        <f>('Restated Financials'!F138/'Restated Financials'!F$144)*100</f>
        <v>26.21359223300971</v>
      </c>
      <c r="G135" s="304">
        <f>('Restated Financials'!G138/'Restated Financials'!G$144)*100</f>
        <v>41.195704775233132</v>
      </c>
    </row>
    <row r="136" spans="1:7" x14ac:dyDescent="0.2">
      <c r="A136" s="271"/>
      <c r="B136" s="251"/>
      <c r="C136" s="252"/>
      <c r="D136" s="252"/>
      <c r="E136" s="252"/>
      <c r="F136" s="252"/>
      <c r="G136" s="253"/>
    </row>
    <row r="137" spans="1:7" x14ac:dyDescent="0.2">
      <c r="A137" s="271"/>
      <c r="B137" s="250" t="s">
        <v>86</v>
      </c>
      <c r="C137" s="303">
        <f>('Restated Financials'!C140/'Restated Financials'!C$144)*100</f>
        <v>67.48366013071896</v>
      </c>
      <c r="D137" s="303">
        <f>('Restated Financials'!D140/'Restated Financials'!D$144)*100</f>
        <v>57.114427860696516</v>
      </c>
      <c r="E137" s="303">
        <f>('Restated Financials'!E140/'Restated Financials'!E$144)*100</f>
        <v>56.181998021760634</v>
      </c>
      <c r="F137" s="303">
        <f>('Restated Financials'!F140/'Restated Financials'!F$144)*100</f>
        <v>51.132686084142399</v>
      </c>
      <c r="G137" s="304">
        <f>('Restated Financials'!G140/'Restated Financials'!G$144)*100</f>
        <v>48.092827776833161</v>
      </c>
    </row>
    <row r="138" spans="1:7" x14ac:dyDescent="0.2">
      <c r="A138" s="271"/>
      <c r="B138" s="251"/>
      <c r="C138" s="252"/>
      <c r="D138" s="252"/>
      <c r="E138" s="252"/>
      <c r="F138" s="252"/>
      <c r="G138" s="253"/>
    </row>
    <row r="139" spans="1:7" x14ac:dyDescent="0.2">
      <c r="A139" s="271"/>
      <c r="B139" s="250" t="s">
        <v>87</v>
      </c>
      <c r="C139" s="303">
        <f>('Restated Financials'!C142/'Restated Financials'!C$144)*100</f>
        <v>76.960784313725497</v>
      </c>
      <c r="D139" s="303">
        <f>('Restated Financials'!D142/'Restated Financials'!D$144)*100</f>
        <v>70.945273631840806</v>
      </c>
      <c r="E139" s="303">
        <f>('Restated Financials'!E142/'Restated Financials'!E$144)*100</f>
        <v>59.149357072205731</v>
      </c>
      <c r="F139" s="303">
        <f>('Restated Financials'!F142/'Restated Financials'!F$144)*100</f>
        <v>51.29449838187702</v>
      </c>
      <c r="G139" s="304">
        <f>('Restated Financials'!G142/'Restated Financials'!G$144)*100</f>
        <v>60.756154875725358</v>
      </c>
    </row>
    <row r="140" spans="1:7" x14ac:dyDescent="0.2">
      <c r="A140" s="271"/>
      <c r="B140" s="251"/>
      <c r="C140" s="252"/>
      <c r="D140" s="252"/>
      <c r="E140" s="252"/>
      <c r="F140" s="252"/>
      <c r="G140" s="253"/>
    </row>
    <row r="141" spans="1:7" x14ac:dyDescent="0.2">
      <c r="A141" s="271"/>
      <c r="B141" s="250" t="s">
        <v>88</v>
      </c>
      <c r="C141" s="303">
        <f>('Restated Financials'!C144/'Restated Financials'!C$144)*100</f>
        <v>100</v>
      </c>
      <c r="D141" s="303">
        <f>('Restated Financials'!D144/'Restated Financials'!D$144)*100</f>
        <v>100</v>
      </c>
      <c r="E141" s="303">
        <f>('Restated Financials'!E144/'Restated Financials'!E$144)*100</f>
        <v>100</v>
      </c>
      <c r="F141" s="303">
        <f>('Restated Financials'!F144/'Restated Financials'!F$144)*100</f>
        <v>100</v>
      </c>
      <c r="G141" s="304">
        <f>('Restated Financials'!G144/'Restated Financials'!G$144)*100</f>
        <v>100</v>
      </c>
    </row>
    <row r="142" spans="1:7" x14ac:dyDescent="0.2">
      <c r="A142" s="271"/>
      <c r="B142" s="251"/>
      <c r="C142" s="252"/>
      <c r="D142" s="252"/>
      <c r="E142" s="252"/>
      <c r="F142" s="252"/>
      <c r="G142" s="253"/>
    </row>
    <row r="143" spans="1:7" ht="15" x14ac:dyDescent="0.2">
      <c r="A143" s="271"/>
      <c r="B143" s="270" t="s">
        <v>504</v>
      </c>
      <c r="C143" s="317"/>
      <c r="D143" s="317"/>
      <c r="E143" s="317"/>
      <c r="F143" s="317"/>
      <c r="G143" s="318"/>
    </row>
    <row r="144" spans="1:7" x14ac:dyDescent="0.2">
      <c r="A144" s="271"/>
      <c r="B144" s="251" t="s">
        <v>89</v>
      </c>
      <c r="C144" s="252"/>
      <c r="D144" s="252"/>
      <c r="E144" s="252"/>
      <c r="F144" s="252"/>
      <c r="G144" s="253"/>
    </row>
    <row r="145" spans="1:7" x14ac:dyDescent="0.2">
      <c r="A145" s="271"/>
      <c r="B145" s="251" t="s">
        <v>90</v>
      </c>
      <c r="C145" s="252">
        <f>('Restated Financials'!C149/'Restated Financials'!C$200)*100</f>
        <v>0</v>
      </c>
      <c r="D145" s="252">
        <f>('Restated Financials'!D149/'Restated Financials'!D$200)*100</f>
        <v>0</v>
      </c>
      <c r="E145" s="252">
        <f>('Restated Financials'!E149/'Restated Financials'!E$200)*100</f>
        <v>0</v>
      </c>
      <c r="F145" s="252">
        <f>('Restated Financials'!F149/'Restated Financials'!F$200)*100</f>
        <v>0</v>
      </c>
      <c r="G145" s="253">
        <f>('Restated Financials'!G149/'Restated Financials'!G$200)*100</f>
        <v>0</v>
      </c>
    </row>
    <row r="146" spans="1:7" x14ac:dyDescent="0.2">
      <c r="A146" s="271"/>
      <c r="B146" s="251" t="s">
        <v>91</v>
      </c>
      <c r="C146" s="252">
        <f>('Restated Financials'!C150/'Restated Financials'!C$200)*100</f>
        <v>14.052287581699346</v>
      </c>
      <c r="D146" s="252">
        <f>('Restated Financials'!D150/'Restated Financials'!D$200)*100</f>
        <v>23.084577114427859</v>
      </c>
      <c r="E146" s="252">
        <f>('Restated Financials'!E150/'Restated Financials'!E$200)*100</f>
        <v>34.619188921859546</v>
      </c>
      <c r="F146" s="252">
        <f>('Restated Financials'!F150/'Restated Financials'!F$200)*100</f>
        <v>38.349514563106794</v>
      </c>
      <c r="G146" s="253">
        <f>('Restated Financials'!G150/'Restated Financials'!G$200)*100</f>
        <v>30.792035610430261</v>
      </c>
    </row>
    <row r="147" spans="1:7" x14ac:dyDescent="0.2">
      <c r="A147" s="271"/>
      <c r="B147" s="251" t="s">
        <v>92</v>
      </c>
      <c r="C147" s="252">
        <f>('Restated Financials'!C151/'Restated Financials'!C$200)*100</f>
        <v>18.627450980392158</v>
      </c>
      <c r="D147" s="252">
        <f>('Restated Financials'!D151/'Restated Financials'!D$200)*100</f>
        <v>27.164179104477608</v>
      </c>
      <c r="E147" s="252">
        <f>('Restated Financials'!E151/'Restated Financials'!E$200)*100</f>
        <v>39.268051434223537</v>
      </c>
      <c r="F147" s="252">
        <f>('Restated Financials'!F151/'Restated Financials'!F$200)*100</f>
        <v>50</v>
      </c>
      <c r="G147" s="253">
        <f>('Restated Financials'!G151/'Restated Financials'!G$200)*100</f>
        <v>49.498846846375514</v>
      </c>
    </row>
    <row r="148" spans="1:7" x14ac:dyDescent="0.2">
      <c r="A148" s="271"/>
      <c r="B148" s="251"/>
      <c r="C148" s="252"/>
      <c r="D148" s="252"/>
      <c r="E148" s="252"/>
      <c r="F148" s="252"/>
      <c r="G148" s="253"/>
    </row>
    <row r="149" spans="1:7" x14ac:dyDescent="0.2">
      <c r="A149" s="271"/>
      <c r="B149" s="251"/>
      <c r="C149" s="252"/>
      <c r="D149" s="252"/>
      <c r="E149" s="252"/>
      <c r="F149" s="252"/>
      <c r="G149" s="253"/>
    </row>
    <row r="150" spans="1:7" x14ac:dyDescent="0.2">
      <c r="A150" s="271"/>
      <c r="B150" s="250" t="s">
        <v>93</v>
      </c>
      <c r="C150" s="303">
        <f>('Restated Financials'!C154/'Restated Financials'!C$200)*100</f>
        <v>32.679738562091501</v>
      </c>
      <c r="D150" s="303">
        <f>('Restated Financials'!D154/'Restated Financials'!D$200)*100</f>
        <v>50.248756218905477</v>
      </c>
      <c r="E150" s="303">
        <f>('Restated Financials'!E154/'Restated Financials'!E$200)*100</f>
        <v>73.887240356083083</v>
      </c>
      <c r="F150" s="303">
        <f>('Restated Financials'!F154/'Restated Financials'!F$200)*100</f>
        <v>88.349514563106794</v>
      </c>
      <c r="G150" s="304">
        <f>('Restated Financials'!G154/'Restated Financials'!G$200)*100</f>
        <v>80.29088245680579</v>
      </c>
    </row>
    <row r="151" spans="1:7" x14ac:dyDescent="0.2">
      <c r="A151" s="271"/>
      <c r="B151" s="251" t="s">
        <v>94</v>
      </c>
      <c r="C151" s="252">
        <f>('Restated Financials'!C155/'Restated Financials'!C$200)*100</f>
        <v>1.7973856209150325</v>
      </c>
      <c r="D151" s="252">
        <f>('Restated Financials'!D155/'Restated Financials'!D$200)*100</f>
        <v>5.7711442786069647</v>
      </c>
      <c r="E151" s="252">
        <f>('Restated Financials'!E155/'Restated Financials'!E$200)*100</f>
        <v>13.452027695351138</v>
      </c>
      <c r="F151" s="252">
        <f>('Restated Financials'!F155/'Restated Financials'!F$200)*100</f>
        <v>24.352750809061487</v>
      </c>
      <c r="G151" s="253">
        <f>('Restated Financials'!G155/'Restated Financials'!G$200)*100</f>
        <v>21.7956934398856</v>
      </c>
    </row>
    <row r="152" spans="1:7" x14ac:dyDescent="0.2">
      <c r="A152" s="271"/>
      <c r="B152" s="250" t="s">
        <v>95</v>
      </c>
      <c r="C152" s="303">
        <f>('Restated Financials'!C156/'Restated Financials'!C$200)*100</f>
        <v>30.882352941176471</v>
      </c>
      <c r="D152" s="303">
        <f>('Restated Financials'!D156/'Restated Financials'!D$200)*100</f>
        <v>44.477611940298509</v>
      </c>
      <c r="E152" s="303">
        <f>('Restated Financials'!E156/'Restated Financials'!E$200)*100</f>
        <v>60.435212660731949</v>
      </c>
      <c r="F152" s="303">
        <f>('Restated Financials'!F156/'Restated Financials'!F$200)*100</f>
        <v>63.996763754045304</v>
      </c>
      <c r="G152" s="304">
        <f>('Restated Financials'!G156/'Restated Financials'!G$200)*100</f>
        <v>58.495189016920193</v>
      </c>
    </row>
    <row r="153" spans="1:7" x14ac:dyDescent="0.2">
      <c r="A153" s="271"/>
      <c r="B153" s="251" t="s">
        <v>96</v>
      </c>
      <c r="C153" s="252">
        <f>('Restated Financials'!C157/'Restated Financials'!C$200)*100</f>
        <v>0</v>
      </c>
      <c r="D153" s="252">
        <f>('Restated Financials'!D157/'Restated Financials'!D$200)*100</f>
        <v>0.89552238805970152</v>
      </c>
      <c r="E153" s="252">
        <f>('Restated Financials'!E157/'Restated Financials'!E$200)*100</f>
        <v>3.066271018793274</v>
      </c>
      <c r="F153" s="252">
        <f>('Restated Financials'!F157/'Restated Financials'!F$200)*100</f>
        <v>9.9514563106796121</v>
      </c>
      <c r="G153" s="253">
        <f>('Restated Financials'!G157/'Restated Financials'!G$200)*100</f>
        <v>2.897925195425751</v>
      </c>
    </row>
    <row r="154" spans="1:7" x14ac:dyDescent="0.2">
      <c r="A154" s="271"/>
      <c r="B154" s="251" t="s">
        <v>53</v>
      </c>
      <c r="C154" s="252">
        <f>('Restated Financials'!C158/'Restated Financials'!C$200)*100</f>
        <v>0</v>
      </c>
      <c r="D154" s="252">
        <f>('Restated Financials'!D158/'Restated Financials'!D$200)*100</f>
        <v>0</v>
      </c>
      <c r="E154" s="252">
        <f>('Restated Financials'!E158/'Restated Financials'!E$200)*100</f>
        <v>0</v>
      </c>
      <c r="F154" s="252">
        <f>('Restated Financials'!F158/'Restated Financials'!F$200)*100</f>
        <v>0</v>
      </c>
      <c r="G154" s="253">
        <f>('Restated Financials'!G158/'Restated Financials'!G$200)*100</f>
        <v>0</v>
      </c>
    </row>
    <row r="155" spans="1:7" x14ac:dyDescent="0.2">
      <c r="A155" s="271"/>
      <c r="B155" s="250" t="s">
        <v>97</v>
      </c>
      <c r="C155" s="303">
        <f>('Restated Financials'!C159/'Restated Financials'!C$200)*100</f>
        <v>30.882352941176471</v>
      </c>
      <c r="D155" s="303">
        <f>('Restated Financials'!D159/'Restated Financials'!D$200)*100</f>
        <v>45.373134328358212</v>
      </c>
      <c r="E155" s="303">
        <f>('Restated Financials'!E159/'Restated Financials'!E$200)*100</f>
        <v>63.501483679525229</v>
      </c>
      <c r="F155" s="303">
        <f>('Restated Financials'!F159/'Restated Financials'!F$200)*100</f>
        <v>73.948220064724921</v>
      </c>
      <c r="G155" s="304">
        <f>('Restated Financials'!G159/'Restated Financials'!G$200)*100</f>
        <v>61.393114212345935</v>
      </c>
    </row>
    <row r="156" spans="1:7" x14ac:dyDescent="0.2">
      <c r="A156" s="271"/>
      <c r="B156" s="251"/>
      <c r="C156" s="252"/>
      <c r="D156" s="252"/>
      <c r="E156" s="252"/>
      <c r="F156" s="252"/>
      <c r="G156" s="253"/>
    </row>
    <row r="157" spans="1:7" x14ac:dyDescent="0.2">
      <c r="A157" s="271"/>
      <c r="B157" s="251" t="s">
        <v>98</v>
      </c>
      <c r="C157" s="252">
        <f>('Restated Financials'!C161/'Restated Financials'!C$200)*100</f>
        <v>0</v>
      </c>
      <c r="D157" s="252">
        <f>('Restated Financials'!D161/'Restated Financials'!D$200)*100</f>
        <v>0</v>
      </c>
      <c r="E157" s="252">
        <f>('Restated Financials'!E161/'Restated Financials'!E$200)*100</f>
        <v>0</v>
      </c>
      <c r="F157" s="252">
        <f>('Restated Financials'!F161/'Restated Financials'!F$200)*100</f>
        <v>0</v>
      </c>
      <c r="G157" s="253">
        <f>('Restated Financials'!G161/'Restated Financials'!G$200)*100</f>
        <v>0.30300255917269403</v>
      </c>
    </row>
    <row r="158" spans="1:7" x14ac:dyDescent="0.2">
      <c r="A158" s="271"/>
      <c r="B158" s="251"/>
      <c r="C158" s="252"/>
      <c r="D158" s="252"/>
      <c r="E158" s="252"/>
      <c r="F158" s="252"/>
      <c r="G158" s="253"/>
    </row>
    <row r="159" spans="1:7" x14ac:dyDescent="0.2">
      <c r="A159" s="271"/>
      <c r="B159" s="251" t="s">
        <v>99</v>
      </c>
      <c r="C159" s="252"/>
      <c r="D159" s="252"/>
      <c r="E159" s="252"/>
      <c r="F159" s="252"/>
      <c r="G159" s="253"/>
    </row>
    <row r="160" spans="1:7" x14ac:dyDescent="0.2">
      <c r="A160" s="271"/>
      <c r="B160" s="251" t="s">
        <v>100</v>
      </c>
      <c r="C160" s="252">
        <f>('Restated Financials'!C164/'Restated Financials'!C$200)*100</f>
        <v>0</v>
      </c>
      <c r="D160" s="252">
        <f>('Restated Financials'!D164/'Restated Financials'!D$200)*100</f>
        <v>0</v>
      </c>
      <c r="E160" s="252">
        <f>('Restated Financials'!E164/'Restated Financials'!E$200)*100</f>
        <v>0</v>
      </c>
      <c r="F160" s="252">
        <f>('Restated Financials'!F164/'Restated Financials'!F$200)*100</f>
        <v>0</v>
      </c>
      <c r="G160" s="253">
        <f>('Restated Financials'!G164/'Restated Financials'!G$200)*100</f>
        <v>4.3187674117477801</v>
      </c>
    </row>
    <row r="161" spans="1:7" x14ac:dyDescent="0.2">
      <c r="A161" s="271"/>
      <c r="B161" s="251" t="s">
        <v>101</v>
      </c>
      <c r="C161" s="252">
        <f>('Restated Financials'!C165/'Restated Financials'!C$200)*100</f>
        <v>0</v>
      </c>
      <c r="D161" s="252">
        <f>('Restated Financials'!D165/'Restated Financials'!D$200)*100</f>
        <v>0</v>
      </c>
      <c r="E161" s="252">
        <f>('Restated Financials'!E165/'Restated Financials'!E$200)*100</f>
        <v>0</v>
      </c>
      <c r="F161" s="252">
        <f>('Restated Financials'!F165/'Restated Financials'!F$200)*100</f>
        <v>0</v>
      </c>
      <c r="G161" s="253">
        <f>('Restated Financials'!G165/'Restated Financials'!G$200)*100</f>
        <v>9.0246805393881524E-2</v>
      </c>
    </row>
    <row r="162" spans="1:7" x14ac:dyDescent="0.2">
      <c r="A162" s="271"/>
      <c r="B162" s="251" t="s">
        <v>102</v>
      </c>
      <c r="C162" s="252">
        <f>('Restated Financials'!C166/'Restated Financials'!C$200)*100</f>
        <v>11.928104575163399</v>
      </c>
      <c r="D162" s="252">
        <f>('Restated Financials'!D166/'Restated Financials'!D$200)*100</f>
        <v>10.547263681592039</v>
      </c>
      <c r="E162" s="252">
        <f>('Restated Financials'!E166/'Restated Financials'!E$200)*100</f>
        <v>0</v>
      </c>
      <c r="F162" s="252">
        <f>('Restated Financials'!F166/'Restated Financials'!F$200)*100</f>
        <v>0</v>
      </c>
      <c r="G162" s="253">
        <f>('Restated Financials'!G166/'Restated Financials'!G$200)*100</f>
        <v>3.9961459818372855</v>
      </c>
    </row>
    <row r="163" spans="1:7" x14ac:dyDescent="0.2">
      <c r="A163" s="271"/>
      <c r="B163" s="251" t="s">
        <v>103</v>
      </c>
      <c r="C163" s="252">
        <f>('Restated Financials'!C167/'Restated Financials'!C$200)*100</f>
        <v>0</v>
      </c>
      <c r="D163" s="252">
        <f>('Restated Financials'!D167/'Restated Financials'!D$200)*100</f>
        <v>0</v>
      </c>
      <c r="E163" s="252">
        <f>('Restated Financials'!E167/'Restated Financials'!E$200)*100</f>
        <v>0</v>
      </c>
      <c r="F163" s="252">
        <f>('Restated Financials'!F167/'Restated Financials'!F$200)*100</f>
        <v>0</v>
      </c>
      <c r="G163" s="253">
        <f>('Restated Financials'!G167/'Restated Financials'!G$200)*100</f>
        <v>0</v>
      </c>
    </row>
    <row r="164" spans="1:7" x14ac:dyDescent="0.2">
      <c r="A164" s="271"/>
      <c r="B164" s="251"/>
      <c r="C164" s="252"/>
      <c r="D164" s="252"/>
      <c r="E164" s="252"/>
      <c r="F164" s="252"/>
      <c r="G164" s="253"/>
    </row>
    <row r="165" spans="1:7" x14ac:dyDescent="0.2">
      <c r="A165" s="271"/>
      <c r="B165" s="251"/>
      <c r="C165" s="252"/>
      <c r="D165" s="252"/>
      <c r="E165" s="252"/>
      <c r="F165" s="252"/>
      <c r="G165" s="253"/>
    </row>
    <row r="166" spans="1:7" x14ac:dyDescent="0.2">
      <c r="A166" s="271"/>
      <c r="B166" s="250" t="s">
        <v>104</v>
      </c>
      <c r="C166" s="303"/>
      <c r="D166" s="303"/>
      <c r="E166" s="303"/>
      <c r="F166" s="303"/>
      <c r="G166" s="304"/>
    </row>
    <row r="167" spans="1:7" x14ac:dyDescent="0.2">
      <c r="A167" s="271"/>
      <c r="B167" s="251" t="s">
        <v>105</v>
      </c>
      <c r="C167" s="252">
        <f>('Restated Financials'!C171/'Restated Financials'!C$200)*100</f>
        <v>2.4509803921568629</v>
      </c>
      <c r="D167" s="252">
        <f>('Restated Financials'!D171/'Restated Financials'!D$200)*100</f>
        <v>2.0895522388059704</v>
      </c>
      <c r="E167" s="252">
        <f>('Restated Financials'!E171/'Restated Financials'!E$200)*100</f>
        <v>0</v>
      </c>
      <c r="F167" s="252">
        <f>('Restated Financials'!F171/'Restated Financials'!F$200)*100</f>
        <v>0</v>
      </c>
      <c r="G167" s="253">
        <f>('Restated Financials'!G171/'Restated Financials'!G$200)*100</f>
        <v>0.92949849806645124</v>
      </c>
    </row>
    <row r="168" spans="1:7" x14ac:dyDescent="0.2">
      <c r="A168" s="271"/>
      <c r="B168" s="251" t="s">
        <v>106</v>
      </c>
      <c r="C168" s="252">
        <f>('Restated Financials'!C172/'Restated Financials'!C$200)*100</f>
        <v>0</v>
      </c>
      <c r="D168" s="252">
        <f>('Restated Financials'!D172/'Restated Financials'!D$200)*100</f>
        <v>0.19900497512437809</v>
      </c>
      <c r="E168" s="252">
        <f>('Restated Financials'!E172/'Restated Financials'!E$200)*100</f>
        <v>0</v>
      </c>
      <c r="F168" s="252">
        <f>('Restated Financials'!F172/'Restated Financials'!F$200)*100</f>
        <v>0</v>
      </c>
      <c r="G168" s="253">
        <f>('Restated Financials'!G172/'Restated Financials'!G$200)*100</f>
        <v>0.26725261693936897</v>
      </c>
    </row>
    <row r="169" spans="1:7" x14ac:dyDescent="0.2">
      <c r="A169" s="271"/>
      <c r="B169" s="251" t="s">
        <v>107</v>
      </c>
      <c r="C169" s="252">
        <f>('Restated Financials'!C173/'Restated Financials'!C$200)*100</f>
        <v>0</v>
      </c>
      <c r="D169" s="252">
        <f>('Restated Financials'!D173/'Restated Financials'!D$200)*100</f>
        <v>0</v>
      </c>
      <c r="E169" s="252">
        <f>('Restated Financials'!E173/'Restated Financials'!E$200)*100</f>
        <v>0</v>
      </c>
      <c r="F169" s="252">
        <f>('Restated Financials'!F173/'Restated Financials'!F$200)*100</f>
        <v>0</v>
      </c>
      <c r="G169" s="253">
        <f>('Restated Financials'!G173/'Restated Financials'!G$200)*100</f>
        <v>0</v>
      </c>
    </row>
    <row r="170" spans="1:7" x14ac:dyDescent="0.2">
      <c r="A170" s="271"/>
      <c r="B170" s="251" t="s">
        <v>69</v>
      </c>
      <c r="C170" s="252">
        <f>('Restated Financials'!C174/'Restated Financials'!C$200)*100</f>
        <v>0</v>
      </c>
      <c r="D170" s="252">
        <f>('Restated Financials'!D174/'Restated Financials'!D$200)*100</f>
        <v>0</v>
      </c>
      <c r="E170" s="252">
        <f>('Restated Financials'!E174/'Restated Financials'!E$200)*100</f>
        <v>0</v>
      </c>
      <c r="F170" s="252">
        <f>('Restated Financials'!F174/'Restated Financials'!F$200)*100</f>
        <v>0</v>
      </c>
      <c r="G170" s="253">
        <f>('Restated Financials'!G174/'Restated Financials'!G$200)*100</f>
        <v>0</v>
      </c>
    </row>
    <row r="171" spans="1:7" x14ac:dyDescent="0.2">
      <c r="A171" s="271"/>
      <c r="B171" s="251"/>
      <c r="C171" s="252"/>
      <c r="D171" s="252"/>
      <c r="E171" s="252"/>
      <c r="F171" s="252"/>
      <c r="G171" s="253"/>
    </row>
    <row r="172" spans="1:7" x14ac:dyDescent="0.2">
      <c r="A172" s="271"/>
      <c r="B172" s="251"/>
      <c r="C172" s="252"/>
      <c r="D172" s="252"/>
      <c r="E172" s="252"/>
      <c r="F172" s="252"/>
      <c r="G172" s="253"/>
    </row>
    <row r="173" spans="1:7" x14ac:dyDescent="0.2">
      <c r="A173" s="271"/>
      <c r="B173" s="250" t="s">
        <v>108</v>
      </c>
      <c r="C173" s="303"/>
      <c r="D173" s="303"/>
      <c r="E173" s="303"/>
      <c r="F173" s="303"/>
      <c r="G173" s="304"/>
    </row>
    <row r="174" spans="1:7" x14ac:dyDescent="0.2">
      <c r="A174" s="271"/>
      <c r="B174" s="251" t="s">
        <v>109</v>
      </c>
      <c r="C174" s="252">
        <f>('Restated Financials'!C178/'Restated Financials'!C$200)*100</f>
        <v>4.2483660130718954</v>
      </c>
      <c r="D174" s="252">
        <f>('Restated Financials'!D178/'Restated Financials'!D$200)*100</f>
        <v>7.1641791044776122</v>
      </c>
      <c r="E174" s="252">
        <f>('Restated Financials'!E178/'Restated Financials'!E$200)*100</f>
        <v>9.1988130563798212</v>
      </c>
      <c r="F174" s="252">
        <f>('Restated Financials'!F178/'Restated Financials'!F$200)*100</f>
        <v>6.715210355987054</v>
      </c>
      <c r="G174" s="253">
        <f>('Restated Financials'!G178/'Restated Financials'!G$200)*100</f>
        <v>2.6193372309489864</v>
      </c>
    </row>
    <row r="175" spans="1:7" x14ac:dyDescent="0.2">
      <c r="A175" s="271"/>
      <c r="B175" s="251" t="s">
        <v>110</v>
      </c>
      <c r="C175" s="252">
        <f>('Restated Financials'!C179/'Restated Financials'!C$200)*100</f>
        <v>9.9673202614379086</v>
      </c>
      <c r="D175" s="252">
        <f>('Restated Financials'!D179/'Restated Financials'!D$200)*100</f>
        <v>0</v>
      </c>
      <c r="E175" s="252">
        <f>('Restated Financials'!E179/'Restated Financials'!E$200)*100</f>
        <v>0</v>
      </c>
      <c r="F175" s="252">
        <f>('Restated Financials'!F179/'Restated Financials'!F$200)*100</f>
        <v>0</v>
      </c>
      <c r="G175" s="253">
        <f>('Restated Financials'!G179/'Restated Financials'!G$200)*100</f>
        <v>0</v>
      </c>
    </row>
    <row r="176" spans="1:7" x14ac:dyDescent="0.2">
      <c r="A176" s="271"/>
      <c r="B176" s="251" t="s">
        <v>111</v>
      </c>
      <c r="C176" s="252">
        <f>('Restated Financials'!C180/'Restated Financials'!C$200)*100</f>
        <v>0</v>
      </c>
      <c r="D176" s="252">
        <f>('Restated Financials'!D180/'Restated Financials'!D$200)*100</f>
        <v>0</v>
      </c>
      <c r="E176" s="252">
        <f>('Restated Financials'!E180/'Restated Financials'!E$200)*100</f>
        <v>0</v>
      </c>
      <c r="F176" s="252">
        <f>('Restated Financials'!F180/'Restated Financials'!F$200)*100</f>
        <v>0</v>
      </c>
      <c r="G176" s="253">
        <f>('Restated Financials'!G180/'Restated Financials'!G$200)*100</f>
        <v>0</v>
      </c>
    </row>
    <row r="177" spans="1:7" x14ac:dyDescent="0.2">
      <c r="A177" s="271"/>
      <c r="B177" s="251" t="s">
        <v>112</v>
      </c>
      <c r="C177" s="252">
        <f>('Restated Financials'!C181/'Restated Financials'!C$200)*100</f>
        <v>0</v>
      </c>
      <c r="D177" s="252">
        <f>('Restated Financials'!D181/'Restated Financials'!D$200)*100</f>
        <v>0</v>
      </c>
      <c r="E177" s="252">
        <f>('Restated Financials'!E181/'Restated Financials'!E$200)*100</f>
        <v>0</v>
      </c>
      <c r="F177" s="252">
        <f>('Restated Financials'!F181/'Restated Financials'!F$200)*100</f>
        <v>0</v>
      </c>
      <c r="G177" s="253">
        <f>('Restated Financials'!G181/'Restated Financials'!G$200)*100</f>
        <v>4.7957239581289694E-3</v>
      </c>
    </row>
    <row r="178" spans="1:7" x14ac:dyDescent="0.2">
      <c r="A178" s="271"/>
      <c r="B178" s="251" t="s">
        <v>84</v>
      </c>
      <c r="C178" s="252">
        <f>('Restated Financials'!C182/'Restated Financials'!C$200)*100</f>
        <v>0.16339869281045752</v>
      </c>
      <c r="D178" s="252">
        <f>('Restated Financials'!D182/'Restated Financials'!D$200)*100</f>
        <v>0.59701492537313439</v>
      </c>
      <c r="E178" s="252">
        <f>('Restated Financials'!E182/'Restated Financials'!E$200)*100</f>
        <v>0.6923837784371909</v>
      </c>
      <c r="F178" s="252">
        <f>('Restated Financials'!F182/'Restated Financials'!F$200)*100</f>
        <v>0.64724919093851141</v>
      </c>
      <c r="G178" s="253">
        <f>('Restated Financials'!G182/'Restated Financials'!G$200)*100</f>
        <v>0.36316709610194836</v>
      </c>
    </row>
    <row r="179" spans="1:7" x14ac:dyDescent="0.2">
      <c r="A179" s="271"/>
      <c r="B179" s="251"/>
      <c r="C179" s="252"/>
      <c r="D179" s="252"/>
      <c r="E179" s="252"/>
      <c r="F179" s="252"/>
      <c r="G179" s="253"/>
    </row>
    <row r="180" spans="1:7" x14ac:dyDescent="0.2">
      <c r="A180" s="271"/>
      <c r="B180" s="251"/>
      <c r="C180" s="252"/>
      <c r="D180" s="252"/>
      <c r="E180" s="252"/>
      <c r="F180" s="252"/>
      <c r="G180" s="253"/>
    </row>
    <row r="181" spans="1:7" x14ac:dyDescent="0.2">
      <c r="A181" s="271"/>
      <c r="B181" s="250" t="s">
        <v>113</v>
      </c>
      <c r="C181" s="303">
        <f>('Restated Financials'!C185/'Restated Financials'!C$200)*100</f>
        <v>14.37908496732026</v>
      </c>
      <c r="D181" s="303">
        <f>('Restated Financials'!D185/'Restated Financials'!D$200)*100</f>
        <v>7.7611940298507456</v>
      </c>
      <c r="E181" s="303">
        <f>('Restated Financials'!E185/'Restated Financials'!E$200)*100</f>
        <v>9.8911968348170127</v>
      </c>
      <c r="F181" s="303">
        <f>('Restated Financials'!F185/'Restated Financials'!F$200)*100</f>
        <v>7.3624595469255665</v>
      </c>
      <c r="G181" s="304">
        <f>('Restated Financials'!G185/'Restated Financials'!G$200)*100</f>
        <v>2.9873000510090635</v>
      </c>
    </row>
    <row r="182" spans="1:7" x14ac:dyDescent="0.2">
      <c r="A182" s="271"/>
      <c r="B182" s="251"/>
      <c r="C182" s="252"/>
      <c r="D182" s="252"/>
      <c r="E182" s="252"/>
      <c r="F182" s="252"/>
      <c r="G182" s="253"/>
    </row>
    <row r="183" spans="1:7" x14ac:dyDescent="0.2">
      <c r="A183" s="271"/>
      <c r="B183" s="250" t="s">
        <v>114</v>
      </c>
      <c r="C183" s="303">
        <f>('Restated Financials'!C187/'Restated Financials'!C$200)*100</f>
        <v>28.75816993464052</v>
      </c>
      <c r="D183" s="303">
        <f>('Restated Financials'!D187/'Restated Financials'!D$200)*100</f>
        <v>20.597014925373134</v>
      </c>
      <c r="E183" s="303">
        <f>('Restated Financials'!E187/'Restated Financials'!E$200)*100</f>
        <v>9.8911968348170127</v>
      </c>
      <c r="F183" s="303">
        <f>('Restated Financials'!F187/'Restated Financials'!F$200)*100</f>
        <v>7.3624595469255665</v>
      </c>
      <c r="G183" s="304">
        <f>('Restated Financials'!G187/'Restated Financials'!G$200)*100</f>
        <v>12.58921136499383</v>
      </c>
    </row>
    <row r="184" spans="1:7" x14ac:dyDescent="0.2">
      <c r="A184" s="271"/>
      <c r="B184" s="251"/>
      <c r="C184" s="252"/>
      <c r="D184" s="252"/>
      <c r="E184" s="252"/>
      <c r="F184" s="252"/>
      <c r="G184" s="253"/>
    </row>
    <row r="185" spans="1:7" x14ac:dyDescent="0.2">
      <c r="A185" s="271"/>
      <c r="B185" s="251" t="s">
        <v>115</v>
      </c>
      <c r="C185" s="252"/>
      <c r="D185" s="252"/>
      <c r="E185" s="252"/>
      <c r="F185" s="252"/>
      <c r="G185" s="253"/>
    </row>
    <row r="186" spans="1:7" x14ac:dyDescent="0.2">
      <c r="A186" s="271"/>
      <c r="B186" s="251" t="s">
        <v>116</v>
      </c>
      <c r="C186" s="252">
        <f>('Restated Financials'!C190/'Restated Financials'!C$200)*100</f>
        <v>0</v>
      </c>
      <c r="D186" s="252">
        <f>('Restated Financials'!D190/'Restated Financials'!D$200)*100</f>
        <v>0</v>
      </c>
      <c r="E186" s="252">
        <f>('Restated Financials'!E190/'Restated Financials'!E$200)*100</f>
        <v>0</v>
      </c>
      <c r="F186" s="252">
        <f>('Restated Financials'!F190/'Restated Financials'!F$200)*100</f>
        <v>0</v>
      </c>
      <c r="G186" s="253">
        <f>('Restated Financials'!G190/'Restated Financials'!G$200)*100</f>
        <v>0</v>
      </c>
    </row>
    <row r="187" spans="1:7" x14ac:dyDescent="0.2">
      <c r="A187" s="271"/>
      <c r="B187" s="251" t="s">
        <v>117</v>
      </c>
      <c r="C187" s="252">
        <f>('Restated Financials'!C191/'Restated Financials'!C$200)*100</f>
        <v>35.457516339869279</v>
      </c>
      <c r="D187" s="252">
        <f>('Restated Financials'!D191/'Restated Financials'!D$200)*100</f>
        <v>29.154228855721392</v>
      </c>
      <c r="E187" s="252">
        <f>('Restated Financials'!E191/'Restated Financials'!E$200)*100</f>
        <v>21.958456973293767</v>
      </c>
      <c r="F187" s="252">
        <f>('Restated Financials'!F191/'Restated Financials'!F$200)*100</f>
        <v>16.666666666666664</v>
      </c>
      <c r="G187" s="253">
        <f>('Restated Financials'!G191/'Restated Financials'!G$200)*100</f>
        <v>24.570673712021136</v>
      </c>
    </row>
    <row r="188" spans="1:7" x14ac:dyDescent="0.2">
      <c r="A188" s="271"/>
      <c r="B188" s="251" t="s">
        <v>118</v>
      </c>
      <c r="C188" s="252">
        <f>('Restated Financials'!C192/'Restated Financials'!C$200)*100</f>
        <v>0</v>
      </c>
      <c r="D188" s="252">
        <f>('Restated Financials'!D192/'Restated Financials'!D$200)*100</f>
        <v>0</v>
      </c>
      <c r="E188" s="252">
        <f>('Restated Financials'!E192/'Restated Financials'!E$200)*100</f>
        <v>0</v>
      </c>
      <c r="F188" s="252">
        <f>('Restated Financials'!F192/'Restated Financials'!F$200)*100</f>
        <v>0</v>
      </c>
      <c r="G188" s="253">
        <f>('Restated Financials'!G192/'Restated Financials'!G$200)*100</f>
        <v>0</v>
      </c>
    </row>
    <row r="189" spans="1:7" x14ac:dyDescent="0.2">
      <c r="A189" s="271"/>
      <c r="B189" s="251" t="s">
        <v>119</v>
      </c>
      <c r="C189" s="252">
        <f>('Restated Financials'!C193/'Restated Financials'!C$200)*100</f>
        <v>4.9019607843137258</v>
      </c>
      <c r="D189" s="252">
        <f>('Restated Financials'!D193/'Restated Financials'!D$200)*100</f>
        <v>4.8756218905472641</v>
      </c>
      <c r="E189" s="252">
        <f>('Restated Financials'!E193/'Restated Financials'!E$200)*100</f>
        <v>4.6488625123639959</v>
      </c>
      <c r="F189" s="252">
        <f>('Restated Financials'!F193/'Restated Financials'!F$200)*100</f>
        <v>2.0226537216828477</v>
      </c>
      <c r="G189" s="253">
        <f>('Restated Financials'!G193/'Restated Financials'!G$200)*100</f>
        <v>1.0786019156737336</v>
      </c>
    </row>
    <row r="190" spans="1:7" x14ac:dyDescent="0.2">
      <c r="A190" s="271"/>
      <c r="B190" s="251" t="s">
        <v>84</v>
      </c>
      <c r="C190" s="252">
        <f>('Restated Financials'!C194/'Restated Financials'!C$200)*100</f>
        <v>0</v>
      </c>
      <c r="D190" s="252">
        <f>('Restated Financials'!D194/'Restated Financials'!D$200)*100</f>
        <v>0</v>
      </c>
      <c r="E190" s="252">
        <f>('Restated Financials'!E194/'Restated Financials'!E$200)*100</f>
        <v>0</v>
      </c>
      <c r="F190" s="252">
        <f>('Restated Financials'!F194/'Restated Financials'!F$200)*100</f>
        <v>0</v>
      </c>
      <c r="G190" s="253">
        <f>('Restated Financials'!G194/'Restated Financials'!G$200)*100</f>
        <v>6.5396235792667776E-2</v>
      </c>
    </row>
    <row r="191" spans="1:7" x14ac:dyDescent="0.2">
      <c r="A191" s="271"/>
      <c r="B191" s="251"/>
      <c r="C191" s="252"/>
      <c r="D191" s="252"/>
      <c r="E191" s="252"/>
      <c r="F191" s="252"/>
      <c r="G191" s="253"/>
    </row>
    <row r="192" spans="1:7" x14ac:dyDescent="0.2">
      <c r="A192" s="271"/>
      <c r="B192" s="251"/>
      <c r="C192" s="252"/>
      <c r="D192" s="252"/>
      <c r="E192" s="252"/>
      <c r="F192" s="252"/>
      <c r="G192" s="253"/>
    </row>
    <row r="193" spans="1:7" x14ac:dyDescent="0.2">
      <c r="A193" s="271"/>
      <c r="B193" s="251"/>
      <c r="C193" s="252"/>
      <c r="D193" s="252"/>
      <c r="E193" s="252"/>
      <c r="F193" s="252"/>
      <c r="G193" s="253"/>
    </row>
    <row r="194" spans="1:7" x14ac:dyDescent="0.2">
      <c r="A194" s="271"/>
      <c r="B194" s="250" t="s">
        <v>120</v>
      </c>
      <c r="C194" s="303">
        <f>('Restated Financials'!C198/'Restated Financials'!C$200)*100</f>
        <v>40.359477124183009</v>
      </c>
      <c r="D194" s="303">
        <f>('Restated Financials'!D198/'Restated Financials'!D$200)*100</f>
        <v>34.029850746268657</v>
      </c>
      <c r="E194" s="303">
        <f>('Restated Financials'!E198/'Restated Financials'!E$200)*100</f>
        <v>26.607319485657765</v>
      </c>
      <c r="F194" s="303">
        <f>('Restated Financials'!F198/'Restated Financials'!F$200)*100</f>
        <v>18.689320388349515</v>
      </c>
      <c r="G194" s="304">
        <f>('Restated Financials'!G198/'Restated Financials'!G$200)*100</f>
        <v>25.714671863487538</v>
      </c>
    </row>
    <row r="195" spans="1:7" x14ac:dyDescent="0.2">
      <c r="A195" s="271"/>
      <c r="B195" s="251"/>
      <c r="C195" s="252"/>
      <c r="D195" s="252"/>
      <c r="E195" s="252"/>
      <c r="F195" s="252"/>
      <c r="G195" s="253"/>
    </row>
    <row r="196" spans="1:7" ht="13.5" thickBot="1" x14ac:dyDescent="0.25">
      <c r="A196" s="272"/>
      <c r="B196" s="258" t="s">
        <v>121</v>
      </c>
      <c r="C196" s="313">
        <f>('Restated Financials'!C200/'Restated Financials'!C$200)*100</f>
        <v>100</v>
      </c>
      <c r="D196" s="313">
        <f>('Restated Financials'!D200/'Restated Financials'!D$200)*100</f>
        <v>100</v>
      </c>
      <c r="E196" s="313">
        <f>('Restated Financials'!E200/'Restated Financials'!E$200)*100</f>
        <v>100</v>
      </c>
      <c r="F196" s="313">
        <f>('Restated Financials'!F200/'Restated Financials'!F$200)*100</f>
        <v>100</v>
      </c>
      <c r="G196" s="314">
        <f>('Restated Financials'!G200/'Restated Financials'!G$200)*100</f>
        <v>100</v>
      </c>
    </row>
    <row r="197" spans="1:7" x14ac:dyDescent="0.2">
      <c r="A197" s="273"/>
      <c r="B197" s="244"/>
      <c r="C197" s="245"/>
      <c r="D197" s="245"/>
      <c r="E197" s="245"/>
      <c r="F197" s="245"/>
      <c r="G197" s="245"/>
    </row>
    <row r="198" spans="1:7" x14ac:dyDescent="0.2">
      <c r="A198" s="245"/>
      <c r="B198" s="244"/>
      <c r="C198" s="245"/>
      <c r="D198" s="245"/>
      <c r="E198" s="245"/>
      <c r="F198" s="245"/>
      <c r="G198" s="245"/>
    </row>
    <row r="199" spans="1:7" x14ac:dyDescent="0.2">
      <c r="A199" s="245"/>
      <c r="B199" s="244"/>
      <c r="C199" s="245"/>
      <c r="D199" s="245"/>
      <c r="E199" s="245"/>
      <c r="F199" s="245"/>
      <c r="G199" s="245"/>
    </row>
    <row r="200" spans="1:7" x14ac:dyDescent="0.2">
      <c r="A200" s="245"/>
      <c r="B200" s="244"/>
      <c r="C200" s="245"/>
      <c r="D200" s="245"/>
      <c r="E200" s="245"/>
      <c r="F200" s="245"/>
      <c r="G200" s="245"/>
    </row>
    <row r="201" spans="1:7" x14ac:dyDescent="0.2">
      <c r="A201" s="245"/>
      <c r="B201" s="244"/>
      <c r="C201" s="245"/>
      <c r="D201" s="245"/>
      <c r="E201" s="245"/>
      <c r="F201" s="245"/>
      <c r="G201" s="245"/>
    </row>
    <row r="202" spans="1:7" x14ac:dyDescent="0.2">
      <c r="A202" s="245"/>
      <c r="B202" s="244"/>
      <c r="C202" s="245"/>
      <c r="D202" s="245"/>
      <c r="E202" s="245"/>
      <c r="F202" s="245"/>
      <c r="G202" s="245"/>
    </row>
    <row r="203" spans="1:7" x14ac:dyDescent="0.2">
      <c r="A203" s="245"/>
      <c r="B203" s="244"/>
      <c r="C203" s="245"/>
      <c r="D203" s="245"/>
      <c r="E203" s="245"/>
      <c r="F203" s="245"/>
      <c r="G203" s="245"/>
    </row>
    <row r="204" spans="1:7" x14ac:dyDescent="0.2">
      <c r="A204" s="245"/>
      <c r="B204" s="244"/>
      <c r="C204" s="245"/>
      <c r="D204" s="245"/>
      <c r="E204" s="245"/>
      <c r="F204" s="245"/>
      <c r="G204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Lookup</vt:lpstr>
      <vt:lpstr>Restated Financials</vt:lpstr>
      <vt:lpstr>Key Financials</vt:lpstr>
      <vt:lpstr>Model Ratios</vt:lpstr>
      <vt:lpstr>Cash Flow</vt:lpstr>
      <vt:lpstr>Funds Flow</vt:lpstr>
      <vt:lpstr>Common Size</vt:lpstr>
    </vt:vector>
  </TitlesOfParts>
  <Company>crisil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2004-12-10T12:56:37Z</dcterms:created>
  <dc:creator>romas</dc:creator>
  <lastModifiedBy>Pravin Lohote</lastModifiedBy>
  <dcterms:modified xsi:type="dcterms:W3CDTF">2022-03-30T08:45:43Z</dcterms:modified>
</coreProperties>
</file>