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D:\Automation\HDFC_RRP_NEW_MODELS\RRP_Auto_BorrowerCreation_00\Resources\"/>
    </mc:Choice>
  </mc:AlternateContent>
  <bookViews>
    <workbookView xWindow="0" yWindow="0" windowWidth="20490" windowHeight="7755" tabRatio="601"/>
  </bookViews>
  <sheets>
    <sheet name="Sheet1" sheetId="11" r:id="rId1"/>
    <sheet name="Lookup" sheetId="15" state="hidden" r:id="rId2"/>
    <sheet name="New Fin Ratios" sheetId="26" r:id="rId3"/>
    <sheet name="Model Ratios" sheetId="23" r:id="rId4"/>
    <sheet name="CAM Online Data" sheetId="31" r:id="rId5"/>
    <sheet name="Peer Comp" sheetId="27" r:id="rId6"/>
    <sheet name="Peer Comp MIS" sheetId="28" r:id="rId7"/>
  </sheets>
  <definedNames>
    <definedName name="_xlnm._FilterDatabase" localSheetId="2" hidden="1">'New Fin Ratios'!$B$21:$U$817</definedName>
    <definedName name="_xlnm._FilterDatabase" localSheetId="0" hidden="1">Sheet1!$A$22:$R$583</definedName>
    <definedName name="_xlnm.Print_Area" localSheetId="0">Sheet1!$B$1:$G$371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1" i="26" l="1"/>
  <c r="F241" i="26"/>
  <c r="G182" i="26"/>
  <c r="G139" i="26"/>
  <c r="G879" i="11" l="1"/>
  <c r="G878" i="11"/>
  <c r="G877" i="11"/>
  <c r="G876" i="11"/>
  <c r="G875" i="11"/>
  <c r="G874" i="11"/>
  <c r="G873" i="11"/>
  <c r="G872" i="11"/>
  <c r="G871" i="11"/>
  <c r="G870" i="11"/>
  <c r="G867" i="11"/>
  <c r="G866" i="11"/>
  <c r="G865" i="11"/>
  <c r="G864" i="11"/>
  <c r="G863" i="11"/>
  <c r="G862" i="11"/>
  <c r="G861" i="11"/>
  <c r="G860" i="11"/>
  <c r="G859" i="11"/>
  <c r="G858" i="11"/>
  <c r="G855" i="11"/>
  <c r="G854" i="11"/>
  <c r="G853" i="11"/>
  <c r="G852" i="11"/>
  <c r="G851" i="11"/>
  <c r="G850" i="11"/>
  <c r="G849" i="11"/>
  <c r="G848" i="11"/>
  <c r="G847" i="11"/>
  <c r="G846" i="11"/>
  <c r="G843" i="11"/>
  <c r="G842" i="11"/>
  <c r="G841" i="11"/>
  <c r="G840" i="11"/>
  <c r="G839" i="11"/>
  <c r="G838" i="11"/>
  <c r="G837" i="11"/>
  <c r="G836" i="11"/>
  <c r="G835" i="11"/>
  <c r="G834" i="11"/>
  <c r="G831" i="11"/>
  <c r="G830" i="11"/>
  <c r="G829" i="11"/>
  <c r="G828" i="11"/>
  <c r="G827" i="11"/>
  <c r="G826" i="11"/>
  <c r="G825" i="11"/>
  <c r="G824" i="11"/>
  <c r="G823" i="11"/>
  <c r="G822" i="11"/>
  <c r="G819" i="11"/>
  <c r="G818" i="11"/>
  <c r="G817" i="11"/>
  <c r="G816" i="11"/>
  <c r="G815" i="11"/>
  <c r="G814" i="11"/>
  <c r="G813" i="11"/>
  <c r="G812" i="11"/>
  <c r="G811" i="11"/>
  <c r="G810" i="11"/>
  <c r="G792" i="11"/>
  <c r="G791" i="11"/>
  <c r="G790" i="11"/>
  <c r="G789" i="11"/>
  <c r="G788" i="11"/>
  <c r="G787" i="11"/>
  <c r="G786" i="11"/>
  <c r="G785" i="11"/>
  <c r="G784" i="11"/>
  <c r="G783" i="11"/>
  <c r="G780" i="11"/>
  <c r="G779" i="11"/>
  <c r="G778" i="11"/>
  <c r="G777" i="11"/>
  <c r="G776" i="11"/>
  <c r="G775" i="11"/>
  <c r="G774" i="11"/>
  <c r="G773" i="11"/>
  <c r="G772" i="11"/>
  <c r="G771" i="11"/>
  <c r="G768" i="11"/>
  <c r="G767" i="11"/>
  <c r="G766" i="11"/>
  <c r="G765" i="11"/>
  <c r="G764" i="11"/>
  <c r="G763" i="11"/>
  <c r="G762" i="11"/>
  <c r="G761" i="11"/>
  <c r="G760" i="11"/>
  <c r="G759" i="11"/>
  <c r="G756" i="11"/>
  <c r="G755" i="11"/>
  <c r="G754" i="11"/>
  <c r="G753" i="11"/>
  <c r="G752" i="11"/>
  <c r="G751" i="11"/>
  <c r="G750" i="11"/>
  <c r="G749" i="11"/>
  <c r="G748" i="11"/>
  <c r="G747" i="11"/>
  <c r="G744" i="11"/>
  <c r="G743" i="11"/>
  <c r="G742" i="11"/>
  <c r="G741" i="11"/>
  <c r="G740" i="11"/>
  <c r="G739" i="11"/>
  <c r="G738" i="11"/>
  <c r="G737" i="11"/>
  <c r="G736" i="11"/>
  <c r="G735" i="11"/>
  <c r="G732" i="11"/>
  <c r="G731" i="11"/>
  <c r="G730" i="11"/>
  <c r="G729" i="11"/>
  <c r="G728" i="11"/>
  <c r="G727" i="11"/>
  <c r="G726" i="11"/>
  <c r="G725" i="11"/>
  <c r="G724" i="11"/>
  <c r="G723" i="11"/>
  <c r="G720" i="11"/>
  <c r="G719" i="11"/>
  <c r="G718" i="11"/>
  <c r="G717" i="11"/>
  <c r="G716" i="11"/>
  <c r="G715" i="11"/>
  <c r="G714" i="11"/>
  <c r="G713" i="11"/>
  <c r="G712" i="11"/>
  <c r="G711" i="11"/>
  <c r="G692" i="11"/>
  <c r="F692" i="11"/>
  <c r="G691" i="11"/>
  <c r="F691" i="11"/>
  <c r="G690" i="11"/>
  <c r="F690" i="11"/>
  <c r="F693" i="11" s="1"/>
  <c r="G689" i="11"/>
  <c r="F689" i="11"/>
  <c r="G688" i="11"/>
  <c r="F688" i="11"/>
  <c r="G687" i="11"/>
  <c r="F687" i="11"/>
  <c r="G684" i="11"/>
  <c r="F684" i="11"/>
  <c r="G683" i="11"/>
  <c r="F683" i="11"/>
  <c r="G682" i="11"/>
  <c r="F682" i="11"/>
  <c r="G681" i="11"/>
  <c r="F681" i="11"/>
  <c r="G680" i="11"/>
  <c r="F680" i="11"/>
  <c r="G679" i="11"/>
  <c r="F679" i="11"/>
  <c r="G676" i="11"/>
  <c r="F676" i="11"/>
  <c r="G675" i="11"/>
  <c r="F675" i="11"/>
  <c r="G674" i="11"/>
  <c r="F674" i="11"/>
  <c r="G673" i="11"/>
  <c r="F673" i="11"/>
  <c r="G672" i="11"/>
  <c r="F672" i="11"/>
  <c r="G671" i="11"/>
  <c r="F671" i="11"/>
  <c r="G668" i="11"/>
  <c r="F668" i="11"/>
  <c r="G667" i="11"/>
  <c r="F667" i="11"/>
  <c r="G666" i="11"/>
  <c r="F666" i="11"/>
  <c r="G665" i="11"/>
  <c r="F665" i="11"/>
  <c r="G664" i="11"/>
  <c r="F664" i="11"/>
  <c r="G663" i="11"/>
  <c r="F663" i="11"/>
  <c r="G660" i="11"/>
  <c r="F660" i="11"/>
  <c r="G659" i="11"/>
  <c r="F659" i="11"/>
  <c r="G658" i="11"/>
  <c r="F658" i="11"/>
  <c r="F661" i="11" s="1"/>
  <c r="G657" i="11"/>
  <c r="F657" i="11"/>
  <c r="G656" i="11"/>
  <c r="F656" i="11"/>
  <c r="G655" i="11"/>
  <c r="F655" i="11"/>
  <c r="G652" i="11"/>
  <c r="F652" i="11"/>
  <c r="G651" i="11"/>
  <c r="F651" i="11"/>
  <c r="G650" i="11"/>
  <c r="F650" i="11"/>
  <c r="G649" i="11"/>
  <c r="F649" i="11"/>
  <c r="G648" i="11"/>
  <c r="F648" i="11"/>
  <c r="G647" i="11"/>
  <c r="F647" i="11"/>
  <c r="G644" i="11"/>
  <c r="F644" i="11"/>
  <c r="G643" i="11"/>
  <c r="F643" i="11"/>
  <c r="G642" i="11"/>
  <c r="F642" i="11"/>
  <c r="G641" i="11"/>
  <c r="F641" i="11"/>
  <c r="G640" i="11"/>
  <c r="F640" i="11"/>
  <c r="G639" i="11"/>
  <c r="F639" i="11"/>
  <c r="G636" i="11"/>
  <c r="F636" i="11"/>
  <c r="G635" i="11"/>
  <c r="F635" i="11"/>
  <c r="G634" i="11"/>
  <c r="F634" i="11"/>
  <c r="G633" i="11"/>
  <c r="F633" i="11"/>
  <c r="G632" i="11"/>
  <c r="F632" i="11"/>
  <c r="G631" i="11"/>
  <c r="F631" i="11"/>
  <c r="G628" i="11"/>
  <c r="F628" i="11"/>
  <c r="G627" i="11"/>
  <c r="F627" i="11"/>
  <c r="G626" i="11"/>
  <c r="F626" i="11"/>
  <c r="F629" i="11" s="1"/>
  <c r="G625" i="11"/>
  <c r="F625" i="11"/>
  <c r="G624" i="11"/>
  <c r="F624" i="11"/>
  <c r="G623" i="11"/>
  <c r="F623" i="11"/>
  <c r="G620" i="11"/>
  <c r="F620" i="11"/>
  <c r="G619" i="11"/>
  <c r="F619" i="11"/>
  <c r="G618" i="11"/>
  <c r="F618" i="11"/>
  <c r="G617" i="11"/>
  <c r="F617" i="11"/>
  <c r="G616" i="11"/>
  <c r="F616" i="11"/>
  <c r="G615" i="11"/>
  <c r="F615" i="11"/>
  <c r="G612" i="11"/>
  <c r="F612" i="11"/>
  <c r="G611" i="11"/>
  <c r="F611" i="11"/>
  <c r="G610" i="11"/>
  <c r="F610" i="11"/>
  <c r="G609" i="11"/>
  <c r="F609" i="11"/>
  <c r="G608" i="11"/>
  <c r="F608" i="11"/>
  <c r="G607" i="11"/>
  <c r="F607" i="11"/>
  <c r="G604" i="11"/>
  <c r="F604" i="11"/>
  <c r="G603" i="11"/>
  <c r="F603" i="11"/>
  <c r="G602" i="11"/>
  <c r="F602" i="11"/>
  <c r="G601" i="11"/>
  <c r="F601" i="11"/>
  <c r="G600" i="11"/>
  <c r="F600" i="11"/>
  <c r="G599" i="11"/>
  <c r="F599" i="11"/>
  <c r="G596" i="11"/>
  <c r="F596" i="11"/>
  <c r="G595" i="11"/>
  <c r="F595" i="11"/>
  <c r="G594" i="11"/>
  <c r="F594" i="11"/>
  <c r="F597" i="11" s="1"/>
  <c r="G593" i="11"/>
  <c r="F593" i="11"/>
  <c r="G592" i="11"/>
  <c r="F592" i="11"/>
  <c r="G591" i="11"/>
  <c r="F591" i="11"/>
  <c r="X452" i="11"/>
  <c r="Y452" i="11"/>
  <c r="Z452" i="11"/>
  <c r="AA452" i="11"/>
  <c r="AB452" i="11"/>
  <c r="AC452" i="11"/>
  <c r="AD452" i="11"/>
  <c r="D328" i="26"/>
  <c r="G605" i="11" l="1"/>
  <c r="G637" i="11"/>
  <c r="G669" i="11"/>
  <c r="F605" i="11"/>
  <c r="F637" i="11"/>
  <c r="F669" i="11"/>
  <c r="G597" i="11"/>
  <c r="G629" i="11"/>
  <c r="G661" i="11"/>
  <c r="G693" i="11"/>
  <c r="G645" i="11"/>
  <c r="G677" i="11"/>
  <c r="G613" i="11"/>
  <c r="F613" i="11"/>
  <c r="F645" i="11"/>
  <c r="F677" i="11"/>
  <c r="F621" i="11"/>
  <c r="F653" i="11"/>
  <c r="F685" i="11"/>
  <c r="G653" i="11"/>
  <c r="G685" i="11"/>
  <c r="G621" i="11"/>
  <c r="C322" i="26" l="1"/>
  <c r="G203" i="26" l="1"/>
  <c r="F203" i="26"/>
  <c r="E203" i="26"/>
  <c r="D203" i="26"/>
  <c r="C203" i="26"/>
  <c r="H11" i="28" l="1"/>
  <c r="H10" i="28"/>
  <c r="H9" i="28"/>
  <c r="H8" i="28"/>
  <c r="H7" i="28"/>
  <c r="H6" i="28"/>
  <c r="H5" i="28"/>
  <c r="CS11" i="28"/>
  <c r="CS10" i="28"/>
  <c r="CS9" i="28"/>
  <c r="CS8" i="28"/>
  <c r="CS7" i="28"/>
  <c r="CS6" i="28"/>
  <c r="CS5" i="28"/>
  <c r="CS4" i="28"/>
  <c r="CS3" i="28"/>
  <c r="CS2" i="28"/>
  <c r="CE11" i="28"/>
  <c r="CE10" i="28"/>
  <c r="CE9" i="28"/>
  <c r="CE8" i="28"/>
  <c r="CE7" i="28"/>
  <c r="CE6" i="28"/>
  <c r="CE5" i="28"/>
  <c r="CE4" i="28"/>
  <c r="CE3" i="28"/>
  <c r="CE2" i="28"/>
  <c r="BY11" i="28"/>
  <c r="BY10" i="28"/>
  <c r="BY9" i="28"/>
  <c r="BY8" i="28"/>
  <c r="BY7" i="28"/>
  <c r="BY6" i="28"/>
  <c r="BY5" i="28"/>
  <c r="BY4" i="28"/>
  <c r="BY3" i="28"/>
  <c r="BY2" i="28"/>
  <c r="BS11" i="28"/>
  <c r="BS10" i="28"/>
  <c r="BS9" i="28"/>
  <c r="BS8" i="28"/>
  <c r="BS7" i="28"/>
  <c r="BS6" i="28"/>
  <c r="BS5" i="28"/>
  <c r="BS4" i="28"/>
  <c r="BS3" i="28"/>
  <c r="BS2" i="28"/>
  <c r="BB11" i="28"/>
  <c r="BB10" i="28"/>
  <c r="BB9" i="28"/>
  <c r="BB8" i="28"/>
  <c r="BB7" i="28"/>
  <c r="BB6" i="28"/>
  <c r="BB5" i="28"/>
  <c r="BB4" i="28"/>
  <c r="BB3" i="28"/>
  <c r="BB2" i="28"/>
  <c r="AW11" i="28"/>
  <c r="AW10" i="28"/>
  <c r="AW9" i="28"/>
  <c r="AW8" i="28"/>
  <c r="AW7" i="28"/>
  <c r="AW6" i="28"/>
  <c r="AW5" i="28"/>
  <c r="AW4" i="28"/>
  <c r="AW3" i="28"/>
  <c r="AW2" i="28"/>
  <c r="Z11" i="28"/>
  <c r="Z10" i="28"/>
  <c r="Z9" i="28"/>
  <c r="Z8" i="28"/>
  <c r="Z7" i="28"/>
  <c r="Z6" i="28"/>
  <c r="Z5" i="28"/>
  <c r="Z4" i="28"/>
  <c r="Z3" i="28"/>
  <c r="Z2" i="28"/>
  <c r="N11" i="28"/>
  <c r="N10" i="28"/>
  <c r="N9" i="28"/>
  <c r="N8" i="28"/>
  <c r="N7" i="28"/>
  <c r="N6" i="28"/>
  <c r="N5" i="28"/>
  <c r="N4" i="28"/>
  <c r="N3" i="28"/>
  <c r="N2" i="28"/>
  <c r="I3" i="28"/>
  <c r="I4" i="28"/>
  <c r="I5" i="28"/>
  <c r="I6" i="28"/>
  <c r="I7" i="28"/>
  <c r="I8" i="28"/>
  <c r="I9" i="28"/>
  <c r="I10" i="28"/>
  <c r="I11" i="28"/>
  <c r="I2" i="28"/>
  <c r="DX11" i="28"/>
  <c r="DW11" i="28"/>
  <c r="DV11" i="28"/>
  <c r="DU11" i="28"/>
  <c r="DT11" i="28"/>
  <c r="DS11" i="28"/>
  <c r="DR11" i="28"/>
  <c r="DQ11" i="28"/>
  <c r="DP11" i="28"/>
  <c r="DO11" i="28"/>
  <c r="DN11" i="28"/>
  <c r="DM11" i="28"/>
  <c r="DL11" i="28"/>
  <c r="DK11" i="28"/>
  <c r="DJ11" i="28"/>
  <c r="DI11" i="28"/>
  <c r="DH11" i="28"/>
  <c r="DG11" i="28"/>
  <c r="DF11" i="28"/>
  <c r="DE11" i="28"/>
  <c r="DD11" i="28"/>
  <c r="DC11" i="28"/>
  <c r="DB11" i="28"/>
  <c r="DA11" i="28"/>
  <c r="CZ11" i="28"/>
  <c r="CY11" i="28"/>
  <c r="CX11" i="28"/>
  <c r="CW11" i="28"/>
  <c r="CV11" i="28"/>
  <c r="CU11" i="28"/>
  <c r="CT11" i="28"/>
  <c r="CJ11" i="28"/>
  <c r="CI11" i="28"/>
  <c r="CD11" i="28"/>
  <c r="CC11" i="28"/>
  <c r="CB11" i="28"/>
  <c r="CA11" i="28"/>
  <c r="BZ11" i="28"/>
  <c r="BX11" i="28"/>
  <c r="BW11" i="28"/>
  <c r="BV11" i="28"/>
  <c r="BU11" i="28"/>
  <c r="BT11" i="28"/>
  <c r="BR11" i="28"/>
  <c r="BQ11" i="28"/>
  <c r="BP11" i="28"/>
  <c r="BO11" i="28"/>
  <c r="BN11" i="28"/>
  <c r="BM11" i="28"/>
  <c r="BL11" i="28"/>
  <c r="BK11" i="28"/>
  <c r="BJ11" i="28"/>
  <c r="BI11" i="28"/>
  <c r="BH11" i="28"/>
  <c r="BG11" i="28"/>
  <c r="BF11" i="28"/>
  <c r="BE11" i="28"/>
  <c r="BD11" i="28"/>
  <c r="BC11" i="28"/>
  <c r="BA11" i="28"/>
  <c r="AZ11" i="28"/>
  <c r="AV11" i="28"/>
  <c r="AU11" i="28"/>
  <c r="AT11" i="28"/>
  <c r="AS11" i="28"/>
  <c r="AR11" i="28"/>
  <c r="AQ11" i="28"/>
  <c r="AP11" i="28"/>
  <c r="AE11" i="28"/>
  <c r="AC11" i="28"/>
  <c r="Y11" i="28"/>
  <c r="X11" i="28"/>
  <c r="V11" i="28"/>
  <c r="T11" i="28"/>
  <c r="S11" i="28"/>
  <c r="P11" i="28"/>
  <c r="O11" i="28"/>
  <c r="DX10" i="28"/>
  <c r="DW10" i="28"/>
  <c r="DV10" i="28"/>
  <c r="DU10" i="28"/>
  <c r="DT10" i="28"/>
  <c r="DS10" i="28"/>
  <c r="DR10" i="28"/>
  <c r="DQ10" i="28"/>
  <c r="DP10" i="28"/>
  <c r="DO10" i="28"/>
  <c r="DN10" i="28"/>
  <c r="DM10" i="28"/>
  <c r="DL10" i="28"/>
  <c r="DK10" i="28"/>
  <c r="DJ10" i="28"/>
  <c r="DI10" i="28"/>
  <c r="DH10" i="28"/>
  <c r="DG10" i="28"/>
  <c r="DF10" i="28"/>
  <c r="DE10" i="28"/>
  <c r="DD10" i="28"/>
  <c r="DC10" i="28"/>
  <c r="DB10" i="28"/>
  <c r="DA10" i="28"/>
  <c r="CZ10" i="28"/>
  <c r="CY10" i="28"/>
  <c r="CX10" i="28"/>
  <c r="CW10" i="28"/>
  <c r="CV10" i="28"/>
  <c r="CU10" i="28"/>
  <c r="CT10" i="28"/>
  <c r="CJ10" i="28"/>
  <c r="CI10" i="28"/>
  <c r="CD10" i="28"/>
  <c r="CC10" i="28"/>
  <c r="CB10" i="28"/>
  <c r="CA10" i="28"/>
  <c r="BZ10" i="28"/>
  <c r="BX10" i="28"/>
  <c r="BW10" i="28"/>
  <c r="BV10" i="28"/>
  <c r="BU10" i="28"/>
  <c r="BT10" i="28"/>
  <c r="BR10" i="28"/>
  <c r="BQ10" i="28"/>
  <c r="BP10" i="28"/>
  <c r="BO10" i="28"/>
  <c r="BN10" i="28"/>
  <c r="BM10" i="28"/>
  <c r="BL10" i="28"/>
  <c r="BK10" i="28"/>
  <c r="BJ10" i="28"/>
  <c r="BI10" i="28"/>
  <c r="BH10" i="28"/>
  <c r="BG10" i="28"/>
  <c r="BF10" i="28"/>
  <c r="BE10" i="28"/>
  <c r="BD10" i="28"/>
  <c r="BC10" i="28"/>
  <c r="BA10" i="28"/>
  <c r="AZ10" i="28"/>
  <c r="AV10" i="28"/>
  <c r="AU10" i="28"/>
  <c r="AT10" i="28"/>
  <c r="AS10" i="28"/>
  <c r="AR10" i="28"/>
  <c r="AQ10" i="28"/>
  <c r="AP10" i="28"/>
  <c r="AE10" i="28"/>
  <c r="AC10" i="28"/>
  <c r="Y10" i="28"/>
  <c r="X10" i="28"/>
  <c r="V10" i="28"/>
  <c r="T10" i="28"/>
  <c r="S10" i="28"/>
  <c r="P10" i="28"/>
  <c r="O10" i="28"/>
  <c r="DX9" i="28"/>
  <c r="DW9" i="28"/>
  <c r="DV9" i="28"/>
  <c r="DU9" i="28"/>
  <c r="DT9" i="28"/>
  <c r="DS9" i="28"/>
  <c r="DR9" i="28"/>
  <c r="DQ9" i="28"/>
  <c r="DP9" i="28"/>
  <c r="DO9" i="28"/>
  <c r="DN9" i="28"/>
  <c r="DM9" i="28"/>
  <c r="DL9" i="28"/>
  <c r="DK9" i="28"/>
  <c r="DJ9" i="28"/>
  <c r="DI9" i="28"/>
  <c r="DH9" i="28"/>
  <c r="DG9" i="28"/>
  <c r="DF9" i="28"/>
  <c r="DE9" i="28"/>
  <c r="DD9" i="28"/>
  <c r="DC9" i="28"/>
  <c r="DB9" i="28"/>
  <c r="DA9" i="28"/>
  <c r="CZ9" i="28"/>
  <c r="CY9" i="28"/>
  <c r="CX9" i="28"/>
  <c r="CW9" i="28"/>
  <c r="CV9" i="28"/>
  <c r="CU9" i="28"/>
  <c r="CT9" i="28"/>
  <c r="CJ9" i="28"/>
  <c r="CI9" i="28"/>
  <c r="CD9" i="28"/>
  <c r="CC9" i="28"/>
  <c r="CB9" i="28"/>
  <c r="CA9" i="28"/>
  <c r="BZ9" i="28"/>
  <c r="BX9" i="28"/>
  <c r="BW9" i="28"/>
  <c r="BV9" i="28"/>
  <c r="BU9" i="28"/>
  <c r="BT9" i="28"/>
  <c r="BR9" i="28"/>
  <c r="BQ9" i="28"/>
  <c r="BP9" i="28"/>
  <c r="BO9" i="28"/>
  <c r="BN9" i="28"/>
  <c r="BM9" i="28"/>
  <c r="BL9" i="28"/>
  <c r="BK9" i="28"/>
  <c r="BJ9" i="28"/>
  <c r="BI9" i="28"/>
  <c r="BH9" i="28"/>
  <c r="BG9" i="28"/>
  <c r="BF9" i="28"/>
  <c r="BE9" i="28"/>
  <c r="BD9" i="28"/>
  <c r="BC9" i="28"/>
  <c r="BA9" i="28"/>
  <c r="AZ9" i="28"/>
  <c r="AV9" i="28"/>
  <c r="AU9" i="28"/>
  <c r="AT9" i="28"/>
  <c r="AS9" i="28"/>
  <c r="AR9" i="28"/>
  <c r="AQ9" i="28"/>
  <c r="AP9" i="28"/>
  <c r="AE9" i="28"/>
  <c r="AC9" i="28"/>
  <c r="Y9" i="28"/>
  <c r="X9" i="28"/>
  <c r="V9" i="28"/>
  <c r="T9" i="28"/>
  <c r="S9" i="28"/>
  <c r="P9" i="28"/>
  <c r="O9" i="28"/>
  <c r="DX8" i="28"/>
  <c r="DW8" i="28"/>
  <c r="DV8" i="28"/>
  <c r="DU8" i="28"/>
  <c r="DT8" i="28"/>
  <c r="DS8" i="28"/>
  <c r="DR8" i="28"/>
  <c r="DQ8" i="28"/>
  <c r="DP8" i="28"/>
  <c r="DO8" i="28"/>
  <c r="DN8" i="28"/>
  <c r="DM8" i="28"/>
  <c r="DL8" i="28"/>
  <c r="DK8" i="28"/>
  <c r="DJ8" i="28"/>
  <c r="DI8" i="28"/>
  <c r="DH8" i="28"/>
  <c r="DG8" i="28"/>
  <c r="DF8" i="28"/>
  <c r="DE8" i="28"/>
  <c r="DD8" i="28"/>
  <c r="DC8" i="28"/>
  <c r="DB8" i="28"/>
  <c r="DA8" i="28"/>
  <c r="CZ8" i="28"/>
  <c r="CY8" i="28"/>
  <c r="CX8" i="28"/>
  <c r="CW8" i="28"/>
  <c r="CV8" i="28"/>
  <c r="CU8" i="28"/>
  <c r="CT8" i="28"/>
  <c r="CJ8" i="28"/>
  <c r="CI8" i="28"/>
  <c r="CD8" i="28"/>
  <c r="CC8" i="28"/>
  <c r="CB8" i="28"/>
  <c r="CA8" i="28"/>
  <c r="BZ8" i="28"/>
  <c r="BX8" i="28"/>
  <c r="BW8" i="28"/>
  <c r="BV8" i="28"/>
  <c r="BU8" i="28"/>
  <c r="BT8" i="28"/>
  <c r="BR8" i="28"/>
  <c r="BQ8" i="28"/>
  <c r="BP8" i="28"/>
  <c r="BO8" i="28"/>
  <c r="BN8" i="28"/>
  <c r="BM8" i="28"/>
  <c r="BL8" i="28"/>
  <c r="BK8" i="28"/>
  <c r="BJ8" i="28"/>
  <c r="BI8" i="28"/>
  <c r="BH8" i="28"/>
  <c r="BG8" i="28"/>
  <c r="BF8" i="28"/>
  <c r="BE8" i="28"/>
  <c r="BD8" i="28"/>
  <c r="BC8" i="28"/>
  <c r="BA8" i="28"/>
  <c r="AZ8" i="28"/>
  <c r="AY8" i="28"/>
  <c r="AX8" i="28"/>
  <c r="AV8" i="28"/>
  <c r="AU8" i="28"/>
  <c r="AT8" i="28"/>
  <c r="AS8" i="28"/>
  <c r="AR8" i="28"/>
  <c r="AQ8" i="28"/>
  <c r="AP8" i="28"/>
  <c r="AE8" i="28"/>
  <c r="AC8" i="28"/>
  <c r="AB8" i="28"/>
  <c r="AA8" i="28"/>
  <c r="Y8" i="28"/>
  <c r="X8" i="28"/>
  <c r="V8" i="28"/>
  <c r="T8" i="28"/>
  <c r="S8" i="28"/>
  <c r="P8" i="28"/>
  <c r="O8" i="28"/>
  <c r="M8" i="28"/>
  <c r="L8" i="28"/>
  <c r="K8" i="28"/>
  <c r="J8" i="28"/>
  <c r="DX7" i="28"/>
  <c r="DW7" i="28"/>
  <c r="DV7" i="28"/>
  <c r="DU7" i="28"/>
  <c r="DT7" i="28"/>
  <c r="DS7" i="28"/>
  <c r="DR7" i="28"/>
  <c r="DQ7" i="28"/>
  <c r="DP7" i="28"/>
  <c r="DO7" i="28"/>
  <c r="DN7" i="28"/>
  <c r="DM7" i="28"/>
  <c r="DL7" i="28"/>
  <c r="DK7" i="28"/>
  <c r="DJ7" i="28"/>
  <c r="DI7" i="28"/>
  <c r="DH7" i="28"/>
  <c r="DG7" i="28"/>
  <c r="DF7" i="28"/>
  <c r="DE7" i="28"/>
  <c r="DD7" i="28"/>
  <c r="DC7" i="28"/>
  <c r="DB7" i="28"/>
  <c r="DA7" i="28"/>
  <c r="CZ7" i="28"/>
  <c r="CY7" i="28"/>
  <c r="CX7" i="28"/>
  <c r="CW7" i="28"/>
  <c r="CV7" i="28"/>
  <c r="CU7" i="28"/>
  <c r="CT7" i="28"/>
  <c r="CJ7" i="28"/>
  <c r="CI7" i="28"/>
  <c r="CD7" i="28"/>
  <c r="CC7" i="28"/>
  <c r="CB7" i="28"/>
  <c r="CA7" i="28"/>
  <c r="BZ7" i="28"/>
  <c r="BX7" i="28"/>
  <c r="BW7" i="28"/>
  <c r="BV7" i="28"/>
  <c r="BU7" i="28"/>
  <c r="BT7" i="28"/>
  <c r="BR7" i="28"/>
  <c r="BQ7" i="28"/>
  <c r="BP7" i="28"/>
  <c r="BO7" i="28"/>
  <c r="BN7" i="28"/>
  <c r="BM7" i="28"/>
  <c r="BL7" i="28"/>
  <c r="BK7" i="28"/>
  <c r="BJ7" i="28"/>
  <c r="BI7" i="28"/>
  <c r="BH7" i="28"/>
  <c r="BG7" i="28"/>
  <c r="BF7" i="28"/>
  <c r="BE7" i="28"/>
  <c r="BD7" i="28"/>
  <c r="BC7" i="28"/>
  <c r="BA7" i="28"/>
  <c r="AZ7" i="28"/>
  <c r="AY7" i="28"/>
  <c r="AX7" i="28"/>
  <c r="AV7" i="28"/>
  <c r="AU7" i="28"/>
  <c r="AT7" i="28"/>
  <c r="AS7" i="28"/>
  <c r="AR7" i="28"/>
  <c r="AQ7" i="28"/>
  <c r="AP7" i="28"/>
  <c r="AE7" i="28"/>
  <c r="AC7" i="28"/>
  <c r="AB7" i="28"/>
  <c r="AA7" i="28"/>
  <c r="Y7" i="28"/>
  <c r="X7" i="28"/>
  <c r="V7" i="28"/>
  <c r="T7" i="28"/>
  <c r="S7" i="28"/>
  <c r="P7" i="28"/>
  <c r="O7" i="28"/>
  <c r="M7" i="28"/>
  <c r="L7" i="28"/>
  <c r="K7" i="28"/>
  <c r="J7" i="28"/>
  <c r="DX6" i="28"/>
  <c r="DW6" i="28"/>
  <c r="DV6" i="28"/>
  <c r="DU6" i="28"/>
  <c r="DT6" i="28"/>
  <c r="DS6" i="28"/>
  <c r="DR6" i="28"/>
  <c r="DQ6" i="28"/>
  <c r="DP6" i="28"/>
  <c r="DO6" i="28"/>
  <c r="DN6" i="28"/>
  <c r="DM6" i="28"/>
  <c r="DL6" i="28"/>
  <c r="DK6" i="28"/>
  <c r="DJ6" i="28"/>
  <c r="DI6" i="28"/>
  <c r="DH6" i="28"/>
  <c r="DG6" i="28"/>
  <c r="DF6" i="28"/>
  <c r="DE6" i="28"/>
  <c r="DD6" i="28"/>
  <c r="DC6" i="28"/>
  <c r="DB6" i="28"/>
  <c r="DA6" i="28"/>
  <c r="CZ6" i="28"/>
  <c r="CY6" i="28"/>
  <c r="CX6" i="28"/>
  <c r="CW6" i="28"/>
  <c r="CV6" i="28"/>
  <c r="CU6" i="28"/>
  <c r="CT6" i="28"/>
  <c r="CJ6" i="28"/>
  <c r="CI6" i="28"/>
  <c r="CD6" i="28"/>
  <c r="CC6" i="28"/>
  <c r="CB6" i="28"/>
  <c r="CA6" i="28"/>
  <c r="BZ6" i="28"/>
  <c r="BX6" i="28"/>
  <c r="BW6" i="28"/>
  <c r="BV6" i="28"/>
  <c r="BU6" i="28"/>
  <c r="BT6" i="28"/>
  <c r="BR6" i="28"/>
  <c r="BQ6" i="28"/>
  <c r="BP6" i="28"/>
  <c r="BO6" i="28"/>
  <c r="BN6" i="28"/>
  <c r="BM6" i="28"/>
  <c r="BL6" i="28"/>
  <c r="BK6" i="28"/>
  <c r="BJ6" i="28"/>
  <c r="BI6" i="28"/>
  <c r="BH6" i="28"/>
  <c r="BG6" i="28"/>
  <c r="BF6" i="28"/>
  <c r="BE6" i="28"/>
  <c r="BD6" i="28"/>
  <c r="BC6" i="28"/>
  <c r="BA6" i="28"/>
  <c r="AZ6" i="28"/>
  <c r="AY6" i="28"/>
  <c r="AX6" i="28"/>
  <c r="AV6" i="28"/>
  <c r="AU6" i="28"/>
  <c r="AT6" i="28"/>
  <c r="AS6" i="28"/>
  <c r="AR6" i="28"/>
  <c r="AQ6" i="28"/>
  <c r="AP6" i="28"/>
  <c r="AE6" i="28"/>
  <c r="AC6" i="28"/>
  <c r="AB6" i="28"/>
  <c r="AA6" i="28"/>
  <c r="Y6" i="28"/>
  <c r="X6" i="28"/>
  <c r="V6" i="28"/>
  <c r="T6" i="28"/>
  <c r="S6" i="28"/>
  <c r="P6" i="28"/>
  <c r="O6" i="28"/>
  <c r="M6" i="28"/>
  <c r="L6" i="28"/>
  <c r="K6" i="28"/>
  <c r="J6" i="28"/>
  <c r="DX5" i="28"/>
  <c r="DW5" i="28"/>
  <c r="DV5" i="28"/>
  <c r="DU5" i="28"/>
  <c r="DT5" i="28"/>
  <c r="DS5" i="28"/>
  <c r="DR5" i="28"/>
  <c r="DQ5" i="28"/>
  <c r="DP5" i="28"/>
  <c r="DO5" i="28"/>
  <c r="DN5" i="28"/>
  <c r="DM5" i="28"/>
  <c r="DL5" i="28"/>
  <c r="DK5" i="28"/>
  <c r="DJ5" i="28"/>
  <c r="DI5" i="28"/>
  <c r="DH5" i="28"/>
  <c r="DG5" i="28"/>
  <c r="DF5" i="28"/>
  <c r="DE5" i="28"/>
  <c r="DD5" i="28"/>
  <c r="DC5" i="28"/>
  <c r="DB5" i="28"/>
  <c r="DA5" i="28"/>
  <c r="CZ5" i="28"/>
  <c r="CY5" i="28"/>
  <c r="CX5" i="28"/>
  <c r="CW5" i="28"/>
  <c r="CV5" i="28"/>
  <c r="CU5" i="28"/>
  <c r="CT5" i="28"/>
  <c r="CJ5" i="28"/>
  <c r="CI5" i="28"/>
  <c r="CD5" i="28"/>
  <c r="CC5" i="28"/>
  <c r="CB5" i="28"/>
  <c r="CA5" i="28"/>
  <c r="BZ5" i="28"/>
  <c r="BX5" i="28"/>
  <c r="BW5" i="28"/>
  <c r="BV5" i="28"/>
  <c r="BU5" i="28"/>
  <c r="BT5" i="28"/>
  <c r="BR5" i="28"/>
  <c r="BQ5" i="28"/>
  <c r="BP5" i="28"/>
  <c r="BO5" i="28"/>
  <c r="BN5" i="28"/>
  <c r="BM5" i="28"/>
  <c r="BL5" i="28"/>
  <c r="BK5" i="28"/>
  <c r="BJ5" i="28"/>
  <c r="BI5" i="28"/>
  <c r="BH5" i="28"/>
  <c r="BG5" i="28"/>
  <c r="BF5" i="28"/>
  <c r="BE5" i="28"/>
  <c r="BD5" i="28"/>
  <c r="BC5" i="28"/>
  <c r="BA5" i="28"/>
  <c r="AZ5" i="28"/>
  <c r="AY5" i="28"/>
  <c r="AX5" i="28"/>
  <c r="AV5" i="28"/>
  <c r="AU5" i="28"/>
  <c r="AT5" i="28"/>
  <c r="AS5" i="28"/>
  <c r="AR5" i="28"/>
  <c r="AQ5" i="28"/>
  <c r="AP5" i="28"/>
  <c r="AE5" i="28"/>
  <c r="AC5" i="28"/>
  <c r="AB5" i="28"/>
  <c r="AA5" i="28"/>
  <c r="Y5" i="28"/>
  <c r="X5" i="28"/>
  <c r="V5" i="28"/>
  <c r="T5" i="28"/>
  <c r="S5" i="28"/>
  <c r="P5" i="28"/>
  <c r="O5" i="28"/>
  <c r="M5" i="28"/>
  <c r="L5" i="28"/>
  <c r="K5" i="28"/>
  <c r="J5" i="28"/>
  <c r="DX4" i="28"/>
  <c r="DW4" i="28"/>
  <c r="DV4" i="28"/>
  <c r="DU4" i="28"/>
  <c r="DT4" i="28"/>
  <c r="DS4" i="28"/>
  <c r="DR4" i="28"/>
  <c r="DQ4" i="28"/>
  <c r="DP4" i="28"/>
  <c r="DO4" i="28"/>
  <c r="DN4" i="28"/>
  <c r="DM4" i="28"/>
  <c r="DL4" i="28"/>
  <c r="DK4" i="28"/>
  <c r="DJ4" i="28"/>
  <c r="DI4" i="28"/>
  <c r="DH4" i="28"/>
  <c r="DG4" i="28"/>
  <c r="DF4" i="28"/>
  <c r="DE4" i="28"/>
  <c r="DD4" i="28"/>
  <c r="DC4" i="28"/>
  <c r="DB4" i="28"/>
  <c r="DA4" i="28"/>
  <c r="CZ4" i="28"/>
  <c r="CY4" i="28"/>
  <c r="CX4" i="28"/>
  <c r="CW4" i="28"/>
  <c r="CV4" i="28"/>
  <c r="CU4" i="28"/>
  <c r="CT4" i="28"/>
  <c r="CJ4" i="28"/>
  <c r="CI4" i="28"/>
  <c r="CD4" i="28"/>
  <c r="CC4" i="28"/>
  <c r="CB4" i="28"/>
  <c r="CA4" i="28"/>
  <c r="BZ4" i="28"/>
  <c r="BX4" i="28"/>
  <c r="BW4" i="28"/>
  <c r="BV4" i="28"/>
  <c r="BU4" i="28"/>
  <c r="BT4" i="28"/>
  <c r="BA4" i="28"/>
  <c r="AV4" i="28"/>
  <c r="AU4" i="28"/>
  <c r="AT4" i="28"/>
  <c r="AS4" i="28"/>
  <c r="AR4" i="28"/>
  <c r="AQ4" i="28"/>
  <c r="AP4" i="28"/>
  <c r="CJ3" i="28"/>
  <c r="CI3" i="28"/>
  <c r="CJ2" i="28"/>
  <c r="CI2" i="28"/>
  <c r="L58" i="27" l="1"/>
  <c r="AY11" i="28" s="1"/>
  <c r="K58" i="27"/>
  <c r="AY10" i="28" s="1"/>
  <c r="J58" i="27"/>
  <c r="AY9" i="28" s="1"/>
  <c r="L57" i="27"/>
  <c r="AX11" i="28" s="1"/>
  <c r="K57" i="27"/>
  <c r="AX10" i="28" s="1"/>
  <c r="J57" i="27"/>
  <c r="AX9" i="28" s="1"/>
  <c r="H104" i="27"/>
  <c r="CN7" i="28" s="1"/>
  <c r="I43" i="27"/>
  <c r="AL8" i="28" s="1"/>
  <c r="G37" i="27"/>
  <c r="AF6" i="28" s="1"/>
  <c r="H37" i="27"/>
  <c r="AF7" i="28" s="1"/>
  <c r="I37" i="27"/>
  <c r="AF8" i="28" s="1"/>
  <c r="F37" i="27"/>
  <c r="AF5" i="28" s="1"/>
  <c r="L33" i="27"/>
  <c r="AB11" i="28" s="1"/>
  <c r="K33" i="27"/>
  <c r="AB10" i="28" s="1"/>
  <c r="J33" i="27"/>
  <c r="AB9" i="28" s="1"/>
  <c r="L32" i="27"/>
  <c r="AA11" i="28" s="1"/>
  <c r="K32" i="27"/>
  <c r="AA10" i="28" s="1"/>
  <c r="J32" i="27"/>
  <c r="AA9" i="28" s="1"/>
  <c r="J14" i="27"/>
  <c r="K9" i="28" s="1"/>
  <c r="K14" i="27"/>
  <c r="K10" i="28" s="1"/>
  <c r="L14" i="27"/>
  <c r="K11" i="28" s="1"/>
  <c r="J15" i="27"/>
  <c r="L9" i="28" s="1"/>
  <c r="K15" i="27"/>
  <c r="L10" i="28" s="1"/>
  <c r="L15" i="27"/>
  <c r="L11" i="28" s="1"/>
  <c r="J16" i="27"/>
  <c r="M9" i="28" s="1"/>
  <c r="K16" i="27"/>
  <c r="M10" i="28" s="1"/>
  <c r="L16" i="27"/>
  <c r="M11" i="28" s="1"/>
  <c r="K13" i="27"/>
  <c r="J10" i="28" s="1"/>
  <c r="L13" i="27"/>
  <c r="J13" i="27"/>
  <c r="J9" i="28" s="1"/>
  <c r="G21" i="27"/>
  <c r="Q6" i="28" s="1"/>
  <c r="H21" i="27"/>
  <c r="Q7" i="28" s="1"/>
  <c r="I21" i="27"/>
  <c r="Q8" i="28" s="1"/>
  <c r="J21" i="27"/>
  <c r="Q9" i="28" s="1"/>
  <c r="K21" i="27"/>
  <c r="Q10" i="28" s="1"/>
  <c r="L21" i="27"/>
  <c r="Q11" i="28" s="1"/>
  <c r="F21" i="27"/>
  <c r="Q5" i="28" s="1"/>
  <c r="L361" i="26"/>
  <c r="H100" i="27" s="1"/>
  <c r="K365" i="26"/>
  <c r="G104" i="27" s="1"/>
  <c r="L365" i="26"/>
  <c r="M365" i="26"/>
  <c r="I104" i="27" s="1"/>
  <c r="CN8" i="28" s="1"/>
  <c r="K366" i="26"/>
  <c r="G105" i="27" s="1"/>
  <c r="L366" i="26"/>
  <c r="H105" i="27" s="1"/>
  <c r="CO7" i="28" s="1"/>
  <c r="M366" i="26"/>
  <c r="I105" i="27" s="1"/>
  <c r="CO8" i="28" s="1"/>
  <c r="K367" i="26"/>
  <c r="G106" i="27" s="1"/>
  <c r="L367" i="26"/>
  <c r="H106" i="27" s="1"/>
  <c r="CP7" i="28" s="1"/>
  <c r="M367" i="26"/>
  <c r="I106" i="27" s="1"/>
  <c r="CP8" i="28" s="1"/>
  <c r="K368" i="26"/>
  <c r="G107" i="27" s="1"/>
  <c r="L368" i="26"/>
  <c r="H107" i="27" s="1"/>
  <c r="M368" i="26"/>
  <c r="I107" i="27" s="1"/>
  <c r="CQ8" i="28" s="1"/>
  <c r="K369" i="26"/>
  <c r="G108" i="27" s="1"/>
  <c r="L369" i="26"/>
  <c r="H108" i="27" s="1"/>
  <c r="M369" i="26"/>
  <c r="I108" i="27" s="1"/>
  <c r="CR8" i="28" s="1"/>
  <c r="J369" i="26"/>
  <c r="F108" i="27" s="1"/>
  <c r="CR5" i="28" s="1"/>
  <c r="J368" i="26"/>
  <c r="F107" i="27" s="1"/>
  <c r="CQ5" i="28" s="1"/>
  <c r="J367" i="26"/>
  <c r="F106" i="27" s="1"/>
  <c r="CP5" i="28" s="1"/>
  <c r="J366" i="26"/>
  <c r="F105" i="27" s="1"/>
  <c r="CO5" i="28" s="1"/>
  <c r="J365" i="26"/>
  <c r="F104" i="27" s="1"/>
  <c r="CN5" i="28" s="1"/>
  <c r="K328" i="26"/>
  <c r="K331" i="26" s="1"/>
  <c r="L328" i="26"/>
  <c r="L331" i="26" s="1"/>
  <c r="M328" i="26"/>
  <c r="M335" i="26" s="1"/>
  <c r="M336" i="26" s="1"/>
  <c r="M337" i="26" s="1"/>
  <c r="K329" i="26"/>
  <c r="K332" i="26" s="1"/>
  <c r="L329" i="26"/>
  <c r="L332" i="26" s="1"/>
  <c r="M329" i="26"/>
  <c r="K330" i="26"/>
  <c r="L330" i="26"/>
  <c r="L333" i="26" s="1"/>
  <c r="M330" i="26"/>
  <c r="M333" i="26" s="1"/>
  <c r="M332" i="26"/>
  <c r="K333" i="26"/>
  <c r="K338" i="26"/>
  <c r="K339" i="26" s="1"/>
  <c r="L338" i="26"/>
  <c r="M338" i="26"/>
  <c r="M339" i="26" s="1"/>
  <c r="K347" i="26"/>
  <c r="K350" i="26" s="1"/>
  <c r="L347" i="26"/>
  <c r="L354" i="26" s="1"/>
  <c r="M347" i="26"/>
  <c r="M354" i="26" s="1"/>
  <c r="M361" i="26" s="1"/>
  <c r="I100" i="27" s="1"/>
  <c r="CK8" i="28" s="1"/>
  <c r="K348" i="26"/>
  <c r="K351" i="26" s="1"/>
  <c r="L348" i="26"/>
  <c r="L351" i="26" s="1"/>
  <c r="M348" i="26"/>
  <c r="K349" i="26"/>
  <c r="K352" i="26" s="1"/>
  <c r="L349" i="26"/>
  <c r="M349" i="26"/>
  <c r="M351" i="26"/>
  <c r="L352" i="26"/>
  <c r="M352" i="26"/>
  <c r="K357" i="26"/>
  <c r="L357" i="26"/>
  <c r="M357" i="26"/>
  <c r="M358" i="26" s="1"/>
  <c r="M359" i="26" s="1"/>
  <c r="K358" i="26"/>
  <c r="L358" i="26"/>
  <c r="K359" i="26"/>
  <c r="L359" i="26"/>
  <c r="J357" i="26"/>
  <c r="J358" i="26" s="1"/>
  <c r="J359" i="26" s="1"/>
  <c r="J349" i="26"/>
  <c r="J352" i="26" s="1"/>
  <c r="J348" i="26"/>
  <c r="J351" i="26" s="1"/>
  <c r="J347" i="26"/>
  <c r="J350" i="26" s="1"/>
  <c r="J338" i="26"/>
  <c r="J339" i="26" s="1"/>
  <c r="J340" i="26" s="1"/>
  <c r="J330" i="26"/>
  <c r="J333" i="26" s="1"/>
  <c r="J329" i="26"/>
  <c r="J332" i="26" s="1"/>
  <c r="J328" i="26"/>
  <c r="J335" i="26" s="1"/>
  <c r="I390" i="26"/>
  <c r="F42" i="27" s="1"/>
  <c r="AK5" i="28" s="1"/>
  <c r="J390" i="26"/>
  <c r="G42" i="27" s="1"/>
  <c r="K390" i="26"/>
  <c r="H42" i="27" s="1"/>
  <c r="L390" i="26"/>
  <c r="I42" i="27" s="1"/>
  <c r="AK8" i="28" s="1"/>
  <c r="I391" i="26"/>
  <c r="F43" i="27" s="1"/>
  <c r="AL5" i="28" s="1"/>
  <c r="J391" i="26"/>
  <c r="G43" i="27" s="1"/>
  <c r="K391" i="26"/>
  <c r="H43" i="27" s="1"/>
  <c r="L391" i="26"/>
  <c r="I393" i="26"/>
  <c r="F45" i="27" s="1"/>
  <c r="AN5" i="28" s="1"/>
  <c r="J393" i="26"/>
  <c r="G45" i="27" s="1"/>
  <c r="K393" i="26"/>
  <c r="H45" i="27" s="1"/>
  <c r="L393" i="26"/>
  <c r="I45" i="27" s="1"/>
  <c r="AN8" i="28" s="1"/>
  <c r="I381" i="26"/>
  <c r="J381" i="26"/>
  <c r="J392" i="26" s="1"/>
  <c r="G44" i="27" s="1"/>
  <c r="K381" i="26"/>
  <c r="L381" i="26"/>
  <c r="I382" i="26"/>
  <c r="I396" i="26" s="1"/>
  <c r="J382" i="26"/>
  <c r="J396" i="26" s="1"/>
  <c r="K382" i="26"/>
  <c r="K396" i="26" s="1"/>
  <c r="L382" i="26"/>
  <c r="L392" i="26" s="1"/>
  <c r="I44" i="27" s="1"/>
  <c r="AM8" i="28" s="1"/>
  <c r="K45" i="27" l="1"/>
  <c r="AN10" i="28" s="1"/>
  <c r="AN7" i="28"/>
  <c r="J42" i="27"/>
  <c r="AK6" i="28"/>
  <c r="K400" i="26"/>
  <c r="K398" i="26"/>
  <c r="H46" i="27" s="1"/>
  <c r="J400" i="26"/>
  <c r="J398" i="26"/>
  <c r="G46" i="27" s="1"/>
  <c r="I400" i="26"/>
  <c r="K43" i="27"/>
  <c r="AL10" i="28" s="1"/>
  <c r="AL7" i="28"/>
  <c r="AK7" i="28"/>
  <c r="K42" i="27"/>
  <c r="AK10" i="28" s="1"/>
  <c r="AN6" i="28"/>
  <c r="J45" i="27"/>
  <c r="J44" i="27"/>
  <c r="AM6" i="28"/>
  <c r="J43" i="27"/>
  <c r="AL6" i="28"/>
  <c r="K392" i="26"/>
  <c r="H44" i="27" s="1"/>
  <c r="J395" i="26"/>
  <c r="L37" i="27"/>
  <c r="AF11" i="28" s="1"/>
  <c r="J11" i="28"/>
  <c r="K104" i="27"/>
  <c r="CN10" i="28" s="1"/>
  <c r="J388" i="26"/>
  <c r="G40" i="27" s="1"/>
  <c r="I395" i="26"/>
  <c r="I392" i="26"/>
  <c r="F44" i="27" s="1"/>
  <c r="AM5" i="28" s="1"/>
  <c r="L396" i="26"/>
  <c r="K395" i="26"/>
  <c r="K388" i="26" s="1"/>
  <c r="H40" i="27" s="1"/>
  <c r="L395" i="26"/>
  <c r="L388" i="26" s="1"/>
  <c r="I40" i="27" s="1"/>
  <c r="AI8" i="28" s="1"/>
  <c r="J342" i="26"/>
  <c r="F95" i="27" s="1"/>
  <c r="CF5" i="28" s="1"/>
  <c r="J354" i="26"/>
  <c r="J361" i="26" s="1"/>
  <c r="F100" i="27" s="1"/>
  <c r="CK5" i="28" s="1"/>
  <c r="M331" i="26"/>
  <c r="K108" i="27"/>
  <c r="CR10" i="28" s="1"/>
  <c r="CR7" i="28"/>
  <c r="K100" i="27"/>
  <c r="CK10" i="28" s="1"/>
  <c r="CK7" i="28"/>
  <c r="L335" i="26"/>
  <c r="L336" i="26" s="1"/>
  <c r="L337" i="26" s="1"/>
  <c r="K106" i="27"/>
  <c r="CP10" i="28" s="1"/>
  <c r="K107" i="27"/>
  <c r="CQ10" i="28" s="1"/>
  <c r="CQ7" i="28"/>
  <c r="K105" i="27"/>
  <c r="CO10" i="28" s="1"/>
  <c r="L339" i="26"/>
  <c r="L343" i="26" s="1"/>
  <c r="H96" i="27" s="1"/>
  <c r="J108" i="27"/>
  <c r="CR6" i="28"/>
  <c r="CP6" i="28"/>
  <c r="J106" i="27"/>
  <c r="CQ6" i="28"/>
  <c r="J107" i="27"/>
  <c r="CO6" i="28"/>
  <c r="J105" i="27"/>
  <c r="J104" i="27"/>
  <c r="CN6" i="28"/>
  <c r="K335" i="26"/>
  <c r="K336" i="26" s="1"/>
  <c r="K337" i="26" s="1"/>
  <c r="K354" i="26"/>
  <c r="K361" i="26" s="1"/>
  <c r="G100" i="27" s="1"/>
  <c r="J331" i="26"/>
  <c r="K37" i="27"/>
  <c r="AF10" i="28" s="1"/>
  <c r="J37" i="27"/>
  <c r="AF9" i="28" s="1"/>
  <c r="L355" i="26"/>
  <c r="L362" i="26" s="1"/>
  <c r="H101" i="27" s="1"/>
  <c r="M343" i="26"/>
  <c r="I96" i="27" s="1"/>
  <c r="CG8" i="28" s="1"/>
  <c r="M340" i="26"/>
  <c r="M344" i="26" s="1"/>
  <c r="I97" i="27" s="1"/>
  <c r="CH8" i="28" s="1"/>
  <c r="M355" i="26"/>
  <c r="M362" i="26" s="1"/>
  <c r="I101" i="27" s="1"/>
  <c r="CL8" i="28" s="1"/>
  <c r="M350" i="26"/>
  <c r="L350" i="26"/>
  <c r="M342" i="26"/>
  <c r="I95" i="27" s="1"/>
  <c r="CF8" i="28" s="1"/>
  <c r="K340" i="26"/>
  <c r="K344" i="26" s="1"/>
  <c r="G97" i="27" s="1"/>
  <c r="J336" i="26"/>
  <c r="J355" i="26"/>
  <c r="J362" i="26" s="1"/>
  <c r="F101" i="27" s="1"/>
  <c r="CL5" i="28" s="1"/>
  <c r="AI7" i="28" l="1"/>
  <c r="K40" i="27"/>
  <c r="AI10" i="28" s="1"/>
  <c r="AM7" i="28"/>
  <c r="K44" i="27"/>
  <c r="AM10" i="28" s="1"/>
  <c r="L400" i="26"/>
  <c r="L398" i="26"/>
  <c r="I46" i="27" s="1"/>
  <c r="AO8" i="28" s="1"/>
  <c r="I386" i="26"/>
  <c r="F38" i="27" s="1"/>
  <c r="AG5" i="28" s="1"/>
  <c r="I387" i="26"/>
  <c r="F39" i="27" s="1"/>
  <c r="AH5" i="28" s="1"/>
  <c r="I389" i="26"/>
  <c r="F41" i="27" s="1"/>
  <c r="AJ5" i="28" s="1"/>
  <c r="I397" i="26"/>
  <c r="L43" i="27"/>
  <c r="AL11" i="28" s="1"/>
  <c r="AL9" i="28"/>
  <c r="I388" i="26"/>
  <c r="F40" i="27" s="1"/>
  <c r="AI5" i="28" s="1"/>
  <c r="K46" i="27"/>
  <c r="AO10" i="28" s="1"/>
  <c r="AO7" i="28"/>
  <c r="J40" i="27"/>
  <c r="AI6" i="28"/>
  <c r="K342" i="26"/>
  <c r="G95" i="27" s="1"/>
  <c r="J95" i="27" s="1"/>
  <c r="L44" i="27"/>
  <c r="AM11" i="28" s="1"/>
  <c r="AM9" i="28"/>
  <c r="K343" i="26"/>
  <c r="G96" i="27" s="1"/>
  <c r="CG6" i="28" s="1"/>
  <c r="L42" i="27"/>
  <c r="AK11" i="28" s="1"/>
  <c r="AK9" i="28"/>
  <c r="AO6" i="28"/>
  <c r="J46" i="27"/>
  <c r="L386" i="26"/>
  <c r="I38" i="27" s="1"/>
  <c r="AG8" i="28" s="1"/>
  <c r="L397" i="26"/>
  <c r="L389" i="26"/>
  <c r="I41" i="27" s="1"/>
  <c r="AJ8" i="28" s="1"/>
  <c r="L387" i="26"/>
  <c r="I39" i="27" s="1"/>
  <c r="AH8" i="28" s="1"/>
  <c r="L45" i="27"/>
  <c r="AN11" i="28" s="1"/>
  <c r="AN9" i="28"/>
  <c r="I398" i="26"/>
  <c r="F46" i="27" s="1"/>
  <c r="AO5" i="28" s="1"/>
  <c r="K386" i="26"/>
  <c r="H38" i="27" s="1"/>
  <c r="K387" i="26"/>
  <c r="H39" i="27" s="1"/>
  <c r="K389" i="26"/>
  <c r="H41" i="27" s="1"/>
  <c r="K397" i="26"/>
  <c r="J386" i="26"/>
  <c r="G38" i="27" s="1"/>
  <c r="J397" i="26"/>
  <c r="J387" i="26"/>
  <c r="G39" i="27" s="1"/>
  <c r="J389" i="26"/>
  <c r="G41" i="27" s="1"/>
  <c r="K101" i="27"/>
  <c r="CL10" i="28" s="1"/>
  <c r="CL7" i="28"/>
  <c r="L342" i="26"/>
  <c r="H95" i="27" s="1"/>
  <c r="L340" i="26"/>
  <c r="L344" i="26" s="1"/>
  <c r="H97" i="27" s="1"/>
  <c r="CG7" i="28"/>
  <c r="K96" i="27"/>
  <c r="CG10" i="28" s="1"/>
  <c r="L105" i="27"/>
  <c r="CO11" i="28" s="1"/>
  <c r="CO9" i="28"/>
  <c r="CH6" i="28"/>
  <c r="J97" i="27"/>
  <c r="L107" i="27"/>
  <c r="CQ11" i="28" s="1"/>
  <c r="CQ9" i="28"/>
  <c r="L104" i="27"/>
  <c r="CN11" i="28" s="1"/>
  <c r="CN9" i="28"/>
  <c r="J100" i="27"/>
  <c r="CK6" i="28"/>
  <c r="K355" i="26"/>
  <c r="K362" i="26" s="1"/>
  <c r="G101" i="27" s="1"/>
  <c r="L106" i="27"/>
  <c r="CP11" i="28" s="1"/>
  <c r="CP9" i="28"/>
  <c r="L108" i="27"/>
  <c r="CR11" i="28" s="1"/>
  <c r="CR9" i="28"/>
  <c r="M356" i="26"/>
  <c r="M363" i="26" s="1"/>
  <c r="I102" i="27" s="1"/>
  <c r="CM8" i="28" s="1"/>
  <c r="L356" i="26"/>
  <c r="L363" i="26" s="1"/>
  <c r="H102" i="27" s="1"/>
  <c r="J356" i="26"/>
  <c r="J363" i="26" s="1"/>
  <c r="F102" i="27" s="1"/>
  <c r="CM5" i="28" s="1"/>
  <c r="J337" i="26"/>
  <c r="J344" i="26" s="1"/>
  <c r="F97" i="27" s="1"/>
  <c r="CH5" i="28" s="1"/>
  <c r="J343" i="26"/>
  <c r="F96" i="27" s="1"/>
  <c r="CG5" i="28" s="1"/>
  <c r="F77" i="31"/>
  <c r="E77" i="31"/>
  <c r="D77" i="31"/>
  <c r="C77" i="31"/>
  <c r="G77" i="31"/>
  <c r="C43" i="31"/>
  <c r="C90" i="31"/>
  <c r="C89" i="31"/>
  <c r="C88" i="31"/>
  <c r="C79" i="31"/>
  <c r="C55" i="31"/>
  <c r="C54" i="31"/>
  <c r="C53" i="31"/>
  <c r="C44" i="31"/>
  <c r="C42" i="31"/>
  <c r="C41" i="31"/>
  <c r="C40" i="31"/>
  <c r="C39" i="31"/>
  <c r="C38" i="31"/>
  <c r="C36" i="31"/>
  <c r="C35" i="31"/>
  <c r="C34" i="31"/>
  <c r="C28" i="31"/>
  <c r="C14" i="31"/>
  <c r="D90" i="31"/>
  <c r="D89" i="31"/>
  <c r="D88" i="31"/>
  <c r="D79" i="31"/>
  <c r="D55" i="31"/>
  <c r="D14" i="31"/>
  <c r="E90" i="31"/>
  <c r="E89" i="31"/>
  <c r="E88" i="31"/>
  <c r="E79" i="31"/>
  <c r="E55" i="31"/>
  <c r="E14" i="31"/>
  <c r="F90" i="31"/>
  <c r="F89" i="31"/>
  <c r="F88" i="31"/>
  <c r="F79" i="31"/>
  <c r="F55" i="31"/>
  <c r="F14" i="31"/>
  <c r="AH7" i="28" l="1"/>
  <c r="K39" i="27"/>
  <c r="AH10" i="28" s="1"/>
  <c r="K38" i="27"/>
  <c r="AG10" i="28" s="1"/>
  <c r="AG7" i="28"/>
  <c r="L46" i="27"/>
  <c r="AO11" i="28" s="1"/>
  <c r="AO9" i="28"/>
  <c r="CF6" i="28"/>
  <c r="J41" i="27"/>
  <c r="AJ6" i="28"/>
  <c r="J96" i="27"/>
  <c r="AH6" i="28"/>
  <c r="J39" i="27"/>
  <c r="L40" i="27"/>
  <c r="AI11" i="28" s="1"/>
  <c r="AI9" i="28"/>
  <c r="J38" i="27"/>
  <c r="AG6" i="28"/>
  <c r="AJ7" i="28"/>
  <c r="K41" i="27"/>
  <c r="AJ10" i="28" s="1"/>
  <c r="K102" i="27"/>
  <c r="CM10" i="28" s="1"/>
  <c r="CM7" i="28"/>
  <c r="CH7" i="28"/>
  <c r="K97" i="27"/>
  <c r="CH10" i="28" s="1"/>
  <c r="K95" i="27"/>
  <c r="CF10" i="28" s="1"/>
  <c r="CF7" i="28"/>
  <c r="L100" i="27"/>
  <c r="CK11" i="28" s="1"/>
  <c r="CK9" i="28"/>
  <c r="L96" i="27"/>
  <c r="CG11" i="28" s="1"/>
  <c r="CG9" i="28"/>
  <c r="J101" i="27"/>
  <c r="CL6" i="28"/>
  <c r="L97" i="27"/>
  <c r="CH11" i="28" s="1"/>
  <c r="CH9" i="28"/>
  <c r="K356" i="26"/>
  <c r="K363" i="26" s="1"/>
  <c r="G102" i="27" s="1"/>
  <c r="L95" i="27"/>
  <c r="CF11" i="28" s="1"/>
  <c r="CF9" i="28"/>
  <c r="N2" i="31"/>
  <c r="M2" i="31"/>
  <c r="L41" i="27" l="1"/>
  <c r="AJ11" i="28" s="1"/>
  <c r="AJ9" i="28"/>
  <c r="L38" i="27"/>
  <c r="AG11" i="28" s="1"/>
  <c r="AG9" i="28"/>
  <c r="L39" i="27"/>
  <c r="AH11" i="28" s="1"/>
  <c r="AH9" i="28"/>
  <c r="J102" i="27"/>
  <c r="CM6" i="28"/>
  <c r="L101" i="27"/>
  <c r="CL11" i="28" s="1"/>
  <c r="CL9" i="28"/>
  <c r="M125" i="31"/>
  <c r="M124" i="31"/>
  <c r="L849" i="26"/>
  <c r="L118" i="31" s="1"/>
  <c r="K849" i="26"/>
  <c r="K118" i="31" s="1"/>
  <c r="J849" i="26"/>
  <c r="J118" i="31" s="1"/>
  <c r="I849" i="26"/>
  <c r="I118" i="31" s="1"/>
  <c r="H849" i="26"/>
  <c r="H118" i="31" s="1"/>
  <c r="G849" i="26"/>
  <c r="G118" i="31" s="1"/>
  <c r="F849" i="26"/>
  <c r="F118" i="31" s="1"/>
  <c r="E849" i="26"/>
  <c r="E118" i="31" s="1"/>
  <c r="D849" i="26"/>
  <c r="D118" i="31" s="1"/>
  <c r="L848" i="26"/>
  <c r="L117" i="31" s="1"/>
  <c r="K848" i="26"/>
  <c r="K117" i="31" s="1"/>
  <c r="J848" i="26"/>
  <c r="J117" i="31" s="1"/>
  <c r="I848" i="26"/>
  <c r="I117" i="31" s="1"/>
  <c r="H848" i="26"/>
  <c r="H117" i="31" s="1"/>
  <c r="G848" i="26"/>
  <c r="F848" i="26"/>
  <c r="E848" i="26"/>
  <c r="D848" i="26"/>
  <c r="D117" i="31" s="1"/>
  <c r="L844" i="26"/>
  <c r="L113" i="31" s="1"/>
  <c r="K844" i="26"/>
  <c r="K113" i="31" s="1"/>
  <c r="J844" i="26"/>
  <c r="J113" i="31" s="1"/>
  <c r="I844" i="26"/>
  <c r="I113" i="31" s="1"/>
  <c r="H844" i="26"/>
  <c r="H113" i="31" s="1"/>
  <c r="G844" i="26"/>
  <c r="G113" i="31" s="1"/>
  <c r="F844" i="26"/>
  <c r="F113" i="31" s="1"/>
  <c r="E844" i="26"/>
  <c r="E113" i="31" s="1"/>
  <c r="D844" i="26"/>
  <c r="D113" i="31" s="1"/>
  <c r="C844" i="26"/>
  <c r="C113" i="31" s="1"/>
  <c r="L843" i="26"/>
  <c r="L112" i="31" s="1"/>
  <c r="K843" i="26"/>
  <c r="K112" i="31" s="1"/>
  <c r="J843" i="26"/>
  <c r="J112" i="31" s="1"/>
  <c r="I843" i="26"/>
  <c r="I112" i="31" s="1"/>
  <c r="H843" i="26"/>
  <c r="H112" i="31" s="1"/>
  <c r="G843" i="26"/>
  <c r="G112" i="31" s="1"/>
  <c r="F843" i="26"/>
  <c r="F112" i="31" s="1"/>
  <c r="E843" i="26"/>
  <c r="E112" i="31" s="1"/>
  <c r="D843" i="26"/>
  <c r="D112" i="31" s="1"/>
  <c r="L842" i="26"/>
  <c r="L111" i="31" s="1"/>
  <c r="K842" i="26"/>
  <c r="K111" i="31" s="1"/>
  <c r="J842" i="26"/>
  <c r="J111" i="31" s="1"/>
  <c r="I842" i="26"/>
  <c r="I111" i="31" s="1"/>
  <c r="H842" i="26"/>
  <c r="H111" i="31" s="1"/>
  <c r="G842" i="26"/>
  <c r="G111" i="31" s="1"/>
  <c r="F842" i="26"/>
  <c r="F111" i="31" s="1"/>
  <c r="E842" i="26"/>
  <c r="E111" i="31" s="1"/>
  <c r="D842" i="26"/>
  <c r="D111" i="31" s="1"/>
  <c r="C842" i="26"/>
  <c r="C111" i="31" s="1"/>
  <c r="L841" i="26"/>
  <c r="K841" i="26"/>
  <c r="J841" i="26"/>
  <c r="J110" i="31" s="1"/>
  <c r="I841" i="26"/>
  <c r="H841" i="26"/>
  <c r="H110" i="31" s="1"/>
  <c r="G841" i="26"/>
  <c r="F841" i="26"/>
  <c r="F110" i="31" s="1"/>
  <c r="E841" i="26"/>
  <c r="D841" i="26"/>
  <c r="L102" i="27" l="1"/>
  <c r="CM11" i="28" s="1"/>
  <c r="CM9" i="28"/>
  <c r="E850" i="26"/>
  <c r="E119" i="31" s="1"/>
  <c r="G850" i="26"/>
  <c r="G119" i="31" s="1"/>
  <c r="F850" i="26"/>
  <c r="F119" i="31" s="1"/>
  <c r="D845" i="26"/>
  <c r="D114" i="31" s="1"/>
  <c r="H850" i="26"/>
  <c r="H119" i="31" s="1"/>
  <c r="E845" i="26"/>
  <c r="E114" i="31" s="1"/>
  <c r="I850" i="26"/>
  <c r="I119" i="31" s="1"/>
  <c r="G117" i="31"/>
  <c r="D110" i="31"/>
  <c r="L850" i="26"/>
  <c r="L119" i="31" s="1"/>
  <c r="I845" i="26"/>
  <c r="I114" i="31" s="1"/>
  <c r="J850" i="26"/>
  <c r="J119" i="31" s="1"/>
  <c r="G845" i="26"/>
  <c r="G114" i="31" s="1"/>
  <c r="G110" i="31"/>
  <c r="K845" i="26"/>
  <c r="K114" i="31" s="1"/>
  <c r="K850" i="26"/>
  <c r="K119" i="31" s="1"/>
  <c r="L845" i="26"/>
  <c r="L114" i="31" s="1"/>
  <c r="F845" i="26"/>
  <c r="F114" i="31" s="1"/>
  <c r="K110" i="31"/>
  <c r="E110" i="31"/>
  <c r="I110" i="31"/>
  <c r="L110" i="31"/>
  <c r="E117" i="31"/>
  <c r="H845" i="26"/>
  <c r="H114" i="31" s="1"/>
  <c r="J845" i="26"/>
  <c r="J114" i="31" s="1"/>
  <c r="D850" i="26"/>
  <c r="D119" i="31" s="1"/>
  <c r="F117" i="31"/>
  <c r="G90" i="31"/>
  <c r="G89" i="31"/>
  <c r="G88" i="31"/>
  <c r="G79" i="31"/>
  <c r="G55" i="31"/>
  <c r="G14" i="31" l="1"/>
  <c r="C13" i="23" l="1"/>
  <c r="C12" i="23"/>
  <c r="D106" i="26" l="1"/>
  <c r="E106" i="26"/>
  <c r="F106" i="26"/>
  <c r="G106" i="26"/>
  <c r="C106" i="26"/>
  <c r="H74" i="26"/>
  <c r="H44" i="26"/>
  <c r="E78" i="27" l="1"/>
  <c r="BR4" i="28" s="1"/>
  <c r="E77" i="27"/>
  <c r="BQ4" i="28" s="1"/>
  <c r="E76" i="27"/>
  <c r="BP4" i="28" s="1"/>
  <c r="E75" i="27"/>
  <c r="BO4" i="28" s="1"/>
  <c r="E74" i="27"/>
  <c r="BN4" i="28" s="1"/>
  <c r="E73" i="27"/>
  <c r="BM4" i="28" s="1"/>
  <c r="E72" i="27"/>
  <c r="BL4" i="28" s="1"/>
  <c r="E71" i="27"/>
  <c r="BK4" i="28" s="1"/>
  <c r="E70" i="27"/>
  <c r="BJ4" i="28" s="1"/>
  <c r="E69" i="27"/>
  <c r="BI4" i="28" s="1"/>
  <c r="E68" i="27"/>
  <c r="BH4" i="28" s="1"/>
  <c r="E67" i="27"/>
  <c r="BG4" i="28" s="1"/>
  <c r="E66" i="27"/>
  <c r="BF4" i="28" s="1"/>
  <c r="E65" i="27"/>
  <c r="BE4" i="28" s="1"/>
  <c r="E64" i="27"/>
  <c r="BD4" i="28" s="1"/>
  <c r="E63" i="27"/>
  <c r="BC4" i="28" s="1"/>
  <c r="E59" i="27"/>
  <c r="AZ4" i="28" s="1"/>
  <c r="E58" i="27"/>
  <c r="AY4" i="28" s="1"/>
  <c r="E37" i="27"/>
  <c r="AF4" i="28" s="1"/>
  <c r="E35" i="27"/>
  <c r="AD4" i="28" s="1"/>
  <c r="E34" i="27"/>
  <c r="AC4" i="28" s="1"/>
  <c r="E33" i="27"/>
  <c r="AB4" i="28" s="1"/>
  <c r="E32" i="27"/>
  <c r="AA4" i="28" s="1"/>
  <c r="E24" i="27"/>
  <c r="T4" i="28" s="1"/>
  <c r="E20" i="27"/>
  <c r="P4" i="28" s="1"/>
  <c r="E19" i="27"/>
  <c r="O4" i="28" s="1"/>
  <c r="E14" i="27"/>
  <c r="K4" i="28" s="1"/>
  <c r="H806" i="26"/>
  <c r="H805" i="26"/>
  <c r="H804" i="26"/>
  <c r="H803" i="26"/>
  <c r="H802" i="26"/>
  <c r="H801" i="26"/>
  <c r="H800" i="26"/>
  <c r="H799" i="26"/>
  <c r="H798" i="26"/>
  <c r="H797" i="26"/>
  <c r="H796" i="26"/>
  <c r="H795" i="26"/>
  <c r="H794" i="26"/>
  <c r="H793" i="26"/>
  <c r="H792" i="26"/>
  <c r="H791" i="26"/>
  <c r="H790" i="26"/>
  <c r="H789" i="26"/>
  <c r="H788" i="26"/>
  <c r="H787" i="26"/>
  <c r="H786" i="26"/>
  <c r="H785" i="26"/>
  <c r="H784" i="26"/>
  <c r="H783" i="26"/>
  <c r="H782" i="26"/>
  <c r="H781" i="26"/>
  <c r="H780" i="26"/>
  <c r="H779" i="26"/>
  <c r="H778" i="26"/>
  <c r="H777" i="26"/>
  <c r="H776" i="26"/>
  <c r="H775" i="26"/>
  <c r="H736" i="26"/>
  <c r="H774" i="26" s="1"/>
  <c r="H586" i="26"/>
  <c r="H656" i="26"/>
  <c r="H655" i="26"/>
  <c r="D141" i="27" s="1"/>
  <c r="DX3" i="28" s="1"/>
  <c r="H654" i="26"/>
  <c r="D140" i="27" s="1"/>
  <c r="DW3" i="28" s="1"/>
  <c r="H653" i="26"/>
  <c r="D139" i="27" s="1"/>
  <c r="DV3" i="28" s="1"/>
  <c r="H652" i="26"/>
  <c r="D138" i="27" s="1"/>
  <c r="DU3" i="28" s="1"/>
  <c r="H651" i="26"/>
  <c r="D137" i="27" s="1"/>
  <c r="DT3" i="28" s="1"/>
  <c r="H650" i="26"/>
  <c r="D136" i="27" s="1"/>
  <c r="DS3" i="28" s="1"/>
  <c r="H649" i="26"/>
  <c r="D135" i="27" s="1"/>
  <c r="DR3" i="28" s="1"/>
  <c r="H648" i="26"/>
  <c r="D134" i="27" s="1"/>
  <c r="DQ3" i="28" s="1"/>
  <c r="H647" i="26"/>
  <c r="D133" i="27" s="1"/>
  <c r="DP3" i="28" s="1"/>
  <c r="H646" i="26"/>
  <c r="D132" i="27" s="1"/>
  <c r="DO3" i="28" s="1"/>
  <c r="H645" i="26"/>
  <c r="D131" i="27" s="1"/>
  <c r="DN3" i="28" s="1"/>
  <c r="H644" i="26"/>
  <c r="D130" i="27" s="1"/>
  <c r="DM3" i="28" s="1"/>
  <c r="H643" i="26"/>
  <c r="D129" i="27" s="1"/>
  <c r="DL3" i="28" s="1"/>
  <c r="H642" i="26"/>
  <c r="D128" i="27" s="1"/>
  <c r="DK3" i="28" s="1"/>
  <c r="H641" i="26"/>
  <c r="D127" i="27" s="1"/>
  <c r="DJ3" i="28" s="1"/>
  <c r="H640" i="26"/>
  <c r="D126" i="27" s="1"/>
  <c r="DI3" i="28" s="1"/>
  <c r="H639" i="26"/>
  <c r="D125" i="27" s="1"/>
  <c r="DH3" i="28" s="1"/>
  <c r="H638" i="26"/>
  <c r="D124" i="27" s="1"/>
  <c r="DG3" i="28" s="1"/>
  <c r="H637" i="26"/>
  <c r="D123" i="27" s="1"/>
  <c r="DF3" i="28" s="1"/>
  <c r="H636" i="26"/>
  <c r="D122" i="27" s="1"/>
  <c r="DE3" i="28" s="1"/>
  <c r="H635" i="26"/>
  <c r="D121" i="27" s="1"/>
  <c r="DD3" i="28" s="1"/>
  <c r="H634" i="26"/>
  <c r="D120" i="27" s="1"/>
  <c r="DC3" i="28" s="1"/>
  <c r="H633" i="26"/>
  <c r="D119" i="27" s="1"/>
  <c r="DB3" i="28" s="1"/>
  <c r="H632" i="26"/>
  <c r="D118" i="27" s="1"/>
  <c r="DA3" i="28" s="1"/>
  <c r="H631" i="26"/>
  <c r="D117" i="27" s="1"/>
  <c r="CZ3" i="28" s="1"/>
  <c r="H630" i="26"/>
  <c r="D116" i="27" s="1"/>
  <c r="CY3" i="28" s="1"/>
  <c r="H629" i="26"/>
  <c r="D115" i="27" s="1"/>
  <c r="CX3" i="28" s="1"/>
  <c r="H628" i="26"/>
  <c r="D114" i="27" s="1"/>
  <c r="CW3" i="28" s="1"/>
  <c r="H627" i="26"/>
  <c r="D113" i="27" s="1"/>
  <c r="CV3" i="28" s="1"/>
  <c r="H626" i="26"/>
  <c r="D112" i="27" s="1"/>
  <c r="CU3" i="28" s="1"/>
  <c r="H625" i="26"/>
  <c r="D111" i="27" s="1"/>
  <c r="CT3" i="28" s="1"/>
  <c r="C706" i="26"/>
  <c r="D706" i="26"/>
  <c r="E706" i="26"/>
  <c r="F706" i="26"/>
  <c r="G706" i="26"/>
  <c r="C707" i="26"/>
  <c r="D707" i="26"/>
  <c r="E707" i="26"/>
  <c r="F707" i="26"/>
  <c r="G707" i="26"/>
  <c r="C708" i="26"/>
  <c r="D708" i="26"/>
  <c r="E708" i="26"/>
  <c r="F708" i="26"/>
  <c r="G708" i="26"/>
  <c r="H393" i="26" l="1"/>
  <c r="E45" i="27" s="1"/>
  <c r="AN4" i="28" s="1"/>
  <c r="H391" i="26"/>
  <c r="E43" i="27" s="1"/>
  <c r="AL4" i="28" s="1"/>
  <c r="H390" i="26"/>
  <c r="E42" i="27" s="1"/>
  <c r="AK4" i="28" s="1"/>
  <c r="H382" i="26"/>
  <c r="H396" i="26" s="1"/>
  <c r="H381" i="26"/>
  <c r="H395" i="26" s="1"/>
  <c r="H376" i="26"/>
  <c r="H389" i="26" l="1"/>
  <c r="E41" i="27" s="1"/>
  <c r="AJ4" i="28" s="1"/>
  <c r="H387" i="26"/>
  <c r="E39" i="27" s="1"/>
  <c r="AH4" i="28" s="1"/>
  <c r="H397" i="26"/>
  <c r="H386" i="26"/>
  <c r="E38" i="27" s="1"/>
  <c r="AG4" i="28" s="1"/>
  <c r="H400" i="26"/>
  <c r="H398" i="26"/>
  <c r="E46" i="27" s="1"/>
  <c r="AO4" i="28" s="1"/>
  <c r="H388" i="26"/>
  <c r="E40" i="27" s="1"/>
  <c r="AI4" i="28" s="1"/>
  <c r="H392" i="26"/>
  <c r="E44" i="27" s="1"/>
  <c r="AM4" i="28" s="1"/>
  <c r="E250" i="26"/>
  <c r="D250" i="26"/>
  <c r="C250" i="26"/>
  <c r="E249" i="26"/>
  <c r="D249" i="26"/>
  <c r="C249" i="26"/>
  <c r="G150" i="26"/>
  <c r="D58" i="27" s="1"/>
  <c r="AY3" i="28" s="1"/>
  <c r="F150" i="26"/>
  <c r="C58" i="27" s="1"/>
  <c r="AY2" i="28" s="1"/>
  <c r="E150" i="26"/>
  <c r="D150" i="26"/>
  <c r="C150" i="26"/>
  <c r="L283" i="26" l="1"/>
  <c r="K283" i="26"/>
  <c r="J283" i="26"/>
  <c r="I283" i="26"/>
  <c r="H283" i="26"/>
  <c r="G283" i="26"/>
  <c r="F283" i="26"/>
  <c r="E283" i="26"/>
  <c r="D283" i="26"/>
  <c r="C283" i="26"/>
  <c r="L282" i="26"/>
  <c r="K282" i="26"/>
  <c r="J282" i="26"/>
  <c r="I282" i="26"/>
  <c r="H282" i="26"/>
  <c r="G282" i="26"/>
  <c r="F282" i="26"/>
  <c r="E282" i="26"/>
  <c r="D282" i="26"/>
  <c r="C282" i="26"/>
  <c r="L281" i="26"/>
  <c r="K281" i="26"/>
  <c r="J281" i="26"/>
  <c r="I281" i="26"/>
  <c r="H281" i="26"/>
  <c r="G281" i="26"/>
  <c r="F281" i="26"/>
  <c r="E281" i="26"/>
  <c r="D281" i="26"/>
  <c r="C281" i="26"/>
  <c r="L280" i="26"/>
  <c r="K280" i="26"/>
  <c r="J280" i="26"/>
  <c r="I280" i="26"/>
  <c r="H280" i="26"/>
  <c r="G280" i="26"/>
  <c r="F280" i="26"/>
  <c r="E280" i="26"/>
  <c r="D280" i="26"/>
  <c r="C280" i="26"/>
  <c r="L279" i="26"/>
  <c r="K279" i="26"/>
  <c r="J279" i="26"/>
  <c r="I279" i="26"/>
  <c r="H279" i="26"/>
  <c r="G279" i="26"/>
  <c r="F279" i="26"/>
  <c r="E279" i="26"/>
  <c r="D279" i="26"/>
  <c r="L278" i="26"/>
  <c r="K278" i="26"/>
  <c r="J278" i="26"/>
  <c r="I278" i="26"/>
  <c r="H278" i="26"/>
  <c r="G278" i="26"/>
  <c r="F278" i="26"/>
  <c r="E278" i="26"/>
  <c r="D278" i="26"/>
  <c r="L273" i="26"/>
  <c r="K273" i="26"/>
  <c r="J273" i="26"/>
  <c r="I273" i="26"/>
  <c r="H273" i="26"/>
  <c r="G273" i="26"/>
  <c r="F273" i="26"/>
  <c r="E273" i="26"/>
  <c r="D273" i="26"/>
  <c r="C273" i="26"/>
  <c r="L272" i="26"/>
  <c r="K272" i="26"/>
  <c r="J272" i="26"/>
  <c r="I272" i="26"/>
  <c r="H272" i="26"/>
  <c r="G272" i="26"/>
  <c r="F272" i="26"/>
  <c r="E272" i="26"/>
  <c r="D272" i="26"/>
  <c r="C272" i="26"/>
  <c r="L271" i="26"/>
  <c r="K271" i="26"/>
  <c r="J271" i="26"/>
  <c r="I271" i="26"/>
  <c r="H271" i="26"/>
  <c r="G271" i="26"/>
  <c r="F271" i="26"/>
  <c r="E271" i="26"/>
  <c r="D271" i="26"/>
  <c r="C271" i="26"/>
  <c r="L270" i="26"/>
  <c r="K270" i="26"/>
  <c r="J270" i="26"/>
  <c r="I270" i="26"/>
  <c r="H270" i="26"/>
  <c r="G270" i="26"/>
  <c r="F270" i="26"/>
  <c r="E270" i="26"/>
  <c r="D270" i="26"/>
  <c r="C270" i="26"/>
  <c r="L269" i="26"/>
  <c r="K269" i="26"/>
  <c r="J269" i="26"/>
  <c r="I269" i="26"/>
  <c r="H269" i="26"/>
  <c r="G269" i="26"/>
  <c r="F269" i="26"/>
  <c r="E269" i="26"/>
  <c r="D269" i="26"/>
  <c r="L268" i="26"/>
  <c r="K268" i="26"/>
  <c r="J268" i="26"/>
  <c r="I268" i="26"/>
  <c r="H268" i="26"/>
  <c r="G268" i="26"/>
  <c r="F268" i="26"/>
  <c r="E268" i="26"/>
  <c r="D268" i="26"/>
  <c r="C268" i="26"/>
  <c r="L267" i="26"/>
  <c r="K267" i="26"/>
  <c r="J267" i="26"/>
  <c r="I267" i="26"/>
  <c r="H267" i="26"/>
  <c r="G267" i="26"/>
  <c r="F267" i="26"/>
  <c r="E267" i="26"/>
  <c r="D267" i="26"/>
  <c r="G130" i="26"/>
  <c r="F130" i="26"/>
  <c r="E130" i="26"/>
  <c r="D130" i="26"/>
  <c r="C130" i="26"/>
  <c r="E129" i="26"/>
  <c r="D129" i="26"/>
  <c r="C129" i="26"/>
  <c r="I55" i="26"/>
  <c r="I49" i="26"/>
  <c r="I104" i="26" s="1"/>
  <c r="O22" i="26"/>
  <c r="K118" i="26" s="1"/>
  <c r="O21" i="26"/>
  <c r="I118" i="26" s="1"/>
  <c r="J118" i="26" s="1"/>
  <c r="C15" i="23" l="1"/>
  <c r="C57" i="31"/>
  <c r="D15" i="23"/>
  <c r="D57" i="31"/>
  <c r="E15" i="23"/>
  <c r="E57" i="31"/>
  <c r="F15" i="23"/>
  <c r="F57" i="31"/>
  <c r="G15" i="23"/>
  <c r="G57" i="31"/>
  <c r="I68" i="26"/>
  <c r="C269" i="26" l="1"/>
  <c r="C843" i="26"/>
  <c r="C112" i="31" s="1"/>
  <c r="C267" i="26"/>
  <c r="C841" i="26"/>
  <c r="C290" i="26" l="1"/>
  <c r="D290" i="26" s="1"/>
  <c r="E290" i="26" s="1"/>
  <c r="F290" i="26" s="1"/>
  <c r="G290" i="26" s="1"/>
  <c r="H290" i="26" s="1"/>
  <c r="I290" i="26" s="1"/>
  <c r="J290" i="26" s="1"/>
  <c r="K290" i="26" s="1"/>
  <c r="L290" i="26" s="1"/>
  <c r="C845" i="26"/>
  <c r="C110" i="31"/>
  <c r="F700" i="11"/>
  <c r="F699" i="11"/>
  <c r="F698" i="11"/>
  <c r="F697" i="11"/>
  <c r="F696" i="11"/>
  <c r="F695" i="11"/>
  <c r="G700" i="11"/>
  <c r="G699" i="11"/>
  <c r="G698" i="11"/>
  <c r="G701" i="11" s="1"/>
  <c r="G697" i="11"/>
  <c r="G696" i="11"/>
  <c r="G695" i="11"/>
  <c r="F701" i="11" l="1"/>
  <c r="C278" i="26"/>
  <c r="C848" i="26"/>
  <c r="C279" i="26"/>
  <c r="C849" i="26"/>
  <c r="C118" i="31" s="1"/>
  <c r="C854" i="26"/>
  <c r="C114" i="31"/>
  <c r="D854" i="26" l="1"/>
  <c r="C123" i="31"/>
  <c r="C117" i="31"/>
  <c r="C850" i="26"/>
  <c r="C119" i="31" l="1"/>
  <c r="E854" i="26"/>
  <c r="D123" i="31"/>
  <c r="G822" i="26"/>
  <c r="G29" i="31" s="1"/>
  <c r="F822" i="26"/>
  <c r="F29" i="31" s="1"/>
  <c r="E822" i="26"/>
  <c r="E29" i="31" s="1"/>
  <c r="D822" i="26"/>
  <c r="D29" i="31" s="1"/>
  <c r="C822" i="26"/>
  <c r="C29" i="31" s="1"/>
  <c r="F28" i="31"/>
  <c r="E28" i="31"/>
  <c r="D28" i="31"/>
  <c r="E9" i="31"/>
  <c r="D13" i="31" l="1"/>
  <c r="F13" i="31"/>
  <c r="E13" i="31"/>
  <c r="G13" i="31"/>
  <c r="E47" i="26"/>
  <c r="E22" i="31"/>
  <c r="C47" i="26"/>
  <c r="C22" i="31"/>
  <c r="G47" i="26"/>
  <c r="D47" i="26"/>
  <c r="D22" i="31"/>
  <c r="F47" i="26"/>
  <c r="F22" i="31"/>
  <c r="G28" i="31"/>
  <c r="C289" i="26"/>
  <c r="D289" i="26" s="1"/>
  <c r="E289" i="26" s="1"/>
  <c r="F289" i="26" s="1"/>
  <c r="G289" i="26" s="1"/>
  <c r="H289" i="26" s="1"/>
  <c r="I289" i="26" s="1"/>
  <c r="J289" i="26" s="1"/>
  <c r="K289" i="26" s="1"/>
  <c r="L289" i="26" s="1"/>
  <c r="M289" i="26" s="1"/>
  <c r="F854" i="26"/>
  <c r="E123" i="31"/>
  <c r="F9" i="31"/>
  <c r="G9" i="31"/>
  <c r="C853" i="26"/>
  <c r="C9" i="31"/>
  <c r="D9" i="31"/>
  <c r="G118" i="26"/>
  <c r="G52" i="31" s="1"/>
  <c r="F118" i="26"/>
  <c r="F52" i="31" s="1"/>
  <c r="E118" i="26"/>
  <c r="E52" i="31" s="1"/>
  <c r="D118" i="26"/>
  <c r="D52" i="31" s="1"/>
  <c r="C118" i="26"/>
  <c r="C52" i="31" s="1"/>
  <c r="G124" i="26"/>
  <c r="F124" i="26"/>
  <c r="E124" i="26"/>
  <c r="E56" i="31" s="1"/>
  <c r="D124" i="26"/>
  <c r="D56" i="31" s="1"/>
  <c r="C124" i="26"/>
  <c r="C56" i="31" s="1"/>
  <c r="E255" i="26"/>
  <c r="D255" i="26"/>
  <c r="C255" i="26"/>
  <c r="C311" i="26"/>
  <c r="C310" i="26"/>
  <c r="C309" i="26"/>
  <c r="C308" i="26"/>
  <c r="C307" i="26"/>
  <c r="C306" i="26"/>
  <c r="G223" i="26"/>
  <c r="F223" i="26"/>
  <c r="E223" i="26"/>
  <c r="D223" i="26"/>
  <c r="C223" i="26"/>
  <c r="G204" i="26"/>
  <c r="F204" i="26"/>
  <c r="E204" i="26"/>
  <c r="D204" i="26"/>
  <c r="C204" i="26"/>
  <c r="G216" i="26"/>
  <c r="F216" i="26"/>
  <c r="E216" i="26"/>
  <c r="E20" i="23" s="1"/>
  <c r="D216" i="26"/>
  <c r="D20" i="23" s="1"/>
  <c r="C216" i="26"/>
  <c r="C20" i="23" s="1"/>
  <c r="G175" i="26"/>
  <c r="F175" i="26"/>
  <c r="E175" i="26"/>
  <c r="D175" i="26"/>
  <c r="G171" i="26"/>
  <c r="F171" i="26"/>
  <c r="E171" i="26"/>
  <c r="D171" i="26"/>
  <c r="G170" i="26"/>
  <c r="G99" i="31" s="1"/>
  <c r="F170" i="26"/>
  <c r="F99" i="31" s="1"/>
  <c r="E170" i="26"/>
  <c r="E99" i="31" s="1"/>
  <c r="D170" i="26"/>
  <c r="D99" i="31" s="1"/>
  <c r="G169" i="26"/>
  <c r="G98" i="31" s="1"/>
  <c r="F169" i="26"/>
  <c r="F98" i="31" s="1"/>
  <c r="E169" i="26"/>
  <c r="E98" i="31" s="1"/>
  <c r="D169" i="26"/>
  <c r="D98" i="31" s="1"/>
  <c r="G168" i="26"/>
  <c r="F168" i="26"/>
  <c r="E168" i="26"/>
  <c r="D168" i="26"/>
  <c r="G167" i="26"/>
  <c r="G100" i="31" s="1"/>
  <c r="F167" i="26"/>
  <c r="F100" i="31" s="1"/>
  <c r="E167" i="26"/>
  <c r="E100" i="31" s="1"/>
  <c r="D167" i="26"/>
  <c r="D100" i="31" s="1"/>
  <c r="G166" i="26"/>
  <c r="F166" i="26"/>
  <c r="E166" i="26"/>
  <c r="D166" i="26"/>
  <c r="G165" i="26"/>
  <c r="F165" i="26"/>
  <c r="E165" i="26"/>
  <c r="D165" i="26"/>
  <c r="G164" i="26"/>
  <c r="G96" i="31" s="1"/>
  <c r="F164" i="26"/>
  <c r="F96" i="31" s="1"/>
  <c r="E164" i="26"/>
  <c r="E96" i="31" s="1"/>
  <c r="D164" i="26"/>
  <c r="D96" i="31" s="1"/>
  <c r="G163" i="26"/>
  <c r="F163" i="26"/>
  <c r="F94" i="31" s="1"/>
  <c r="E163" i="26"/>
  <c r="E94" i="31" s="1"/>
  <c r="D163" i="26"/>
  <c r="D94" i="31" s="1"/>
  <c r="G162" i="26"/>
  <c r="F162" i="26"/>
  <c r="E162" i="26"/>
  <c r="D162" i="26"/>
  <c r="G161" i="26"/>
  <c r="F161" i="26"/>
  <c r="E161" i="26"/>
  <c r="D161" i="26"/>
  <c r="G160" i="26"/>
  <c r="G93" i="31" s="1"/>
  <c r="F160" i="26"/>
  <c r="F93" i="31" s="1"/>
  <c r="E160" i="26"/>
  <c r="E93" i="31" s="1"/>
  <c r="D160" i="26"/>
  <c r="D93" i="31" s="1"/>
  <c r="G159" i="26"/>
  <c r="G97" i="31" s="1"/>
  <c r="F159" i="26"/>
  <c r="F97" i="31" s="1"/>
  <c r="E159" i="26"/>
  <c r="E97" i="31" s="1"/>
  <c r="D159" i="26"/>
  <c r="D97" i="31" s="1"/>
  <c r="G158" i="26"/>
  <c r="F158" i="26"/>
  <c r="E158" i="26"/>
  <c r="D158" i="26"/>
  <c r="G157" i="26"/>
  <c r="F157" i="26"/>
  <c r="E157" i="26"/>
  <c r="D157" i="26"/>
  <c r="C175" i="26"/>
  <c r="C167" i="26"/>
  <c r="C100" i="31" s="1"/>
  <c r="C171" i="26"/>
  <c r="C170" i="26"/>
  <c r="C99" i="31" s="1"/>
  <c r="C169" i="26"/>
  <c r="C98" i="31" s="1"/>
  <c r="C168" i="26"/>
  <c r="C166" i="26"/>
  <c r="C165" i="26"/>
  <c r="C164" i="26"/>
  <c r="C96" i="31" s="1"/>
  <c r="C163" i="26"/>
  <c r="C94" i="31" s="1"/>
  <c r="C162" i="26"/>
  <c r="C161" i="26"/>
  <c r="C357" i="26" l="1"/>
  <c r="C358" i="26" s="1"/>
  <c r="C359" i="26" s="1"/>
  <c r="G20" i="23"/>
  <c r="D82" i="27"/>
  <c r="BU3" i="28" s="1"/>
  <c r="F20" i="23"/>
  <c r="C82" i="27"/>
  <c r="BU2" i="28" s="1"/>
  <c r="D830" i="26"/>
  <c r="D95" i="31" s="1"/>
  <c r="C830" i="26"/>
  <c r="C95" i="31" s="1"/>
  <c r="C33" i="27"/>
  <c r="AB2" i="28" s="1"/>
  <c r="F56" i="31"/>
  <c r="C855" i="26"/>
  <c r="C122" i="31"/>
  <c r="D853" i="26"/>
  <c r="G854" i="26"/>
  <c r="F123" i="31"/>
  <c r="E830" i="26"/>
  <c r="E95" i="31" s="1"/>
  <c r="F830" i="26"/>
  <c r="F95" i="31" s="1"/>
  <c r="G830" i="26"/>
  <c r="G95" i="31" s="1"/>
  <c r="G94" i="31"/>
  <c r="D33" i="27"/>
  <c r="AB3" i="28" s="1"/>
  <c r="G56" i="31"/>
  <c r="H210" i="26"/>
  <c r="D32" i="27"/>
  <c r="AA3" i="28" s="1"/>
  <c r="K210" i="26"/>
  <c r="I210" i="26"/>
  <c r="J210" i="26"/>
  <c r="G210" i="26"/>
  <c r="F210" i="26"/>
  <c r="D210" i="26"/>
  <c r="C32" i="27"/>
  <c r="AA2" i="28" s="1"/>
  <c r="E210" i="26"/>
  <c r="D291" i="26"/>
  <c r="D292" i="26" s="1"/>
  <c r="C291" i="26"/>
  <c r="C292" i="26" s="1"/>
  <c r="F172" i="26"/>
  <c r="F102" i="31" s="1"/>
  <c r="G172" i="26"/>
  <c r="G102" i="31" s="1"/>
  <c r="E172" i="26"/>
  <c r="E102" i="31" s="1"/>
  <c r="D172" i="26"/>
  <c r="C160" i="26"/>
  <c r="C93" i="31" s="1"/>
  <c r="C159" i="26"/>
  <c r="C97" i="31" s="1"/>
  <c r="C158" i="26"/>
  <c r="C157" i="26"/>
  <c r="G814" i="26"/>
  <c r="F814" i="26"/>
  <c r="E814" i="26"/>
  <c r="D814" i="26"/>
  <c r="C814" i="26"/>
  <c r="G813" i="26"/>
  <c r="F813" i="26"/>
  <c r="E813" i="26"/>
  <c r="D813" i="26"/>
  <c r="C813" i="26"/>
  <c r="G812" i="26"/>
  <c r="F812" i="26"/>
  <c r="E812" i="26"/>
  <c r="D812" i="26"/>
  <c r="C812" i="26"/>
  <c r="G576" i="26"/>
  <c r="F576" i="26"/>
  <c r="E576" i="26"/>
  <c r="D576" i="26"/>
  <c r="C576" i="26"/>
  <c r="G575" i="26"/>
  <c r="F575" i="26"/>
  <c r="E575" i="26"/>
  <c r="D575" i="26"/>
  <c r="C575" i="26"/>
  <c r="G574" i="26"/>
  <c r="F574" i="26"/>
  <c r="E574" i="26"/>
  <c r="D574" i="26"/>
  <c r="C574" i="26"/>
  <c r="G570" i="26"/>
  <c r="F570" i="26"/>
  <c r="E570" i="26"/>
  <c r="D570" i="26"/>
  <c r="C570" i="26"/>
  <c r="G569" i="26"/>
  <c r="F569" i="26"/>
  <c r="E569" i="26"/>
  <c r="D569" i="26"/>
  <c r="C569" i="26"/>
  <c r="G568" i="26"/>
  <c r="F568" i="26"/>
  <c r="E568" i="26"/>
  <c r="D568" i="26"/>
  <c r="C568" i="26"/>
  <c r="G564" i="26"/>
  <c r="F564" i="26"/>
  <c r="E564" i="26"/>
  <c r="D564" i="26"/>
  <c r="C564" i="26"/>
  <c r="G563" i="26"/>
  <c r="F563" i="26"/>
  <c r="E563" i="26"/>
  <c r="D563" i="26"/>
  <c r="C563" i="26"/>
  <c r="G562" i="26"/>
  <c r="F562" i="26"/>
  <c r="E562" i="26"/>
  <c r="D562" i="26"/>
  <c r="C562" i="26"/>
  <c r="G553" i="26"/>
  <c r="F553" i="26"/>
  <c r="E553" i="26"/>
  <c r="D553" i="26"/>
  <c r="C553" i="26"/>
  <c r="G552" i="26"/>
  <c r="F552" i="26"/>
  <c r="E552" i="26"/>
  <c r="D552" i="26"/>
  <c r="C552" i="26"/>
  <c r="G551" i="26"/>
  <c r="F551" i="26"/>
  <c r="E551" i="26"/>
  <c r="D551" i="26"/>
  <c r="C551" i="26"/>
  <c r="G547" i="26"/>
  <c r="F547" i="26"/>
  <c r="E547" i="26"/>
  <c r="D547" i="26"/>
  <c r="C547" i="26"/>
  <c r="G546" i="26"/>
  <c r="F546" i="26"/>
  <c r="E546" i="26"/>
  <c r="D546" i="26"/>
  <c r="C546" i="26"/>
  <c r="G545" i="26"/>
  <c r="F545" i="26"/>
  <c r="E545" i="26"/>
  <c r="D545" i="26"/>
  <c r="C545" i="26"/>
  <c r="G541" i="26"/>
  <c r="F541" i="26"/>
  <c r="E541" i="26"/>
  <c r="D541" i="26"/>
  <c r="C541" i="26"/>
  <c r="G540" i="26"/>
  <c r="F540" i="26"/>
  <c r="E540" i="26"/>
  <c r="D540" i="26"/>
  <c r="C540" i="26"/>
  <c r="G539" i="26"/>
  <c r="F539" i="26"/>
  <c r="E539" i="26"/>
  <c r="D539" i="26"/>
  <c r="C539" i="26"/>
  <c r="G525" i="26"/>
  <c r="F525" i="26"/>
  <c r="E525" i="26"/>
  <c r="D525" i="26"/>
  <c r="C525" i="26"/>
  <c r="G524" i="26"/>
  <c r="F524" i="26"/>
  <c r="E524" i="26"/>
  <c r="D524" i="26"/>
  <c r="C524" i="26"/>
  <c r="G523" i="26"/>
  <c r="F523" i="26"/>
  <c r="E523" i="26"/>
  <c r="D523" i="26"/>
  <c r="C523" i="26"/>
  <c r="G519" i="26"/>
  <c r="F519" i="26"/>
  <c r="E519" i="26"/>
  <c r="D519" i="26"/>
  <c r="C519" i="26"/>
  <c r="G518" i="26"/>
  <c r="F518" i="26"/>
  <c r="E518" i="26"/>
  <c r="D518" i="26"/>
  <c r="C518" i="26"/>
  <c r="G517" i="26"/>
  <c r="F517" i="26"/>
  <c r="E517" i="26"/>
  <c r="D517" i="26"/>
  <c r="C517" i="26"/>
  <c r="G513" i="26"/>
  <c r="F513" i="26"/>
  <c r="E513" i="26"/>
  <c r="D513" i="26"/>
  <c r="C513" i="26"/>
  <c r="G512" i="26"/>
  <c r="F512" i="26"/>
  <c r="E512" i="26"/>
  <c r="D512" i="26"/>
  <c r="C512" i="26"/>
  <c r="G511" i="26"/>
  <c r="F511" i="26"/>
  <c r="E511" i="26"/>
  <c r="D511" i="26"/>
  <c r="C511" i="26"/>
  <c r="G501" i="26"/>
  <c r="F501" i="26"/>
  <c r="E501" i="26"/>
  <c r="D501" i="26"/>
  <c r="C501" i="26"/>
  <c r="G500" i="26"/>
  <c r="F500" i="26"/>
  <c r="E500" i="26"/>
  <c r="D500" i="26"/>
  <c r="C500" i="26"/>
  <c r="G499" i="26"/>
  <c r="F499" i="26"/>
  <c r="E499" i="26"/>
  <c r="D499" i="26"/>
  <c r="C499" i="26"/>
  <c r="G493" i="26"/>
  <c r="F493" i="26"/>
  <c r="E493" i="26"/>
  <c r="D493" i="26"/>
  <c r="C493" i="26"/>
  <c r="G492" i="26"/>
  <c r="F492" i="26"/>
  <c r="E492" i="26"/>
  <c r="D492" i="26"/>
  <c r="C492" i="26"/>
  <c r="G491" i="26"/>
  <c r="F491" i="26"/>
  <c r="E491" i="26"/>
  <c r="D491" i="26"/>
  <c r="C491" i="26"/>
  <c r="G485" i="26"/>
  <c r="F485" i="26"/>
  <c r="E485" i="26"/>
  <c r="D485" i="26"/>
  <c r="C485" i="26"/>
  <c r="G484" i="26"/>
  <c r="F484" i="26"/>
  <c r="E484" i="26"/>
  <c r="D484" i="26"/>
  <c r="C484" i="26"/>
  <c r="G483" i="26"/>
  <c r="F483" i="26"/>
  <c r="E483" i="26"/>
  <c r="D483" i="26"/>
  <c r="C483" i="26"/>
  <c r="J463" i="26"/>
  <c r="I463" i="26"/>
  <c r="H463" i="26"/>
  <c r="G463" i="26"/>
  <c r="F463" i="26"/>
  <c r="E463" i="26"/>
  <c r="D463" i="26"/>
  <c r="C463" i="26"/>
  <c r="J462" i="26"/>
  <c r="I462" i="26"/>
  <c r="H462" i="26"/>
  <c r="G462" i="26"/>
  <c r="F462" i="26"/>
  <c r="E462" i="26"/>
  <c r="D462" i="26"/>
  <c r="C462" i="26"/>
  <c r="J461" i="26"/>
  <c r="I461" i="26"/>
  <c r="H461" i="26"/>
  <c r="G461" i="26"/>
  <c r="F461" i="26"/>
  <c r="E461" i="26"/>
  <c r="D461" i="26"/>
  <c r="C461" i="26"/>
  <c r="J460" i="26"/>
  <c r="I460" i="26"/>
  <c r="H460" i="26"/>
  <c r="G460" i="26"/>
  <c r="F460" i="26"/>
  <c r="E460" i="26"/>
  <c r="D460" i="26"/>
  <c r="C460" i="26"/>
  <c r="J459" i="26"/>
  <c r="I459" i="26"/>
  <c r="H459" i="26"/>
  <c r="G459" i="26"/>
  <c r="F459" i="26"/>
  <c r="E459" i="26"/>
  <c r="D459" i="26"/>
  <c r="C459" i="26"/>
  <c r="J458" i="26"/>
  <c r="I458" i="26"/>
  <c r="H458" i="26"/>
  <c r="G458" i="26"/>
  <c r="F458" i="26"/>
  <c r="E458" i="26"/>
  <c r="D458" i="26"/>
  <c r="C458" i="26"/>
  <c r="J457" i="26"/>
  <c r="I457" i="26"/>
  <c r="H457" i="26"/>
  <c r="G457" i="26"/>
  <c r="F457" i="26"/>
  <c r="E457" i="26"/>
  <c r="D457" i="26"/>
  <c r="C457" i="26"/>
  <c r="J456" i="26"/>
  <c r="I456" i="26"/>
  <c r="H456" i="26"/>
  <c r="G456" i="26"/>
  <c r="F456" i="26"/>
  <c r="E456" i="26"/>
  <c r="D456" i="26"/>
  <c r="C456" i="26"/>
  <c r="J455" i="26"/>
  <c r="I455" i="26"/>
  <c r="H455" i="26"/>
  <c r="G455" i="26"/>
  <c r="F455" i="26"/>
  <c r="E455" i="26"/>
  <c r="D455" i="26"/>
  <c r="C455" i="26"/>
  <c r="J454" i="26"/>
  <c r="I454" i="26"/>
  <c r="H454" i="26"/>
  <c r="G454" i="26"/>
  <c r="F454" i="26"/>
  <c r="E454" i="26"/>
  <c r="D454" i="26"/>
  <c r="C454" i="26"/>
  <c r="J453" i="26"/>
  <c r="I453" i="26"/>
  <c r="H453" i="26"/>
  <c r="G453" i="26"/>
  <c r="F453" i="26"/>
  <c r="E453" i="26"/>
  <c r="D453" i="26"/>
  <c r="C453" i="26"/>
  <c r="J452" i="26"/>
  <c r="I452" i="26"/>
  <c r="H452" i="26"/>
  <c r="G452" i="26"/>
  <c r="F452" i="26"/>
  <c r="E452" i="26"/>
  <c r="D452" i="26"/>
  <c r="C452" i="26"/>
  <c r="J451" i="26"/>
  <c r="I451" i="26"/>
  <c r="H451" i="26"/>
  <c r="G451" i="26"/>
  <c r="F451" i="26"/>
  <c r="E451" i="26"/>
  <c r="D451" i="26"/>
  <c r="C451" i="26"/>
  <c r="J450" i="26"/>
  <c r="I450" i="26"/>
  <c r="H450" i="26"/>
  <c r="G450" i="26"/>
  <c r="F450" i="26"/>
  <c r="E450" i="26"/>
  <c r="D450" i="26"/>
  <c r="C450" i="26"/>
  <c r="J427" i="26"/>
  <c r="I427" i="26"/>
  <c r="H427" i="26"/>
  <c r="G427" i="26"/>
  <c r="F427" i="26"/>
  <c r="E427" i="26"/>
  <c r="D427" i="26"/>
  <c r="C427" i="26"/>
  <c r="J426" i="26"/>
  <c r="I426" i="26"/>
  <c r="H426" i="26"/>
  <c r="G426" i="26"/>
  <c r="F426" i="26"/>
  <c r="E426" i="26"/>
  <c r="D426" i="26"/>
  <c r="C426" i="26"/>
  <c r="J425" i="26"/>
  <c r="I425" i="26"/>
  <c r="H425" i="26"/>
  <c r="G425" i="26"/>
  <c r="F425" i="26"/>
  <c r="E425" i="26"/>
  <c r="D425" i="26"/>
  <c r="C425" i="26"/>
  <c r="J424" i="26"/>
  <c r="I424" i="26"/>
  <c r="H424" i="26"/>
  <c r="G424" i="26"/>
  <c r="F424" i="26"/>
  <c r="E424" i="26"/>
  <c r="D424" i="26"/>
  <c r="C424" i="26"/>
  <c r="J423" i="26"/>
  <c r="I423" i="26"/>
  <c r="H423" i="26"/>
  <c r="G423" i="26"/>
  <c r="F423" i="26"/>
  <c r="E423" i="26"/>
  <c r="D423" i="26"/>
  <c r="C423" i="26"/>
  <c r="J422" i="26"/>
  <c r="I422" i="26"/>
  <c r="H422" i="26"/>
  <c r="G422" i="26"/>
  <c r="F422" i="26"/>
  <c r="E422" i="26"/>
  <c r="D422" i="26"/>
  <c r="C422" i="26"/>
  <c r="J421" i="26"/>
  <c r="I421" i="26"/>
  <c r="H421" i="26"/>
  <c r="G421" i="26"/>
  <c r="F421" i="26"/>
  <c r="E421" i="26"/>
  <c r="D421" i="26"/>
  <c r="C421" i="26"/>
  <c r="J420" i="26"/>
  <c r="I420" i="26"/>
  <c r="H420" i="26"/>
  <c r="G420" i="26"/>
  <c r="F420" i="26"/>
  <c r="E420" i="26"/>
  <c r="D420" i="26"/>
  <c r="C420" i="26"/>
  <c r="J419" i="26"/>
  <c r="I419" i="26"/>
  <c r="H419" i="26"/>
  <c r="G419" i="26"/>
  <c r="F419" i="26"/>
  <c r="E419" i="26"/>
  <c r="D419" i="26"/>
  <c r="C419" i="26"/>
  <c r="J418" i="26"/>
  <c r="I418" i="26"/>
  <c r="H418" i="26"/>
  <c r="G418" i="26"/>
  <c r="F418" i="26"/>
  <c r="E418" i="26"/>
  <c r="D418" i="26"/>
  <c r="C418" i="26"/>
  <c r="J417" i="26"/>
  <c r="I417" i="26"/>
  <c r="H417" i="26"/>
  <c r="G417" i="26"/>
  <c r="F417" i="26"/>
  <c r="E417" i="26"/>
  <c r="D417" i="26"/>
  <c r="C417" i="26"/>
  <c r="J416" i="26"/>
  <c r="I416" i="26"/>
  <c r="H416" i="26"/>
  <c r="G416" i="26"/>
  <c r="F416" i="26"/>
  <c r="E416" i="26"/>
  <c r="D416" i="26"/>
  <c r="C416" i="26"/>
  <c r="J415" i="26"/>
  <c r="I415" i="26"/>
  <c r="H415" i="26"/>
  <c r="G415" i="26"/>
  <c r="F415" i="26"/>
  <c r="E415" i="26"/>
  <c r="D415" i="26"/>
  <c r="C415" i="26"/>
  <c r="J414" i="26"/>
  <c r="I414" i="26"/>
  <c r="H414" i="26"/>
  <c r="G414" i="26"/>
  <c r="F414" i="26"/>
  <c r="E414" i="26"/>
  <c r="D414" i="26"/>
  <c r="C414" i="26"/>
  <c r="G384" i="26"/>
  <c r="G70" i="31" s="1"/>
  <c r="F384" i="26"/>
  <c r="F70" i="31" s="1"/>
  <c r="E384" i="26"/>
  <c r="E70" i="31" s="1"/>
  <c r="D384" i="26"/>
  <c r="D70" i="31" s="1"/>
  <c r="C384" i="26"/>
  <c r="C70" i="31" s="1"/>
  <c r="G383" i="26"/>
  <c r="F383" i="26"/>
  <c r="F68" i="31" s="1"/>
  <c r="E383" i="26"/>
  <c r="E68" i="31" s="1"/>
  <c r="D383" i="26"/>
  <c r="C383" i="26"/>
  <c r="G380" i="26"/>
  <c r="G66" i="31" s="1"/>
  <c r="F380" i="26"/>
  <c r="F66" i="31" s="1"/>
  <c r="E380" i="26"/>
  <c r="E66" i="31" s="1"/>
  <c r="D380" i="26"/>
  <c r="D66" i="31" s="1"/>
  <c r="C380" i="26"/>
  <c r="C66" i="31" s="1"/>
  <c r="G379" i="26"/>
  <c r="G64" i="31" s="1"/>
  <c r="F379" i="26"/>
  <c r="F64" i="31" s="1"/>
  <c r="E379" i="26"/>
  <c r="E64" i="31" s="1"/>
  <c r="D379" i="26"/>
  <c r="D64" i="31" s="1"/>
  <c r="C379" i="26"/>
  <c r="C64" i="31" s="1"/>
  <c r="G378" i="26"/>
  <c r="G62" i="31" s="1"/>
  <c r="F378" i="26"/>
  <c r="F62" i="31" s="1"/>
  <c r="E378" i="26"/>
  <c r="E62" i="31" s="1"/>
  <c r="D378" i="26"/>
  <c r="D62" i="31" s="1"/>
  <c r="C378" i="26"/>
  <c r="C62" i="31" s="1"/>
  <c r="G377" i="26"/>
  <c r="F377" i="26"/>
  <c r="F60" i="31" s="1"/>
  <c r="E377" i="26"/>
  <c r="E60" i="31" s="1"/>
  <c r="D377" i="26"/>
  <c r="D60" i="31" s="1"/>
  <c r="C377" i="26"/>
  <c r="C60" i="31" s="1"/>
  <c r="C320" i="26"/>
  <c r="C319" i="26"/>
  <c r="C318" i="26"/>
  <c r="C317" i="26"/>
  <c r="C316" i="26"/>
  <c r="C315" i="26"/>
  <c r="C314" i="26"/>
  <c r="C313" i="26"/>
  <c r="C312" i="26"/>
  <c r="C338" i="26" s="1"/>
  <c r="E106" i="27"/>
  <c r="CP4" i="28" s="1"/>
  <c r="D106" i="27"/>
  <c r="CP3" i="28" s="1"/>
  <c r="E102" i="27"/>
  <c r="CM4" i="28" s="1"/>
  <c r="D102" i="27"/>
  <c r="CM3" i="28" s="1"/>
  <c r="E97" i="27"/>
  <c r="CH4" i="28" s="1"/>
  <c r="D97" i="27"/>
  <c r="CH3" i="28" s="1"/>
  <c r="E11" i="27"/>
  <c r="G2" i="28"/>
  <c r="G4" i="28" s="1"/>
  <c r="G6" i="28" s="1"/>
  <c r="G8" i="28" s="1"/>
  <c r="G10" i="28" s="1"/>
  <c r="F2" i="28"/>
  <c r="F3" i="28" s="1"/>
  <c r="F5" i="28" s="1"/>
  <c r="F7" i="28" s="1"/>
  <c r="F9" i="28" s="1"/>
  <c r="F11" i="28" s="1"/>
  <c r="E2" i="28"/>
  <c r="E4" i="28" s="1"/>
  <c r="E6" i="28" s="1"/>
  <c r="E8" i="28" s="1"/>
  <c r="E10" i="28" s="1"/>
  <c r="D2" i="28"/>
  <c r="D4" i="28" s="1"/>
  <c r="D6" i="28" s="1"/>
  <c r="D8" i="28" s="1"/>
  <c r="D10" i="28" s="1"/>
  <c r="C2" i="28"/>
  <c r="C4" i="28" s="1"/>
  <c r="C6" i="28" s="1"/>
  <c r="C8" i="28" s="1"/>
  <c r="C10" i="28" s="1"/>
  <c r="G62" i="26"/>
  <c r="F62" i="26"/>
  <c r="E62" i="26"/>
  <c r="D62" i="26"/>
  <c r="G61" i="26"/>
  <c r="F61" i="26"/>
  <c r="E61" i="26"/>
  <c r="D61" i="26"/>
  <c r="G60" i="26"/>
  <c r="F60" i="26"/>
  <c r="E60" i="26"/>
  <c r="D60" i="26"/>
  <c r="G59" i="26"/>
  <c r="F59" i="26"/>
  <c r="F24" i="31" s="1"/>
  <c r="E59" i="26"/>
  <c r="E24" i="31" s="1"/>
  <c r="D59" i="26"/>
  <c r="D24" i="31" s="1"/>
  <c r="C62" i="26"/>
  <c r="C61" i="26"/>
  <c r="C60" i="26"/>
  <c r="C59" i="26"/>
  <c r="C24" i="31" s="1"/>
  <c r="G52" i="26"/>
  <c r="F52" i="26"/>
  <c r="E52" i="26"/>
  <c r="D52" i="26"/>
  <c r="G51" i="26"/>
  <c r="F51" i="26"/>
  <c r="E51" i="26"/>
  <c r="D51" i="26"/>
  <c r="G46" i="26"/>
  <c r="F46" i="26"/>
  <c r="E46" i="26"/>
  <c r="D46" i="26"/>
  <c r="F45" i="26"/>
  <c r="F21" i="31" s="1"/>
  <c r="E45" i="26"/>
  <c r="E21" i="31" s="1"/>
  <c r="D45" i="26"/>
  <c r="D21" i="31" s="1"/>
  <c r="C52" i="26"/>
  <c r="C51" i="26"/>
  <c r="C46" i="26"/>
  <c r="G38" i="26"/>
  <c r="F38" i="26"/>
  <c r="E38" i="26"/>
  <c r="D38" i="26"/>
  <c r="G32" i="26"/>
  <c r="F32" i="26"/>
  <c r="E32" i="26"/>
  <c r="D32" i="26"/>
  <c r="G31" i="26"/>
  <c r="F31" i="26"/>
  <c r="E31" i="26"/>
  <c r="D31" i="26"/>
  <c r="G30" i="26"/>
  <c r="F30" i="26"/>
  <c r="E30" i="26"/>
  <c r="D30" i="26"/>
  <c r="G26" i="26"/>
  <c r="F26" i="26"/>
  <c r="F7" i="31" s="1"/>
  <c r="E26" i="26"/>
  <c r="E7" i="31" s="1"/>
  <c r="D26" i="26"/>
  <c r="D7" i="31" s="1"/>
  <c r="C38" i="26"/>
  <c r="C32" i="26"/>
  <c r="C31" i="26"/>
  <c r="C30" i="26"/>
  <c r="C26" i="26"/>
  <c r="C7" i="31" s="1"/>
  <c r="H153" i="26"/>
  <c r="H65" i="26"/>
  <c r="H103" i="26" s="1"/>
  <c r="E15" i="27" s="1"/>
  <c r="L4" i="28" s="1"/>
  <c r="C8" i="26"/>
  <c r="C6" i="26"/>
  <c r="C5" i="26"/>
  <c r="C6" i="27" s="1"/>
  <c r="C4" i="26"/>
  <c r="C3" i="26"/>
  <c r="G769" i="26"/>
  <c r="F769" i="26"/>
  <c r="E769" i="26"/>
  <c r="D769" i="26"/>
  <c r="C769" i="26"/>
  <c r="G730" i="26"/>
  <c r="F730" i="26"/>
  <c r="E730" i="26"/>
  <c r="D730" i="26"/>
  <c r="C730" i="26"/>
  <c r="G729" i="26"/>
  <c r="F729" i="26"/>
  <c r="E729" i="26"/>
  <c r="D729" i="26"/>
  <c r="C729" i="26"/>
  <c r="G728" i="26"/>
  <c r="F728" i="26"/>
  <c r="E728" i="26"/>
  <c r="D728" i="26"/>
  <c r="C728" i="26"/>
  <c r="G727" i="26"/>
  <c r="F727" i="26"/>
  <c r="E727" i="26"/>
  <c r="D727" i="26"/>
  <c r="C727" i="26"/>
  <c r="G726" i="26"/>
  <c r="F726" i="26"/>
  <c r="E726" i="26"/>
  <c r="D726" i="26"/>
  <c r="C726" i="26"/>
  <c r="G725" i="26"/>
  <c r="F725" i="26"/>
  <c r="E725" i="26"/>
  <c r="D725" i="26"/>
  <c r="C725" i="26"/>
  <c r="G724" i="26"/>
  <c r="F724" i="26"/>
  <c r="E724" i="26"/>
  <c r="D724" i="26"/>
  <c r="C724" i="26"/>
  <c r="G723" i="26"/>
  <c r="F723" i="26"/>
  <c r="E723" i="26"/>
  <c r="D723" i="26"/>
  <c r="C723" i="26"/>
  <c r="G722" i="26"/>
  <c r="F722" i="26"/>
  <c r="E722" i="26"/>
  <c r="D722" i="26"/>
  <c r="C722" i="26"/>
  <c r="G721" i="26"/>
  <c r="F721" i="26"/>
  <c r="E721" i="26"/>
  <c r="D721" i="26"/>
  <c r="C721" i="26"/>
  <c r="G720" i="26"/>
  <c r="F720" i="26"/>
  <c r="E720" i="26"/>
  <c r="D720" i="26"/>
  <c r="C720" i="26"/>
  <c r="G719" i="26"/>
  <c r="F719" i="26"/>
  <c r="E719" i="26"/>
  <c r="D719" i="26"/>
  <c r="C719" i="26"/>
  <c r="G718" i="26"/>
  <c r="F718" i="26"/>
  <c r="E718" i="26"/>
  <c r="D718" i="26"/>
  <c r="C718" i="26"/>
  <c r="G717" i="26"/>
  <c r="F717" i="26"/>
  <c r="E717" i="26"/>
  <c r="D717" i="26"/>
  <c r="C717" i="26"/>
  <c r="G716" i="26"/>
  <c r="F716" i="26"/>
  <c r="E716" i="26"/>
  <c r="D716" i="26"/>
  <c r="C716" i="26"/>
  <c r="G715" i="26"/>
  <c r="F715" i="26"/>
  <c r="E715" i="26"/>
  <c r="D715" i="26"/>
  <c r="C715" i="26"/>
  <c r="G714" i="26"/>
  <c r="F714" i="26"/>
  <c r="E714" i="26"/>
  <c r="D714" i="26"/>
  <c r="C714" i="26"/>
  <c r="G713" i="26"/>
  <c r="F713" i="26"/>
  <c r="E713" i="26"/>
  <c r="D713" i="26"/>
  <c r="C713" i="26"/>
  <c r="G712" i="26"/>
  <c r="F712" i="26"/>
  <c r="E712" i="26"/>
  <c r="D712" i="26"/>
  <c r="C712" i="26"/>
  <c r="G711" i="26"/>
  <c r="F711" i="26"/>
  <c r="E711" i="26"/>
  <c r="D711" i="26"/>
  <c r="C711" i="26"/>
  <c r="G710" i="26"/>
  <c r="F710" i="26"/>
  <c r="E710" i="26"/>
  <c r="D710" i="26"/>
  <c r="C710" i="26"/>
  <c r="G709" i="26"/>
  <c r="F709" i="26"/>
  <c r="E709" i="26"/>
  <c r="D709" i="26"/>
  <c r="C709" i="26"/>
  <c r="G705" i="26"/>
  <c r="F705" i="26"/>
  <c r="E705" i="26"/>
  <c r="D705" i="26"/>
  <c r="C705" i="26"/>
  <c r="G704" i="26"/>
  <c r="F704" i="26"/>
  <c r="E704" i="26"/>
  <c r="D704" i="26"/>
  <c r="C704" i="26"/>
  <c r="G703" i="26"/>
  <c r="F703" i="26"/>
  <c r="E703" i="26"/>
  <c r="D703" i="26"/>
  <c r="C703" i="26"/>
  <c r="G702" i="26"/>
  <c r="F702" i="26"/>
  <c r="E702" i="26"/>
  <c r="D702" i="26"/>
  <c r="C702" i="26"/>
  <c r="G701" i="26"/>
  <c r="F701" i="26"/>
  <c r="E701" i="26"/>
  <c r="D701" i="26"/>
  <c r="C701" i="26"/>
  <c r="G700" i="26"/>
  <c r="F700" i="26"/>
  <c r="E700" i="26"/>
  <c r="D700" i="26"/>
  <c r="C700" i="26"/>
  <c r="G694" i="26"/>
  <c r="F694" i="26"/>
  <c r="E694" i="26"/>
  <c r="D694" i="26"/>
  <c r="C694" i="26"/>
  <c r="G619" i="26"/>
  <c r="F619" i="26"/>
  <c r="E619" i="26"/>
  <c r="D619" i="26"/>
  <c r="C619" i="26"/>
  <c r="D369" i="26"/>
  <c r="D368" i="26"/>
  <c r="D367" i="26"/>
  <c r="D366" i="26"/>
  <c r="D365" i="26"/>
  <c r="D357" i="26"/>
  <c r="D358" i="26" s="1"/>
  <c r="D349" i="26"/>
  <c r="D352" i="26" s="1"/>
  <c r="D348" i="26"/>
  <c r="D351" i="26" s="1"/>
  <c r="D347" i="26"/>
  <c r="D350" i="26" s="1"/>
  <c r="D338" i="26"/>
  <c r="D339" i="26" s="1"/>
  <c r="D340" i="26" s="1"/>
  <c r="D330" i="26"/>
  <c r="D333" i="26" s="1"/>
  <c r="D329" i="26"/>
  <c r="D332" i="26" s="1"/>
  <c r="D335" i="26"/>
  <c r="F325" i="26"/>
  <c r="E325" i="26"/>
  <c r="F324" i="26"/>
  <c r="E324" i="26"/>
  <c r="F323" i="26"/>
  <c r="E323" i="26"/>
  <c r="F322" i="26"/>
  <c r="E322" i="26"/>
  <c r="F321" i="26"/>
  <c r="E321" i="26"/>
  <c r="F320" i="26"/>
  <c r="E320" i="26"/>
  <c r="F319" i="26"/>
  <c r="E319" i="26"/>
  <c r="F318" i="26"/>
  <c r="E318" i="26"/>
  <c r="F317" i="26"/>
  <c r="E317" i="26"/>
  <c r="F316" i="26"/>
  <c r="E316" i="26"/>
  <c r="F315" i="26"/>
  <c r="E315" i="26"/>
  <c r="F314" i="26"/>
  <c r="E314" i="26"/>
  <c r="F313" i="26"/>
  <c r="E313" i="26"/>
  <c r="F312" i="26"/>
  <c r="E312" i="26"/>
  <c r="F311" i="26"/>
  <c r="E311" i="26"/>
  <c r="F310" i="26"/>
  <c r="E310" i="26"/>
  <c r="F309" i="26"/>
  <c r="E309" i="26"/>
  <c r="F308" i="26"/>
  <c r="E308" i="26"/>
  <c r="F307" i="26"/>
  <c r="E307" i="26"/>
  <c r="F306" i="26"/>
  <c r="E306" i="26"/>
  <c r="E357" i="26" s="1"/>
  <c r="H201" i="26"/>
  <c r="H104" i="26"/>
  <c r="E16" i="27" s="1"/>
  <c r="M4" i="28" s="1"/>
  <c r="H69" i="26"/>
  <c r="H68" i="26"/>
  <c r="H48" i="26"/>
  <c r="H53" i="26" s="1"/>
  <c r="H24" i="26"/>
  <c r="E328" i="26" l="1"/>
  <c r="E331" i="26" s="1"/>
  <c r="C339" i="26"/>
  <c r="C340" i="26" s="1"/>
  <c r="C348" i="26"/>
  <c r="C351" i="26" s="1"/>
  <c r="C329" i="26"/>
  <c r="C332" i="26" s="1"/>
  <c r="C349" i="26"/>
  <c r="C352" i="26" s="1"/>
  <c r="C330" i="26"/>
  <c r="C333" i="26" s="1"/>
  <c r="G134" i="26"/>
  <c r="D47" i="27" s="1"/>
  <c r="AP3" i="28" s="1"/>
  <c r="F134" i="26"/>
  <c r="C47" i="27" s="1"/>
  <c r="AP2" i="28" s="1"/>
  <c r="C404" i="26"/>
  <c r="C72" i="31" s="1"/>
  <c r="C68" i="31"/>
  <c r="D831" i="26"/>
  <c r="D101" i="31" s="1"/>
  <c r="D102" i="31"/>
  <c r="D404" i="26"/>
  <c r="D72" i="31" s="1"/>
  <c r="D68" i="31"/>
  <c r="G824" i="26"/>
  <c r="G75" i="31" s="1"/>
  <c r="E824" i="26"/>
  <c r="E75" i="31" s="1"/>
  <c r="H854" i="26"/>
  <c r="G123" i="31"/>
  <c r="F824" i="26"/>
  <c r="F75" i="31" s="1"/>
  <c r="D122" i="31"/>
  <c r="D855" i="26"/>
  <c r="E853" i="26"/>
  <c r="C856" i="26"/>
  <c r="C125" i="31" s="1"/>
  <c r="C124" i="31"/>
  <c r="G831" i="26"/>
  <c r="G101" i="31" s="1"/>
  <c r="F831" i="26"/>
  <c r="F101" i="31" s="1"/>
  <c r="D824" i="26"/>
  <c r="D75" i="31" s="1"/>
  <c r="E831" i="26"/>
  <c r="E101" i="31" s="1"/>
  <c r="C824" i="26"/>
  <c r="C75" i="31" s="1"/>
  <c r="D187" i="26"/>
  <c r="E192" i="26"/>
  <c r="E11" i="23" s="1"/>
  <c r="F187" i="26"/>
  <c r="C70" i="27" s="1"/>
  <c r="BJ2" i="28" s="1"/>
  <c r="E404" i="26"/>
  <c r="E72" i="31" s="1"/>
  <c r="F404" i="26"/>
  <c r="F72" i="31" s="1"/>
  <c r="G68" i="31"/>
  <c r="G404" i="26"/>
  <c r="G72" i="31" s="1"/>
  <c r="G188" i="26"/>
  <c r="D71" i="27" s="1"/>
  <c r="BK3" i="28" s="1"/>
  <c r="G24" i="31"/>
  <c r="G60" i="31"/>
  <c r="I26" i="26"/>
  <c r="J26" i="26" s="1"/>
  <c r="G7" i="31"/>
  <c r="C648" i="26"/>
  <c r="C637" i="26"/>
  <c r="C635" i="26"/>
  <c r="C636" i="26"/>
  <c r="H110" i="26"/>
  <c r="H109" i="26"/>
  <c r="E28" i="27" s="1"/>
  <c r="X4" i="28" s="1"/>
  <c r="E21" i="27"/>
  <c r="Q4" i="28" s="1"/>
  <c r="D651" i="26"/>
  <c r="D636" i="26"/>
  <c r="D635" i="26"/>
  <c r="D637" i="26"/>
  <c r="F641" i="26"/>
  <c r="F636" i="26"/>
  <c r="F637" i="26"/>
  <c r="F635" i="26"/>
  <c r="C802" i="26"/>
  <c r="C780" i="26"/>
  <c r="C781" i="26"/>
  <c r="C779" i="26"/>
  <c r="D805" i="26"/>
  <c r="D779" i="26"/>
  <c r="D780" i="26"/>
  <c r="D781" i="26"/>
  <c r="E792" i="26"/>
  <c r="E780" i="26"/>
  <c r="E781" i="26"/>
  <c r="E779" i="26"/>
  <c r="F795" i="26"/>
  <c r="F780" i="26"/>
  <c r="F781" i="26"/>
  <c r="F779" i="26"/>
  <c r="G798" i="26"/>
  <c r="G779" i="26"/>
  <c r="G780" i="26"/>
  <c r="G781" i="26"/>
  <c r="E654" i="26"/>
  <c r="E636" i="26"/>
  <c r="E637" i="26"/>
  <c r="E635" i="26"/>
  <c r="G644" i="26"/>
  <c r="G636" i="26"/>
  <c r="C122" i="27" s="1"/>
  <c r="DE2" i="28" s="1"/>
  <c r="G637" i="26"/>
  <c r="C123" i="27" s="1"/>
  <c r="DF2" i="28" s="1"/>
  <c r="G635" i="26"/>
  <c r="C121" i="27" s="1"/>
  <c r="DD2" i="28" s="1"/>
  <c r="H4" i="28"/>
  <c r="D110" i="27"/>
  <c r="D3" i="28"/>
  <c r="D5" i="28" s="1"/>
  <c r="D7" i="28" s="1"/>
  <c r="D9" i="28" s="1"/>
  <c r="D11" i="28" s="1"/>
  <c r="G3" i="28"/>
  <c r="G5" i="28" s="1"/>
  <c r="G7" i="28" s="1"/>
  <c r="G9" i="28" s="1"/>
  <c r="G11" i="28" s="1"/>
  <c r="F4" i="28"/>
  <c r="F6" i="28" s="1"/>
  <c r="F8" i="28" s="1"/>
  <c r="F10" i="28" s="1"/>
  <c r="K51" i="26"/>
  <c r="J51" i="26"/>
  <c r="I51" i="26"/>
  <c r="O24" i="26"/>
  <c r="O23" i="26"/>
  <c r="K52" i="26"/>
  <c r="J52" i="26"/>
  <c r="I52" i="26"/>
  <c r="I62" i="26"/>
  <c r="K62" i="26"/>
  <c r="J62" i="26"/>
  <c r="E3" i="28"/>
  <c r="E5" i="28" s="1"/>
  <c r="E7" i="28" s="1"/>
  <c r="E9" i="28" s="1"/>
  <c r="E11" i="28" s="1"/>
  <c r="E789" i="26"/>
  <c r="E291" i="26"/>
  <c r="E292" i="26" s="1"/>
  <c r="G652" i="26"/>
  <c r="G656" i="26"/>
  <c r="G184" i="26"/>
  <c r="D67" i="27" s="1"/>
  <c r="BG3" i="28" s="1"/>
  <c r="G180" i="26"/>
  <c r="D63" i="27" s="1"/>
  <c r="BC3" i="28" s="1"/>
  <c r="F192" i="26"/>
  <c r="F188" i="26"/>
  <c r="C71" i="27" s="1"/>
  <c r="BK2" i="28" s="1"/>
  <c r="F184" i="26"/>
  <c r="C67" i="27" s="1"/>
  <c r="BG2" i="28" s="1"/>
  <c r="F180" i="26"/>
  <c r="C63" i="27" s="1"/>
  <c r="BC2" i="28" s="1"/>
  <c r="E188" i="26"/>
  <c r="E180" i="26"/>
  <c r="E191" i="26"/>
  <c r="E183" i="26"/>
  <c r="F182" i="26"/>
  <c r="C65" i="27" s="1"/>
  <c r="BE2" i="28" s="1"/>
  <c r="F183" i="26"/>
  <c r="C66" i="27" s="1"/>
  <c r="BF2" i="28" s="1"/>
  <c r="E184" i="26"/>
  <c r="G192" i="26"/>
  <c r="D75" i="27" s="1"/>
  <c r="BO3" i="28" s="1"/>
  <c r="G191" i="26"/>
  <c r="D74" i="27" s="1"/>
  <c r="BN3" i="28" s="1"/>
  <c r="C172" i="26"/>
  <c r="D190" i="26"/>
  <c r="D193" i="26"/>
  <c r="D195" i="26"/>
  <c r="D186" i="26"/>
  <c r="D185" i="26"/>
  <c r="D189" i="26"/>
  <c r="D194" i="26"/>
  <c r="D182" i="26"/>
  <c r="D181" i="26"/>
  <c r="E195" i="26"/>
  <c r="E182" i="26"/>
  <c r="E194" i="26"/>
  <c r="E190" i="26"/>
  <c r="E186" i="26"/>
  <c r="E193" i="26"/>
  <c r="E189" i="26"/>
  <c r="E185" i="26"/>
  <c r="E181" i="26"/>
  <c r="D192" i="26"/>
  <c r="D11" i="23" s="1"/>
  <c r="G189" i="26"/>
  <c r="D72" i="27" s="1"/>
  <c r="BL3" i="28" s="1"/>
  <c r="G195" i="26"/>
  <c r="D78" i="27" s="1"/>
  <c r="BR3" i="28" s="1"/>
  <c r="G181" i="26"/>
  <c r="D64" i="27" s="1"/>
  <c r="BD3" i="28" s="1"/>
  <c r="G193" i="26"/>
  <c r="D76" i="27" s="1"/>
  <c r="BP3" i="28" s="1"/>
  <c r="G194" i="26"/>
  <c r="D77" i="27" s="1"/>
  <c r="BQ3" i="28" s="1"/>
  <c r="G190" i="26"/>
  <c r="D73" i="27" s="1"/>
  <c r="BM3" i="28" s="1"/>
  <c r="G186" i="26"/>
  <c r="D69" i="27" s="1"/>
  <c r="BI3" i="28" s="1"/>
  <c r="D65" i="27"/>
  <c r="BE3" i="28" s="1"/>
  <c r="G185" i="26"/>
  <c r="D68" i="27" s="1"/>
  <c r="BH3" i="28" s="1"/>
  <c r="D188" i="26"/>
  <c r="F195" i="26"/>
  <c r="C78" i="27" s="1"/>
  <c r="BR2" i="28" s="1"/>
  <c r="F194" i="26"/>
  <c r="C77" i="27" s="1"/>
  <c r="BQ2" i="28" s="1"/>
  <c r="F190" i="26"/>
  <c r="C73" i="27" s="1"/>
  <c r="BM2" i="28" s="1"/>
  <c r="F186" i="26"/>
  <c r="C69" i="27" s="1"/>
  <c r="BI2" i="28" s="1"/>
  <c r="F193" i="26"/>
  <c r="C76" i="27" s="1"/>
  <c r="BP2" i="28" s="1"/>
  <c r="F189" i="26"/>
  <c r="C72" i="27" s="1"/>
  <c r="BL2" i="28" s="1"/>
  <c r="F185" i="26"/>
  <c r="C68" i="27" s="1"/>
  <c r="BH2" i="28" s="1"/>
  <c r="F181" i="26"/>
  <c r="C64" i="27" s="1"/>
  <c r="BD2" i="28" s="1"/>
  <c r="D184" i="26"/>
  <c r="G187" i="26"/>
  <c r="D70" i="27" s="1"/>
  <c r="BJ3" i="28" s="1"/>
  <c r="D180" i="26"/>
  <c r="E187" i="26"/>
  <c r="G183" i="26"/>
  <c r="D66" i="27" s="1"/>
  <c r="BF3" i="28" s="1"/>
  <c r="D183" i="26"/>
  <c r="F191" i="26"/>
  <c r="C74" i="27" s="1"/>
  <c r="BN2" i="28" s="1"/>
  <c r="D191" i="26"/>
  <c r="C436" i="26"/>
  <c r="C472" i="26"/>
  <c r="G632" i="26"/>
  <c r="G789" i="26"/>
  <c r="G629" i="26"/>
  <c r="G639" i="26"/>
  <c r="G796" i="26"/>
  <c r="G638" i="26"/>
  <c r="C796" i="26"/>
  <c r="G640" i="26"/>
  <c r="D354" i="26"/>
  <c r="D355" i="26" s="1"/>
  <c r="D356" i="26" s="1"/>
  <c r="F649" i="26"/>
  <c r="G651" i="26"/>
  <c r="G654" i="26"/>
  <c r="C140" i="27" s="1"/>
  <c r="DW2" i="28" s="1"/>
  <c r="G655" i="26"/>
  <c r="C141" i="27" s="1"/>
  <c r="DX2" i="28" s="1"/>
  <c r="F630" i="26"/>
  <c r="C731" i="26"/>
  <c r="G631" i="26"/>
  <c r="F632" i="26"/>
  <c r="G633" i="26"/>
  <c r="F633" i="26"/>
  <c r="G634" i="26"/>
  <c r="G776" i="26"/>
  <c r="C437" i="26"/>
  <c r="C496" i="26"/>
  <c r="D504" i="26"/>
  <c r="C488" i="26"/>
  <c r="E488" i="26"/>
  <c r="G503" i="26"/>
  <c r="F488" i="26"/>
  <c r="C503" i="26"/>
  <c r="G496" i="26"/>
  <c r="C504" i="26"/>
  <c r="C432" i="26"/>
  <c r="E504" i="26"/>
  <c r="F504" i="26"/>
  <c r="G504" i="26"/>
  <c r="G487" i="26"/>
  <c r="C495" i="26"/>
  <c r="D503" i="26"/>
  <c r="C471" i="26"/>
  <c r="C435" i="26"/>
  <c r="D496" i="26"/>
  <c r="E503" i="26"/>
  <c r="E496" i="26"/>
  <c r="F503" i="26"/>
  <c r="F496" i="26"/>
  <c r="C433" i="26"/>
  <c r="D488" i="26"/>
  <c r="G488" i="26"/>
  <c r="C487" i="26"/>
  <c r="D495" i="26"/>
  <c r="D487" i="26"/>
  <c r="E495" i="26"/>
  <c r="E487" i="26"/>
  <c r="F495" i="26"/>
  <c r="G495" i="26"/>
  <c r="F487" i="26"/>
  <c r="C434" i="26"/>
  <c r="C430" i="26"/>
  <c r="C474" i="26"/>
  <c r="C438" i="26"/>
  <c r="C469" i="26"/>
  <c r="C467" i="26"/>
  <c r="C431" i="26"/>
  <c r="C468" i="26"/>
  <c r="C465" i="26"/>
  <c r="C475" i="26"/>
  <c r="C466" i="26"/>
  <c r="C439" i="26"/>
  <c r="C429" i="26"/>
  <c r="C470" i="26"/>
  <c r="C473" i="26"/>
  <c r="G786" i="26"/>
  <c r="G805" i="26"/>
  <c r="F789" i="26"/>
  <c r="G795" i="26"/>
  <c r="C777" i="26"/>
  <c r="D796" i="26"/>
  <c r="D777" i="26"/>
  <c r="E796" i="26"/>
  <c r="E777" i="26"/>
  <c r="G642" i="26"/>
  <c r="G777" i="26"/>
  <c r="D799" i="26"/>
  <c r="D783" i="26"/>
  <c r="E799" i="26"/>
  <c r="G649" i="26"/>
  <c r="E783" i="26"/>
  <c r="G799" i="26"/>
  <c r="C321" i="26"/>
  <c r="C328" i="26" s="1"/>
  <c r="G650" i="26"/>
  <c r="F783" i="26"/>
  <c r="E802" i="26"/>
  <c r="G783" i="26"/>
  <c r="F802" i="26"/>
  <c r="E786" i="26"/>
  <c r="G802" i="26"/>
  <c r="G630" i="26"/>
  <c r="G653" i="26"/>
  <c r="C139" i="27" s="1"/>
  <c r="DV2" i="28" s="1"/>
  <c r="F786" i="26"/>
  <c r="F805" i="26"/>
  <c r="F329" i="26"/>
  <c r="F332" i="26" s="1"/>
  <c r="E358" i="26"/>
  <c r="E359" i="26" s="1"/>
  <c r="D101" i="27" s="1"/>
  <c r="CL3" i="28" s="1"/>
  <c r="F391" i="26"/>
  <c r="G391" i="26"/>
  <c r="F390" i="26"/>
  <c r="F63" i="31" s="1"/>
  <c r="G390" i="26"/>
  <c r="G63" i="31" s="1"/>
  <c r="C391" i="26"/>
  <c r="C67" i="31" s="1"/>
  <c r="D391" i="26"/>
  <c r="D67" i="31" s="1"/>
  <c r="E330" i="26"/>
  <c r="E333" i="26" s="1"/>
  <c r="E391" i="26"/>
  <c r="E67" i="31" s="1"/>
  <c r="F349" i="26"/>
  <c r="F352" i="26" s="1"/>
  <c r="C393" i="26"/>
  <c r="D393" i="26"/>
  <c r="D731" i="26"/>
  <c r="C390" i="26"/>
  <c r="C63" i="31" s="1"/>
  <c r="E393" i="26"/>
  <c r="H28" i="26"/>
  <c r="H120" i="26" s="1"/>
  <c r="E36" i="27" s="1"/>
  <c r="AE4" i="28" s="1"/>
  <c r="E731" i="26"/>
  <c r="D390" i="26"/>
  <c r="D63" i="31" s="1"/>
  <c r="F393" i="26"/>
  <c r="C45" i="27" s="1"/>
  <c r="AN2" i="28" s="1"/>
  <c r="F731" i="26"/>
  <c r="E390" i="26"/>
  <c r="E63" i="31" s="1"/>
  <c r="G393" i="26"/>
  <c r="D45" i="27" s="1"/>
  <c r="AN3" i="28" s="1"/>
  <c r="F646" i="26"/>
  <c r="G731" i="26"/>
  <c r="F627" i="26"/>
  <c r="G646" i="26"/>
  <c r="G627" i="26"/>
  <c r="G648" i="26"/>
  <c r="G792" i="26"/>
  <c r="D359" i="26"/>
  <c r="E365" i="26"/>
  <c r="D107" i="27" s="1"/>
  <c r="CQ3" i="28" s="1"/>
  <c r="E348" i="26"/>
  <c r="E351" i="26" s="1"/>
  <c r="F328" i="26"/>
  <c r="F335" i="26" s="1"/>
  <c r="F367" i="26"/>
  <c r="D331" i="26"/>
  <c r="F348" i="26"/>
  <c r="F351" i="26" s="1"/>
  <c r="E369" i="26"/>
  <c r="E367" i="26"/>
  <c r="E338" i="26"/>
  <c r="E339" i="26" s="1"/>
  <c r="F338" i="26"/>
  <c r="F339" i="26" s="1"/>
  <c r="F330" i="26"/>
  <c r="F333" i="26" s="1"/>
  <c r="F365" i="26"/>
  <c r="E107" i="27" s="1"/>
  <c r="CQ4" i="28" s="1"/>
  <c r="E349" i="26"/>
  <c r="E352" i="26" s="1"/>
  <c r="C29" i="26"/>
  <c r="C3" i="27"/>
  <c r="A2" i="28" s="1"/>
  <c r="A3" i="28" s="1"/>
  <c r="A5" i="28" s="1"/>
  <c r="A7" i="28" s="1"/>
  <c r="A9" i="28" s="1"/>
  <c r="A11" i="28" s="1"/>
  <c r="C4" i="27"/>
  <c r="B2" i="28" s="1"/>
  <c r="B3" i="28" s="1"/>
  <c r="B5" i="28" s="1"/>
  <c r="B7" i="28" s="1"/>
  <c r="B9" i="28" s="1"/>
  <c r="B11" i="28" s="1"/>
  <c r="D29" i="26"/>
  <c r="C3" i="28"/>
  <c r="C5" i="28" s="1"/>
  <c r="C7" i="28" s="1"/>
  <c r="C9" i="28" s="1"/>
  <c r="C11" i="28" s="1"/>
  <c r="E29" i="26"/>
  <c r="F29" i="26"/>
  <c r="G29" i="26"/>
  <c r="D336" i="26"/>
  <c r="D342" i="26"/>
  <c r="C626" i="26"/>
  <c r="D629" i="26"/>
  <c r="E632" i="26"/>
  <c r="F638" i="26"/>
  <c r="G641" i="26"/>
  <c r="C645" i="26"/>
  <c r="D648" i="26"/>
  <c r="E651" i="26"/>
  <c r="F654" i="26"/>
  <c r="C783" i="26"/>
  <c r="D786" i="26"/>
  <c r="F792" i="26"/>
  <c r="C799" i="26"/>
  <c r="D802" i="26"/>
  <c r="E805" i="26"/>
  <c r="E329" i="26"/>
  <c r="E332" i="26" s="1"/>
  <c r="E368" i="26"/>
  <c r="D626" i="26"/>
  <c r="E629" i="26"/>
  <c r="C642" i="26"/>
  <c r="D645" i="26"/>
  <c r="E648" i="26"/>
  <c r="F651" i="26"/>
  <c r="F368" i="26"/>
  <c r="E626" i="26"/>
  <c r="F629" i="26"/>
  <c r="C639" i="26"/>
  <c r="D642" i="26"/>
  <c r="E645" i="26"/>
  <c r="F648" i="26"/>
  <c r="C655" i="26"/>
  <c r="C793" i="26"/>
  <c r="F626" i="26"/>
  <c r="C633" i="26"/>
  <c r="D639" i="26"/>
  <c r="E642" i="26"/>
  <c r="F645" i="26"/>
  <c r="C652" i="26"/>
  <c r="C790" i="26"/>
  <c r="D793" i="26"/>
  <c r="F799" i="26"/>
  <c r="C806" i="26"/>
  <c r="D655" i="26"/>
  <c r="G626" i="26"/>
  <c r="C630" i="26"/>
  <c r="D633" i="26"/>
  <c r="E639" i="26"/>
  <c r="F642" i="26"/>
  <c r="G645" i="26"/>
  <c r="C649" i="26"/>
  <c r="D652" i="26"/>
  <c r="E655" i="26"/>
  <c r="F777" i="26"/>
  <c r="C787" i="26"/>
  <c r="D790" i="26"/>
  <c r="E793" i="26"/>
  <c r="F796" i="26"/>
  <c r="C803" i="26"/>
  <c r="D806" i="26"/>
  <c r="F369" i="26"/>
  <c r="C627" i="26"/>
  <c r="D630" i="26"/>
  <c r="E633" i="26"/>
  <c r="F639" i="26"/>
  <c r="C646" i="26"/>
  <c r="D649" i="26"/>
  <c r="E652" i="26"/>
  <c r="F655" i="26"/>
  <c r="C784" i="26"/>
  <c r="D787" i="26"/>
  <c r="E790" i="26"/>
  <c r="F793" i="26"/>
  <c r="C800" i="26"/>
  <c r="D803" i="26"/>
  <c r="E806" i="26"/>
  <c r="D627" i="26"/>
  <c r="E630" i="26"/>
  <c r="C643" i="26"/>
  <c r="D646" i="26"/>
  <c r="E649" i="26"/>
  <c r="F652" i="26"/>
  <c r="C778" i="26"/>
  <c r="D784" i="26"/>
  <c r="E787" i="26"/>
  <c r="F790" i="26"/>
  <c r="G793" i="26"/>
  <c r="C797" i="26"/>
  <c r="D800" i="26"/>
  <c r="E803" i="26"/>
  <c r="F806" i="26"/>
  <c r="H100" i="26"/>
  <c r="F357" i="26"/>
  <c r="F358" i="26" s="1"/>
  <c r="E627" i="26"/>
  <c r="C640" i="26"/>
  <c r="D643" i="26"/>
  <c r="E646" i="26"/>
  <c r="C656" i="26"/>
  <c r="C775" i="26"/>
  <c r="D778" i="26"/>
  <c r="E784" i="26"/>
  <c r="F787" i="26"/>
  <c r="G790" i="26"/>
  <c r="C794" i="26"/>
  <c r="D797" i="26"/>
  <c r="E800" i="26"/>
  <c r="F803" i="26"/>
  <c r="G806" i="26"/>
  <c r="C634" i="26"/>
  <c r="D640" i="26"/>
  <c r="E643" i="26"/>
  <c r="C653" i="26"/>
  <c r="D656" i="26"/>
  <c r="D775" i="26"/>
  <c r="E778" i="26"/>
  <c r="F784" i="26"/>
  <c r="G787" i="26"/>
  <c r="C791" i="26"/>
  <c r="D794" i="26"/>
  <c r="E797" i="26"/>
  <c r="F800" i="26"/>
  <c r="G803" i="26"/>
  <c r="C631" i="26"/>
  <c r="D634" i="26"/>
  <c r="E640" i="26"/>
  <c r="F643" i="26"/>
  <c r="C650" i="26"/>
  <c r="D653" i="26"/>
  <c r="E656" i="26"/>
  <c r="E775" i="26"/>
  <c r="F778" i="26"/>
  <c r="G784" i="26"/>
  <c r="C788" i="26"/>
  <c r="D791" i="26"/>
  <c r="E794" i="26"/>
  <c r="F797" i="26"/>
  <c r="G800" i="26"/>
  <c r="C804" i="26"/>
  <c r="C628" i="26"/>
  <c r="D631" i="26"/>
  <c r="E634" i="26"/>
  <c r="F640" i="26"/>
  <c r="G643" i="26"/>
  <c r="C647" i="26"/>
  <c r="D650" i="26"/>
  <c r="E653" i="26"/>
  <c r="F656" i="26"/>
  <c r="F775" i="26"/>
  <c r="G778" i="26"/>
  <c r="C785" i="26"/>
  <c r="D788" i="26"/>
  <c r="E791" i="26"/>
  <c r="F794" i="26"/>
  <c r="G797" i="26"/>
  <c r="C801" i="26"/>
  <c r="D804" i="26"/>
  <c r="E347" i="26"/>
  <c r="E366" i="26"/>
  <c r="D108" i="27" s="1"/>
  <c r="CR3" i="28" s="1"/>
  <c r="C625" i="26"/>
  <c r="D628" i="26"/>
  <c r="E631" i="26"/>
  <c r="F634" i="26"/>
  <c r="C644" i="26"/>
  <c r="D647" i="26"/>
  <c r="E650" i="26"/>
  <c r="F653" i="26"/>
  <c r="G775" i="26"/>
  <c r="C782" i="26"/>
  <c r="D785" i="26"/>
  <c r="E788" i="26"/>
  <c r="F791" i="26"/>
  <c r="G794" i="26"/>
  <c r="C798" i="26"/>
  <c r="D801" i="26"/>
  <c r="E804" i="26"/>
  <c r="F347" i="26"/>
  <c r="F366" i="26"/>
  <c r="E108" i="27" s="1"/>
  <c r="CR4" i="28" s="1"/>
  <c r="D625" i="26"/>
  <c r="E628" i="26"/>
  <c r="F631" i="26"/>
  <c r="C641" i="26"/>
  <c r="D644" i="26"/>
  <c r="E647" i="26"/>
  <c r="F650" i="26"/>
  <c r="C776" i="26"/>
  <c r="D782" i="26"/>
  <c r="E785" i="26"/>
  <c r="F788" i="26"/>
  <c r="G791" i="26"/>
  <c r="C795" i="26"/>
  <c r="D798" i="26"/>
  <c r="E801" i="26"/>
  <c r="F804" i="26"/>
  <c r="E625" i="26"/>
  <c r="F628" i="26"/>
  <c r="C638" i="26"/>
  <c r="D641" i="26"/>
  <c r="E644" i="26"/>
  <c r="F647" i="26"/>
  <c r="C654" i="26"/>
  <c r="D776" i="26"/>
  <c r="E782" i="26"/>
  <c r="F785" i="26"/>
  <c r="G788" i="26"/>
  <c r="C792" i="26"/>
  <c r="D795" i="26"/>
  <c r="E798" i="26"/>
  <c r="F801" i="26"/>
  <c r="G804" i="26"/>
  <c r="F625" i="26"/>
  <c r="G628" i="26"/>
  <c r="C632" i="26"/>
  <c r="D638" i="26"/>
  <c r="E641" i="26"/>
  <c r="F644" i="26"/>
  <c r="G647" i="26"/>
  <c r="C651" i="26"/>
  <c r="D654" i="26"/>
  <c r="E776" i="26"/>
  <c r="F782" i="26"/>
  <c r="G785" i="26"/>
  <c r="C789" i="26"/>
  <c r="D792" i="26"/>
  <c r="E795" i="26"/>
  <c r="F798" i="26"/>
  <c r="G801" i="26"/>
  <c r="C805" i="26"/>
  <c r="G625" i="26"/>
  <c r="C111" i="27" s="1"/>
  <c r="CT2" i="28" s="1"/>
  <c r="C629" i="26"/>
  <c r="D632" i="26"/>
  <c r="E638" i="26"/>
  <c r="F776" i="26"/>
  <c r="G782" i="26"/>
  <c r="C786" i="26"/>
  <c r="D789" i="26"/>
  <c r="C24" i="27" l="1"/>
  <c r="T2" i="28" s="1"/>
  <c r="C347" i="26"/>
  <c r="D24" i="27"/>
  <c r="T3" i="28" s="1"/>
  <c r="C369" i="26"/>
  <c r="C108" i="27" s="1"/>
  <c r="CR2" i="28" s="1"/>
  <c r="C368" i="26"/>
  <c r="C367" i="26"/>
  <c r="C106" i="27" s="1"/>
  <c r="CP2" i="28" s="1"/>
  <c r="C365" i="26"/>
  <c r="C104" i="27" s="1"/>
  <c r="CN2" i="28" s="1"/>
  <c r="C366" i="26"/>
  <c r="C105" i="27" s="1"/>
  <c r="CO2" i="28" s="1"/>
  <c r="C831" i="26"/>
  <c r="C101" i="31" s="1"/>
  <c r="C102" i="31"/>
  <c r="C43" i="27"/>
  <c r="AL2" i="28" s="1"/>
  <c r="F67" i="31"/>
  <c r="E122" i="31"/>
  <c r="E855" i="26"/>
  <c r="F853" i="26"/>
  <c r="D856" i="26"/>
  <c r="D125" i="31" s="1"/>
  <c r="D124" i="31"/>
  <c r="I854" i="26"/>
  <c r="H123" i="31"/>
  <c r="D43" i="27"/>
  <c r="AL3" i="28" s="1"/>
  <c r="G67" i="31"/>
  <c r="C181" i="26"/>
  <c r="C120" i="27"/>
  <c r="DC2" i="28" s="1"/>
  <c r="C125" i="27"/>
  <c r="DH2" i="28" s="1"/>
  <c r="C75" i="27"/>
  <c r="BO2" i="28" s="1"/>
  <c r="F11" i="23"/>
  <c r="C115" i="27"/>
  <c r="CX2" i="28" s="1"/>
  <c r="C131" i="27"/>
  <c r="DN2" i="28" s="1"/>
  <c r="C116" i="27"/>
  <c r="CY2" i="28" s="1"/>
  <c r="C128" i="27"/>
  <c r="DK2" i="28" s="1"/>
  <c r="C119" i="27"/>
  <c r="DB2" i="28" s="1"/>
  <c r="C118" i="27"/>
  <c r="DA2" i="28" s="1"/>
  <c r="C117" i="27"/>
  <c r="CZ2" i="28" s="1"/>
  <c r="C138" i="27"/>
  <c r="DU2" i="28" s="1"/>
  <c r="C129" i="27"/>
  <c r="DL2" i="28" s="1"/>
  <c r="G11" i="23"/>
  <c r="C112" i="27"/>
  <c r="CU2" i="28" s="1"/>
  <c r="E13" i="27"/>
  <c r="J4" i="28" s="1"/>
  <c r="C130" i="27"/>
  <c r="DM2" i="28" s="1"/>
  <c r="C134" i="27"/>
  <c r="DQ2" i="28" s="1"/>
  <c r="C136" i="27"/>
  <c r="DS2" i="28" s="1"/>
  <c r="C137" i="27"/>
  <c r="DT2" i="28" s="1"/>
  <c r="C113" i="27"/>
  <c r="CV2" i="28" s="1"/>
  <c r="C132" i="27"/>
  <c r="DO2" i="28" s="1"/>
  <c r="C126" i="27"/>
  <c r="DI2" i="28" s="1"/>
  <c r="C114" i="27"/>
  <c r="CW2" i="28" s="1"/>
  <c r="C135" i="27"/>
  <c r="DR2" i="28" s="1"/>
  <c r="C124" i="27"/>
  <c r="DG2" i="28" s="1"/>
  <c r="C133" i="27"/>
  <c r="DP2" i="28" s="1"/>
  <c r="C127" i="27"/>
  <c r="DJ2" i="28" s="1"/>
  <c r="D42" i="27"/>
  <c r="AK3" i="28" s="1"/>
  <c r="C42" i="27"/>
  <c r="AK2" i="28" s="1"/>
  <c r="K26" i="26"/>
  <c r="D361" i="26"/>
  <c r="F291" i="26"/>
  <c r="F292" i="26" s="1"/>
  <c r="C180" i="26"/>
  <c r="C183" i="26"/>
  <c r="C182" i="26"/>
  <c r="C192" i="26"/>
  <c r="C11" i="23" s="1"/>
  <c r="C195" i="26"/>
  <c r="C188" i="26"/>
  <c r="C189" i="26"/>
  <c r="C187" i="26"/>
  <c r="C191" i="26"/>
  <c r="C184" i="26"/>
  <c r="C185" i="26"/>
  <c r="C186" i="26"/>
  <c r="C194" i="26"/>
  <c r="C193" i="26"/>
  <c r="C190" i="26"/>
  <c r="C476" i="26"/>
  <c r="C107" i="27"/>
  <c r="CQ2" i="28" s="1"/>
  <c r="C440" i="26"/>
  <c r="F331" i="26"/>
  <c r="D100" i="27"/>
  <c r="CK3" i="28" s="1"/>
  <c r="D363" i="26"/>
  <c r="E335" i="26"/>
  <c r="E336" i="26" s="1"/>
  <c r="D362" i="26"/>
  <c r="A4" i="28"/>
  <c r="A6" i="28" s="1"/>
  <c r="A8" i="28" s="1"/>
  <c r="A10" i="28" s="1"/>
  <c r="H33" i="26"/>
  <c r="H37" i="26" s="1"/>
  <c r="H39" i="26" s="1"/>
  <c r="E26" i="27" s="1"/>
  <c r="V4" i="28" s="1"/>
  <c r="B4" i="28"/>
  <c r="B6" i="28" s="1"/>
  <c r="B8" i="28" s="1"/>
  <c r="B10" i="28" s="1"/>
  <c r="F340" i="26"/>
  <c r="E96" i="27" s="1"/>
  <c r="CG4" i="28" s="1"/>
  <c r="E95" i="27"/>
  <c r="CF4" i="28" s="1"/>
  <c r="E340" i="26"/>
  <c r="D96" i="27" s="1"/>
  <c r="CG3" i="28" s="1"/>
  <c r="D95" i="27"/>
  <c r="CF3" i="28" s="1"/>
  <c r="F359" i="26"/>
  <c r="E101" i="27" s="1"/>
  <c r="CL4" i="28" s="1"/>
  <c r="E100" i="27"/>
  <c r="CK4" i="28" s="1"/>
  <c r="D337" i="26"/>
  <c r="D344" i="26" s="1"/>
  <c r="D343" i="26"/>
  <c r="F354" i="26"/>
  <c r="F350" i="26"/>
  <c r="H146" i="26"/>
  <c r="H102" i="26"/>
  <c r="H147" i="26" s="1"/>
  <c r="E57" i="27" s="1"/>
  <c r="AX4" i="28" s="1"/>
  <c r="F336" i="26"/>
  <c r="F342" i="26"/>
  <c r="E354" i="26"/>
  <c r="E350" i="26"/>
  <c r="C350" i="26" l="1"/>
  <c r="C354" i="26"/>
  <c r="C335" i="26"/>
  <c r="C331" i="26"/>
  <c r="J854" i="26"/>
  <c r="I123" i="31"/>
  <c r="F122" i="31"/>
  <c r="F855" i="26"/>
  <c r="G853" i="26"/>
  <c r="E856" i="26"/>
  <c r="E125" i="31" s="1"/>
  <c r="E124" i="31"/>
  <c r="G291" i="26"/>
  <c r="G292" i="26" s="1"/>
  <c r="E342" i="26"/>
  <c r="E361" i="26"/>
  <c r="E355" i="26"/>
  <c r="F355" i="26"/>
  <c r="F361" i="26"/>
  <c r="E337" i="26"/>
  <c r="E344" i="26" s="1"/>
  <c r="E343" i="26"/>
  <c r="F337" i="26"/>
  <c r="F344" i="26" s="1"/>
  <c r="F343" i="26"/>
  <c r="C355" i="26" l="1"/>
  <c r="C361" i="26"/>
  <c r="C100" i="27" s="1"/>
  <c r="CK2" i="28" s="1"/>
  <c r="C336" i="26"/>
  <c r="C342" i="26"/>
  <c r="C95" i="27" s="1"/>
  <c r="CF2" i="28" s="1"/>
  <c r="G122" i="31"/>
  <c r="H853" i="26"/>
  <c r="G855" i="26"/>
  <c r="F856" i="26"/>
  <c r="F125" i="31" s="1"/>
  <c r="F124" i="31"/>
  <c r="K854" i="26"/>
  <c r="J123" i="31"/>
  <c r="H291" i="26"/>
  <c r="H292" i="26" s="1"/>
  <c r="F356" i="26"/>
  <c r="F363" i="26" s="1"/>
  <c r="E105" i="27" s="1"/>
  <c r="CO4" i="28" s="1"/>
  <c r="F362" i="26"/>
  <c r="E104" i="27" s="1"/>
  <c r="CN4" i="28" s="1"/>
  <c r="E356" i="26"/>
  <c r="E363" i="26" s="1"/>
  <c r="D105" i="27" s="1"/>
  <c r="CO3" i="28" s="1"/>
  <c r="E362" i="26"/>
  <c r="D104" i="27" s="1"/>
  <c r="CN3" i="28" s="1"/>
  <c r="C356" i="26" l="1"/>
  <c r="C363" i="26" s="1"/>
  <c r="C102" i="27" s="1"/>
  <c r="CM2" i="28" s="1"/>
  <c r="C362" i="26"/>
  <c r="C101" i="27" s="1"/>
  <c r="CL2" i="28" s="1"/>
  <c r="C337" i="26"/>
  <c r="C344" i="26" s="1"/>
  <c r="C97" i="27" s="1"/>
  <c r="CH2" i="28" s="1"/>
  <c r="C343" i="26"/>
  <c r="C96" i="27" s="1"/>
  <c r="CG2" i="28" s="1"/>
  <c r="L854" i="26"/>
  <c r="K123" i="31"/>
  <c r="G124" i="31"/>
  <c r="G856" i="26"/>
  <c r="G125" i="31" s="1"/>
  <c r="H122" i="31"/>
  <c r="H855" i="26"/>
  <c r="I853" i="26"/>
  <c r="I291" i="26"/>
  <c r="I292" i="26" s="1"/>
  <c r="G34" i="26"/>
  <c r="G11" i="31" s="1"/>
  <c r="F34" i="26"/>
  <c r="F11" i="31" s="1"/>
  <c r="E34" i="26"/>
  <c r="E11" i="31" s="1"/>
  <c r="D34" i="26"/>
  <c r="D11" i="31" s="1"/>
  <c r="C34" i="26"/>
  <c r="C11" i="31" s="1"/>
  <c r="M273" i="26" l="1"/>
  <c r="G793" i="11"/>
  <c r="M272" i="26"/>
  <c r="G781" i="11"/>
  <c r="M283" i="26"/>
  <c r="G880" i="11"/>
  <c r="M282" i="26"/>
  <c r="G868" i="11"/>
  <c r="I122" i="31"/>
  <c r="J853" i="26"/>
  <c r="I855" i="26"/>
  <c r="H856" i="26"/>
  <c r="H125" i="31" s="1"/>
  <c r="H124" i="31"/>
  <c r="M854" i="26"/>
  <c r="M123" i="31" s="1"/>
  <c r="L123" i="31"/>
  <c r="J291" i="26"/>
  <c r="J292" i="26" s="1"/>
  <c r="G815" i="26"/>
  <c r="F815" i="26"/>
  <c r="E815" i="26"/>
  <c r="D815" i="26"/>
  <c r="C815" i="26"/>
  <c r="C502" i="26"/>
  <c r="C494" i="26"/>
  <c r="C486" i="26"/>
  <c r="C51" i="31" s="1"/>
  <c r="G502" i="26"/>
  <c r="F502" i="26"/>
  <c r="E502" i="26"/>
  <c r="D502" i="26"/>
  <c r="G494" i="26"/>
  <c r="F494" i="26"/>
  <c r="E494" i="26"/>
  <c r="D494" i="26"/>
  <c r="G486" i="26"/>
  <c r="G51" i="31" s="1"/>
  <c r="F486" i="26"/>
  <c r="F51" i="31" s="1"/>
  <c r="E486" i="26"/>
  <c r="E51" i="31" s="1"/>
  <c r="D486" i="26"/>
  <c r="D51" i="31" s="1"/>
  <c r="J122" i="31" l="1"/>
  <c r="J855" i="26"/>
  <c r="K853" i="26"/>
  <c r="I856" i="26"/>
  <c r="I125" i="31" s="1"/>
  <c r="I124" i="31"/>
  <c r="M290" i="26"/>
  <c r="K291" i="26"/>
  <c r="K292" i="26" s="1"/>
  <c r="G381" i="26"/>
  <c r="F381" i="26"/>
  <c r="E381" i="26"/>
  <c r="D381" i="26"/>
  <c r="C381" i="26"/>
  <c r="K122" i="31" l="1"/>
  <c r="L853" i="26"/>
  <c r="K855" i="26"/>
  <c r="J856" i="26"/>
  <c r="J125" i="31" s="1"/>
  <c r="J124" i="31"/>
  <c r="L291" i="26"/>
  <c r="L292" i="26" s="1"/>
  <c r="C382" i="26"/>
  <c r="C396" i="26" s="1"/>
  <c r="C400" i="26" s="1"/>
  <c r="C402" i="26" s="1"/>
  <c r="F382" i="26"/>
  <c r="F392" i="26" s="1"/>
  <c r="F129" i="26"/>
  <c r="D382" i="26"/>
  <c r="D396" i="26" s="1"/>
  <c r="E382" i="26"/>
  <c r="E392" i="26" s="1"/>
  <c r="E71" i="31" s="1"/>
  <c r="G382" i="26"/>
  <c r="G392" i="26" s="1"/>
  <c r="F395" i="26"/>
  <c r="F26" i="31" s="1"/>
  <c r="G395" i="26"/>
  <c r="G825" i="26" s="1"/>
  <c r="C395" i="26"/>
  <c r="D395" i="26"/>
  <c r="D26" i="31" s="1"/>
  <c r="E395" i="26"/>
  <c r="E26" i="31" s="1"/>
  <c r="G129" i="26" l="1"/>
  <c r="C44" i="27"/>
  <c r="AM2" i="28" s="1"/>
  <c r="F71" i="31"/>
  <c r="C825" i="26"/>
  <c r="C78" i="31" s="1"/>
  <c r="C26" i="31"/>
  <c r="K856" i="26"/>
  <c r="K125" i="31" s="1"/>
  <c r="K124" i="31"/>
  <c r="L122" i="31"/>
  <c r="L855" i="26"/>
  <c r="M853" i="26"/>
  <c r="M122" i="31" s="1"/>
  <c r="D388" i="26"/>
  <c r="D825" i="26"/>
  <c r="D78" i="31" s="1"/>
  <c r="E388" i="26"/>
  <c r="E825" i="26"/>
  <c r="E78" i="31" s="1"/>
  <c r="G78" i="31"/>
  <c r="F388" i="26"/>
  <c r="C40" i="27" s="1"/>
  <c r="AI2" i="28" s="1"/>
  <c r="F825" i="26"/>
  <c r="F78" i="31" s="1"/>
  <c r="G388" i="26"/>
  <c r="D40" i="27" s="1"/>
  <c r="AI3" i="28" s="1"/>
  <c r="G26" i="31"/>
  <c r="D44" i="27"/>
  <c r="AM3" i="28" s="1"/>
  <c r="G71" i="31"/>
  <c r="D392" i="26"/>
  <c r="D71" i="31" s="1"/>
  <c r="C398" i="26"/>
  <c r="C392" i="26"/>
  <c r="C71" i="31" s="1"/>
  <c r="G396" i="26"/>
  <c r="G400" i="26" s="1"/>
  <c r="G402" i="26" s="1"/>
  <c r="E396" i="26"/>
  <c r="E397" i="26" s="1"/>
  <c r="E405" i="26" s="1"/>
  <c r="E73" i="31" s="1"/>
  <c r="D398" i="26"/>
  <c r="D400" i="26"/>
  <c r="D402" i="26" s="1"/>
  <c r="F396" i="26"/>
  <c r="F400" i="26" s="1"/>
  <c r="F402" i="26" s="1"/>
  <c r="G387" i="26"/>
  <c r="G389" i="26"/>
  <c r="G386" i="26"/>
  <c r="G61" i="31" s="1"/>
  <c r="E386" i="26"/>
  <c r="E61" i="31" s="1"/>
  <c r="E387" i="26"/>
  <c r="E65" i="31" s="1"/>
  <c r="E389" i="26"/>
  <c r="D386" i="26"/>
  <c r="D61" i="31" s="1"/>
  <c r="D387" i="26"/>
  <c r="D65" i="31" s="1"/>
  <c r="D389" i="26"/>
  <c r="D397" i="26"/>
  <c r="D405" i="26" s="1"/>
  <c r="D73" i="31" s="1"/>
  <c r="C388" i="26"/>
  <c r="C387" i="26"/>
  <c r="C65" i="31" s="1"/>
  <c r="C386" i="26"/>
  <c r="C61" i="31" s="1"/>
  <c r="C389" i="26"/>
  <c r="C397" i="26"/>
  <c r="C405" i="26" s="1"/>
  <c r="C73" i="31" s="1"/>
  <c r="F387" i="26"/>
  <c r="F65" i="31" s="1"/>
  <c r="F389" i="26"/>
  <c r="F386" i="26"/>
  <c r="F61" i="31" s="1"/>
  <c r="G890" i="11"/>
  <c r="G889" i="11"/>
  <c r="G888" i="11"/>
  <c r="G887" i="11"/>
  <c r="G886" i="11"/>
  <c r="G885" i="11"/>
  <c r="G884" i="11"/>
  <c r="G802" i="11"/>
  <c r="G801" i="11"/>
  <c r="G800" i="11"/>
  <c r="G799" i="11"/>
  <c r="G798" i="11"/>
  <c r="G797" i="11"/>
  <c r="G796" i="11"/>
  <c r="G757" i="11"/>
  <c r="L286" i="26" l="1"/>
  <c r="G893" i="11"/>
  <c r="M281" i="26"/>
  <c r="G856" i="11"/>
  <c r="J275" i="26"/>
  <c r="G803" i="11"/>
  <c r="K275" i="26"/>
  <c r="G804" i="11"/>
  <c r="L275" i="26"/>
  <c r="G805" i="11"/>
  <c r="M271" i="26"/>
  <c r="G769" i="11"/>
  <c r="J286" i="26"/>
  <c r="G891" i="11"/>
  <c r="K286" i="26"/>
  <c r="G892" i="11"/>
  <c r="C286" i="26"/>
  <c r="D286" i="26"/>
  <c r="F286" i="26"/>
  <c r="I275" i="26"/>
  <c r="C275" i="26"/>
  <c r="C296" i="26" s="1"/>
  <c r="G286" i="26"/>
  <c r="H286" i="26"/>
  <c r="I286" i="26"/>
  <c r="E275" i="26"/>
  <c r="E286" i="26"/>
  <c r="D275" i="26"/>
  <c r="F275" i="26"/>
  <c r="G275" i="26"/>
  <c r="H275" i="26"/>
  <c r="C132" i="26"/>
  <c r="C69" i="31"/>
  <c r="F132" i="26"/>
  <c r="F69" i="31"/>
  <c r="D132" i="26"/>
  <c r="D69" i="31"/>
  <c r="E132" i="26"/>
  <c r="E69" i="31"/>
  <c r="L856" i="26"/>
  <c r="L125" i="31" s="1"/>
  <c r="L124" i="31"/>
  <c r="M270" i="26"/>
  <c r="M844" i="26"/>
  <c r="M113" i="31" s="1"/>
  <c r="E398" i="26"/>
  <c r="G133" i="26"/>
  <c r="G65" i="31"/>
  <c r="G132" i="26"/>
  <c r="G69" i="31"/>
  <c r="C17" i="23"/>
  <c r="C133" i="26"/>
  <c r="E17" i="23"/>
  <c r="E133" i="26"/>
  <c r="F17" i="23"/>
  <c r="F133" i="26"/>
  <c r="D17" i="23"/>
  <c r="D133" i="26"/>
  <c r="C295" i="26"/>
  <c r="D295" i="26" s="1"/>
  <c r="D39" i="27"/>
  <c r="AH3" i="28" s="1"/>
  <c r="G17" i="23"/>
  <c r="D41" i="27"/>
  <c r="AJ3" i="28" s="1"/>
  <c r="D38" i="27"/>
  <c r="AG3" i="28" s="1"/>
  <c r="C38" i="27"/>
  <c r="AG2" i="28" s="1"/>
  <c r="C41" i="27"/>
  <c r="AJ2" i="28" s="1"/>
  <c r="C39" i="27"/>
  <c r="AH2" i="28" s="1"/>
  <c r="F397" i="26"/>
  <c r="F405" i="26" s="1"/>
  <c r="F73" i="31" s="1"/>
  <c r="F398" i="26"/>
  <c r="C46" i="27" s="1"/>
  <c r="AO2" i="28" s="1"/>
  <c r="E400" i="26"/>
  <c r="E402" i="26" s="1"/>
  <c r="G397" i="26"/>
  <c r="G405" i="26" s="1"/>
  <c r="G73" i="31" s="1"/>
  <c r="G398" i="26"/>
  <c r="D46" i="27" s="1"/>
  <c r="AO3" i="28" s="1"/>
  <c r="D296" i="26" l="1"/>
  <c r="E296" i="26" s="1"/>
  <c r="F296" i="26"/>
  <c r="G296" i="26" s="1"/>
  <c r="H296" i="26" s="1"/>
  <c r="I296" i="26" s="1"/>
  <c r="J296" i="26" s="1"/>
  <c r="K296" i="26" s="1"/>
  <c r="L296" i="26" s="1"/>
  <c r="M296" i="26" s="1"/>
  <c r="C297" i="26"/>
  <c r="C298" i="26" s="1"/>
  <c r="E295" i="26"/>
  <c r="D297" i="26"/>
  <c r="D298" i="26" s="1"/>
  <c r="F50" i="26"/>
  <c r="F226" i="26" s="1"/>
  <c r="C50" i="26"/>
  <c r="C226" i="26" s="1"/>
  <c r="E50" i="26"/>
  <c r="E226" i="26" s="1"/>
  <c r="G50" i="26"/>
  <c r="G226" i="26" s="1"/>
  <c r="C49" i="26"/>
  <c r="D49" i="26"/>
  <c r="E49" i="26"/>
  <c r="G49" i="26"/>
  <c r="F49" i="26"/>
  <c r="D198" i="26"/>
  <c r="D50" i="26"/>
  <c r="D226" i="26" s="1"/>
  <c r="G199" i="26"/>
  <c r="C198" i="26"/>
  <c r="F823" i="26" l="1"/>
  <c r="F31" i="31" s="1"/>
  <c r="G823" i="26"/>
  <c r="D823" i="26"/>
  <c r="D31" i="31" s="1"/>
  <c r="E823" i="26"/>
  <c r="E31" i="31" s="1"/>
  <c r="C823" i="26"/>
  <c r="C31" i="31" s="1"/>
  <c r="G250" i="26"/>
  <c r="G249" i="26"/>
  <c r="F250" i="26"/>
  <c r="F249" i="26"/>
  <c r="F295" i="26"/>
  <c r="E297" i="26"/>
  <c r="E298" i="26" s="1"/>
  <c r="J49" i="26"/>
  <c r="K49" i="26"/>
  <c r="G255" i="26"/>
  <c r="F255" i="26"/>
  <c r="G200" i="26"/>
  <c r="F104" i="26"/>
  <c r="F30" i="31" s="1"/>
  <c r="C68" i="26"/>
  <c r="G104" i="26"/>
  <c r="G68" i="26"/>
  <c r="F196" i="26"/>
  <c r="F197" i="26"/>
  <c r="C196" i="26"/>
  <c r="C197" i="26"/>
  <c r="E68" i="26"/>
  <c r="E197" i="26"/>
  <c r="E196" i="26"/>
  <c r="E104" i="26"/>
  <c r="E30" i="31" s="1"/>
  <c r="G196" i="26"/>
  <c r="G197" i="26"/>
  <c r="D197" i="26"/>
  <c r="D196" i="26"/>
  <c r="F198" i="26"/>
  <c r="E200" i="26"/>
  <c r="C199" i="26"/>
  <c r="C104" i="26"/>
  <c r="C30" i="31" s="1"/>
  <c r="C200" i="26"/>
  <c r="F199" i="26"/>
  <c r="D68" i="26"/>
  <c r="E199" i="26"/>
  <c r="D200" i="26"/>
  <c r="D199" i="26"/>
  <c r="F68" i="26"/>
  <c r="G198" i="26"/>
  <c r="E198" i="26"/>
  <c r="F200" i="26"/>
  <c r="D104" i="26"/>
  <c r="D30" i="31" s="1"/>
  <c r="E225" i="26" l="1"/>
  <c r="D225" i="26"/>
  <c r="G31" i="31"/>
  <c r="G30" i="31"/>
  <c r="C225" i="26"/>
  <c r="H77" i="26"/>
  <c r="D16" i="27"/>
  <c r="M3" i="28" s="1"/>
  <c r="F225" i="26"/>
  <c r="C16" i="27"/>
  <c r="M2" i="28" s="1"/>
  <c r="G295" i="26"/>
  <c r="F297" i="26"/>
  <c r="F298" i="26" s="1"/>
  <c r="K104" i="26"/>
  <c r="K68" i="26"/>
  <c r="J68" i="26"/>
  <c r="J104" i="26"/>
  <c r="G225" i="26"/>
  <c r="H295" i="26" l="1"/>
  <c r="G297" i="26"/>
  <c r="G298" i="26" s="1"/>
  <c r="I295" i="26" l="1"/>
  <c r="H297" i="26"/>
  <c r="H298" i="26" s="1"/>
  <c r="G832" i="11"/>
  <c r="G820" i="11"/>
  <c r="G733" i="11"/>
  <c r="G745" i="11"/>
  <c r="G721" i="11"/>
  <c r="G63" i="26"/>
  <c r="G58" i="26"/>
  <c r="F58" i="26"/>
  <c r="E58" i="26"/>
  <c r="D58" i="26"/>
  <c r="C58" i="26"/>
  <c r="G56" i="26"/>
  <c r="F56" i="26"/>
  <c r="E56" i="26"/>
  <c r="D56" i="26"/>
  <c r="C56" i="26"/>
  <c r="M280" i="26" l="1"/>
  <c r="G844" i="11"/>
  <c r="E100" i="26"/>
  <c r="E151" i="26" s="1"/>
  <c r="E48" i="26"/>
  <c r="E53" i="26" s="1"/>
  <c r="E827" i="26"/>
  <c r="E85" i="31" s="1"/>
  <c r="M267" i="26"/>
  <c r="M841" i="26"/>
  <c r="M268" i="26"/>
  <c r="M842" i="26"/>
  <c r="M111" i="31" s="1"/>
  <c r="D48" i="26"/>
  <c r="D53" i="26" s="1"/>
  <c r="D100" i="26"/>
  <c r="D151" i="26" s="1"/>
  <c r="D827" i="26"/>
  <c r="D85" i="31" s="1"/>
  <c r="F100" i="26"/>
  <c r="F151" i="26" s="1"/>
  <c r="F48" i="26"/>
  <c r="F53" i="26" s="1"/>
  <c r="F827" i="26"/>
  <c r="F85" i="31" s="1"/>
  <c r="M269" i="26"/>
  <c r="M843" i="26"/>
  <c r="M112" i="31" s="1"/>
  <c r="M278" i="26"/>
  <c r="M848" i="26"/>
  <c r="M279" i="26"/>
  <c r="M849" i="26"/>
  <c r="M118" i="31" s="1"/>
  <c r="J295" i="26"/>
  <c r="I297" i="26"/>
  <c r="I298" i="26" s="1"/>
  <c r="K58" i="26"/>
  <c r="J58" i="26"/>
  <c r="I58" i="26"/>
  <c r="I63" i="26"/>
  <c r="K63" i="26"/>
  <c r="J63" i="26"/>
  <c r="E57" i="26"/>
  <c r="F57" i="26"/>
  <c r="C57" i="26"/>
  <c r="G57" i="26"/>
  <c r="C447" i="26" s="1"/>
  <c r="G806" i="11"/>
  <c r="D57" i="26"/>
  <c r="G894" i="11"/>
  <c r="D101" i="26" l="1"/>
  <c r="D217" i="26"/>
  <c r="D257" i="26"/>
  <c r="D22" i="23" s="1"/>
  <c r="F101" i="26"/>
  <c r="F217" i="26"/>
  <c r="C83" i="27" s="1"/>
  <c r="BV2" i="28" s="1"/>
  <c r="C13" i="27"/>
  <c r="J2" i="28" s="1"/>
  <c r="M110" i="31"/>
  <c r="M845" i="26"/>
  <c r="M114" i="31" s="1"/>
  <c r="M117" i="31"/>
  <c r="M850" i="26"/>
  <c r="M119" i="31" s="1"/>
  <c r="E101" i="26"/>
  <c r="E257" i="26"/>
  <c r="E22" i="23" s="1"/>
  <c r="E217" i="26"/>
  <c r="M275" i="26"/>
  <c r="M286" i="26"/>
  <c r="K295" i="26"/>
  <c r="J297" i="26"/>
  <c r="J298" i="26" s="1"/>
  <c r="I69" i="26"/>
  <c r="D55" i="26"/>
  <c r="D215" i="26"/>
  <c r="D214" i="26"/>
  <c r="D19" i="23" s="1"/>
  <c r="G55" i="26"/>
  <c r="G214" i="26"/>
  <c r="G215" i="26"/>
  <c r="C55" i="26"/>
  <c r="C215" i="26"/>
  <c r="C214" i="26"/>
  <c r="C19" i="23" s="1"/>
  <c r="F55" i="26"/>
  <c r="F215" i="26"/>
  <c r="F214" i="26"/>
  <c r="E55" i="26"/>
  <c r="E214" i="26"/>
  <c r="E19" i="23" s="1"/>
  <c r="E215" i="26"/>
  <c r="G27" i="26"/>
  <c r="F27" i="26"/>
  <c r="F8" i="31" s="1"/>
  <c r="E27" i="26"/>
  <c r="E8" i="31" s="1"/>
  <c r="D27" i="26"/>
  <c r="D8" i="31" s="1"/>
  <c r="C27" i="26"/>
  <c r="C8" i="31" s="1"/>
  <c r="G35" i="26"/>
  <c r="G12" i="31" s="1"/>
  <c r="F35" i="26"/>
  <c r="F12" i="31" s="1"/>
  <c r="E35" i="26"/>
  <c r="E12" i="31" s="1"/>
  <c r="D35" i="26"/>
  <c r="D12" i="31" s="1"/>
  <c r="C35" i="26"/>
  <c r="C12" i="31" s="1"/>
  <c r="C13" i="31" l="1"/>
  <c r="G19" i="23"/>
  <c r="D81" i="27"/>
  <c r="BT3" i="28" s="1"/>
  <c r="F19" i="23"/>
  <c r="C81" i="27"/>
  <c r="BT2" i="28" s="1"/>
  <c r="E102" i="26"/>
  <c r="E146" i="26"/>
  <c r="E145" i="26"/>
  <c r="F102" i="26"/>
  <c r="F146" i="26"/>
  <c r="F145" i="26"/>
  <c r="D102" i="26"/>
  <c r="D145" i="26"/>
  <c r="D146" i="26"/>
  <c r="F135" i="26"/>
  <c r="F202" i="26"/>
  <c r="C59" i="27" s="1"/>
  <c r="AZ2" i="28" s="1"/>
  <c r="D135" i="26"/>
  <c r="D80" i="31" s="1"/>
  <c r="D202" i="26"/>
  <c r="C135" i="26"/>
  <c r="C80" i="31" s="1"/>
  <c r="C202" i="26"/>
  <c r="G135" i="26"/>
  <c r="G202" i="26"/>
  <c r="D59" i="27" s="1"/>
  <c r="AZ3" i="28" s="1"/>
  <c r="E135" i="26"/>
  <c r="E80" i="31" s="1"/>
  <c r="E202" i="26"/>
  <c r="I27" i="26"/>
  <c r="J27" i="26" s="1"/>
  <c r="G8" i="31"/>
  <c r="F131" i="26"/>
  <c r="F16" i="23" s="1"/>
  <c r="F138" i="26"/>
  <c r="C51" i="27" s="1"/>
  <c r="AT2" i="28" s="1"/>
  <c r="F137" i="26"/>
  <c r="C50" i="27" s="1"/>
  <c r="AS2" i="28" s="1"/>
  <c r="D138" i="26"/>
  <c r="D137" i="26"/>
  <c r="C138" i="26"/>
  <c r="C137" i="26"/>
  <c r="G131" i="26"/>
  <c r="G16" i="23" s="1"/>
  <c r="G138" i="26"/>
  <c r="D51" i="27" s="1"/>
  <c r="AT3" i="28" s="1"/>
  <c r="G137" i="26"/>
  <c r="D50" i="27" s="1"/>
  <c r="AS3" i="28" s="1"/>
  <c r="E138" i="26"/>
  <c r="E137" i="26"/>
  <c r="I209" i="26"/>
  <c r="H209" i="26"/>
  <c r="D126" i="26"/>
  <c r="D54" i="31" s="1"/>
  <c r="E127" i="26"/>
  <c r="D76" i="26"/>
  <c r="C125" i="26"/>
  <c r="E126" i="26"/>
  <c r="E54" i="31" s="1"/>
  <c r="E76" i="26"/>
  <c r="F127" i="26"/>
  <c r="D125" i="26"/>
  <c r="F126" i="26"/>
  <c r="F54" i="31" s="1"/>
  <c r="E125" i="26"/>
  <c r="F76" i="26"/>
  <c r="G127" i="26"/>
  <c r="G125" i="26"/>
  <c r="G76" i="26"/>
  <c r="F125" i="26"/>
  <c r="G126" i="26"/>
  <c r="G54" i="31" s="1"/>
  <c r="L295" i="26"/>
  <c r="K297" i="26"/>
  <c r="K298" i="26" s="1"/>
  <c r="I29" i="26"/>
  <c r="D579" i="26"/>
  <c r="K55" i="26"/>
  <c r="K209" i="26" s="1"/>
  <c r="J55" i="26"/>
  <c r="E105" i="26"/>
  <c r="E209" i="26"/>
  <c r="F209" i="26"/>
  <c r="G209" i="26"/>
  <c r="D105" i="26"/>
  <c r="D209" i="26"/>
  <c r="H76" i="26"/>
  <c r="D528" i="26"/>
  <c r="E527" i="26"/>
  <c r="E555" i="26"/>
  <c r="E529" i="26"/>
  <c r="E556" i="26"/>
  <c r="E578" i="26"/>
  <c r="E579" i="26"/>
  <c r="E580" i="26"/>
  <c r="E557" i="26"/>
  <c r="D69" i="26"/>
  <c r="E528" i="26"/>
  <c r="D201" i="26"/>
  <c r="D557" i="26"/>
  <c r="C105" i="26"/>
  <c r="C69" i="26"/>
  <c r="G105" i="26"/>
  <c r="G556" i="26"/>
  <c r="F105" i="26"/>
  <c r="G69" i="26"/>
  <c r="F578" i="26"/>
  <c r="E242" i="26"/>
  <c r="E218" i="26"/>
  <c r="E219" i="26"/>
  <c r="F579" i="26"/>
  <c r="D555" i="26"/>
  <c r="G242" i="26"/>
  <c r="G218" i="26"/>
  <c r="D84" i="27" s="1"/>
  <c r="BW3" i="28" s="1"/>
  <c r="G219" i="26"/>
  <c r="D85" i="27" s="1"/>
  <c r="BX3" i="28" s="1"/>
  <c r="D556" i="26"/>
  <c r="G201" i="26"/>
  <c r="G579" i="26"/>
  <c r="F580" i="26"/>
  <c r="G555" i="26"/>
  <c r="F527" i="26"/>
  <c r="F242" i="26"/>
  <c r="F218" i="26"/>
  <c r="C84" i="27" s="1"/>
  <c r="BW2" i="28" s="1"/>
  <c r="F219" i="26"/>
  <c r="C85" i="27" s="1"/>
  <c r="BX2" i="28" s="1"/>
  <c r="G580" i="26"/>
  <c r="G578" i="26"/>
  <c r="C201" i="26"/>
  <c r="C242" i="26"/>
  <c r="C218" i="26"/>
  <c r="C219" i="26"/>
  <c r="F555" i="26"/>
  <c r="F556" i="26"/>
  <c r="D578" i="26"/>
  <c r="D242" i="26"/>
  <c r="D218" i="26"/>
  <c r="D219" i="26"/>
  <c r="F528" i="26"/>
  <c r="E201" i="26"/>
  <c r="F557" i="26"/>
  <c r="F529" i="26"/>
  <c r="G557" i="26"/>
  <c r="G528" i="26"/>
  <c r="F201" i="26"/>
  <c r="E69" i="26"/>
  <c r="D527" i="26"/>
  <c r="F69" i="26"/>
  <c r="G527" i="26"/>
  <c r="G529" i="26"/>
  <c r="D529" i="26"/>
  <c r="D580" i="26"/>
  <c r="G25" i="26"/>
  <c r="G6" i="31" s="1"/>
  <c r="F25" i="26"/>
  <c r="F6" i="31" s="1"/>
  <c r="E25" i="26"/>
  <c r="E6" i="31" s="1"/>
  <c r="D25" i="26"/>
  <c r="D6" i="31" s="1"/>
  <c r="C25" i="26"/>
  <c r="C6" i="31" s="1"/>
  <c r="G23" i="26"/>
  <c r="F23" i="26"/>
  <c r="F4" i="31" s="1"/>
  <c r="E23" i="26"/>
  <c r="D23" i="26"/>
  <c r="D4" i="31" s="1"/>
  <c r="C23" i="26"/>
  <c r="C4" i="31" s="1"/>
  <c r="F80" i="31" l="1"/>
  <c r="C48" i="27"/>
  <c r="AQ2" i="28" s="1"/>
  <c r="G80" i="31"/>
  <c r="D48" i="27"/>
  <c r="AQ3" i="28" s="1"/>
  <c r="F18" i="23"/>
  <c r="F34" i="31"/>
  <c r="E77" i="26"/>
  <c r="E35" i="31" s="1"/>
  <c r="E4" i="31"/>
  <c r="D23" i="31"/>
  <c r="D25" i="31"/>
  <c r="D18" i="23"/>
  <c r="D34" i="31"/>
  <c r="F23" i="31"/>
  <c r="F25" i="31"/>
  <c r="E18" i="23"/>
  <c r="E34" i="31"/>
  <c r="E25" i="31"/>
  <c r="E23" i="31"/>
  <c r="D140" i="26"/>
  <c r="D122" i="26"/>
  <c r="D9" i="23" s="1"/>
  <c r="D148" i="26"/>
  <c r="D147" i="26"/>
  <c r="D10" i="23" s="1"/>
  <c r="D149" i="26"/>
  <c r="D829" i="26"/>
  <c r="D87" i="31" s="1"/>
  <c r="D828" i="26"/>
  <c r="D86" i="31" s="1"/>
  <c r="F140" i="26"/>
  <c r="C53" i="27" s="1"/>
  <c r="AV2" i="28" s="1"/>
  <c r="F122" i="26"/>
  <c r="F148" i="26"/>
  <c r="F147" i="26"/>
  <c r="F149" i="26"/>
  <c r="F828" i="26"/>
  <c r="F86" i="31" s="1"/>
  <c r="F829" i="26"/>
  <c r="F87" i="31" s="1"/>
  <c r="E140" i="26"/>
  <c r="E122" i="26"/>
  <c r="E9" i="23" s="1"/>
  <c r="E148" i="26"/>
  <c r="E147" i="26"/>
  <c r="E10" i="23" s="1"/>
  <c r="E149" i="26"/>
  <c r="E829" i="26"/>
  <c r="E87" i="31" s="1"/>
  <c r="E828" i="26"/>
  <c r="E86" i="31" s="1"/>
  <c r="D136" i="26"/>
  <c r="D76" i="31" s="1"/>
  <c r="G18" i="23"/>
  <c r="G34" i="31"/>
  <c r="D20" i="27"/>
  <c r="P3" i="28" s="1"/>
  <c r="G4" i="31"/>
  <c r="F136" i="26"/>
  <c r="F237" i="26"/>
  <c r="C92" i="27" s="1"/>
  <c r="CD2" i="28" s="1"/>
  <c r="F233" i="26"/>
  <c r="F231" i="26"/>
  <c r="C90" i="27" s="1"/>
  <c r="CB2" i="28" s="1"/>
  <c r="F230" i="26"/>
  <c r="C89" i="27" s="1"/>
  <c r="CA2" i="28" s="1"/>
  <c r="F236" i="26"/>
  <c r="F232" i="26"/>
  <c r="F235" i="26"/>
  <c r="C91" i="27" s="1"/>
  <c r="CC2" i="28" s="1"/>
  <c r="F234" i="26"/>
  <c r="E237" i="26"/>
  <c r="E233" i="26"/>
  <c r="E236" i="26"/>
  <c r="E231" i="26"/>
  <c r="E234" i="26"/>
  <c r="E232" i="26"/>
  <c r="E235" i="26"/>
  <c r="E230" i="26"/>
  <c r="C237" i="26"/>
  <c r="C236" i="26"/>
  <c r="C235" i="26"/>
  <c r="C231" i="26"/>
  <c r="C232" i="26"/>
  <c r="C230" i="26"/>
  <c r="C233" i="26"/>
  <c r="C234" i="26"/>
  <c r="D233" i="26"/>
  <c r="D236" i="26"/>
  <c r="D232" i="26"/>
  <c r="D235" i="26"/>
  <c r="D231" i="26"/>
  <c r="D234" i="26"/>
  <c r="D230" i="26"/>
  <c r="D237" i="26"/>
  <c r="G237" i="26"/>
  <c r="D92" i="27" s="1"/>
  <c r="CD3" i="28" s="1"/>
  <c r="G233" i="26"/>
  <c r="G236" i="26"/>
  <c r="G235" i="26"/>
  <c r="D91" i="27" s="1"/>
  <c r="CC3" i="28" s="1"/>
  <c r="G230" i="26"/>
  <c r="D89" i="27" s="1"/>
  <c r="CA3" i="28" s="1"/>
  <c r="G232" i="26"/>
  <c r="G231" i="26"/>
  <c r="D90" i="27" s="1"/>
  <c r="CB3" i="28" s="1"/>
  <c r="G234" i="26"/>
  <c r="G136" i="26"/>
  <c r="D49" i="27" s="1"/>
  <c r="AR3" i="28" s="1"/>
  <c r="C136" i="26"/>
  <c r="C76" i="31" s="1"/>
  <c r="E136" i="26"/>
  <c r="E76" i="31" s="1"/>
  <c r="L297" i="26"/>
  <c r="L298" i="26" s="1"/>
  <c r="M295" i="26"/>
  <c r="G256" i="26"/>
  <c r="D14" i="27"/>
  <c r="K3" i="28" s="1"/>
  <c r="J29" i="26"/>
  <c r="J209" i="26"/>
  <c r="F152" i="26"/>
  <c r="C60" i="27" s="1"/>
  <c r="BA2" i="28" s="1"/>
  <c r="C14" i="27"/>
  <c r="K2" i="28" s="1"/>
  <c r="K25" i="26"/>
  <c r="F77" i="26"/>
  <c r="F35" i="31" s="1"/>
  <c r="C20" i="27"/>
  <c r="P2" i="28" s="1"/>
  <c r="D224" i="26"/>
  <c r="D152" i="26"/>
  <c r="E224" i="26"/>
  <c r="E152" i="26"/>
  <c r="J25" i="26"/>
  <c r="I25" i="26"/>
  <c r="E246" i="26"/>
  <c r="J69" i="26"/>
  <c r="G77" i="26"/>
  <c r="G35" i="31" s="1"/>
  <c r="K23" i="26"/>
  <c r="K77" i="26" s="1"/>
  <c r="J23" i="26"/>
  <c r="J77" i="26" s="1"/>
  <c r="I23" i="26"/>
  <c r="I77" i="26" s="1"/>
  <c r="I89" i="26" s="1"/>
  <c r="K27" i="26"/>
  <c r="E248" i="26"/>
  <c r="E247" i="26"/>
  <c r="D248" i="26"/>
  <c r="D247" i="26"/>
  <c r="K69" i="26"/>
  <c r="K29" i="26"/>
  <c r="D246" i="26"/>
  <c r="C256" i="26"/>
  <c r="D119" i="26"/>
  <c r="D128" i="26"/>
  <c r="D7" i="23" s="1"/>
  <c r="D256" i="26"/>
  <c r="E119" i="26"/>
  <c r="E128" i="26"/>
  <c r="E7" i="23" s="1"/>
  <c r="F256" i="26"/>
  <c r="G119" i="26"/>
  <c r="G128" i="26"/>
  <c r="G7" i="23" s="1"/>
  <c r="E256" i="26"/>
  <c r="F119" i="26"/>
  <c r="F128" i="26"/>
  <c r="F7" i="23" s="1"/>
  <c r="D77" i="26"/>
  <c r="G247" i="26"/>
  <c r="G246" i="26"/>
  <c r="G248" i="26"/>
  <c r="C224" i="26"/>
  <c r="C247" i="26"/>
  <c r="C248" i="26"/>
  <c r="C246" i="26"/>
  <c r="F247" i="26"/>
  <c r="F246" i="26"/>
  <c r="F248" i="26"/>
  <c r="H78" i="26"/>
  <c r="G224" i="26"/>
  <c r="F224" i="26"/>
  <c r="G115" i="26"/>
  <c r="G21" i="23" s="1"/>
  <c r="F115" i="26"/>
  <c r="F21" i="23" s="1"/>
  <c r="E115" i="26"/>
  <c r="E21" i="23" s="1"/>
  <c r="D115" i="26"/>
  <c r="D21" i="23" s="1"/>
  <c r="C115" i="26"/>
  <c r="C21" i="23" s="1"/>
  <c r="H27" i="27" l="1"/>
  <c r="W7" i="28" s="1"/>
  <c r="F27" i="27"/>
  <c r="W5" i="28" s="1"/>
  <c r="G25" i="27"/>
  <c r="U6" i="28" s="1"/>
  <c r="J25" i="27"/>
  <c r="U9" i="28" s="1"/>
  <c r="I27" i="27"/>
  <c r="W8" i="28" s="1"/>
  <c r="F35" i="27"/>
  <c r="AD5" i="28" s="1"/>
  <c r="G35" i="27"/>
  <c r="AD6" i="28" s="1"/>
  <c r="I35" i="27"/>
  <c r="AD8" i="28" s="1"/>
  <c r="H25" i="27"/>
  <c r="U7" i="28" s="1"/>
  <c r="J35" i="27"/>
  <c r="AD9" i="28" s="1"/>
  <c r="I25" i="27"/>
  <c r="U8" i="28" s="1"/>
  <c r="L25" i="27"/>
  <c r="U11" i="28" s="1"/>
  <c r="K35" i="27"/>
  <c r="AD10" i="28" s="1"/>
  <c r="L35" i="27"/>
  <c r="AD11" i="28" s="1"/>
  <c r="F25" i="27"/>
  <c r="U5" i="28" s="1"/>
  <c r="H35" i="27"/>
  <c r="AD7" i="28" s="1"/>
  <c r="G27" i="27"/>
  <c r="W6" i="28" s="1"/>
  <c r="G22" i="27"/>
  <c r="R6" i="28" s="1"/>
  <c r="L22" i="27"/>
  <c r="R11" i="28" s="1"/>
  <c r="I22" i="27"/>
  <c r="R8" i="28" s="1"/>
  <c r="H22" i="27"/>
  <c r="R7" i="28" s="1"/>
  <c r="L27" i="27"/>
  <c r="W11" i="28" s="1"/>
  <c r="K27" i="27"/>
  <c r="W10" i="28" s="1"/>
  <c r="F22" i="27"/>
  <c r="R5" i="28" s="1"/>
  <c r="K22" i="27"/>
  <c r="R10" i="28" s="1"/>
  <c r="J27" i="27"/>
  <c r="W9" i="28" s="1"/>
  <c r="J22" i="27"/>
  <c r="R9" i="28" s="1"/>
  <c r="K25" i="27"/>
  <c r="U10" i="28" s="1"/>
  <c r="F76" i="31"/>
  <c r="C49" i="27"/>
  <c r="AR2" i="28" s="1"/>
  <c r="F10" i="23"/>
  <c r="C57" i="27"/>
  <c r="AX2" i="28" s="1"/>
  <c r="F8" i="23"/>
  <c r="F53" i="31"/>
  <c r="E8" i="23"/>
  <c r="E53" i="31"/>
  <c r="D89" i="26"/>
  <c r="D35" i="31"/>
  <c r="D8" i="23"/>
  <c r="D53" i="31"/>
  <c r="F9" i="23"/>
  <c r="C37" i="27"/>
  <c r="AF2" i="28" s="1"/>
  <c r="C229" i="26"/>
  <c r="C826" i="26"/>
  <c r="C81" i="31" s="1"/>
  <c r="C139" i="26"/>
  <c r="F139" i="26"/>
  <c r="C52" i="27" s="1"/>
  <c r="AU2" i="28" s="1"/>
  <c r="F826" i="26"/>
  <c r="F81" i="31" s="1"/>
  <c r="G76" i="31"/>
  <c r="D52" i="27"/>
  <c r="AU3" i="28" s="1"/>
  <c r="G826" i="26"/>
  <c r="G81" i="31" s="1"/>
  <c r="E139" i="26"/>
  <c r="E826" i="26"/>
  <c r="E81" i="31" s="1"/>
  <c r="D139" i="26"/>
  <c r="D826" i="26"/>
  <c r="D81" i="31" s="1"/>
  <c r="G8" i="23"/>
  <c r="G53" i="31"/>
  <c r="D229" i="26"/>
  <c r="E229" i="26"/>
  <c r="G229" i="26"/>
  <c r="D88" i="27" s="1"/>
  <c r="BZ3" i="28" s="1"/>
  <c r="F229" i="26"/>
  <c r="C88" i="27" s="1"/>
  <c r="BZ2" i="28" s="1"/>
  <c r="D35" i="27"/>
  <c r="AD3" i="28" s="1"/>
  <c r="D34" i="27"/>
  <c r="AC3" i="28" s="1"/>
  <c r="C35" i="27"/>
  <c r="AD2" i="28" s="1"/>
  <c r="C34" i="27"/>
  <c r="AC2" i="28" s="1"/>
  <c r="K89" i="26"/>
  <c r="J89" i="26"/>
  <c r="E89" i="26"/>
  <c r="F89" i="26"/>
  <c r="H89" i="26"/>
  <c r="G89" i="26"/>
  <c r="C15" i="31"/>
  <c r="C22" i="26"/>
  <c r="F15" i="31"/>
  <c r="F22" i="26"/>
  <c r="D15" i="31"/>
  <c r="D22" i="26"/>
  <c r="D3" i="31" s="1"/>
  <c r="G15" i="31"/>
  <c r="G22" i="26"/>
  <c r="E15" i="31"/>
  <c r="E22" i="26"/>
  <c r="E3" i="31" s="1"/>
  <c r="C19" i="27" l="1"/>
  <c r="O2" i="28" s="1"/>
  <c r="F3" i="31"/>
  <c r="C24" i="26"/>
  <c r="C28" i="26" s="1"/>
  <c r="C121" i="26" s="1"/>
  <c r="C48" i="31" s="1"/>
  <c r="C3" i="31"/>
  <c r="D19" i="27"/>
  <c r="O3" i="28" s="1"/>
  <c r="G3" i="31"/>
  <c r="F114" i="26"/>
  <c r="D114" i="26"/>
  <c r="D113" i="26"/>
  <c r="C114" i="26"/>
  <c r="E114" i="26"/>
  <c r="G114" i="26"/>
  <c r="K22" i="26"/>
  <c r="J22" i="26"/>
  <c r="I22" i="26"/>
  <c r="G78" i="26"/>
  <c r="G36" i="31" s="1"/>
  <c r="F78" i="26"/>
  <c r="F36" i="31" s="1"/>
  <c r="E78" i="26"/>
  <c r="E36" i="31" s="1"/>
  <c r="F24" i="26"/>
  <c r="E24" i="26"/>
  <c r="G24" i="26"/>
  <c r="G123" i="26" s="1"/>
  <c r="D24" i="26"/>
  <c r="C15" i="11"/>
  <c r="D15" i="11" s="1"/>
  <c r="E15" i="11" s="1"/>
  <c r="F15" i="11" s="1"/>
  <c r="G15" i="11" s="1"/>
  <c r="C5" i="31" l="1"/>
  <c r="C123" i="26"/>
  <c r="D5" i="31"/>
  <c r="D123" i="26"/>
  <c r="E5" i="31"/>
  <c r="E123" i="26"/>
  <c r="F5" i="31"/>
  <c r="F123" i="26"/>
  <c r="C120" i="26"/>
  <c r="C47" i="31" s="1"/>
  <c r="C10" i="31"/>
  <c r="C109" i="26"/>
  <c r="C46" i="31" s="1"/>
  <c r="C110" i="26"/>
  <c r="C6" i="23" s="1"/>
  <c r="D21" i="27"/>
  <c r="Q3" i="28" s="1"/>
  <c r="G5" i="31"/>
  <c r="F113" i="26"/>
  <c r="E113" i="26"/>
  <c r="G113" i="26"/>
  <c r="D110" i="26"/>
  <c r="D109" i="26"/>
  <c r="D46" i="31" s="1"/>
  <c r="G109" i="26"/>
  <c r="G110" i="26"/>
  <c r="E109" i="26"/>
  <c r="E46" i="31" s="1"/>
  <c r="E110" i="26"/>
  <c r="F109" i="26"/>
  <c r="F110" i="26"/>
  <c r="C21" i="27"/>
  <c r="Q2" i="28" s="1"/>
  <c r="I24" i="26"/>
  <c r="I76" i="26"/>
  <c r="J24" i="26"/>
  <c r="J76" i="26"/>
  <c r="K24" i="26"/>
  <c r="K76" i="26"/>
  <c r="G28" i="26"/>
  <c r="G121" i="26" s="1"/>
  <c r="G48" i="31" s="1"/>
  <c r="G88" i="26"/>
  <c r="H88" i="26"/>
  <c r="C33" i="26"/>
  <c r="E88" i="26"/>
  <c r="E28" i="26"/>
  <c r="E121" i="26" s="1"/>
  <c r="E48" i="31" s="1"/>
  <c r="D28" i="26"/>
  <c r="D121" i="26" s="1"/>
  <c r="D48" i="31" s="1"/>
  <c r="D88" i="26"/>
  <c r="D78" i="26"/>
  <c r="F28" i="26"/>
  <c r="F121" i="26" s="1"/>
  <c r="F48" i="31" s="1"/>
  <c r="F88" i="26"/>
  <c r="F90" i="26"/>
  <c r="C3" i="15"/>
  <c r="C4" i="15"/>
  <c r="C5" i="15"/>
  <c r="C6" i="15"/>
  <c r="C7" i="15"/>
  <c r="C8" i="15"/>
  <c r="C1" i="15"/>
  <c r="F120" i="26" l="1"/>
  <c r="F10" i="31"/>
  <c r="D90" i="26"/>
  <c r="D36" i="31"/>
  <c r="D120" i="26"/>
  <c r="D47" i="31" s="1"/>
  <c r="D10" i="31"/>
  <c r="E120" i="26"/>
  <c r="E47" i="31" s="1"/>
  <c r="E10" i="31"/>
  <c r="C28" i="27"/>
  <c r="X2" i="28" s="1"/>
  <c r="F46" i="31"/>
  <c r="D28" i="27"/>
  <c r="X3" i="28" s="1"/>
  <c r="G46" i="31"/>
  <c r="G120" i="26"/>
  <c r="G10" i="31"/>
  <c r="F6" i="23"/>
  <c r="G6" i="23"/>
  <c r="D6" i="23"/>
  <c r="E6" i="23"/>
  <c r="K110" i="26"/>
  <c r="K109" i="26"/>
  <c r="J110" i="26"/>
  <c r="J109" i="26"/>
  <c r="I110" i="26"/>
  <c r="I109" i="26"/>
  <c r="K78" i="26"/>
  <c r="K88" i="26"/>
  <c r="K28" i="26"/>
  <c r="K120" i="26" s="1"/>
  <c r="J78" i="26"/>
  <c r="J88" i="26"/>
  <c r="J28" i="26"/>
  <c r="J120" i="26" s="1"/>
  <c r="I88" i="26"/>
  <c r="I78" i="26"/>
  <c r="I90" i="26" s="1"/>
  <c r="I28" i="26"/>
  <c r="I120" i="26" s="1"/>
  <c r="H90" i="26"/>
  <c r="G90" i="26"/>
  <c r="D33" i="26"/>
  <c r="E90" i="26"/>
  <c r="G33" i="26"/>
  <c r="F33" i="26"/>
  <c r="E33" i="26"/>
  <c r="C36" i="27" l="1"/>
  <c r="AE2" i="28" s="1"/>
  <c r="F47" i="31"/>
  <c r="D36" i="27"/>
  <c r="AE3" i="28" s="1"/>
  <c r="G47" i="31"/>
  <c r="I33" i="26"/>
  <c r="I37" i="26" s="1"/>
  <c r="I39" i="26" s="1"/>
  <c r="J33" i="26"/>
  <c r="J37" i="26" s="1"/>
  <c r="J39" i="26" s="1"/>
  <c r="J90" i="26"/>
  <c r="K33" i="26"/>
  <c r="K37" i="26" s="1"/>
  <c r="K39" i="26" s="1"/>
  <c r="K90" i="26"/>
  <c r="G19" i="11" l="1"/>
  <c r="F19" i="11"/>
  <c r="E19" i="11"/>
  <c r="D19" i="11"/>
  <c r="C19" i="11"/>
  <c r="C12" i="11"/>
  <c r="C7" i="26" s="1"/>
  <c r="G14" i="11"/>
  <c r="G9" i="26" s="1"/>
  <c r="G17" i="11" l="1"/>
  <c r="F14" i="11"/>
  <c r="F9" i="26" s="1"/>
  <c r="G587" i="11" l="1"/>
  <c r="G706" i="11"/>
  <c r="G21" i="26"/>
  <c r="G376" i="26" s="1"/>
  <c r="F17" i="11"/>
  <c r="C837" i="26"/>
  <c r="E14" i="11"/>
  <c r="E9" i="26" s="1"/>
  <c r="D14" i="15"/>
  <c r="D13" i="15"/>
  <c r="D12" i="15"/>
  <c r="D11" i="15"/>
  <c r="G509" i="26" l="1"/>
  <c r="C411" i="26"/>
  <c r="G810" i="26"/>
  <c r="G535" i="26"/>
  <c r="K21" i="26"/>
  <c r="K74" i="26" s="1"/>
  <c r="I21" i="26"/>
  <c r="I74" i="26" s="1"/>
  <c r="C263" i="26"/>
  <c r="C106" i="31" s="1"/>
  <c r="J21" i="26"/>
  <c r="J44" i="26" s="1"/>
  <c r="F587" i="11"/>
  <c r="G74" i="26"/>
  <c r="G44" i="26"/>
  <c r="G3" i="23"/>
  <c r="G820" i="26"/>
  <c r="F21" i="26"/>
  <c r="E17" i="11"/>
  <c r="C2" i="15"/>
  <c r="D14" i="11"/>
  <c r="D9" i="26" s="1"/>
  <c r="D63" i="26"/>
  <c r="E63" i="26"/>
  <c r="D16" i="31"/>
  <c r="E16" i="31"/>
  <c r="I44" i="26" l="1"/>
  <c r="J74" i="26"/>
  <c r="K44" i="26"/>
  <c r="E587" i="11"/>
  <c r="E64" i="26"/>
  <c r="E65" i="26" s="1"/>
  <c r="E14" i="23" s="1"/>
  <c r="D64" i="26"/>
  <c r="D65" i="26" s="1"/>
  <c r="F3" i="23"/>
  <c r="F820" i="26"/>
  <c r="F74" i="26"/>
  <c r="F44" i="26"/>
  <c r="F810" i="26"/>
  <c r="F376" i="26"/>
  <c r="F509" i="26"/>
  <c r="F535" i="26"/>
  <c r="E21" i="26"/>
  <c r="E36" i="26"/>
  <c r="E37" i="26" s="1"/>
  <c r="D36" i="26"/>
  <c r="D37" i="26" s="1"/>
  <c r="D11" i="27"/>
  <c r="D17" i="11"/>
  <c r="C14" i="11"/>
  <c r="C9" i="26" s="1"/>
  <c r="D27" i="31" l="1"/>
  <c r="D241" i="26"/>
  <c r="E27" i="31"/>
  <c r="D587" i="11"/>
  <c r="E39" i="26"/>
  <c r="E18" i="31" s="1"/>
  <c r="E17" i="31"/>
  <c r="D39" i="26"/>
  <c r="D18" i="31" s="1"/>
  <c r="D17" i="31"/>
  <c r="E3" i="23"/>
  <c r="E820" i="26"/>
  <c r="E112" i="26"/>
  <c r="E41" i="31" s="1"/>
  <c r="D14" i="23"/>
  <c r="E74" i="26"/>
  <c r="E44" i="26"/>
  <c r="H3" i="28"/>
  <c r="C110" i="27"/>
  <c r="E810" i="26"/>
  <c r="E376" i="26"/>
  <c r="E83" i="26"/>
  <c r="E81" i="26"/>
  <c r="E39" i="31" s="1"/>
  <c r="E80" i="26"/>
  <c r="E79" i="26"/>
  <c r="E38" i="31" s="1"/>
  <c r="E82" i="26"/>
  <c r="E40" i="31" s="1"/>
  <c r="E103" i="26"/>
  <c r="E66" i="26"/>
  <c r="E509" i="26"/>
  <c r="E535" i="26"/>
  <c r="D21" i="26"/>
  <c r="C11" i="27"/>
  <c r="H2" i="28" s="1"/>
  <c r="D66" i="26"/>
  <c r="D103" i="26"/>
  <c r="C17" i="11"/>
  <c r="E111" i="26" l="1"/>
  <c r="C587" i="11"/>
  <c r="E85" i="26"/>
  <c r="E44" i="31" s="1"/>
  <c r="D40" i="26"/>
  <c r="E40" i="26"/>
  <c r="E12" i="23"/>
  <c r="E42" i="31"/>
  <c r="D3" i="23"/>
  <c r="D820" i="26"/>
  <c r="E84" i="26"/>
  <c r="E43" i="31" s="1"/>
  <c r="E5" i="23"/>
  <c r="E13" i="23"/>
  <c r="D376" i="26"/>
  <c r="D44" i="26"/>
  <c r="D74" i="26"/>
  <c r="E254" i="26"/>
  <c r="D254" i="26"/>
  <c r="D535" i="26"/>
  <c r="D810" i="26"/>
  <c r="D509" i="26"/>
  <c r="C21" i="26"/>
  <c r="G241" i="26"/>
  <c r="F63" i="26"/>
  <c r="C63" i="26"/>
  <c r="G16" i="31"/>
  <c r="F16" i="31"/>
  <c r="C16" i="31"/>
  <c r="F64" i="26" l="1"/>
  <c r="F65" i="26" s="1"/>
  <c r="F14" i="23" s="1"/>
  <c r="C64" i="26"/>
  <c r="C3" i="23"/>
  <c r="C820" i="26"/>
  <c r="C376" i="26"/>
  <c r="C74" i="26"/>
  <c r="C44" i="26"/>
  <c r="C535" i="26"/>
  <c r="C810" i="26"/>
  <c r="C65" i="26"/>
  <c r="C509" i="26"/>
  <c r="G36" i="26"/>
  <c r="G37" i="26" s="1"/>
  <c r="F36" i="26"/>
  <c r="F37" i="26" s="1"/>
  <c r="C36" i="26"/>
  <c r="C37" i="26" s="1"/>
  <c r="G27" i="31"/>
  <c r="G64" i="26"/>
  <c r="C27" i="31" l="1"/>
  <c r="C241" i="26"/>
  <c r="F27" i="31"/>
  <c r="C39" i="26"/>
  <c r="C18" i="31" s="1"/>
  <c r="C17" i="31"/>
  <c r="F39" i="26"/>
  <c r="F18" i="31" s="1"/>
  <c r="F17" i="31"/>
  <c r="G39" i="26"/>
  <c r="G40" i="26" s="1"/>
  <c r="G17" i="31"/>
  <c r="D112" i="26"/>
  <c r="D41" i="31" s="1"/>
  <c r="C14" i="23"/>
  <c r="F112" i="26"/>
  <c r="K64" i="26"/>
  <c r="K65" i="26" s="1"/>
  <c r="K103" i="26" s="1"/>
  <c r="J64" i="26"/>
  <c r="J65" i="26" s="1"/>
  <c r="I64" i="26"/>
  <c r="I65" i="26" s="1"/>
  <c r="F257" i="26"/>
  <c r="F22" i="23" s="1"/>
  <c r="G254" i="26"/>
  <c r="D83" i="26"/>
  <c r="D42" i="31" s="1"/>
  <c r="D81" i="26"/>
  <c r="D80" i="26"/>
  <c r="D79" i="26"/>
  <c r="D38" i="31" s="1"/>
  <c r="D82" i="26"/>
  <c r="D85" i="26"/>
  <c r="F103" i="26"/>
  <c r="C15" i="27" s="1"/>
  <c r="L2" i="28" s="1"/>
  <c r="F81" i="26"/>
  <c r="F83" i="26"/>
  <c r="F80" i="26"/>
  <c r="F79" i="26"/>
  <c r="F82" i="26"/>
  <c r="F66" i="26"/>
  <c r="C103" i="26"/>
  <c r="G65" i="26"/>
  <c r="C26" i="27" l="1"/>
  <c r="V2" i="28" s="1"/>
  <c r="F111" i="26"/>
  <c r="F40" i="26"/>
  <c r="C40" i="26"/>
  <c r="F211" i="26"/>
  <c r="F38" i="31"/>
  <c r="F94" i="26"/>
  <c r="F40" i="31"/>
  <c r="E93" i="26"/>
  <c r="D39" i="31"/>
  <c r="F42" i="31"/>
  <c r="F141" i="26"/>
  <c r="F93" i="26"/>
  <c r="F39" i="31"/>
  <c r="C29" i="27"/>
  <c r="Y2" i="28" s="1"/>
  <c r="F41" i="31"/>
  <c r="D94" i="26"/>
  <c r="D40" i="31"/>
  <c r="F85" i="26"/>
  <c r="F44" i="31" s="1"/>
  <c r="D97" i="26"/>
  <c r="D44" i="31"/>
  <c r="D26" i="27"/>
  <c r="V3" i="28" s="1"/>
  <c r="G18" i="31"/>
  <c r="K112" i="26"/>
  <c r="H112" i="26"/>
  <c r="E29" i="27" s="1"/>
  <c r="Y4" i="28" s="1"/>
  <c r="G14" i="23"/>
  <c r="D95" i="26"/>
  <c r="D12" i="23"/>
  <c r="F5" i="23"/>
  <c r="F13" i="23"/>
  <c r="F12" i="23"/>
  <c r="D91" i="26"/>
  <c r="D13" i="23"/>
  <c r="D5" i="23"/>
  <c r="G112" i="26"/>
  <c r="F95" i="26"/>
  <c r="C25" i="27"/>
  <c r="U2" i="28" s="1"/>
  <c r="C22" i="27"/>
  <c r="R2" i="28" s="1"/>
  <c r="J112" i="26"/>
  <c r="I112" i="26"/>
  <c r="I81" i="26"/>
  <c r="I83" i="26"/>
  <c r="J83" i="26"/>
  <c r="J81" i="26"/>
  <c r="K81" i="26"/>
  <c r="K83" i="26"/>
  <c r="I80" i="26"/>
  <c r="J80" i="26"/>
  <c r="K80" i="26"/>
  <c r="I79" i="26"/>
  <c r="K79" i="26"/>
  <c r="J79" i="26"/>
  <c r="I82" i="26"/>
  <c r="J82" i="26"/>
  <c r="K82" i="26"/>
  <c r="K85" i="26"/>
  <c r="J85" i="26"/>
  <c r="I85" i="26"/>
  <c r="J103" i="26"/>
  <c r="I103" i="26"/>
  <c r="E95" i="26"/>
  <c r="G45" i="26"/>
  <c r="C254" i="26"/>
  <c r="C23" i="27"/>
  <c r="S2" i="28" s="1"/>
  <c r="F254" i="26"/>
  <c r="F91" i="26"/>
  <c r="H85" i="26"/>
  <c r="E27" i="27" s="1"/>
  <c r="W4" i="28" s="1"/>
  <c r="H80" i="26"/>
  <c r="E23" i="27" s="1"/>
  <c r="S4" i="28" s="1"/>
  <c r="H83" i="26"/>
  <c r="E25" i="27" s="1"/>
  <c r="U4" i="28" s="1"/>
  <c r="H82" i="26"/>
  <c r="H79" i="26"/>
  <c r="E22" i="27" s="1"/>
  <c r="R4" i="28" s="1"/>
  <c r="H81" i="26"/>
  <c r="G82" i="26"/>
  <c r="G40" i="31" s="1"/>
  <c r="G79" i="26"/>
  <c r="G81" i="26"/>
  <c r="G83" i="26"/>
  <c r="G80" i="26"/>
  <c r="D23" i="27" s="1"/>
  <c r="S3" i="28" s="1"/>
  <c r="F84" i="26"/>
  <c r="G85" i="26"/>
  <c r="G44" i="31" s="1"/>
  <c r="F92" i="26"/>
  <c r="E91" i="26"/>
  <c r="E94" i="26"/>
  <c r="D84" i="26"/>
  <c r="D43" i="31" s="1"/>
  <c r="E97" i="26"/>
  <c r="E92" i="26"/>
  <c r="D92" i="26"/>
  <c r="D93" i="26"/>
  <c r="G103" i="26"/>
  <c r="D15" i="27" s="1"/>
  <c r="L3" i="28" s="1"/>
  <c r="I92" i="26" l="1"/>
  <c r="F97" i="26"/>
  <c r="G42" i="31"/>
  <c r="G141" i="26"/>
  <c r="G38" i="31"/>
  <c r="G211" i="26"/>
  <c r="F96" i="26"/>
  <c r="F43" i="31"/>
  <c r="C27" i="27"/>
  <c r="W2" i="28" s="1"/>
  <c r="G48" i="26"/>
  <c r="K48" i="26" s="1"/>
  <c r="G22" i="31"/>
  <c r="G100" i="26"/>
  <c r="G827" i="26"/>
  <c r="G85" i="31" s="1"/>
  <c r="D29" i="27"/>
  <c r="Y3" i="28" s="1"/>
  <c r="G41" i="31"/>
  <c r="G93" i="26"/>
  <c r="G39" i="31"/>
  <c r="G21" i="31"/>
  <c r="E96" i="26"/>
  <c r="K95" i="26"/>
  <c r="D25" i="27"/>
  <c r="U3" i="28" s="1"/>
  <c r="G12" i="23"/>
  <c r="G13" i="23"/>
  <c r="G5" i="23"/>
  <c r="G97" i="26"/>
  <c r="D27" i="27"/>
  <c r="W3" i="28" s="1"/>
  <c r="G91" i="26"/>
  <c r="D22" i="27"/>
  <c r="R3" i="28" s="1"/>
  <c r="J91" i="26"/>
  <c r="I91" i="26"/>
  <c r="K92" i="26"/>
  <c r="K97" i="26"/>
  <c r="J93" i="26"/>
  <c r="J95" i="26"/>
  <c r="K93" i="26"/>
  <c r="J92" i="26"/>
  <c r="K84" i="26"/>
  <c r="K94" i="26"/>
  <c r="J84" i="26"/>
  <c r="J94" i="26"/>
  <c r="I84" i="26"/>
  <c r="I94" i="26"/>
  <c r="I97" i="26"/>
  <c r="I95" i="26"/>
  <c r="K91" i="26"/>
  <c r="J97" i="26"/>
  <c r="I93" i="26"/>
  <c r="C45" i="26"/>
  <c r="C21" i="31" s="1"/>
  <c r="D96" i="26"/>
  <c r="G84" i="26"/>
  <c r="H97" i="26"/>
  <c r="H91" i="26"/>
  <c r="H95" i="26"/>
  <c r="H92" i="26"/>
  <c r="H93" i="26"/>
  <c r="H84" i="26"/>
  <c r="H94" i="26"/>
  <c r="G94" i="26"/>
  <c r="G92" i="26"/>
  <c r="G95" i="26"/>
  <c r="G101" i="26" l="1"/>
  <c r="G146" i="26" s="1"/>
  <c r="G151" i="26"/>
  <c r="G152" i="26" s="1"/>
  <c r="D60" i="27" s="1"/>
  <c r="BA3" i="28" s="1"/>
  <c r="I48" i="26"/>
  <c r="I53" i="26" s="1"/>
  <c r="J48" i="26"/>
  <c r="J53" i="26" s="1"/>
  <c r="G96" i="26"/>
  <c r="G43" i="31"/>
  <c r="G53" i="26"/>
  <c r="G66" i="26" s="1"/>
  <c r="C100" i="26"/>
  <c r="C48" i="26"/>
  <c r="C53" i="26" s="1"/>
  <c r="C66" i="26" s="1"/>
  <c r="C827" i="26"/>
  <c r="C85" i="31" s="1"/>
  <c r="D13" i="27"/>
  <c r="J3" i="28" s="1"/>
  <c r="G257" i="26"/>
  <c r="G22" i="23" s="1"/>
  <c r="G111" i="26"/>
  <c r="K96" i="26"/>
  <c r="I96" i="26"/>
  <c r="J96" i="26"/>
  <c r="J100" i="26"/>
  <c r="K53" i="26"/>
  <c r="K100" i="26"/>
  <c r="G217" i="26"/>
  <c r="D83" i="27" s="1"/>
  <c r="BV3" i="28" s="1"/>
  <c r="H111" i="26"/>
  <c r="H96" i="26"/>
  <c r="G102" i="26" l="1"/>
  <c r="G122" i="26" s="1"/>
  <c r="G145" i="26"/>
  <c r="C101" i="26"/>
  <c r="C151" i="26"/>
  <c r="I100" i="26"/>
  <c r="J111" i="26" s="1"/>
  <c r="C257" i="26"/>
  <c r="C22" i="23" s="1"/>
  <c r="C102" i="26"/>
  <c r="C122" i="26" s="1"/>
  <c r="C9" i="23" s="1"/>
  <c r="C145" i="26"/>
  <c r="C146" i="26"/>
  <c r="G23" i="31"/>
  <c r="G828" i="26"/>
  <c r="G86" i="31" s="1"/>
  <c r="G829" i="26"/>
  <c r="G87" i="31" s="1"/>
  <c r="D37" i="27"/>
  <c r="AF3" i="28" s="1"/>
  <c r="G9" i="23"/>
  <c r="C152" i="26"/>
  <c r="D111" i="26"/>
  <c r="K111" i="26"/>
  <c r="K102" i="26"/>
  <c r="K147" i="26" s="1"/>
  <c r="K146" i="26"/>
  <c r="J102" i="26"/>
  <c r="J147" i="26" s="1"/>
  <c r="J146" i="26"/>
  <c r="C217" i="26"/>
  <c r="G147" i="26"/>
  <c r="G148" i="26"/>
  <c r="G149" i="26"/>
  <c r="G25" i="31" l="1"/>
  <c r="G140" i="26"/>
  <c r="D53" i="27" s="1"/>
  <c r="AV3" i="28" s="1"/>
  <c r="I111" i="26"/>
  <c r="I146" i="26"/>
  <c r="I102" i="26"/>
  <c r="I147" i="26" s="1"/>
  <c r="G10" i="23"/>
  <c r="D57" i="27"/>
  <c r="AX3" i="28" s="1"/>
  <c r="C25" i="31"/>
  <c r="C23" i="31"/>
  <c r="C140" i="26"/>
  <c r="C828" i="26"/>
  <c r="C86" i="31" s="1"/>
  <c r="C829" i="26"/>
  <c r="C87" i="31" s="1"/>
  <c r="C149" i="26"/>
  <c r="C147" i="26"/>
  <c r="C10" i="23" s="1"/>
  <c r="C148" i="26"/>
</calcChain>
</file>

<file path=xl/sharedStrings.xml><?xml version="1.0" encoding="utf-8"?>
<sst xmlns="http://schemas.openxmlformats.org/spreadsheetml/2006/main" count="3657" uniqueCount="1055">
  <si>
    <t xml:space="preserve">ADDITIONAL DATA </t>
  </si>
  <si>
    <t>Additional information</t>
  </si>
  <si>
    <t>Others</t>
  </si>
  <si>
    <t>Capital Adequacy Ratio (In Percentage)</t>
  </si>
  <si>
    <t>Other Short Term Borrowings</t>
  </si>
  <si>
    <t>Audited</t>
  </si>
  <si>
    <t>Last year of audited / provisional results</t>
  </si>
  <si>
    <t>Name of the Company</t>
  </si>
  <si>
    <t>Currency</t>
  </si>
  <si>
    <t>INR</t>
  </si>
  <si>
    <t>Operating Income</t>
  </si>
  <si>
    <t>Interest Income</t>
  </si>
  <si>
    <t>Dividend Income</t>
  </si>
  <si>
    <t>Gain on Sale of Assets</t>
  </si>
  <si>
    <t>Operating Expenses</t>
  </si>
  <si>
    <t>Employee Expenses</t>
  </si>
  <si>
    <t>Administrative and Other expenses</t>
  </si>
  <si>
    <t>Less Depreciation on Revaluation</t>
  </si>
  <si>
    <t>Total Operating Expenses</t>
  </si>
  <si>
    <t>Non-Operating Expenses</t>
  </si>
  <si>
    <t>Intangiables Written Off</t>
  </si>
  <si>
    <t>Loss on Sale of Assets</t>
  </si>
  <si>
    <t>Other Non-Operating Expenses</t>
  </si>
  <si>
    <t>Total Non-Operating Expenses</t>
  </si>
  <si>
    <t>Provision for dimunition in value of assets</t>
  </si>
  <si>
    <t>Extraordinary Items:</t>
  </si>
  <si>
    <t>Extraordinary Income</t>
  </si>
  <si>
    <t>Extraordinary Expense</t>
  </si>
  <si>
    <t>Total of Extraordinary items</t>
  </si>
  <si>
    <t xml:space="preserve"> Profit before tax </t>
  </si>
  <si>
    <t>Provision for taxes - Current</t>
  </si>
  <si>
    <t>Provision for taxes - Deferred</t>
  </si>
  <si>
    <t>Profit After Tax</t>
  </si>
  <si>
    <t>Transfer to Reserves</t>
  </si>
  <si>
    <t>Networth</t>
  </si>
  <si>
    <t>Equity Capital</t>
  </si>
  <si>
    <t xml:space="preserve">Preference Capital (redemption&gt;12 yrs) </t>
  </si>
  <si>
    <t>General reserves</t>
  </si>
  <si>
    <t>Share Premium</t>
  </si>
  <si>
    <t>Revaluation Reserve</t>
  </si>
  <si>
    <t>Other Reserves &amp; Surpluses</t>
  </si>
  <si>
    <t>Deferred Tax Liability (net)</t>
  </si>
  <si>
    <t>Debt (Repayable &gt; 1 year)</t>
  </si>
  <si>
    <t>Preference Share Capital (redemption &lt; 12 yrs)</t>
  </si>
  <si>
    <t>Convertible Debentures</t>
  </si>
  <si>
    <t>Non-Convertible Debentures</t>
  </si>
  <si>
    <t>Fixed Deposits</t>
  </si>
  <si>
    <t>Borrowing from Affiliates &amp; Associates</t>
  </si>
  <si>
    <t>Other term debt</t>
  </si>
  <si>
    <t>Total Debt Repayable &gt; 1 Year</t>
  </si>
  <si>
    <t>Debt Repayable &lt;= 1 year</t>
  </si>
  <si>
    <t>Networth - Total</t>
  </si>
  <si>
    <t>Deposits maturing within a year</t>
  </si>
  <si>
    <t>Borrowings from Affiliates &amp; Associates</t>
  </si>
  <si>
    <t>Intercorporate Deposits</t>
  </si>
  <si>
    <t>Commercial Paper</t>
  </si>
  <si>
    <t>Accrued Interest</t>
  </si>
  <si>
    <t>Total Debt Repayable &lt;=1 year</t>
  </si>
  <si>
    <t>Non Debt Current Liabilities</t>
  </si>
  <si>
    <t>Creditors</t>
  </si>
  <si>
    <t>Net tax Provision</t>
  </si>
  <si>
    <t>Dividends Payable</t>
  </si>
  <si>
    <t>Advances from Customers</t>
  </si>
  <si>
    <t>Advances from Affiliates &amp; Associates</t>
  </si>
  <si>
    <t>Other Current Liabilities &amp; Provisions</t>
  </si>
  <si>
    <t>Total Non Debt Current Liabilities</t>
  </si>
  <si>
    <t>Total Liabilities</t>
  </si>
  <si>
    <t>Fixed Assets</t>
  </si>
  <si>
    <t>Fixed Assets on Lease</t>
  </si>
  <si>
    <t>Accumalated Depreciation of Leased Assets</t>
  </si>
  <si>
    <t>Other Fixed Assets</t>
  </si>
  <si>
    <t>Accumulated Depreciation of Other Fixed Assets</t>
  </si>
  <si>
    <t>Capital WIP</t>
  </si>
  <si>
    <t>Total Fixed Assets</t>
  </si>
  <si>
    <t>Deferred Tax Asset (Net)</t>
  </si>
  <si>
    <t>Investments</t>
  </si>
  <si>
    <t>Investments in Government Securities</t>
  </si>
  <si>
    <t>Market Value of Quoted Investment</t>
  </si>
  <si>
    <t>Total Investments</t>
  </si>
  <si>
    <t>Cash / Bank</t>
  </si>
  <si>
    <t>Loans and Advances to Subsidiaries / Affiliates</t>
  </si>
  <si>
    <t>Total Assets</t>
  </si>
  <si>
    <t>Arrears of cumulative dividends</t>
  </si>
  <si>
    <t>Excise / Sales Tax claims</t>
  </si>
  <si>
    <t>Tax / Statutory Liabilities</t>
  </si>
  <si>
    <t>Contingent liabilities</t>
  </si>
  <si>
    <t>Other Contingent Liabilities</t>
  </si>
  <si>
    <t>Other Information</t>
  </si>
  <si>
    <t>Other Additions to Net Worth</t>
  </si>
  <si>
    <t>Other Deductions from Net Worth</t>
  </si>
  <si>
    <t>Deb Conv. During the Period</t>
  </si>
  <si>
    <t>Face Value per Share</t>
  </si>
  <si>
    <t>Audit Qualification (Y/N/UA/NA)</t>
  </si>
  <si>
    <t>Change in Accounting Policy (Y/N)</t>
  </si>
  <si>
    <t>Profit &amp; Loss Account</t>
  </si>
  <si>
    <t>Balance Sheet - Liabilities</t>
  </si>
  <si>
    <t>Balance Sheet - Assets</t>
  </si>
  <si>
    <t>TOTAL LEVERAGE (TOL/TNW)</t>
  </si>
  <si>
    <t>TNW ADJUSTED LEVERAGE (TOL /TNW ADJUSTED)</t>
  </si>
  <si>
    <t>CAPITAL ADEQUACY RATIO</t>
  </si>
  <si>
    <t>Lease Adjustment A/c</t>
  </si>
  <si>
    <t>(TOL + DTL) / TNW</t>
  </si>
  <si>
    <t>Total operating income</t>
  </si>
  <si>
    <t>Total assets</t>
  </si>
  <si>
    <t>Total TOL</t>
  </si>
  <si>
    <t>Type</t>
  </si>
  <si>
    <t>Spread Version</t>
  </si>
  <si>
    <t>Value in Million</t>
  </si>
  <si>
    <t>No. Of  Months</t>
  </si>
  <si>
    <t>Basic Information</t>
  </si>
  <si>
    <t>Borrower ID</t>
  </si>
  <si>
    <t>Balance Sheet Tallied</t>
  </si>
  <si>
    <t>N</t>
  </si>
  <si>
    <t>Annual</t>
  </si>
  <si>
    <t>Financials to be updated</t>
  </si>
  <si>
    <t>Currency Year Lookup</t>
  </si>
  <si>
    <t>H2</t>
  </si>
  <si>
    <t>Y</t>
  </si>
  <si>
    <t>H1</t>
  </si>
  <si>
    <t>9M</t>
  </si>
  <si>
    <t>Q1</t>
  </si>
  <si>
    <t>Q2</t>
  </si>
  <si>
    <t>Q3</t>
  </si>
  <si>
    <t>Q4</t>
  </si>
  <si>
    <t>March</t>
  </si>
  <si>
    <t>December</t>
  </si>
  <si>
    <t>September</t>
  </si>
  <si>
    <t>June</t>
  </si>
  <si>
    <t>Type of Financial</t>
  </si>
  <si>
    <t>Provisional</t>
  </si>
  <si>
    <t>Projected</t>
  </si>
  <si>
    <t>Currency List</t>
  </si>
  <si>
    <t>Year</t>
  </si>
  <si>
    <t>AED</t>
  </si>
  <si>
    <t>AUD</t>
  </si>
  <si>
    <t>BDT</t>
  </si>
  <si>
    <t>BHD</t>
  </si>
  <si>
    <t>CAD</t>
  </si>
  <si>
    <t>CHF</t>
  </si>
  <si>
    <t>CNH</t>
  </si>
  <si>
    <t>CNY</t>
  </si>
  <si>
    <t>DKK</t>
  </si>
  <si>
    <t>EGP</t>
  </si>
  <si>
    <t>EUR</t>
  </si>
  <si>
    <t>GBP</t>
  </si>
  <si>
    <t>HKD</t>
  </si>
  <si>
    <t>JPY</t>
  </si>
  <si>
    <t>KRW</t>
  </si>
  <si>
    <t>KWD</t>
  </si>
  <si>
    <t>LKR</t>
  </si>
  <si>
    <t>MUR</t>
  </si>
  <si>
    <t>MYR</t>
  </si>
  <si>
    <t>NOK</t>
  </si>
  <si>
    <t>NZD</t>
  </si>
  <si>
    <t>OMR</t>
  </si>
  <si>
    <t>QAR</t>
  </si>
  <si>
    <t>RUB</t>
  </si>
  <si>
    <t>SAR</t>
  </si>
  <si>
    <t>SEK</t>
  </si>
  <si>
    <t>SGD</t>
  </si>
  <si>
    <t>THB</t>
  </si>
  <si>
    <t>TRY</t>
  </si>
  <si>
    <t>TWD</t>
  </si>
  <si>
    <t>USD</t>
  </si>
  <si>
    <t>ZAR</t>
  </si>
  <si>
    <t>&lt;- Should match with Borrower ID against which financials are being uploaded</t>
  </si>
  <si>
    <t>&lt;- Should match with Borrower Name against which financials are being uploaded</t>
  </si>
  <si>
    <t>&lt;- Latest Financial year</t>
  </si>
  <si>
    <t>Financial Year End Quarter</t>
  </si>
  <si>
    <t>&lt;- Quarter end of financial year closure</t>
  </si>
  <si>
    <t>Latest Financial Year End Date</t>
  </si>
  <si>
    <t>&lt;- Currency of financials</t>
  </si>
  <si>
    <t>Financials to be Updated</t>
  </si>
  <si>
    <t>&lt;- Select 'Y' to upload data for selected year in system</t>
  </si>
  <si>
    <t>Period ended (DD-Mon-YYYY)</t>
  </si>
  <si>
    <t>&lt;- No of months for which financials are available for the year</t>
  </si>
  <si>
    <t>DEM</t>
  </si>
  <si>
    <t>VND</t>
  </si>
  <si>
    <t>(a) Interest Income on advances/loans</t>
  </si>
  <si>
    <t>Total Interest Income</t>
  </si>
  <si>
    <t>Interest Expense</t>
  </si>
  <si>
    <t>(a) Interest paid</t>
  </si>
  <si>
    <t>(b) Discount on commercial paper/ bonds / debentures etc.</t>
  </si>
  <si>
    <t>Total Interest Expense</t>
  </si>
  <si>
    <t>Net Interest Income (Total Interest Income - Total Interest Expense)</t>
  </si>
  <si>
    <t>Other Operating Income</t>
  </si>
  <si>
    <t>Gain on Sale of Investments</t>
  </si>
  <si>
    <t>Income from securitisation /assignment</t>
  </si>
  <si>
    <t>Other operating income</t>
  </si>
  <si>
    <t>Total Other Operating Income</t>
  </si>
  <si>
    <t>Total Operating Income (Net Interest Income + Other Operating Income)</t>
  </si>
  <si>
    <t xml:space="preserve">Loss on Sale of investments </t>
  </si>
  <si>
    <t>Loss on re-possessed assets</t>
  </si>
  <si>
    <t>Other operating expenses</t>
  </si>
  <si>
    <t>Provision for Standard Assets</t>
  </si>
  <si>
    <t>Write-Offs &amp; Provisions</t>
  </si>
  <si>
    <t>Total write/offs &amp; provisions</t>
  </si>
  <si>
    <t>Dividend - Equity Shares</t>
  </si>
  <si>
    <t>Dividend - Preference Shares</t>
  </si>
  <si>
    <t>Convertible Debentures (excluding Compulsorily Convertible)</t>
  </si>
  <si>
    <t>Complusory Convertible Debentures</t>
  </si>
  <si>
    <t>Sub-ordinated Debt</t>
  </si>
  <si>
    <t>Current portion of LTD - Bank/FI Borrowing</t>
  </si>
  <si>
    <t>Current portion of LTD - Debentures</t>
  </si>
  <si>
    <t>Provisions for Standard Assets</t>
  </si>
  <si>
    <t>Provisions for Non Performing Assets</t>
  </si>
  <si>
    <t>Total Loans and advances</t>
  </si>
  <si>
    <t>Long Term</t>
  </si>
  <si>
    <t>Long Term Loans and Advances</t>
  </si>
  <si>
    <t>Others (including other receivables under financing activity and repossessed assets)</t>
  </si>
  <si>
    <t>Total Long Term Loans and Advances</t>
  </si>
  <si>
    <t>Short Term</t>
  </si>
  <si>
    <t>Short Term Loans and Advances</t>
  </si>
  <si>
    <t>Total Short Term Loans and Advances</t>
  </si>
  <si>
    <t>Total Loans and Advances</t>
  </si>
  <si>
    <t>Investments in Subsidiaries &amp; Affiliates (Debentures, CPs, Equity etc)</t>
  </si>
  <si>
    <t>Investment in Debentures (Including credit subsitutes)</t>
  </si>
  <si>
    <t>Investments in Mutual funds (Liquid, Equity etc)</t>
  </si>
  <si>
    <t>Investments in Security Receipts of ARCs</t>
  </si>
  <si>
    <t>Others (Including Investment in shares)</t>
  </si>
  <si>
    <t>Other Current  / Non Current Assets</t>
  </si>
  <si>
    <t>Cash / Bank Balance</t>
  </si>
  <si>
    <t>Fixed Deposit with Banks</t>
  </si>
  <si>
    <t>Total Cash / Bank Balance</t>
  </si>
  <si>
    <t>Prepaid Expenses</t>
  </si>
  <si>
    <t>Other Current / Non Current Asset</t>
  </si>
  <si>
    <t>Miscellaneous Current / Non Current Assets</t>
  </si>
  <si>
    <t>Total Other Current  / Non Current Assets</t>
  </si>
  <si>
    <t>Gross NPA (INR Million)</t>
  </si>
  <si>
    <t>Net NPA (INR Million)</t>
  </si>
  <si>
    <t>Gross NPA (In Percentage)</t>
  </si>
  <si>
    <t>Net NPA (In Percentage)</t>
  </si>
  <si>
    <t>Total Deposits of twenty largest depositors (INR Million)</t>
  </si>
  <si>
    <t>Total Loans &amp; Advances to twenty largest borrowers (INR Million)</t>
  </si>
  <si>
    <t>Total Loans &amp; Advances to twenty largest borrowers (In Percentage)</t>
  </si>
  <si>
    <t>Asset Liability Maturity Profile</t>
  </si>
  <si>
    <t>Asset Liability Management</t>
  </si>
  <si>
    <t>1 Day to
30-31 Days
(one month)</t>
  </si>
  <si>
    <t>Over 1
month to 2
months</t>
  </si>
  <si>
    <t>Over 2
months
upto 3
months</t>
  </si>
  <si>
    <t>Over 3
months
to 6
months</t>
  </si>
  <si>
    <t>Over 6
months to
1 Year</t>
  </si>
  <si>
    <t>Over 1 Year
to
3 Years</t>
  </si>
  <si>
    <t>Over 3
Years to
5 Years</t>
  </si>
  <si>
    <t>Over 5
Years to
7 Years</t>
  </si>
  <si>
    <t>Over 7
Years to
10 Years</t>
  </si>
  <si>
    <t>Over 10
Years</t>
  </si>
  <si>
    <t>Total</t>
  </si>
  <si>
    <t>Liabilities</t>
  </si>
  <si>
    <t>Market borrowing</t>
  </si>
  <si>
    <t>Fixed Deposit</t>
  </si>
  <si>
    <t>Foreign Currency Liabilities</t>
  </si>
  <si>
    <t>Assets</t>
  </si>
  <si>
    <t>Advances</t>
  </si>
  <si>
    <t>Foreign Currency Assets</t>
  </si>
  <si>
    <t>Tier I Capital (In Percentage)</t>
  </si>
  <si>
    <t>Tier II Capital (In Percentage)</t>
  </si>
  <si>
    <t>Total Assets Under Management (AUM) (INR Million)</t>
  </si>
  <si>
    <t>Bills Discounted</t>
  </si>
  <si>
    <t>Non Operating Income</t>
  </si>
  <si>
    <t>Other Finance Charges</t>
  </si>
  <si>
    <t xml:space="preserve"> - of which Secured</t>
  </si>
  <si>
    <t xml:space="preserve"> - of which Unsecured</t>
  </si>
  <si>
    <t>Total Debt</t>
  </si>
  <si>
    <t xml:space="preserve"> - of which Borrowings in India</t>
  </si>
  <si>
    <t xml:space="preserve"> - of which Borrowings outside India</t>
  </si>
  <si>
    <t>(b) Interest income on investments</t>
  </si>
  <si>
    <t>(c) Interest income on deposits and cash</t>
  </si>
  <si>
    <t>(d) Other interest income</t>
  </si>
  <si>
    <t>Processing and Fee Income</t>
  </si>
  <si>
    <t>Commission Income</t>
  </si>
  <si>
    <t>Distribution Income</t>
  </si>
  <si>
    <t>Servicing and Collection Fee on Securitizations / Direct Assignment</t>
  </si>
  <si>
    <t>Pre Provisioining Operating Profit (PPOP)</t>
  </si>
  <si>
    <t xml:space="preserve"> Profit before Extraordinary Items</t>
  </si>
  <si>
    <t>External Commercial Borrowings</t>
  </si>
  <si>
    <t>Cash Credit/WCDL/STL from Financial Institutions</t>
  </si>
  <si>
    <t>Cash Credit/WCDL/STL from Banks</t>
  </si>
  <si>
    <t>Term Loans from Banks</t>
  </si>
  <si>
    <t>Term Loans from Financial Institutions</t>
  </si>
  <si>
    <t>Term Loans from National Housing Bank (NHB)</t>
  </si>
  <si>
    <t>Perpetual Debt</t>
  </si>
  <si>
    <t>Securitisation Liabilities</t>
  </si>
  <si>
    <t>Disbursals</t>
  </si>
  <si>
    <t>ECL Summary</t>
  </si>
  <si>
    <t>Period</t>
  </si>
  <si>
    <t>Gross Stage 1 Assets (INR Million)</t>
  </si>
  <si>
    <t>Stage 1 ECL Provision (INR Million)</t>
  </si>
  <si>
    <t>Gross Stage 2 Assets (INR Million)</t>
  </si>
  <si>
    <t>Stage 2 ECL Provision (INR Million)</t>
  </si>
  <si>
    <t>Gross Stage 1 &amp; 2 Assets (INR Million)</t>
  </si>
  <si>
    <t>Stage 1 &amp; 2 ECL Provision (INR Million)</t>
  </si>
  <si>
    <t>Gross Stage 3 Assets (INR Million)</t>
  </si>
  <si>
    <t>Stage 3 ECL Provision (INR Million)</t>
  </si>
  <si>
    <t>Stage 1 Assets (%)</t>
  </si>
  <si>
    <t>Stage 2 Assets (%)</t>
  </si>
  <si>
    <t>Stage 1 &amp; 2 Assets (%)</t>
  </si>
  <si>
    <t>Stage 3 Assets (%)</t>
  </si>
  <si>
    <t>Stage 1 ECL Provision Coverage (%)</t>
  </si>
  <si>
    <t>Stage 2 ECL Provision Coverage (%)</t>
  </si>
  <si>
    <t>Stage 1 &amp; 2 ECL Provision Coverage (%)</t>
  </si>
  <si>
    <t>Stage 3 ECL Provision Coverage (%)</t>
  </si>
  <si>
    <t>Gross Assets (INR Million)</t>
  </si>
  <si>
    <t>Total Provision (INR Million)</t>
  </si>
  <si>
    <t>Net Assets (INR Million)</t>
  </si>
  <si>
    <t>ECL (%)</t>
  </si>
  <si>
    <t>ECL Movement</t>
  </si>
  <si>
    <t>Particular</t>
  </si>
  <si>
    <t>Gross Carrying Amount</t>
  </si>
  <si>
    <t>Stage 1</t>
  </si>
  <si>
    <t>Stage 2</t>
  </si>
  <si>
    <t>Stage 3</t>
  </si>
  <si>
    <t>New Financial assets originated or purchased (including further disbursements in existing assets)</t>
  </si>
  <si>
    <t>Assets repaid in part or full (excluding write offs)</t>
  </si>
  <si>
    <t>Assets Derecognised (Loans Assigned)</t>
  </si>
  <si>
    <t>Transfer to Stage 1</t>
  </si>
  <si>
    <t>Transfer to Stage 2</t>
  </si>
  <si>
    <t>Transfer to Stage 3</t>
  </si>
  <si>
    <t>Assets written off</t>
  </si>
  <si>
    <t>Impact on account of exposures transferred during the year between stages</t>
  </si>
  <si>
    <t>Impact of changes on items within the same stage</t>
  </si>
  <si>
    <t>Change in Model risk parameters</t>
  </si>
  <si>
    <t>Foreign exchange and other movements</t>
  </si>
  <si>
    <t>Changes to contractual cash flows due to modifications not resulting in derecognition</t>
  </si>
  <si>
    <t>Opening Balance</t>
  </si>
  <si>
    <t>Closing Balance</t>
  </si>
  <si>
    <t>Expected Credit Loss (ECL)</t>
  </si>
  <si>
    <t>NPA Movement (INR Million)</t>
  </si>
  <si>
    <t>Opening balance</t>
  </si>
  <si>
    <t>Additions during the year</t>
  </si>
  <si>
    <t>Reductions during the year</t>
  </si>
  <si>
    <t>Closing balance</t>
  </si>
  <si>
    <t>Details of Financial Assets Sold to Securitisation / Reconstruction Companies for Asset Reconstruction</t>
  </si>
  <si>
    <t>Number of Accounts</t>
  </si>
  <si>
    <t>Aggregate Value of accounts sold to SC / RC (INR Million)</t>
  </si>
  <si>
    <t>Gain / (Loss) over net book value (INR Million)</t>
  </si>
  <si>
    <t>Asset Quality - Regulatory Disclosures (INR Million)</t>
  </si>
  <si>
    <t>Details of Assignment Transactions undertaken</t>
  </si>
  <si>
    <t>Details of Non Performing Assets sold</t>
  </si>
  <si>
    <t>Movement of Gross Non Performing Assets</t>
  </si>
  <si>
    <t>Movement of Net Non Performing Assets</t>
  </si>
  <si>
    <t>Movement of provision for Non Performing Assets (Excluding provisions on standard assets)</t>
  </si>
  <si>
    <t>Restructured Accounts - Regulatory Disclosures (INR Million)</t>
  </si>
  <si>
    <t>Standard Advances</t>
  </si>
  <si>
    <t>Fresh Restructuring during the year</t>
  </si>
  <si>
    <t>No of borrowers</t>
  </si>
  <si>
    <t>Amount outstanding</t>
  </si>
  <si>
    <t>Provision thereon</t>
  </si>
  <si>
    <t>Write-off of Restructured accounts</t>
  </si>
  <si>
    <t>Substandard / Doubtful / Loss Advances</t>
  </si>
  <si>
    <t>Equity Infusion - Share Capital (INR Million)</t>
  </si>
  <si>
    <t>Equity Infusion - Share Premium (INR Million)</t>
  </si>
  <si>
    <t>Instances of Fraud - No of instances</t>
  </si>
  <si>
    <t>Instances of Fraud - Amount (INR Million)</t>
  </si>
  <si>
    <t>Number of Employees</t>
  </si>
  <si>
    <t>Number of Branches</t>
  </si>
  <si>
    <t>Customer Complaints</t>
  </si>
  <si>
    <t>No of complaints pending at the start of the year</t>
  </si>
  <si>
    <t>No of complaints received during the year</t>
  </si>
  <si>
    <t>No of complaints resolved during the year</t>
  </si>
  <si>
    <t>No of complaints pending at the end of the year</t>
  </si>
  <si>
    <t>Number of Loan Officers</t>
  </si>
  <si>
    <t>Gross Advances (INR Million)</t>
  </si>
  <si>
    <t>Loan Disbursements (INR Million)</t>
  </si>
  <si>
    <t xml:space="preserve"> - of which, Macro Prudential Provision</t>
  </si>
  <si>
    <t>Securitisation</t>
  </si>
  <si>
    <t>Name of Auditor</t>
  </si>
  <si>
    <t>Change in Auditor (Y/N)</t>
  </si>
  <si>
    <t>Non - Operating Income</t>
  </si>
  <si>
    <t>Total Non - Operating Income</t>
  </si>
  <si>
    <t>Internal Rating (Model Scale)</t>
  </si>
  <si>
    <t>Internal Rating (Master Scale)</t>
  </si>
  <si>
    <t>External Rating Agency</t>
  </si>
  <si>
    <t>Crisil</t>
  </si>
  <si>
    <t>India Ratings</t>
  </si>
  <si>
    <t>ICRA</t>
  </si>
  <si>
    <t>CARE</t>
  </si>
  <si>
    <t>Brickworks</t>
  </si>
  <si>
    <t>LT Rating</t>
  </si>
  <si>
    <t>AA+</t>
  </si>
  <si>
    <t>ST Rating</t>
  </si>
  <si>
    <t>Outlook</t>
  </si>
  <si>
    <t>Stable</t>
  </si>
  <si>
    <t>Rating Date</t>
  </si>
  <si>
    <t>Action</t>
  </si>
  <si>
    <t>YTD</t>
  </si>
  <si>
    <t>Interest Earned</t>
  </si>
  <si>
    <t>Interest Expended</t>
  </si>
  <si>
    <t>Net Interest Income</t>
  </si>
  <si>
    <t>Personnel Expenses</t>
  </si>
  <si>
    <t>Pre Provisioning Operating Profit</t>
  </si>
  <si>
    <t>Provisions and Writeoff</t>
  </si>
  <si>
    <t>Provisions for Loans</t>
  </si>
  <si>
    <t>Provisions for Investments</t>
  </si>
  <si>
    <t>Other Provisions</t>
  </si>
  <si>
    <t>Profit before Exceptional and Extraordinary Items and Tax</t>
  </si>
  <si>
    <t>Exceptional and Extraordinary Items</t>
  </si>
  <si>
    <t>Profit before Tax</t>
  </si>
  <si>
    <t>Tax Expense</t>
  </si>
  <si>
    <t>Profit after Tax</t>
  </si>
  <si>
    <t>Balance Sheet</t>
  </si>
  <si>
    <t>Share Capital</t>
  </si>
  <si>
    <t>Other Reserves and Surplus</t>
  </si>
  <si>
    <t>Shareholders Funds</t>
  </si>
  <si>
    <t>Long Term Borrowing</t>
  </si>
  <si>
    <t>Short Term Borrowing</t>
  </si>
  <si>
    <t>Other Non Interest Bearing Liabilities</t>
  </si>
  <si>
    <t>Provisions</t>
  </si>
  <si>
    <t>Loans and Advances</t>
  </si>
  <si>
    <t>Cash and Bank Balances</t>
  </si>
  <si>
    <t>Other Assets</t>
  </si>
  <si>
    <t>Check</t>
  </si>
  <si>
    <t>Interest Bearing Liabilities</t>
  </si>
  <si>
    <t>Interest Earning Assets</t>
  </si>
  <si>
    <t>ROA Tree</t>
  </si>
  <si>
    <t>Yield on Average Assets (Total Interest Income + Other Operating Income/Interest Bearing Assets)</t>
  </si>
  <si>
    <t>Cost of Debt (Interest Expense / Avg Int bearing Liab)</t>
  </si>
  <si>
    <t>Gross Spread</t>
  </si>
  <si>
    <t>Net Interest Margin (%) (Net interest income to average assets)</t>
  </si>
  <si>
    <t>Net Interest Margin (%) (Net interest income + other operating income to average assets)</t>
  </si>
  <si>
    <t>Operating Expenses/Average Assets (%) (Emp Exp + Op Exp/Avg Assets)</t>
  </si>
  <si>
    <t>PPOP/Average Assets (%)</t>
  </si>
  <si>
    <t>CC/Average Assets (%) (CC- Provisions for loans + other provisions)</t>
  </si>
  <si>
    <t>PPOP - CC/Average Assets (%) (CC- Provisions for loans + other provisions)</t>
  </si>
  <si>
    <t>Return on Average Assets (%)</t>
  </si>
  <si>
    <t>ROA Tree - Growth</t>
  </si>
  <si>
    <t>Size</t>
  </si>
  <si>
    <t>Net Worth (INR Million)</t>
  </si>
  <si>
    <t>Adjusted TNW (INR Million)</t>
  </si>
  <si>
    <t>Total Assets (INR Million)</t>
  </si>
  <si>
    <t>Total Debt (INR Million)</t>
  </si>
  <si>
    <t>Profitability</t>
  </si>
  <si>
    <t>Cost to Income (%) (Emp Exp + Opex to NII + Other Op Income + Other Income)</t>
  </si>
  <si>
    <t>Return on Average Equity (%)</t>
  </si>
  <si>
    <t>Other Operating Income/Average Assets (%)</t>
  </si>
  <si>
    <t>Asset Quality</t>
  </si>
  <si>
    <t>GNPA %</t>
  </si>
  <si>
    <t>PPOP/CC (x)</t>
  </si>
  <si>
    <t>PPOP / Net NPA (x)</t>
  </si>
  <si>
    <t>Equity / Net NPA (x)</t>
  </si>
  <si>
    <t>NNPA %</t>
  </si>
  <si>
    <t>Leverage &amp; Capitalization</t>
  </si>
  <si>
    <t>Cash + Marketable Securities / Loans and Advances</t>
  </si>
  <si>
    <t>Liability Mix</t>
  </si>
  <si>
    <t>Liability Mix (%)</t>
  </si>
  <si>
    <t>Growth</t>
  </si>
  <si>
    <t>GNPA Trend (Change in absolute GNPA - Last 1/2 year) (%)</t>
  </si>
  <si>
    <t>Liquidity</t>
  </si>
  <si>
    <t>(Pls exclude CASH, Investments and all committed bank lines or unutilized bank lines as inflows when computing inflows across any bucket</t>
  </si>
  <si>
    <t>Assumptions</t>
  </si>
  <si>
    <t>Date</t>
  </si>
  <si>
    <t>Collection Efficiency - Actual Case</t>
  </si>
  <si>
    <t>Core Liquidity</t>
  </si>
  <si>
    <t>Base Case</t>
  </si>
  <si>
    <t>Stressed Case</t>
  </si>
  <si>
    <t>Collection Efficiency - Base Case</t>
  </si>
  <si>
    <t>Total outflows - Debt repayment in 0 - 3 months</t>
  </si>
  <si>
    <t>Collection Efficiency - Stressed Case</t>
  </si>
  <si>
    <t>Total outflows - Debt repayment in 3 - 6 months</t>
  </si>
  <si>
    <t>Borrowings - Actual Case</t>
  </si>
  <si>
    <t>Total outflows - Debt repayment in 6 - 12 months</t>
  </si>
  <si>
    <t>Borrowings - Base Case</t>
  </si>
  <si>
    <t>Total outflows - Opex in 0 - 3 months</t>
  </si>
  <si>
    <t>Borrowings - Stressed Case</t>
  </si>
  <si>
    <t>Total outflows - Opex in 3 - 6 months</t>
  </si>
  <si>
    <t>Disbursals - Actual Case</t>
  </si>
  <si>
    <t>Total outflows - Opex in 6 - 12 months</t>
  </si>
  <si>
    <t>Disbursals - Base Case</t>
  </si>
  <si>
    <t>Total outflows - Disbursals in 0 - 3 months</t>
  </si>
  <si>
    <t>Disbursals - Stressed Case</t>
  </si>
  <si>
    <t>Total outflows - Disbursals in 3 - 6 months</t>
  </si>
  <si>
    <t>Committed Lines - Actual Case</t>
  </si>
  <si>
    <t>Total outflows - Disbursals in 6 - 12 months</t>
  </si>
  <si>
    <t>Committed Lines - Base Case</t>
  </si>
  <si>
    <t>Total inflows - Loans and advances in 0 - 3 months</t>
  </si>
  <si>
    <t>Committed Lines - Stressed Case</t>
  </si>
  <si>
    <t>Total inflows - Loans and advances in 3 - 6 months</t>
  </si>
  <si>
    <t>Unutilized Lines - Actual Case</t>
  </si>
  <si>
    <t>Total inflows - Loans and advances in 6 - 12 months</t>
  </si>
  <si>
    <t>Unutilized Lines - Base Case</t>
  </si>
  <si>
    <t>Total inflows - Borrowings in 0 - 3 months</t>
  </si>
  <si>
    <t>Unutilized Lines - Stressed Case</t>
  </si>
  <si>
    <t>Total inflows - Borrowings in 3 - 6 months</t>
  </si>
  <si>
    <t>Total inflows - Borrowings in 6 - 12 months</t>
  </si>
  <si>
    <t>Cash and Bank Balance</t>
  </si>
  <si>
    <t>Liquid Investments</t>
  </si>
  <si>
    <t>Others (Liquid)</t>
  </si>
  <si>
    <t>Committed Lines</t>
  </si>
  <si>
    <t>Unutilized Lines</t>
  </si>
  <si>
    <t>0 - 3 months gap (INR Million)</t>
  </si>
  <si>
    <t>3 - 6 months gap (INR Million)</t>
  </si>
  <si>
    <t>6 - 12 months gap (INR Million)</t>
  </si>
  <si>
    <t>3 months gap (%)</t>
  </si>
  <si>
    <t>6 months gap (%)</t>
  </si>
  <si>
    <t>12 months gap (%)</t>
  </si>
  <si>
    <t>3 months cumulative gap (INR Million)</t>
  </si>
  <si>
    <t>6 months cumulative gap (INR Million)</t>
  </si>
  <si>
    <t>12 months cumulative gap (INR Million)</t>
  </si>
  <si>
    <t>3 months cumulative outflow (INR Million)</t>
  </si>
  <si>
    <t>6 months cumulative outflow (INR Million)</t>
  </si>
  <si>
    <t>12 months cumulative outflow (INR Million)</t>
  </si>
  <si>
    <t>3 months cumulative gap (%) (Cumulative gap as a % of cumulative outflows)</t>
  </si>
  <si>
    <t>6 months cumulative (%)</t>
  </si>
  <si>
    <t>12 months cumulative (%)</t>
  </si>
  <si>
    <t>On Book Liquidity Cover - Months (Inflows - Opening Cash + Investments ; Outflows - Debt repayment)</t>
  </si>
  <si>
    <t>On Book Liquidity Cover - Months (Inflows - Cash + bank lines ; Outflows - Debt repayment)</t>
  </si>
  <si>
    <t>Liquidity Cover - Months (Inflows - Cash + bank lines + loan inflows + additional borrowrings ; Outflows - Debt repayment)</t>
  </si>
  <si>
    <t>Liquidity Cover - Months (Inflows - Cash + bank lines + loan inflows + additional borrowrings ; Outflows - Debt repayment + Opex)</t>
  </si>
  <si>
    <t>Liquidity Cover - Months (Inflows - Cash + bank lines + loan inflows + additional borrowrings ; Outflows - Debt repayment + Opex + Disbursals)</t>
  </si>
  <si>
    <t>AUM Mix (INR Million)</t>
  </si>
  <si>
    <t>Type - Loan Book / AUM</t>
  </si>
  <si>
    <t>Loan Book</t>
  </si>
  <si>
    <t>SME Lending</t>
  </si>
  <si>
    <t>Personal Loans</t>
  </si>
  <si>
    <t>Consumer Durables</t>
  </si>
  <si>
    <t>Corporate Lending</t>
  </si>
  <si>
    <t>HNI</t>
  </si>
  <si>
    <t>CE</t>
  </si>
  <si>
    <t>Tractors</t>
  </si>
  <si>
    <t>Auto: 4W</t>
  </si>
  <si>
    <t>Auto: Dealer Financing</t>
  </si>
  <si>
    <t>Housing</t>
  </si>
  <si>
    <t>Affordable Housing</t>
  </si>
  <si>
    <t>Gold Loans</t>
  </si>
  <si>
    <t>Loan Against Securities</t>
  </si>
  <si>
    <t>Loan Against Properties - Wholesale</t>
  </si>
  <si>
    <t>Loan Against Properties - Retail</t>
  </si>
  <si>
    <t>Real Estate</t>
  </si>
  <si>
    <t>Lease Rental Discounting</t>
  </si>
  <si>
    <t>Infrastructure</t>
  </si>
  <si>
    <t>Loans to NBFCS</t>
  </si>
  <si>
    <t>Loans to MFIs</t>
  </si>
  <si>
    <t>Home Construction</t>
  </si>
  <si>
    <t>Construction Finance</t>
  </si>
  <si>
    <t>Supply Chain</t>
  </si>
  <si>
    <t>* Pls specify if it corresponds to Loan Book or AUM. Prefer AUM</t>
  </si>
  <si>
    <t>AUM Mix (%)</t>
  </si>
  <si>
    <t>Portfolio Cuts - Latest Year</t>
  </si>
  <si>
    <t>1-30 days</t>
  </si>
  <si>
    <t>31 - 60 days</t>
  </si>
  <si>
    <t>61 - 90 days</t>
  </si>
  <si>
    <t>90+ days</t>
  </si>
  <si>
    <t>* Pls specify by count or value</t>
  </si>
  <si>
    <t>Portfolio Cuts - Latest Year (%)</t>
  </si>
  <si>
    <t>Movement of NPAs (Gross)</t>
  </si>
  <si>
    <t>Movement of Net NPAs</t>
  </si>
  <si>
    <t>Movement of provision for NPAs (Excluding provisions on standard assets)</t>
  </si>
  <si>
    <t>Disbursements (INR Million)</t>
  </si>
  <si>
    <t>Disbursements (%)</t>
  </si>
  <si>
    <t>New Model Ratios</t>
  </si>
  <si>
    <t>TOL / Adj TNW (Total Debt + Total Curr Liab / TNW - Invsmt in Subs)</t>
  </si>
  <si>
    <t>Commercial Paper / Total Debt (%)</t>
  </si>
  <si>
    <t>Lagged GNPA %</t>
  </si>
  <si>
    <t>YTD Format</t>
  </si>
  <si>
    <t>CAM Projected Loans and Advances</t>
  </si>
  <si>
    <t>3MFY21</t>
  </si>
  <si>
    <t>CAM Projected Borrowings</t>
  </si>
  <si>
    <t>6MFY21</t>
  </si>
  <si>
    <t>Loans and Advances Growth - Base Case</t>
  </si>
  <si>
    <t>9MFY21</t>
  </si>
  <si>
    <t>Loans and Advances Growth - Stressed Case</t>
  </si>
  <si>
    <t>12MFY22</t>
  </si>
  <si>
    <t>Borrowings Growth - Base Case</t>
  </si>
  <si>
    <t>Borrowings Growth - Stressed Case</t>
  </si>
  <si>
    <t>Yield - Base Case</t>
  </si>
  <si>
    <t>(Compared to previous year)</t>
  </si>
  <si>
    <t>Yield - Stressed Case</t>
  </si>
  <si>
    <t>Borrowrings Cost - Base Case</t>
  </si>
  <si>
    <t>Borrowrings Cost - Stressed Case</t>
  </si>
  <si>
    <t>Other Income - Base Case</t>
  </si>
  <si>
    <t>Last 3 year average</t>
  </si>
  <si>
    <t>Other Income - Stressed Case</t>
  </si>
  <si>
    <t>Opex</t>
  </si>
  <si>
    <t>Same as previous year</t>
  </si>
  <si>
    <t>Credit Cost Increase - Base Case</t>
  </si>
  <si>
    <t>(Increase over previous year)</t>
  </si>
  <si>
    <t>Credit Cost Increase - Stressed Case</t>
  </si>
  <si>
    <t>GNPA (Stage 2 / Stage 3) Increase - Base Case</t>
  </si>
  <si>
    <t>Increase over previous year abosolute GNPA movement</t>
  </si>
  <si>
    <t>GNPA (Stage 2 / Stage 3) Increase - Stressed Case</t>
  </si>
  <si>
    <t>Stage 2 Increase - Base Case</t>
  </si>
  <si>
    <t>CAM Projections</t>
  </si>
  <si>
    <t>Estimates</t>
  </si>
  <si>
    <t>Stage 2 Increase - Stressed Case</t>
  </si>
  <si>
    <t>Projected Stage 3 - Base Case</t>
  </si>
  <si>
    <t>Projected Stage 3 - Stressed Case</t>
  </si>
  <si>
    <t>Projected Stage 2 - Base Case</t>
  </si>
  <si>
    <t>Projected Stage 2 - Stressed Case</t>
  </si>
  <si>
    <t>Provision Coverage - Stage 3</t>
  </si>
  <si>
    <t>(Make assumption if not available)</t>
  </si>
  <si>
    <t>Provision Coverage - Stage 2</t>
  </si>
  <si>
    <t>Equity Infusion - Base Case</t>
  </si>
  <si>
    <t>(Absolute, INR Million)</t>
  </si>
  <si>
    <t>Equity Infusion - Stressed Case</t>
  </si>
  <si>
    <t>Non Operating Expenses</t>
  </si>
  <si>
    <t xml:space="preserve"> - Long Term</t>
  </si>
  <si>
    <t xml:space="preserve"> - Short Term</t>
  </si>
  <si>
    <t>Peer Comparison</t>
  </si>
  <si>
    <t>Segment</t>
  </si>
  <si>
    <t>External Rating</t>
  </si>
  <si>
    <t>Total Advances</t>
  </si>
  <si>
    <t>NIM %</t>
  </si>
  <si>
    <t>NIM % (incl Other Operating Income)</t>
  </si>
  <si>
    <t>Credit Cost</t>
  </si>
  <si>
    <t>Credit Cost %</t>
  </si>
  <si>
    <t>PAT</t>
  </si>
  <si>
    <t>ROA %</t>
  </si>
  <si>
    <t>Cost to Income (%)</t>
  </si>
  <si>
    <t>Lagged Credit Cost %</t>
  </si>
  <si>
    <t>GNPA (%)</t>
  </si>
  <si>
    <t>NNPA (%)</t>
  </si>
  <si>
    <t>TOL / Adj TNW excluding Pref Share Capital and Comp Conv Deb</t>
  </si>
  <si>
    <t>TOL inluding Pref Share Capital and Comp Conv Deb / Adj TNW excluding Pref Share Capital and Comp Conv Deb</t>
  </si>
  <si>
    <t>Reported</t>
  </si>
  <si>
    <t>Latest</t>
  </si>
  <si>
    <t>New Assets / Opening Book (%)</t>
  </si>
  <si>
    <t>New Assets / Closing Book (%)</t>
  </si>
  <si>
    <t>Stage 2 New Assets / Total Stage 2 Assets (%)</t>
  </si>
  <si>
    <t>Stage 3 New Assets / Total Stage 3 Assets (%)</t>
  </si>
  <si>
    <t>Stage 2 New Assets / Total New Assets (%)</t>
  </si>
  <si>
    <t>Stage 3 New Assets / Total New Assets (%)</t>
  </si>
  <si>
    <t>Stage 2 + Stage 3 New Assets / Total New Assets (%)</t>
  </si>
  <si>
    <t>Addition to Stage 2 / Previous year Stage 2 (%)</t>
  </si>
  <si>
    <t>Addition to Stage 3 / Previous year Stage 3 (%)</t>
  </si>
  <si>
    <t>Addition to Stage 2 and 3 / Previous Year Total Book (%)</t>
  </si>
  <si>
    <t>Assets written off / Previous year Total Book (%)</t>
  </si>
  <si>
    <t>Resolution of previous year Stage 2 / Stage 3 to Stage 1 in Current Year (%)</t>
  </si>
  <si>
    <t>Additions during the year / Opening Book(%)</t>
  </si>
  <si>
    <t>Reductions during the year / Opening Book(%)</t>
  </si>
  <si>
    <t>Assets Sold to ARCs / Opening Loan Book (%)</t>
  </si>
  <si>
    <t>Direct Assignments / Opening Loan Book (%)</t>
  </si>
  <si>
    <t>NPAs Sold / Opening Loan Book (%)</t>
  </si>
  <si>
    <t>Fresh Restructuring during the year / Opening Loan Book (%)</t>
  </si>
  <si>
    <t>Write-off of Restructured accounts / Opening Loan Book (%)</t>
  </si>
  <si>
    <t>Aggregate / Opening Loan Book (%)</t>
  </si>
  <si>
    <t>Preference Share Capital</t>
  </si>
  <si>
    <t>Commercial Papers</t>
  </si>
  <si>
    <t>Securitization</t>
  </si>
  <si>
    <t>Total On Book</t>
  </si>
  <si>
    <t>Off Balance Sheet</t>
  </si>
  <si>
    <t>Aggregate Value of accounts sold (INR Million)</t>
  </si>
  <si>
    <t>Aggregate Value of accounts transferred / sold (INR Million)</t>
  </si>
  <si>
    <t>Assignement Transactions - Accounts transferred / sold (INR Million)</t>
  </si>
  <si>
    <t>Total Loans &amp; Advances to twenty largest borrowers to Tangible Networth (%)</t>
  </si>
  <si>
    <t>Total Loans &amp; Advances to twenty largest borrowers (%)</t>
  </si>
  <si>
    <t>Total Deposits of twenty largest depositors (%)</t>
  </si>
  <si>
    <t>Top 10 Borrowings (INR Million)</t>
  </si>
  <si>
    <t>Top 10 Borrowings (%)</t>
  </si>
  <si>
    <t>Letters of Credit / Guarantees (outflow through devolvement)</t>
  </si>
  <si>
    <t>Loan Commitments pending disbursal (outflow)</t>
  </si>
  <si>
    <t>Lines of Credit committed to other institutions (outflow)</t>
  </si>
  <si>
    <t>Lines of Credit committed by other institutions (inflow)</t>
  </si>
  <si>
    <t>Contingent Liabilities</t>
  </si>
  <si>
    <t>Total High Quality Liquid Assets (HQLA) (INR Million)</t>
  </si>
  <si>
    <t>Liquidity Coverage Ratio (LCR) (%)</t>
  </si>
  <si>
    <t>Liquidity Disclosure</t>
  </si>
  <si>
    <t>Internal Capital Generation (%) (PAT + Depri - Dividend/Average Equity)</t>
  </si>
  <si>
    <t>Credit Loss (%) (Total write-offs &amp; provisions/Net Interest Income)</t>
  </si>
  <si>
    <t>LT Debt / Total Debt (%)</t>
  </si>
  <si>
    <t>ST Debt / Total Debt (%)</t>
  </si>
  <si>
    <t>ST Debt + CPLTD (%) (ST Debt + CPLTD / Total Debt)</t>
  </si>
  <si>
    <t>Cash / Total Loans and Advances (%)</t>
  </si>
  <si>
    <t>Loans and Advances Growth (%)</t>
  </si>
  <si>
    <t>Secured (%)</t>
  </si>
  <si>
    <t>Unsecured (%)</t>
  </si>
  <si>
    <t>Long Term Loans to Total Loans (%)</t>
  </si>
  <si>
    <t>Short Term Loans to Total Loans (%)</t>
  </si>
  <si>
    <t>HQLA / Total Advances (%)</t>
  </si>
  <si>
    <t>HQLA / Total Borrowings (%)</t>
  </si>
  <si>
    <t>HQLA / ST Borrowings (%)</t>
  </si>
  <si>
    <t>Contingent Liabilities / Total Assets (%)</t>
  </si>
  <si>
    <t>Loan Commitments pending disbursal (outflow) / Total Advances (%)</t>
  </si>
  <si>
    <t>3 months cumulative gap (%) (Cumulative gap as a (%) of cumulative outflows)</t>
  </si>
  <si>
    <t xml:space="preserve"> - of which, Macro Prudential Provision (%)</t>
  </si>
  <si>
    <t>Lagged GNPA (%)</t>
  </si>
  <si>
    <t>Total Advances (INR Million)</t>
  </si>
  <si>
    <t>Total Net Cash Outflows over next 30 days (Weighted) (INR Million)</t>
  </si>
  <si>
    <t>Operational Metrics</t>
  </si>
  <si>
    <t>Fraud Instances / Profit after Tax (%)</t>
  </si>
  <si>
    <t>Loans and Advances / No of Borrowers (x)</t>
  </si>
  <si>
    <t>Loans and Advances / No of Branches (INR Million)</t>
  </si>
  <si>
    <t>Loans and Advances / No of Loan Officers (INR Million)</t>
  </si>
  <si>
    <t>No of Borrowers / No of Branches (Number)</t>
  </si>
  <si>
    <t>No of Borrowers / No of Loan Officers (Number)</t>
  </si>
  <si>
    <t>Cumulative Total Inflows (INR Million)</t>
  </si>
  <si>
    <t>Cumulative Total Outflows (INR Million)</t>
  </si>
  <si>
    <t>Cumulative gap as a (%) of cumulative outflows</t>
  </si>
  <si>
    <t>Cumulative Gap (INR Million)</t>
  </si>
  <si>
    <t>Overall Liquidity</t>
  </si>
  <si>
    <t>Complaints per Borrower - No of Complaints / No of Borrowers (x)</t>
  </si>
  <si>
    <t>Loans and Advances / No of Complaints (INR Million)</t>
  </si>
  <si>
    <t>Yield on Average Loans and Advances (Total Interest Income / Avg Loans and Advances) (%)</t>
  </si>
  <si>
    <t>Cost of Debt (Interest Expense / Avg Total Debt)</t>
  </si>
  <si>
    <t>Cost to Income (%) (Emp Exp + Opex to NII)</t>
  </si>
  <si>
    <t>Slippages (GNPA Addition / Closing Loan Book) (%)</t>
  </si>
  <si>
    <t>Slippages (GNPA Addition / Opening Loan Book) (%)</t>
  </si>
  <si>
    <t>Lagged Slippages (GNPA Addition / Previous Year Opening Loan Book) (%)</t>
  </si>
  <si>
    <t>Lagged Credit Cost (Credit Costs / Opening Loan Book) (%)</t>
  </si>
  <si>
    <t>Total Exposure to top Four NPA accounts (INR Million)</t>
  </si>
  <si>
    <t>Provision Coverage Ratio (Reported) (%)</t>
  </si>
  <si>
    <t>Provision Coverage Ratio ((GNPA - NNPA)/GNPA) (%)</t>
  </si>
  <si>
    <t>Asset Liability Management - Financial Assets and Liabilities</t>
  </si>
  <si>
    <t>Borrowings from banks and FIs</t>
  </si>
  <si>
    <t>Lease Liabilities</t>
  </si>
  <si>
    <t>Trade Receivables</t>
  </si>
  <si>
    <t>Other Non-Operating Income</t>
  </si>
  <si>
    <t>Total Restructured Accounts as at year end</t>
  </si>
  <si>
    <t>Income Tax / Advance Tax / TDS Paid</t>
  </si>
  <si>
    <t>RWA to Loans and Advances (%)</t>
  </si>
  <si>
    <t>Risk Weighted Assets (RWA) (Computed)</t>
  </si>
  <si>
    <t>Total Borrowers</t>
  </si>
  <si>
    <t>Provision Coverage Ratio (In Percentage) (Reported)</t>
  </si>
  <si>
    <t>Gain on re-possessed assets</t>
  </si>
  <si>
    <t>Loan Book Seasoning (x)</t>
  </si>
  <si>
    <t>Current</t>
  </si>
  <si>
    <t>Auto: 2W</t>
  </si>
  <si>
    <t>Auto: Other auto</t>
  </si>
  <si>
    <t>CV - New</t>
  </si>
  <si>
    <t>CV - Used</t>
  </si>
  <si>
    <t>Micro Finance</t>
  </si>
  <si>
    <t>Credit Society and Co-operatives</t>
  </si>
  <si>
    <t>Key Ratios</t>
  </si>
  <si>
    <t>Total Assets under Management (INR Million)</t>
  </si>
  <si>
    <t>Capital Adequacy Ratio (%)</t>
  </si>
  <si>
    <t>Loan Book Seasoning</t>
  </si>
  <si>
    <t>Fee Income / Total Operating Income (%)  (Processing and Fee Income + Commission Income + Distribution Income + Servicing and Collection Fee on Securitizations / Direct Assignment  to Total Operating Income (Net Interest Income + Other Operating Income))</t>
  </si>
  <si>
    <t>Fee Income / Total Income (%)  (Processing and Fee Income + Commission Income + Distribution Income + Servicing and Collection Fee on Securitizations / Direct Assignment  to Total Income (Interest Income + Other Operating Income))</t>
  </si>
  <si>
    <t>Guarantees issued by Company / Tangible Networth</t>
  </si>
  <si>
    <t>Credit Cost / Average Assets Growth</t>
  </si>
  <si>
    <t>NIM % - Growth</t>
  </si>
  <si>
    <t>Type of Field</t>
  </si>
  <si>
    <t>Data Type</t>
  </si>
  <si>
    <t>Input</t>
  </si>
  <si>
    <t>Derived</t>
  </si>
  <si>
    <t>Amount</t>
  </si>
  <si>
    <t>Numeric</t>
  </si>
  <si>
    <t>Percentage</t>
  </si>
  <si>
    <t>String</t>
  </si>
  <si>
    <t>Input / Derived</t>
  </si>
  <si>
    <t>Write-offs (%)</t>
  </si>
  <si>
    <t>Investments in Security Receipts / Loans and Advances (%)</t>
  </si>
  <si>
    <t>Restructured Assets (%)</t>
  </si>
  <si>
    <t xml:space="preserve"> - Standard</t>
  </si>
  <si>
    <t xml:space="preserve"> - Substandard</t>
  </si>
  <si>
    <t>Exposure to Real Estate</t>
  </si>
  <si>
    <t>Direct Exposure</t>
  </si>
  <si>
    <t>Residential Mortgages</t>
  </si>
  <si>
    <t>Commercial Real Estate</t>
  </si>
  <si>
    <t>Investments in Mortgage Backed Securities (MBS) and other securitized exposures</t>
  </si>
  <si>
    <t xml:space="preserve"> - Residential</t>
  </si>
  <si>
    <t xml:space="preserve"> - Commercial</t>
  </si>
  <si>
    <t>Indirect Exposure</t>
  </si>
  <si>
    <t>Fund based and non fund based exposures on NHB and Housing Finance Companies (HFCs)</t>
  </si>
  <si>
    <t>Total Exposure to Real Estate Sector</t>
  </si>
  <si>
    <t>Real Estate Exposure</t>
  </si>
  <si>
    <t>Direct Exposure / Total Loans and Advances (%)</t>
  </si>
  <si>
    <t>Residential Mortgages / Total Loans and Advances (%)</t>
  </si>
  <si>
    <t>Commercial Real Estate / Total Loans and Advances (%)</t>
  </si>
  <si>
    <t>Investments in Mortgage Backed Securities (MBS) and other securitized exposures / Total Loans and Advances (%)</t>
  </si>
  <si>
    <t xml:space="preserve"> - Residential / Total Loans and Advances (%)</t>
  </si>
  <si>
    <t xml:space="preserve"> - Commercial / Total Loans and Advances (%)</t>
  </si>
  <si>
    <t>Indirect Exposure / Total Loans and Advances (%)</t>
  </si>
  <si>
    <t>Fund based and non fund based exposures on NHB and Housing Finance Companies (HFCs) / Total Loans and Advances (%)</t>
  </si>
  <si>
    <t>Total Exposure to Real Estate Sector / Total Loans and Advances (%)</t>
  </si>
  <si>
    <t>P&amp;L</t>
  </si>
  <si>
    <t>Other operating expenses incl depreciation</t>
  </si>
  <si>
    <t>Tangible Net worth</t>
  </si>
  <si>
    <t>Investment in subsidiaries</t>
  </si>
  <si>
    <t>Total Loan assets (gross)</t>
  </si>
  <si>
    <t>Total Outside Liabilities</t>
  </si>
  <si>
    <t>RoA Tree (as % of avg total assets)</t>
  </si>
  <si>
    <t>Other operating income/average assets (%)</t>
  </si>
  <si>
    <t>PBT/Average assets-Return on Average Assets before tax (%)</t>
  </si>
  <si>
    <t>Gross NPA</t>
  </si>
  <si>
    <t>Net NPA</t>
  </si>
  <si>
    <t>% of total loans</t>
  </si>
  <si>
    <t>% provision on stage 1</t>
  </si>
  <si>
    <t>% of total loans - (A)</t>
  </si>
  <si>
    <t>% provision on stage 2</t>
  </si>
  <si>
    <t>% of total loans - (B)</t>
  </si>
  <si>
    <t>% provision on stage 3</t>
  </si>
  <si>
    <t>Net Stage 3</t>
  </si>
  <si>
    <t>Net Stage 3 %</t>
  </si>
  <si>
    <t>Resrtructured loans% ( C)</t>
  </si>
  <si>
    <t>Write-offs</t>
  </si>
  <si>
    <t>Write offs as % of avg loans (D)</t>
  </si>
  <si>
    <t>% investment in security receipts €</t>
  </si>
  <si>
    <t>Stressed assets (A+B+C+D+E)</t>
  </si>
  <si>
    <t>Capitalisation</t>
  </si>
  <si>
    <t>Gearing (Total debt/net worth)</t>
  </si>
  <si>
    <t>Gearing (Total debt/Adj. net worth)</t>
  </si>
  <si>
    <t>Gearing (TOL/Adj. net worth)</t>
  </si>
  <si>
    <t>Resource Mix</t>
  </si>
  <si>
    <t>Term loans and WC lines from others</t>
  </si>
  <si>
    <t>NCD/Sub-debt. Perp debt</t>
  </si>
  <si>
    <t>Total (on-books)</t>
  </si>
  <si>
    <t>Depreciation and Amortization (Gross)</t>
  </si>
  <si>
    <t>Net write offs</t>
  </si>
  <si>
    <t>Provision for NPAs</t>
  </si>
  <si>
    <t>Tangible Net Worth</t>
  </si>
  <si>
    <t xml:space="preserve"> - Subsidiary/Associates</t>
  </si>
  <si>
    <t xml:space="preserve"> - Govt Securities</t>
  </si>
  <si>
    <t xml:space="preserve"> - Others</t>
  </si>
  <si>
    <t>Marketable Securities (excluding Fixed Deposits)</t>
  </si>
  <si>
    <t>Net Stage 3 Assets (INR Million)</t>
  </si>
  <si>
    <t>Net Stage 3 Assets (%)</t>
  </si>
  <si>
    <t>Data Requirements from Spreads</t>
  </si>
  <si>
    <t>Other Debt</t>
  </si>
  <si>
    <t>Data Requirements from Rating Journey</t>
  </si>
  <si>
    <t xml:space="preserve"> - Loan Portfolio (INR Million)</t>
  </si>
  <si>
    <t xml:space="preserve"> - O/s under PTC (INR Million)</t>
  </si>
  <si>
    <t xml:space="preserve"> - O/s under Assignment (INR Million)</t>
  </si>
  <si>
    <t xml:space="preserve"> - Loans under Investment Book (INR Million)</t>
  </si>
  <si>
    <t>Current Year</t>
  </si>
  <si>
    <t>Total Stressed Assets (%)</t>
  </si>
  <si>
    <t>Equity / (Net Stage 3 + Net Stage 2 + Net Restructured + Invstmnt in SRs)</t>
  </si>
  <si>
    <t>Cash + Deposits + Marketable Securities / Total Loans and Advances (%)</t>
  </si>
  <si>
    <t>Other Comprehensive Income / (Loss)</t>
  </si>
  <si>
    <t>Adjustment To Reserves</t>
  </si>
  <si>
    <t>Intangibles (enter as +ve)</t>
  </si>
  <si>
    <t>Gross Carrying Amount-Stage 1</t>
  </si>
  <si>
    <t>Gross Carrying Amount-Stage 2</t>
  </si>
  <si>
    <t>Gross Carrying Amount-Stage 3</t>
  </si>
  <si>
    <t>Expected Credit Loss (ECL)-Stage 1</t>
  </si>
  <si>
    <t>Expected Credit Loss (ECL)-Stage 2</t>
  </si>
  <si>
    <t>Expected Credit Loss (ECL)-Stage 3</t>
  </si>
  <si>
    <t>12M</t>
  </si>
  <si>
    <t>NBFCSpread_2021_v1.0</t>
  </si>
  <si>
    <t>NBFC Financial Template (New)</t>
  </si>
  <si>
    <t>Secured Loans (%)</t>
  </si>
  <si>
    <t>#D431</t>
  </si>
  <si>
    <t>#E431</t>
  </si>
  <si>
    <t>#F431</t>
  </si>
  <si>
    <t>#G431</t>
  </si>
  <si>
    <t>#H431</t>
  </si>
  <si>
    <t>#I431</t>
  </si>
  <si>
    <t>#J431</t>
  </si>
  <si>
    <t>#D432</t>
  </si>
  <si>
    <t>#E432</t>
  </si>
  <si>
    <t>#F432</t>
  </si>
  <si>
    <t>#G432</t>
  </si>
  <si>
    <t>#H432</t>
  </si>
  <si>
    <t>#I432</t>
  </si>
  <si>
    <t>#J432</t>
  </si>
  <si>
    <t>#D433</t>
  </si>
  <si>
    <t>#E433</t>
  </si>
  <si>
    <t>#F433</t>
  </si>
  <si>
    <t>#G433</t>
  </si>
  <si>
    <t>#H433</t>
  </si>
  <si>
    <t>#I433</t>
  </si>
  <si>
    <t>#J433</t>
  </si>
  <si>
    <t>#D434</t>
  </si>
  <si>
    <t>#E434</t>
  </si>
  <si>
    <t>#F434</t>
  </si>
  <si>
    <t>#G434</t>
  </si>
  <si>
    <t>#H434</t>
  </si>
  <si>
    <t>#I434</t>
  </si>
  <si>
    <t>#J434</t>
  </si>
  <si>
    <t>#D435</t>
  </si>
  <si>
    <t>#E435</t>
  </si>
  <si>
    <t>#F435</t>
  </si>
  <si>
    <t>#G435</t>
  </si>
  <si>
    <t>#H435</t>
  </si>
  <si>
    <t>#I435</t>
  </si>
  <si>
    <t>#J435</t>
  </si>
  <si>
    <t>#D436</t>
  </si>
  <si>
    <t>#E436</t>
  </si>
  <si>
    <t>#F436</t>
  </si>
  <si>
    <t>#G436</t>
  </si>
  <si>
    <t>#H436</t>
  </si>
  <si>
    <t>#I436</t>
  </si>
  <si>
    <t>#J436</t>
  </si>
  <si>
    <t>#D437</t>
  </si>
  <si>
    <t>#E437</t>
  </si>
  <si>
    <t>#F437</t>
  </si>
  <si>
    <t>#G437</t>
  </si>
  <si>
    <t>#H437</t>
  </si>
  <si>
    <t>#I437</t>
  </si>
  <si>
    <t>#J437</t>
  </si>
  <si>
    <t>#D438</t>
  </si>
  <si>
    <t>#E438</t>
  </si>
  <si>
    <t>#F438</t>
  </si>
  <si>
    <t>#G438</t>
  </si>
  <si>
    <t>#H438</t>
  </si>
  <si>
    <t>#I438</t>
  </si>
  <si>
    <t>#J438</t>
  </si>
  <si>
    <t>#D439</t>
  </si>
  <si>
    <t>#E439</t>
  </si>
  <si>
    <t>#F439</t>
  </si>
  <si>
    <t>#G439</t>
  </si>
  <si>
    <t>#H439</t>
  </si>
  <si>
    <t>#I439</t>
  </si>
  <si>
    <t>#J439</t>
  </si>
  <si>
    <t>#D440</t>
  </si>
  <si>
    <t>#E440</t>
  </si>
  <si>
    <t>#F440</t>
  </si>
  <si>
    <t>#G440</t>
  </si>
  <si>
    <t>#H440</t>
  </si>
  <si>
    <t>#I440</t>
  </si>
  <si>
    <t>#J440</t>
  </si>
  <si>
    <t>#D441</t>
  </si>
  <si>
    <t>#E441</t>
  </si>
  <si>
    <t>#F441</t>
  </si>
  <si>
    <t>#G441</t>
  </si>
  <si>
    <t>#H441</t>
  </si>
  <si>
    <t>#I441</t>
  </si>
  <si>
    <t>#J441</t>
  </si>
  <si>
    <t>#D442</t>
  </si>
  <si>
    <t>#E442</t>
  </si>
  <si>
    <t>#F442</t>
  </si>
  <si>
    <t>#G442</t>
  </si>
  <si>
    <t>#H442</t>
  </si>
  <si>
    <t>#I442</t>
  </si>
  <si>
    <t>#J442</t>
  </si>
  <si>
    <t>#D443</t>
  </si>
  <si>
    <t>#E443</t>
  </si>
  <si>
    <t>#F443</t>
  </si>
  <si>
    <t>#G443</t>
  </si>
  <si>
    <t>#H443</t>
  </si>
  <si>
    <t>#I443</t>
  </si>
  <si>
    <t>#J443</t>
  </si>
  <si>
    <t>#D444</t>
  </si>
  <si>
    <t>#E444</t>
  </si>
  <si>
    <t>#F444</t>
  </si>
  <si>
    <t>#G444</t>
  </si>
  <si>
    <t>#H444</t>
  </si>
  <si>
    <t>#I444</t>
  </si>
  <si>
    <t>#J444</t>
  </si>
  <si>
    <t>#D453</t>
  </si>
  <si>
    <t>#E453</t>
  </si>
  <si>
    <t>#F453</t>
  </si>
  <si>
    <t>#G453</t>
  </si>
  <si>
    <t>#H453</t>
  </si>
  <si>
    <t>#I453</t>
  </si>
  <si>
    <t>#J453</t>
  </si>
  <si>
    <t>#D454</t>
  </si>
  <si>
    <t>#E454</t>
  </si>
  <si>
    <t>#F454</t>
  </si>
  <si>
    <t>#G454</t>
  </si>
  <si>
    <t>#H454</t>
  </si>
  <si>
    <t>#I454</t>
  </si>
  <si>
    <t>#J454</t>
  </si>
  <si>
    <t>#D455</t>
  </si>
  <si>
    <t>#E455</t>
  </si>
  <si>
    <t>#F455</t>
  </si>
  <si>
    <t>#G455</t>
  </si>
  <si>
    <t>#H455</t>
  </si>
  <si>
    <t>#I455</t>
  </si>
  <si>
    <t>#J455</t>
  </si>
  <si>
    <t>#D456</t>
  </si>
  <si>
    <t>#E456</t>
  </si>
  <si>
    <t>#F456</t>
  </si>
  <si>
    <t>#G456</t>
  </si>
  <si>
    <t>#H456</t>
  </si>
  <si>
    <t>#I456</t>
  </si>
  <si>
    <t>#J456</t>
  </si>
  <si>
    <t>#D457</t>
  </si>
  <si>
    <t>#E457</t>
  </si>
  <si>
    <t>#F457</t>
  </si>
  <si>
    <t>#G457</t>
  </si>
  <si>
    <t>#H457</t>
  </si>
  <si>
    <t>#I457</t>
  </si>
  <si>
    <t>#J457</t>
  </si>
  <si>
    <t>#D458</t>
  </si>
  <si>
    <t>#E458</t>
  </si>
  <si>
    <t>#F458</t>
  </si>
  <si>
    <t>#G458</t>
  </si>
  <si>
    <t>#H458</t>
  </si>
  <si>
    <t>#I458</t>
  </si>
  <si>
    <t>#J458</t>
  </si>
  <si>
    <t>#D459</t>
  </si>
  <si>
    <t>#E459</t>
  </si>
  <si>
    <t>#F459</t>
  </si>
  <si>
    <t>#G459</t>
  </si>
  <si>
    <t>#H459</t>
  </si>
  <si>
    <t>#I459</t>
  </si>
  <si>
    <t>#J459</t>
  </si>
  <si>
    <t>#D460</t>
  </si>
  <si>
    <t>#E460</t>
  </si>
  <si>
    <t>#F460</t>
  </si>
  <si>
    <t>#G460</t>
  </si>
  <si>
    <t>#H460</t>
  </si>
  <si>
    <t>#I460</t>
  </si>
  <si>
    <t>#J460</t>
  </si>
  <si>
    <t>#D461</t>
  </si>
  <si>
    <t>#E461</t>
  </si>
  <si>
    <t>#F461</t>
  </si>
  <si>
    <t>#G461</t>
  </si>
  <si>
    <t>#H461</t>
  </si>
  <si>
    <t>#I461</t>
  </si>
  <si>
    <t>#J461</t>
  </si>
  <si>
    <t>#D462</t>
  </si>
  <si>
    <t>#E462</t>
  </si>
  <si>
    <t>#F462</t>
  </si>
  <si>
    <t>#G462</t>
  </si>
  <si>
    <t>#H462</t>
  </si>
  <si>
    <t>#I462</t>
  </si>
  <si>
    <t>#J462</t>
  </si>
  <si>
    <t>#D463</t>
  </si>
  <si>
    <t>#E463</t>
  </si>
  <si>
    <t>#F463</t>
  </si>
  <si>
    <t>#G463</t>
  </si>
  <si>
    <t>#H463</t>
  </si>
  <si>
    <t>#I463</t>
  </si>
  <si>
    <t>#J463</t>
  </si>
  <si>
    <t>#D464</t>
  </si>
  <si>
    <t>#E464</t>
  </si>
  <si>
    <t>#F464</t>
  </si>
  <si>
    <t>#G464</t>
  </si>
  <si>
    <t>#H464</t>
  </si>
  <si>
    <t>#I464</t>
  </si>
  <si>
    <t>#J464</t>
  </si>
  <si>
    <t>#D465</t>
  </si>
  <si>
    <t>#E465</t>
  </si>
  <si>
    <t>#F465</t>
  </si>
  <si>
    <t>#G465</t>
  </si>
  <si>
    <t>#H465</t>
  </si>
  <si>
    <t>#I465</t>
  </si>
  <si>
    <t>#J465</t>
  </si>
  <si>
    <t>#D466</t>
  </si>
  <si>
    <t>#E466</t>
  </si>
  <si>
    <t>#F466</t>
  </si>
  <si>
    <t>#G466</t>
  </si>
  <si>
    <t>#H466</t>
  </si>
  <si>
    <t>#I466</t>
  </si>
  <si>
    <t>#J466</t>
  </si>
  <si>
    <t>c</t>
  </si>
  <si>
    <t>(a) Finance charges, Service charges etc.under HP business</t>
  </si>
  <si>
    <t>(b) Lease income</t>
  </si>
  <si>
    <t xml:space="preserve">( c) Other income </t>
  </si>
  <si>
    <t>Formula</t>
  </si>
  <si>
    <t>a</t>
  </si>
  <si>
    <t>m</t>
  </si>
  <si>
    <t>Includes ECB and EC Bond</t>
  </si>
  <si>
    <t>Borrowings from Banks</t>
  </si>
  <si>
    <t>Current portion of LTD</t>
  </si>
  <si>
    <t>Advances to Suppliers</t>
  </si>
  <si>
    <t>Miscellaneous Current Assets</t>
  </si>
  <si>
    <t>Marketable Securities</t>
  </si>
  <si>
    <t>31/03/2017</t>
  </si>
  <si>
    <t>31/03/2018</t>
  </si>
  <si>
    <t>31/03/2019</t>
  </si>
  <si>
    <t>31/03/2020</t>
  </si>
  <si>
    <t>31/03/2021</t>
  </si>
  <si>
    <t>Formula + Input</t>
  </si>
  <si>
    <t>asdas</t>
  </si>
  <si>
    <t>00332156</t>
  </si>
  <si>
    <t>00332162</t>
  </si>
  <si>
    <t>00332198</t>
  </si>
  <si>
    <t>00332207</t>
  </si>
  <si>
    <t>00332212</t>
  </si>
  <si>
    <t>00332216</t>
  </si>
  <si>
    <t>00332219</t>
  </si>
  <si>
    <t>00332221</t>
  </si>
  <si>
    <t>00332231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</si>
</sst>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64" formatCode="0.000"/>
    <numFmt numFmtId="165" formatCode="#,##0.0"/>
    <numFmt numFmtId="166" formatCode="0.0000"/>
    <numFmt numFmtId="167" formatCode="0.0%"/>
    <numFmt numFmtId="168" formatCode="[$-409]d\-mmm\-yy;@"/>
    <numFmt numFmtId="169" formatCode="#,##0.000"/>
    <numFmt numFmtId="170" formatCode="0.0"/>
    <numFmt numFmtId="171" formatCode="0.000%"/>
    <numFmt numFmtId="172" formatCode="0.0000%"/>
    <numFmt numFmtId="173" formatCode="#,##0.0000"/>
  </numFmts>
  <fonts count="4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rgb="FF004C8F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0"/>
      <color rgb="FF004C8F"/>
      <name val="Calibri"/>
      <family val="2"/>
      <scheme val="minor"/>
    </font>
    <font>
      <b/>
      <sz val="10"/>
      <color rgb="FF004C8F"/>
      <name val="Calibri"/>
      <family val="2"/>
      <scheme val="minor"/>
    </font>
    <font>
      <b/>
      <i/>
      <sz val="10"/>
      <name val="Calibri"/>
      <family val="2"/>
      <scheme val="minor"/>
    </font>
    <font>
      <b/>
      <u val="singleAccounting"/>
      <sz val="10"/>
      <color rgb="FFED232A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i/>
      <sz val="10"/>
      <color rgb="FF004C8F"/>
      <name val="Calibri"/>
      <family val="2"/>
      <scheme val="minor"/>
    </font>
    <font>
      <b/>
      <i/>
      <u/>
      <sz val="10"/>
      <color rgb="FFED232A"/>
      <name val="Calibri"/>
      <family val="2"/>
      <scheme val="minor"/>
    </font>
    <font>
      <b/>
      <sz val="11"/>
      <color rgb="FFED232A"/>
      <name val="Calibri"/>
      <family val="2"/>
      <scheme val="minor"/>
    </font>
    <font>
      <b/>
      <sz val="10"/>
      <color rgb="FFED232A"/>
      <name val="Calibri"/>
      <family val="2"/>
      <scheme val="minor"/>
    </font>
    <font>
      <b/>
      <u/>
      <sz val="10"/>
      <color rgb="FFED232A"/>
      <name val="Calibri"/>
      <family val="2"/>
      <scheme val="minor"/>
    </font>
    <font>
      <b/>
      <sz val="10"/>
      <color indexed="62"/>
      <name val="Calibri"/>
      <family val="2"/>
      <scheme val="minor"/>
    </font>
    <font>
      <sz val="10"/>
      <color indexed="62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i/>
      <sz val="10"/>
      <color theme="1" tint="0.34998626667073579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u/>
      <sz val="10"/>
      <color theme="1" tint="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4C8F"/>
        <bgColor indexed="64"/>
      </patternFill>
    </fill>
    <fill>
      <patternFill patternType="solid">
        <fgColor rgb="FFED232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rgb="FFED232A"/>
      </left>
      <right/>
      <top style="medium">
        <color rgb="FFED232A"/>
      </top>
      <bottom/>
      <diagonal/>
    </border>
    <border>
      <left/>
      <right/>
      <top style="medium">
        <color rgb="FFED232A"/>
      </top>
      <bottom/>
      <diagonal/>
    </border>
    <border>
      <left/>
      <right style="medium">
        <color rgb="FFED232A"/>
      </right>
      <top style="medium">
        <color rgb="FFED232A"/>
      </top>
      <bottom/>
      <diagonal/>
    </border>
    <border>
      <left style="medium">
        <color rgb="FFED232A"/>
      </left>
      <right/>
      <top/>
      <bottom/>
      <diagonal/>
    </border>
    <border>
      <left/>
      <right style="medium">
        <color rgb="FFED232A"/>
      </right>
      <top/>
      <bottom/>
      <diagonal/>
    </border>
    <border>
      <left style="medium">
        <color rgb="FFED232A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medium">
        <color rgb="FFED232A"/>
      </left>
      <right style="medium">
        <color rgb="FFED232A"/>
      </right>
      <top/>
      <bottom/>
      <diagonal/>
    </border>
    <border>
      <left/>
      <right style="medium">
        <color rgb="FFED232A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ED232A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rgb="FFED232A"/>
      </top>
      <bottom/>
      <diagonal/>
    </border>
    <border>
      <left style="medium">
        <color rgb="FFED232A"/>
      </left>
      <right/>
      <top/>
      <bottom style="medium">
        <color rgb="FFED232A"/>
      </bottom>
      <diagonal/>
    </border>
    <border>
      <left/>
      <right/>
      <top/>
      <bottom style="medium">
        <color rgb="FFED232A"/>
      </bottom>
      <diagonal/>
    </border>
    <border>
      <left style="medium">
        <color rgb="FFED232A"/>
      </left>
      <right style="medium">
        <color rgb="FFED232A"/>
      </right>
      <top/>
      <bottom style="medium">
        <color rgb="FFED232A"/>
      </bottom>
      <diagonal/>
    </border>
    <border>
      <left/>
      <right style="medium">
        <color rgb="FFED232A"/>
      </right>
      <top/>
      <bottom style="medium">
        <color rgb="FFED232A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ED232A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ED232A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rgb="FFED232A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rgb="FFED232A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rgb="FFED232A"/>
      </left>
      <right/>
      <top/>
      <bottom style="double">
        <color rgb="FF004C8F"/>
      </bottom>
      <diagonal/>
    </border>
    <border>
      <left/>
      <right/>
      <top/>
      <bottom style="double">
        <color rgb="FF004C8F"/>
      </bottom>
      <diagonal/>
    </border>
    <border>
      <left/>
      <right style="medium">
        <color rgb="FFED232A"/>
      </right>
      <top/>
      <bottom style="double">
        <color rgb="FF004C8F"/>
      </bottom>
      <diagonal/>
    </border>
    <border>
      <left style="medium">
        <color rgb="FFED232A"/>
      </left>
      <right/>
      <top style="double">
        <color rgb="FF004C8F"/>
      </top>
      <bottom style="double">
        <color rgb="FF004C8F"/>
      </bottom>
      <diagonal/>
    </border>
    <border>
      <left/>
      <right/>
      <top style="double">
        <color rgb="FF004C8F"/>
      </top>
      <bottom style="double">
        <color rgb="FF004C8F"/>
      </bottom>
      <diagonal/>
    </border>
    <border>
      <left/>
      <right style="medium">
        <color rgb="FFED232A"/>
      </right>
      <top style="double">
        <color rgb="FF004C8F"/>
      </top>
      <bottom style="double">
        <color rgb="FF004C8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ED232A"/>
      </right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5" fillId="0" borderId="0"/>
    <xf numFmtId="43" fontId="5" fillId="0" borderId="0" applyFont="0" applyFill="0" applyBorder="0" applyAlignment="0" applyProtection="0"/>
    <xf numFmtId="0" fontId="9" fillId="0" borderId="5" applyNumberFormat="0" applyFill="0" applyAlignment="0" applyProtection="0"/>
    <xf numFmtId="0" fontId="3" fillId="0" borderId="0"/>
    <xf numFmtId="0" fontId="5" fillId="0" borderId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38" fillId="8" borderId="55" applyNumberFormat="0" applyAlignment="0" applyProtection="0"/>
    <xf numFmtId="0" fontId="1" fillId="9" borderId="0" applyNumberFormat="0" applyBorder="0" applyAlignment="0" applyProtection="0"/>
  </cellStyleXfs>
  <cellXfs count="597">
    <xf numFmtId="0" fontId="0" fillId="0" borderId="0" xfId="0"/>
    <xf numFmtId="0" fontId="6" fillId="0" borderId="0" xfId="0" applyFont="1" applyAlignment="1" applyProtection="1">
      <alignment vertical="center" wrapText="1"/>
    </xf>
    <xf numFmtId="1" fontId="6" fillId="4" borderId="9" xfId="0" applyNumberFormat="1" applyFont="1" applyFill="1" applyBorder="1" applyAlignment="1" applyProtection="1">
      <alignment horizontal="center" vertical="center" wrapText="1"/>
    </xf>
    <xf numFmtId="1" fontId="8" fillId="4" borderId="0" xfId="0" applyNumberFormat="1" applyFont="1" applyFill="1" applyBorder="1" applyAlignment="1" applyProtection="1">
      <alignment horizontal="left" vertical="center" wrapText="1"/>
    </xf>
    <xf numFmtId="1" fontId="6" fillId="4" borderId="13" xfId="0" applyNumberFormat="1" applyFont="1" applyFill="1" applyBorder="1" applyAlignment="1" applyProtection="1">
      <alignment horizontal="center" vertical="center" wrapText="1"/>
    </xf>
    <xf numFmtId="1" fontId="6" fillId="6" borderId="0" xfId="0" applyNumberFormat="1" applyFont="1" applyFill="1" applyBorder="1" applyAlignment="1" applyProtection="1">
      <alignment vertical="center" wrapText="1"/>
    </xf>
    <xf numFmtId="0" fontId="6" fillId="6" borderId="0" xfId="0" applyFont="1" applyFill="1" applyBorder="1" applyAlignment="1" applyProtection="1">
      <alignment horizontal="left" vertical="center" wrapText="1"/>
    </xf>
    <xf numFmtId="1" fontId="6" fillId="4" borderId="16" xfId="0" applyNumberFormat="1" applyFont="1" applyFill="1" applyBorder="1" applyAlignment="1" applyProtection="1">
      <alignment horizontal="center" vertical="center" wrapText="1"/>
    </xf>
    <xf numFmtId="0" fontId="15" fillId="4" borderId="8" xfId="3" applyFont="1" applyFill="1" applyBorder="1" applyAlignment="1">
      <alignment vertical="center"/>
    </xf>
    <xf numFmtId="1" fontId="7" fillId="6" borderId="0" xfId="0" applyNumberFormat="1" applyFont="1" applyFill="1" applyBorder="1" applyAlignment="1" applyProtection="1">
      <alignment vertical="center" wrapText="1"/>
    </xf>
    <xf numFmtId="1" fontId="18" fillId="6" borderId="0" xfId="0" applyNumberFormat="1" applyFont="1" applyFill="1" applyBorder="1" applyAlignment="1" applyProtection="1">
      <alignment vertical="center" wrapText="1"/>
    </xf>
    <xf numFmtId="1" fontId="6" fillId="6" borderId="18" xfId="0" applyNumberFormat="1" applyFont="1" applyFill="1" applyBorder="1" applyAlignment="1" applyProtection="1">
      <alignment vertical="center" wrapText="1"/>
    </xf>
    <xf numFmtId="0" fontId="6" fillId="0" borderId="0" xfId="0" applyFont="1" applyAlignment="1" applyProtection="1">
      <alignment vertical="center"/>
    </xf>
    <xf numFmtId="164" fontId="7" fillId="6" borderId="0" xfId="0" applyNumberFormat="1" applyFont="1" applyFill="1" applyBorder="1" applyAlignment="1" applyProtection="1">
      <alignment vertical="center" wrapText="1"/>
    </xf>
    <xf numFmtId="164" fontId="7" fillId="6" borderId="7" xfId="0" applyNumberFormat="1" applyFont="1" applyFill="1" applyBorder="1" applyAlignment="1" applyProtection="1">
      <alignment vertical="center" wrapText="1"/>
    </xf>
    <xf numFmtId="164" fontId="7" fillId="6" borderId="8" xfId="0" applyNumberFormat="1" applyFont="1" applyFill="1" applyBorder="1" applyAlignment="1" applyProtection="1">
      <alignment vertical="center" wrapText="1"/>
    </xf>
    <xf numFmtId="164" fontId="20" fillId="6" borderId="0" xfId="0" applyNumberFormat="1" applyFont="1" applyFill="1" applyBorder="1" applyAlignment="1" applyProtection="1">
      <alignment vertical="center" wrapText="1"/>
    </xf>
    <xf numFmtId="165" fontId="18" fillId="6" borderId="0" xfId="0" applyNumberFormat="1" applyFont="1" applyFill="1" applyBorder="1" applyAlignment="1" applyProtection="1">
      <alignment horizontal="center" vertical="center" wrapText="1"/>
    </xf>
    <xf numFmtId="165" fontId="18" fillId="6" borderId="10" xfId="0" applyNumberFormat="1" applyFont="1" applyFill="1" applyBorder="1" applyAlignment="1" applyProtection="1">
      <alignment horizontal="center" vertical="center" wrapText="1"/>
    </xf>
    <xf numFmtId="164" fontId="13" fillId="6" borderId="0" xfId="0" applyNumberFormat="1" applyFont="1" applyFill="1" applyBorder="1" applyAlignment="1" applyProtection="1">
      <alignment vertical="center" wrapText="1"/>
    </xf>
    <xf numFmtId="165" fontId="13" fillId="7" borderId="21" xfId="0" applyNumberFormat="1" applyFont="1" applyFill="1" applyBorder="1" applyAlignment="1" applyProtection="1">
      <alignment horizontal="center" vertical="center" wrapText="1"/>
      <protection locked="0"/>
    </xf>
    <xf numFmtId="165" fontId="13" fillId="7" borderId="22" xfId="0" applyNumberFormat="1" applyFont="1" applyFill="1" applyBorder="1" applyAlignment="1" applyProtection="1">
      <alignment horizontal="center" vertical="center" wrapText="1"/>
      <protection locked="0"/>
    </xf>
    <xf numFmtId="165" fontId="13" fillId="7" borderId="23" xfId="0" applyNumberFormat="1" applyFont="1" applyFill="1" applyBorder="1" applyAlignment="1" applyProtection="1">
      <alignment horizontal="center" vertical="center" wrapText="1"/>
      <protection locked="0"/>
    </xf>
    <xf numFmtId="165" fontId="13" fillId="7" borderId="24" xfId="0" applyNumberFormat="1" applyFont="1" applyFill="1" applyBorder="1" applyAlignment="1" applyProtection="1">
      <alignment horizontal="center" vertical="center" wrapText="1"/>
      <protection locked="0"/>
    </xf>
    <xf numFmtId="165" fontId="13" fillId="7" borderId="25" xfId="0" applyNumberFormat="1" applyFont="1" applyFill="1" applyBorder="1" applyAlignment="1" applyProtection="1">
      <alignment horizontal="center" vertical="center" wrapText="1"/>
      <protection locked="0"/>
    </xf>
    <xf numFmtId="165" fontId="13" fillId="7" borderId="26" xfId="0" applyNumberFormat="1" applyFont="1" applyFill="1" applyBorder="1" applyAlignment="1" applyProtection="1">
      <alignment horizontal="center" vertical="center" wrapText="1"/>
      <protection locked="0"/>
    </xf>
    <xf numFmtId="165" fontId="13" fillId="7" borderId="27" xfId="0" applyNumberFormat="1" applyFont="1" applyFill="1" applyBorder="1" applyAlignment="1" applyProtection="1">
      <alignment horizontal="center" vertical="center" wrapText="1"/>
      <protection locked="0"/>
    </xf>
    <xf numFmtId="165" fontId="13" fillId="7" borderId="28" xfId="0" applyNumberFormat="1" applyFont="1" applyFill="1" applyBorder="1" applyAlignment="1" applyProtection="1">
      <alignment horizontal="center" vertical="center" wrapText="1"/>
      <protection locked="0"/>
    </xf>
    <xf numFmtId="1" fontId="10" fillId="5" borderId="12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horizontal="center" vertical="center" wrapText="1"/>
    </xf>
    <xf numFmtId="165" fontId="6" fillId="6" borderId="10" xfId="0" applyNumberFormat="1" applyFont="1" applyFill="1" applyBorder="1" applyAlignment="1" applyProtection="1">
      <alignment horizontal="center" vertical="center" wrapText="1"/>
    </xf>
    <xf numFmtId="164" fontId="21" fillId="6" borderId="0" xfId="0" applyNumberFormat="1" applyFont="1" applyFill="1" applyBorder="1" applyAlignment="1" applyProtection="1">
      <alignment vertical="center" wrapText="1"/>
    </xf>
    <xf numFmtId="164" fontId="6" fillId="6" borderId="0" xfId="0" applyNumberFormat="1" applyFont="1" applyFill="1" applyBorder="1" applyAlignment="1" applyProtection="1">
      <alignment vertical="center" wrapText="1"/>
    </xf>
    <xf numFmtId="0" fontId="15" fillId="4" borderId="8" xfId="3" applyFont="1" applyFill="1" applyBorder="1" applyAlignment="1">
      <alignment vertical="center" wrapText="1"/>
    </xf>
    <xf numFmtId="1" fontId="6" fillId="0" borderId="0" xfId="0" applyNumberFormat="1" applyFont="1" applyBorder="1" applyAlignment="1" applyProtection="1">
      <alignment vertical="center"/>
    </xf>
    <xf numFmtId="1" fontId="6" fillId="4" borderId="6" xfId="0" applyNumberFormat="1" applyFont="1" applyFill="1" applyBorder="1" applyAlignment="1" applyProtection="1">
      <alignment horizontal="center" vertical="center"/>
    </xf>
    <xf numFmtId="1" fontId="6" fillId="4" borderId="9" xfId="0" applyNumberFormat="1" applyFont="1" applyFill="1" applyBorder="1" applyAlignment="1" applyProtection="1">
      <alignment horizontal="center" vertical="center"/>
    </xf>
    <xf numFmtId="1" fontId="11" fillId="4" borderId="0" xfId="0" applyNumberFormat="1" applyFont="1" applyFill="1" applyBorder="1" applyAlignment="1" applyProtection="1">
      <alignment horizontal="center" vertical="center"/>
    </xf>
    <xf numFmtId="1" fontId="11" fillId="4" borderId="10" xfId="0" applyNumberFormat="1" applyFont="1" applyFill="1" applyBorder="1" applyAlignment="1" applyProtection="1">
      <alignment horizontal="center" vertical="center"/>
    </xf>
    <xf numFmtId="1" fontId="12" fillId="5" borderId="11" xfId="0" applyNumberFormat="1" applyFont="1" applyFill="1" applyBorder="1" applyAlignment="1" applyProtection="1">
      <alignment horizontal="center" vertical="center"/>
    </xf>
    <xf numFmtId="1" fontId="6" fillId="4" borderId="16" xfId="0" applyNumberFormat="1" applyFont="1" applyFill="1" applyBorder="1" applyAlignment="1" applyProtection="1">
      <alignment horizontal="center" vertical="center"/>
    </xf>
    <xf numFmtId="1" fontId="6" fillId="4" borderId="13" xfId="0" applyNumberFormat="1" applyFont="1" applyFill="1" applyBorder="1" applyAlignment="1" applyProtection="1">
      <alignment horizontal="center" vertical="center"/>
    </xf>
    <xf numFmtId="1" fontId="6" fillId="4" borderId="19" xfId="0" applyNumberFormat="1" applyFont="1" applyFill="1" applyBorder="1" applyAlignment="1" applyProtection="1">
      <alignment horizontal="center" vertical="center"/>
    </xf>
    <xf numFmtId="164" fontId="16" fillId="7" borderId="0" xfId="0" applyNumberFormat="1" applyFont="1" applyFill="1" applyBorder="1" applyAlignment="1" applyProtection="1">
      <alignment horizontal="center" vertical="center"/>
    </xf>
    <xf numFmtId="1" fontId="7" fillId="6" borderId="7" xfId="0" applyNumberFormat="1" applyFont="1" applyFill="1" applyBorder="1" applyAlignment="1" applyProtection="1">
      <alignment horizontal="center" vertical="center"/>
    </xf>
    <xf numFmtId="1" fontId="19" fillId="4" borderId="13" xfId="0" applyNumberFormat="1" applyFont="1" applyFill="1" applyBorder="1" applyAlignment="1" applyProtection="1">
      <alignment horizontal="center" vertical="center"/>
    </xf>
    <xf numFmtId="165" fontId="6" fillId="6" borderId="0" xfId="0" applyNumberFormat="1" applyFont="1" applyFill="1" applyBorder="1" applyAlignment="1" applyProtection="1">
      <alignment horizontal="center" vertical="center"/>
    </xf>
    <xf numFmtId="165" fontId="6" fillId="6" borderId="10" xfId="0" applyNumberFormat="1" applyFont="1" applyFill="1" applyBorder="1" applyAlignment="1" applyProtection="1">
      <alignment horizontal="center" vertical="center"/>
    </xf>
    <xf numFmtId="165" fontId="18" fillId="6" borderId="0" xfId="0" applyNumberFormat="1" applyFont="1" applyFill="1" applyBorder="1" applyAlignment="1" applyProtection="1">
      <alignment horizontal="center" vertical="center"/>
    </xf>
    <xf numFmtId="165" fontId="18" fillId="6" borderId="10" xfId="0" applyNumberFormat="1" applyFont="1" applyFill="1" applyBorder="1" applyAlignment="1" applyProtection="1">
      <alignment horizontal="center" vertical="center"/>
    </xf>
    <xf numFmtId="165" fontId="13" fillId="7" borderId="26" xfId="0" applyNumberFormat="1" applyFont="1" applyFill="1" applyBorder="1" applyAlignment="1" applyProtection="1">
      <alignment horizontal="center" vertical="center"/>
      <protection locked="0"/>
    </xf>
    <xf numFmtId="165" fontId="13" fillId="7" borderId="27" xfId="0" applyNumberFormat="1" applyFont="1" applyFill="1" applyBorder="1" applyAlignment="1" applyProtection="1">
      <alignment horizontal="center" vertical="center"/>
      <protection locked="0"/>
    </xf>
    <xf numFmtId="165" fontId="13" fillId="7" borderId="28" xfId="0" applyNumberFormat="1" applyFont="1" applyFill="1" applyBorder="1" applyAlignment="1" applyProtection="1">
      <alignment horizontal="center" vertical="center"/>
      <protection locked="0"/>
    </xf>
    <xf numFmtId="165" fontId="22" fillId="6" borderId="0" xfId="0" applyNumberFormat="1" applyFont="1" applyFill="1" applyBorder="1" applyAlignment="1" applyProtection="1">
      <alignment horizontal="center" vertical="center"/>
    </xf>
    <xf numFmtId="165" fontId="22" fillId="6" borderId="10" xfId="0" applyNumberFormat="1" applyFont="1" applyFill="1" applyBorder="1" applyAlignment="1" applyProtection="1">
      <alignment horizontal="center" vertical="center"/>
    </xf>
    <xf numFmtId="164" fontId="23" fillId="6" borderId="0" xfId="0" applyNumberFormat="1" applyFont="1" applyFill="1" applyBorder="1" applyAlignment="1" applyProtection="1">
      <alignment vertical="center" wrapText="1"/>
    </xf>
    <xf numFmtId="1" fontId="7" fillId="6" borderId="8" xfId="0" applyNumberFormat="1" applyFont="1" applyFill="1" applyBorder="1" applyAlignment="1" applyProtection="1">
      <alignment horizontal="center" vertical="center"/>
    </xf>
    <xf numFmtId="164" fontId="6" fillId="6" borderId="18" xfId="0" applyNumberFormat="1" applyFont="1" applyFill="1" applyBorder="1" applyAlignment="1" applyProtection="1">
      <alignment vertical="center" wrapText="1"/>
    </xf>
    <xf numFmtId="165" fontId="6" fillId="6" borderId="18" xfId="0" applyNumberFormat="1" applyFont="1" applyFill="1" applyBorder="1" applyAlignment="1" applyProtection="1">
      <alignment horizontal="center" vertical="center"/>
    </xf>
    <xf numFmtId="165" fontId="6" fillId="6" borderId="20" xfId="0" applyNumberFormat="1" applyFont="1" applyFill="1" applyBorder="1" applyAlignment="1" applyProtection="1">
      <alignment horizontal="center" vertical="center"/>
    </xf>
    <xf numFmtId="165" fontId="13" fillId="7" borderId="29" xfId="0" applyNumberFormat="1" applyFont="1" applyFill="1" applyBorder="1" applyAlignment="1" applyProtection="1">
      <alignment horizontal="center" vertical="center"/>
      <protection locked="0"/>
    </xf>
    <xf numFmtId="165" fontId="13" fillId="7" borderId="30" xfId="0" applyNumberFormat="1" applyFont="1" applyFill="1" applyBorder="1" applyAlignment="1" applyProtection="1">
      <alignment horizontal="center" vertical="center"/>
      <protection locked="0"/>
    </xf>
    <xf numFmtId="165" fontId="13" fillId="7" borderId="31" xfId="0" applyNumberFormat="1" applyFont="1" applyFill="1" applyBorder="1" applyAlignment="1" applyProtection="1">
      <alignment horizontal="center" vertical="center"/>
      <protection locked="0"/>
    </xf>
    <xf numFmtId="164" fontId="6" fillId="6" borderId="9" xfId="0" applyNumberFormat="1" applyFont="1" applyFill="1" applyBorder="1" applyAlignment="1" applyProtection="1">
      <alignment vertical="center" wrapText="1"/>
    </xf>
    <xf numFmtId="1" fontId="19" fillId="4" borderId="9" xfId="0" applyNumberFormat="1" applyFont="1" applyFill="1" applyBorder="1" applyAlignment="1" applyProtection="1">
      <alignment horizontal="center" vertical="center" wrapText="1"/>
    </xf>
    <xf numFmtId="164" fontId="20" fillId="6" borderId="9" xfId="0" applyNumberFormat="1" applyFont="1" applyFill="1" applyBorder="1" applyAlignment="1" applyProtection="1">
      <alignment vertical="center" wrapText="1"/>
    </xf>
    <xf numFmtId="164" fontId="13" fillId="6" borderId="9" xfId="0" applyNumberFormat="1" applyFont="1" applyFill="1" applyBorder="1" applyAlignment="1" applyProtection="1">
      <alignment vertical="center" wrapText="1"/>
    </xf>
    <xf numFmtId="165" fontId="13" fillId="7" borderId="32" xfId="0" applyNumberFormat="1" applyFont="1" applyFill="1" applyBorder="1" applyAlignment="1" applyProtection="1">
      <alignment horizontal="center" vertical="center" wrapText="1"/>
      <protection locked="0"/>
    </xf>
    <xf numFmtId="164" fontId="6" fillId="6" borderId="33" xfId="0" applyNumberFormat="1" applyFont="1" applyFill="1" applyBorder="1" applyAlignment="1" applyProtection="1">
      <alignment vertical="center" wrapText="1"/>
    </xf>
    <xf numFmtId="165" fontId="6" fillId="6" borderId="34" xfId="0" applyNumberFormat="1" applyFont="1" applyFill="1" applyBorder="1" applyAlignment="1" applyProtection="1">
      <alignment horizontal="center" vertical="center" wrapText="1"/>
    </xf>
    <xf numFmtId="165" fontId="6" fillId="6" borderId="35" xfId="0" applyNumberFormat="1" applyFont="1" applyFill="1" applyBorder="1" applyAlignment="1" applyProtection="1">
      <alignment horizontal="center" vertical="center" wrapText="1"/>
    </xf>
    <xf numFmtId="164" fontId="24" fillId="6" borderId="36" xfId="0" applyNumberFormat="1" applyFont="1" applyFill="1" applyBorder="1" applyAlignment="1" applyProtection="1">
      <alignment vertical="center" wrapText="1"/>
    </xf>
    <xf numFmtId="165" fontId="18" fillId="6" borderId="37" xfId="0" applyNumberFormat="1" applyFont="1" applyFill="1" applyBorder="1" applyAlignment="1" applyProtection="1">
      <alignment horizontal="center" vertical="center" wrapText="1"/>
    </xf>
    <xf numFmtId="165" fontId="18" fillId="6" borderId="38" xfId="0" applyNumberFormat="1" applyFont="1" applyFill="1" applyBorder="1" applyAlignment="1" applyProtection="1">
      <alignment horizontal="center" vertical="center" wrapText="1"/>
    </xf>
    <xf numFmtId="165" fontId="13" fillId="7" borderId="29" xfId="0" applyNumberFormat="1" applyFont="1" applyFill="1" applyBorder="1" applyAlignment="1" applyProtection="1">
      <alignment horizontal="center" vertical="center" wrapText="1"/>
      <protection locked="0"/>
    </xf>
    <xf numFmtId="165" fontId="13" fillId="7" borderId="30" xfId="0" applyNumberFormat="1" applyFont="1" applyFill="1" applyBorder="1" applyAlignment="1" applyProtection="1">
      <alignment horizontal="center" vertical="center" wrapText="1"/>
      <protection locked="0"/>
    </xf>
    <xf numFmtId="165" fontId="13" fillId="7" borderId="31" xfId="0" applyNumberFormat="1" applyFont="1" applyFill="1" applyBorder="1" applyAlignment="1" applyProtection="1">
      <alignment horizontal="center" vertical="center" wrapText="1"/>
      <protection locked="0"/>
    </xf>
    <xf numFmtId="164" fontId="23" fillId="6" borderId="9" xfId="0" applyNumberFormat="1" applyFont="1" applyFill="1" applyBorder="1" applyAlignment="1" applyProtection="1">
      <alignment vertical="center" wrapText="1"/>
    </xf>
    <xf numFmtId="164" fontId="24" fillId="6" borderId="17" xfId="0" applyNumberFormat="1" applyFont="1" applyFill="1" applyBorder="1" applyAlignment="1" applyProtection="1">
      <alignment vertical="center" wrapText="1"/>
    </xf>
    <xf numFmtId="165" fontId="18" fillId="6" borderId="18" xfId="0" applyNumberFormat="1" applyFont="1" applyFill="1" applyBorder="1" applyAlignment="1" applyProtection="1">
      <alignment horizontal="center" vertical="center" wrapText="1"/>
    </xf>
    <xf numFmtId="165" fontId="18" fillId="6" borderId="20" xfId="0" applyNumberFormat="1" applyFont="1" applyFill="1" applyBorder="1" applyAlignment="1" applyProtection="1">
      <alignment horizontal="center" vertical="center" wrapText="1"/>
    </xf>
    <xf numFmtId="165" fontId="14" fillId="6" borderId="0" xfId="0" applyNumberFormat="1" applyFont="1" applyFill="1" applyBorder="1" applyAlignment="1" applyProtection="1">
      <alignment horizontal="center" vertical="center"/>
    </xf>
    <xf numFmtId="165" fontId="14" fillId="6" borderId="10" xfId="0" applyNumberFormat="1" applyFont="1" applyFill="1" applyBorder="1" applyAlignment="1" applyProtection="1">
      <alignment horizontal="center" vertical="center"/>
    </xf>
    <xf numFmtId="1" fontId="19" fillId="4" borderId="9" xfId="0" applyNumberFormat="1" applyFont="1" applyFill="1" applyBorder="1" applyAlignment="1" applyProtection="1">
      <alignment horizontal="center" vertical="center"/>
    </xf>
    <xf numFmtId="165" fontId="13" fillId="2" borderId="0" xfId="0" applyNumberFormat="1" applyFont="1" applyFill="1" applyBorder="1" applyAlignment="1" applyProtection="1">
      <alignment horizontal="center" vertical="center"/>
      <protection locked="0"/>
    </xf>
    <xf numFmtId="165" fontId="13" fillId="2" borderId="10" xfId="0" applyNumberFormat="1" applyFont="1" applyFill="1" applyBorder="1" applyAlignment="1" applyProtection="1">
      <alignment horizontal="center" vertical="center"/>
      <protection locked="0"/>
    </xf>
    <xf numFmtId="1" fontId="6" fillId="4" borderId="17" xfId="0" applyNumberFormat="1" applyFont="1" applyFill="1" applyBorder="1" applyAlignment="1" applyProtection="1">
      <alignment horizontal="center" vertical="center"/>
    </xf>
    <xf numFmtId="164" fontId="13" fillId="7" borderId="9" xfId="0" applyNumberFormat="1" applyFont="1" applyFill="1" applyBorder="1" applyAlignment="1" applyProtection="1">
      <alignment vertical="center"/>
    </xf>
    <xf numFmtId="164" fontId="13" fillId="7" borderId="17" xfId="0" applyNumberFormat="1" applyFont="1" applyFill="1" applyBorder="1" applyAlignment="1" applyProtection="1">
      <alignment vertical="center"/>
    </xf>
    <xf numFmtId="0" fontId="6" fillId="0" borderId="0" xfId="0" applyFont="1" applyAlignment="1" applyProtection="1">
      <protection locked="0"/>
    </xf>
    <xf numFmtId="1" fontId="4" fillId="5" borderId="12" xfId="0" applyNumberFormat="1" applyFont="1" applyFill="1" applyBorder="1" applyAlignment="1" applyProtection="1">
      <alignment vertical="center" wrapText="1"/>
    </xf>
    <xf numFmtId="1" fontId="4" fillId="5" borderId="12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 applyProtection="1"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wrapTex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0" xfId="0" applyFont="1" applyAlignment="1" applyProtection="1">
      <alignment wrapText="1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4" borderId="17" xfId="0" applyFont="1" applyFill="1" applyBorder="1" applyAlignment="1" applyProtection="1">
      <protection locked="0"/>
    </xf>
    <xf numFmtId="0" fontId="6" fillId="6" borderId="17" xfId="0" applyFont="1" applyFill="1" applyBorder="1" applyAlignment="1" applyProtection="1">
      <alignment wrapText="1"/>
      <protection locked="0"/>
    </xf>
    <xf numFmtId="164" fontId="6" fillId="6" borderId="18" xfId="0" applyNumberFormat="1" applyFont="1" applyFill="1" applyBorder="1" applyAlignment="1" applyProtection="1">
      <alignment horizontal="center"/>
      <protection locked="0"/>
    </xf>
    <xf numFmtId="164" fontId="6" fillId="6" borderId="20" xfId="0" applyNumberFormat="1" applyFont="1" applyFill="1" applyBorder="1" applyAlignment="1" applyProtection="1">
      <alignment horizontal="center"/>
      <protection locked="0"/>
    </xf>
    <xf numFmtId="0" fontId="27" fillId="0" borderId="0" xfId="0" applyFont="1" applyAlignment="1" applyProtection="1">
      <protection locked="0"/>
    </xf>
    <xf numFmtId="0" fontId="27" fillId="0" borderId="0" xfId="0" applyFont="1" applyFill="1" applyAlignment="1" applyProtection="1">
      <alignment wrapText="1"/>
      <protection locked="0"/>
    </xf>
    <xf numFmtId="0" fontId="27" fillId="0" borderId="0" xfId="0" applyFont="1" applyFill="1" applyAlignment="1" applyProtection="1">
      <alignment horizontal="center"/>
      <protection locked="0"/>
    </xf>
    <xf numFmtId="0" fontId="28" fillId="0" borderId="0" xfId="0" applyFont="1" applyFill="1" applyAlignment="1" applyProtection="1">
      <alignment horizontal="center"/>
      <protection locked="0"/>
    </xf>
    <xf numFmtId="0" fontId="28" fillId="0" borderId="0" xfId="0" applyFont="1" applyFill="1" applyBorder="1" applyAlignment="1" applyProtection="1">
      <alignment wrapText="1"/>
      <protection locked="0"/>
    </xf>
    <xf numFmtId="164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0" applyNumberFormat="1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4" fontId="28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10" fillId="4" borderId="39" xfId="4" applyFont="1" applyFill="1" applyBorder="1"/>
    <xf numFmtId="0" fontId="3" fillId="0" borderId="39" xfId="4" applyBorder="1"/>
    <xf numFmtId="0" fontId="3" fillId="0" borderId="0" xfId="4"/>
    <xf numFmtId="0" fontId="10" fillId="4" borderId="39" xfId="4" applyFont="1" applyFill="1" applyBorder="1" applyAlignment="1">
      <alignment horizontal="center"/>
    </xf>
    <xf numFmtId="0" fontId="3" fillId="0" borderId="39" xfId="4" applyFont="1" applyBorder="1" applyAlignment="1">
      <alignment horizontal="center"/>
    </xf>
    <xf numFmtId="0" fontId="3" fillId="0" borderId="0" xfId="4" applyAlignment="1">
      <alignment horizontal="center"/>
    </xf>
    <xf numFmtId="0" fontId="3" fillId="0" borderId="39" xfId="4" applyBorder="1" applyAlignment="1">
      <alignment horizontal="center"/>
    </xf>
    <xf numFmtId="0" fontId="29" fillId="4" borderId="39" xfId="4" applyFont="1" applyFill="1" applyBorder="1"/>
    <xf numFmtId="164" fontId="16" fillId="7" borderId="17" xfId="0" applyNumberFormat="1" applyFont="1" applyFill="1" applyBorder="1" applyAlignment="1" applyProtection="1">
      <alignment vertical="center" wrapText="1"/>
    </xf>
    <xf numFmtId="164" fontId="16" fillId="7" borderId="18" xfId="0" applyNumberFormat="1" applyFont="1" applyFill="1" applyBorder="1" applyAlignment="1" applyProtection="1">
      <alignment vertical="center" wrapText="1"/>
    </xf>
    <xf numFmtId="1" fontId="7" fillId="6" borderId="0" xfId="0" applyNumberFormat="1" applyFont="1" applyFill="1" applyBorder="1" applyAlignment="1" applyProtection="1">
      <alignment horizontal="center" vertical="center" wrapText="1"/>
    </xf>
    <xf numFmtId="1" fontId="7" fillId="6" borderId="10" xfId="0" applyNumberFormat="1" applyFont="1" applyFill="1" applyBorder="1" applyAlignment="1" applyProtection="1">
      <alignment horizontal="center" vertical="center" wrapText="1"/>
    </xf>
    <xf numFmtId="15" fontId="14" fillId="6" borderId="0" xfId="0" applyNumberFormat="1" applyFont="1" applyFill="1" applyBorder="1" applyAlignment="1" applyProtection="1">
      <alignment horizontal="center" vertical="center" wrapText="1"/>
    </xf>
    <xf numFmtId="1" fontId="14" fillId="6" borderId="0" xfId="0" applyNumberFormat="1" applyFont="1" applyFill="1" applyBorder="1" applyAlignment="1" applyProtection="1">
      <alignment horizontal="center" vertical="center" wrapText="1"/>
    </xf>
    <xf numFmtId="1" fontId="7" fillId="4" borderId="13" xfId="0" applyNumberFormat="1" applyFont="1" applyFill="1" applyBorder="1" applyAlignment="1" applyProtection="1">
      <alignment horizontal="center" vertical="center" wrapText="1"/>
    </xf>
    <xf numFmtId="1" fontId="17" fillId="6" borderId="40" xfId="0" applyNumberFormat="1" applyFont="1" applyFill="1" applyBorder="1" applyAlignment="1" applyProtection="1">
      <alignment horizontal="center" vertical="center" wrapText="1"/>
    </xf>
    <xf numFmtId="1" fontId="17" fillId="6" borderId="41" xfId="0" applyNumberFormat="1" applyFont="1" applyFill="1" applyBorder="1" applyAlignment="1" applyProtection="1">
      <alignment horizontal="center" vertical="center" wrapText="1"/>
    </xf>
    <xf numFmtId="1" fontId="13" fillId="7" borderId="3" xfId="0" applyNumberFormat="1" applyFont="1" applyFill="1" applyBorder="1" applyAlignment="1" applyProtection="1">
      <alignment horizontal="center" vertical="center" wrapText="1"/>
      <protection locked="0"/>
    </xf>
    <xf numFmtId="15" fontId="14" fillId="6" borderId="10" xfId="0" applyNumberFormat="1" applyFont="1" applyFill="1" applyBorder="1" applyAlignment="1" applyProtection="1">
      <alignment horizontal="center" vertical="center" wrapText="1"/>
    </xf>
    <xf numFmtId="1" fontId="13" fillId="7" borderId="15" xfId="0" applyNumberFormat="1" applyFont="1" applyFill="1" applyBorder="1" applyAlignment="1" applyProtection="1">
      <alignment horizontal="center" vertical="center" wrapText="1"/>
      <protection locked="0"/>
    </xf>
    <xf numFmtId="1" fontId="6" fillId="4" borderId="19" xfId="0" applyNumberFormat="1" applyFont="1" applyFill="1" applyBorder="1" applyAlignment="1" applyProtection="1">
      <alignment horizontal="center" vertical="center" wrapText="1"/>
    </xf>
    <xf numFmtId="1" fontId="14" fillId="6" borderId="18" xfId="0" applyNumberFormat="1" applyFont="1" applyFill="1" applyBorder="1" applyAlignment="1" applyProtection="1">
      <alignment horizontal="center" vertical="center" wrapText="1"/>
    </xf>
    <xf numFmtId="1" fontId="14" fillId="6" borderId="20" xfId="0" applyNumberFormat="1" applyFont="1" applyFill="1" applyBorder="1" applyAlignment="1" applyProtection="1">
      <alignment horizontal="center" vertical="center" wrapText="1"/>
    </xf>
    <xf numFmtId="0" fontId="8" fillId="4" borderId="39" xfId="5" applyFont="1" applyFill="1" applyBorder="1" applyAlignment="1"/>
    <xf numFmtId="0" fontId="30" fillId="4" borderId="39" xfId="5" applyFont="1" applyFill="1" applyBorder="1" applyAlignment="1">
      <alignment horizontal="center"/>
    </xf>
    <xf numFmtId="166" fontId="12" fillId="0" borderId="2" xfId="5" applyNumberFormat="1" applyFont="1" applyBorder="1" applyAlignment="1">
      <alignment horizontal="center"/>
    </xf>
    <xf numFmtId="166" fontId="12" fillId="0" borderId="3" xfId="5" applyNumberFormat="1" applyFont="1" applyBorder="1" applyAlignment="1">
      <alignment horizontal="center"/>
    </xf>
    <xf numFmtId="0" fontId="12" fillId="0" borderId="3" xfId="5" applyFont="1" applyBorder="1" applyAlignment="1">
      <alignment horizontal="center"/>
    </xf>
    <xf numFmtId="0" fontId="2" fillId="0" borderId="0" xfId="4" applyFont="1"/>
    <xf numFmtId="0" fontId="31" fillId="0" borderId="0" xfId="0" applyFont="1" applyAlignment="1" applyProtection="1">
      <alignment vertical="center"/>
    </xf>
    <xf numFmtId="0" fontId="6" fillId="0" borderId="9" xfId="0" applyFont="1" applyBorder="1" applyAlignment="1" applyProtection="1">
      <alignment vertical="center"/>
    </xf>
    <xf numFmtId="0" fontId="7" fillId="0" borderId="0" xfId="0" applyFont="1" applyAlignment="1" applyProtection="1">
      <alignment horizontal="center" vertical="center"/>
    </xf>
    <xf numFmtId="1" fontId="17" fillId="6" borderId="0" xfId="0" applyNumberFormat="1" applyFont="1" applyFill="1" applyBorder="1" applyAlignment="1" applyProtection="1">
      <alignment horizontal="center" vertical="center" wrapText="1"/>
    </xf>
    <xf numFmtId="1" fontId="17" fillId="6" borderId="10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  <xf numFmtId="165" fontId="13" fillId="6" borderId="0" xfId="0" applyNumberFormat="1" applyFont="1" applyFill="1" applyBorder="1" applyAlignment="1" applyProtection="1">
      <alignment horizontal="center" vertical="center"/>
    </xf>
    <xf numFmtId="165" fontId="13" fillId="6" borderId="10" xfId="0" applyNumberFormat="1" applyFont="1" applyFill="1" applyBorder="1" applyAlignment="1" applyProtection="1">
      <alignment horizontal="center" vertical="center"/>
    </xf>
    <xf numFmtId="165" fontId="13" fillId="7" borderId="0" xfId="0" applyNumberFormat="1" applyFont="1" applyFill="1" applyBorder="1" applyAlignment="1" applyProtection="1">
      <alignment horizontal="center" vertical="center"/>
    </xf>
    <xf numFmtId="165" fontId="13" fillId="7" borderId="10" xfId="0" applyNumberFormat="1" applyFont="1" applyFill="1" applyBorder="1" applyAlignment="1" applyProtection="1">
      <alignment horizontal="center" vertical="center"/>
    </xf>
    <xf numFmtId="165" fontId="13" fillId="7" borderId="18" xfId="0" applyNumberFormat="1" applyFont="1" applyFill="1" applyBorder="1" applyAlignment="1" applyProtection="1">
      <alignment horizontal="center" vertical="center"/>
    </xf>
    <xf numFmtId="165" fontId="13" fillId="7" borderId="20" xfId="0" applyNumberFormat="1" applyFont="1" applyFill="1" applyBorder="1" applyAlignment="1" applyProtection="1">
      <alignment horizontal="center" vertical="center"/>
    </xf>
    <xf numFmtId="9" fontId="13" fillId="7" borderId="0" xfId="6" applyFont="1" applyFill="1" applyBorder="1" applyAlignment="1" applyProtection="1">
      <alignment horizontal="center" vertical="center"/>
    </xf>
    <xf numFmtId="9" fontId="13" fillId="7" borderId="10" xfId="6" applyFont="1" applyFill="1" applyBorder="1" applyAlignment="1" applyProtection="1">
      <alignment horizontal="center" vertical="center"/>
    </xf>
    <xf numFmtId="164" fontId="25" fillId="6" borderId="9" xfId="0" applyNumberFormat="1" applyFont="1" applyFill="1" applyBorder="1" applyAlignment="1" applyProtection="1">
      <alignment vertical="center" wrapText="1"/>
    </xf>
    <xf numFmtId="164" fontId="18" fillId="6" borderId="0" xfId="0" applyNumberFormat="1" applyFont="1" applyFill="1" applyBorder="1" applyAlignment="1" applyProtection="1">
      <alignment horizontal="center" vertical="center" wrapText="1"/>
    </xf>
    <xf numFmtId="164" fontId="18" fillId="6" borderId="10" xfId="0" applyNumberFormat="1" applyFont="1" applyFill="1" applyBorder="1" applyAlignment="1" applyProtection="1">
      <alignment horizontal="center" vertical="center" wrapText="1"/>
    </xf>
    <xf numFmtId="164" fontId="20" fillId="6" borderId="9" xfId="0" applyNumberFormat="1" applyFont="1" applyFill="1" applyBorder="1" applyAlignment="1" applyProtection="1">
      <alignment wrapText="1"/>
    </xf>
    <xf numFmtId="164" fontId="17" fillId="6" borderId="0" xfId="0" applyNumberFormat="1" applyFont="1" applyFill="1" applyBorder="1" applyAlignment="1" applyProtection="1">
      <alignment horizontal="center" vertical="center" wrapText="1"/>
    </xf>
    <xf numFmtId="164" fontId="17" fillId="6" borderId="10" xfId="0" applyNumberFormat="1" applyFont="1" applyFill="1" applyBorder="1" applyAlignment="1" applyProtection="1">
      <alignment horizontal="center" vertical="center" wrapText="1"/>
    </xf>
    <xf numFmtId="165" fontId="13" fillId="7" borderId="42" xfId="0" applyNumberFormat="1" applyFont="1" applyFill="1" applyBorder="1" applyAlignment="1" applyProtection="1">
      <alignment horizontal="center" vertical="center" wrapText="1"/>
      <protection locked="0"/>
    </xf>
    <xf numFmtId="165" fontId="13" fillId="7" borderId="43" xfId="0" applyNumberFormat="1" applyFont="1" applyFill="1" applyBorder="1" applyAlignment="1" applyProtection="1">
      <alignment horizontal="center" vertical="center" wrapText="1"/>
      <protection locked="0"/>
    </xf>
    <xf numFmtId="165" fontId="13" fillId="7" borderId="44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protection locked="0"/>
    </xf>
    <xf numFmtId="164" fontId="24" fillId="6" borderId="9" xfId="0" applyNumberFormat="1" applyFont="1" applyFill="1" applyBorder="1" applyAlignment="1" applyProtection="1">
      <alignment vertical="center" wrapText="1"/>
    </xf>
    <xf numFmtId="164" fontId="33" fillId="6" borderId="9" xfId="0" applyNumberFormat="1" applyFont="1" applyFill="1" applyBorder="1" applyAlignment="1" applyProtection="1">
      <alignment vertical="center" wrapText="1"/>
    </xf>
    <xf numFmtId="1" fontId="6" fillId="4" borderId="0" xfId="0" applyNumberFormat="1" applyFont="1" applyFill="1" applyBorder="1" applyAlignment="1" applyProtection="1">
      <alignment horizontal="center" vertical="center"/>
    </xf>
    <xf numFmtId="164" fontId="21" fillId="2" borderId="9" xfId="0" applyNumberFormat="1" applyFont="1" applyFill="1" applyBorder="1" applyAlignment="1" applyProtection="1">
      <alignment vertical="center" wrapText="1"/>
    </xf>
    <xf numFmtId="1" fontId="7" fillId="2" borderId="7" xfId="0" applyNumberFormat="1" applyFont="1" applyFill="1" applyBorder="1" applyAlignment="1" applyProtection="1">
      <alignment horizontal="center" vertical="center"/>
    </xf>
    <xf numFmtId="1" fontId="7" fillId="2" borderId="8" xfId="0" applyNumberFormat="1" applyFont="1" applyFill="1" applyBorder="1" applyAlignment="1" applyProtection="1">
      <alignment horizontal="center" vertical="center"/>
    </xf>
    <xf numFmtId="3" fontId="13" fillId="7" borderId="21" xfId="0" applyNumberFormat="1" applyFont="1" applyFill="1" applyBorder="1" applyAlignment="1" applyProtection="1">
      <alignment horizontal="center" vertical="center" wrapText="1"/>
      <protection locked="0"/>
    </xf>
    <xf numFmtId="3" fontId="13" fillId="7" borderId="32" xfId="0" applyNumberFormat="1" applyFont="1" applyFill="1" applyBorder="1" applyAlignment="1" applyProtection="1">
      <alignment horizontal="center" vertical="center" wrapText="1"/>
      <protection locked="0"/>
    </xf>
    <xf numFmtId="3" fontId="13" fillId="7" borderId="22" xfId="0" applyNumberFormat="1" applyFont="1" applyFill="1" applyBorder="1" applyAlignment="1" applyProtection="1">
      <alignment horizontal="center" vertical="center" wrapText="1"/>
      <protection locked="0"/>
    </xf>
    <xf numFmtId="164" fontId="13" fillId="2" borderId="9" xfId="0" applyNumberFormat="1" applyFont="1" applyFill="1" applyBorder="1" applyAlignment="1" applyProtection="1">
      <alignment vertical="center" wrapText="1"/>
    </xf>
    <xf numFmtId="3" fontId="13" fillId="7" borderId="0" xfId="0" applyNumberFormat="1" applyFont="1" applyFill="1" applyBorder="1" applyAlignment="1" applyProtection="1">
      <alignment horizontal="center" vertical="center"/>
    </xf>
    <xf numFmtId="3" fontId="13" fillId="7" borderId="10" xfId="0" applyNumberFormat="1" applyFont="1" applyFill="1" applyBorder="1" applyAlignment="1" applyProtection="1">
      <alignment horizontal="center" vertical="center"/>
    </xf>
    <xf numFmtId="164" fontId="13" fillId="7" borderId="9" xfId="0" applyNumberFormat="1" applyFont="1" applyFill="1" applyBorder="1" applyAlignment="1" applyProtection="1">
      <alignment vertical="center" wrapText="1"/>
    </xf>
    <xf numFmtId="165" fontId="13" fillId="7" borderId="0" xfId="0" applyNumberFormat="1" applyFont="1" applyFill="1" applyBorder="1" applyAlignment="1" applyProtection="1">
      <alignment horizontal="center" vertical="center" wrapText="1"/>
      <protection locked="0"/>
    </xf>
    <xf numFmtId="165" fontId="13" fillId="7" borderId="10" xfId="0" applyNumberFormat="1" applyFont="1" applyFill="1" applyBorder="1" applyAlignment="1" applyProtection="1">
      <alignment horizontal="center" vertical="center" wrapText="1"/>
      <protection locked="0"/>
    </xf>
    <xf numFmtId="10" fontId="19" fillId="4" borderId="9" xfId="7" applyNumberFormat="1" applyFont="1" applyFill="1" applyBorder="1" applyAlignment="1" applyProtection="1">
      <alignment horizontal="center" vertical="center"/>
    </xf>
    <xf numFmtId="10" fontId="13" fillId="7" borderId="0" xfId="7" applyNumberFormat="1" applyFont="1" applyFill="1" applyBorder="1" applyAlignment="1" applyProtection="1">
      <alignment horizontal="center" vertical="center"/>
    </xf>
    <xf numFmtId="10" fontId="13" fillId="7" borderId="10" xfId="7" applyNumberFormat="1" applyFont="1" applyFill="1" applyBorder="1" applyAlignment="1" applyProtection="1">
      <alignment horizontal="center" vertical="center"/>
    </xf>
    <xf numFmtId="167" fontId="13" fillId="7" borderId="0" xfId="7" applyNumberFormat="1" applyFont="1" applyFill="1" applyBorder="1" applyAlignment="1" applyProtection="1">
      <alignment horizontal="center" vertical="center"/>
    </xf>
    <xf numFmtId="167" fontId="13" fillId="7" borderId="10" xfId="7" applyNumberFormat="1" applyFont="1" applyFill="1" applyBorder="1" applyAlignment="1" applyProtection="1">
      <alignment horizontal="center" vertical="center"/>
    </xf>
    <xf numFmtId="3" fontId="13" fillId="7" borderId="26" xfId="0" applyNumberFormat="1" applyFont="1" applyFill="1" applyBorder="1" applyAlignment="1" applyProtection="1">
      <alignment horizontal="center" vertical="center" wrapText="1"/>
      <protection locked="0"/>
    </xf>
    <xf numFmtId="164" fontId="26" fillId="6" borderId="9" xfId="0" applyNumberFormat="1" applyFont="1" applyFill="1" applyBorder="1" applyAlignment="1" applyProtection="1">
      <alignment vertical="center" wrapText="1"/>
    </xf>
    <xf numFmtId="3" fontId="13" fillId="7" borderId="29" xfId="0" applyNumberFormat="1" applyFont="1" applyFill="1" applyBorder="1" applyAlignment="1" applyProtection="1">
      <alignment horizontal="center" vertical="center" wrapText="1"/>
      <protection locked="0"/>
    </xf>
    <xf numFmtId="3" fontId="13" fillId="7" borderId="30" xfId="0" applyNumberFormat="1" applyFont="1" applyFill="1" applyBorder="1" applyAlignment="1" applyProtection="1">
      <alignment horizontal="center" vertical="center" wrapText="1"/>
      <protection locked="0"/>
    </xf>
    <xf numFmtId="3" fontId="13" fillId="7" borderId="31" xfId="0" applyNumberFormat="1" applyFont="1" applyFill="1" applyBorder="1" applyAlignment="1" applyProtection="1">
      <alignment horizontal="center" vertical="center" wrapText="1"/>
      <protection locked="0"/>
    </xf>
    <xf numFmtId="164" fontId="13" fillId="7" borderId="17" xfId="0" applyNumberFormat="1" applyFont="1" applyFill="1" applyBorder="1" applyAlignment="1" applyProtection="1">
      <alignment vertical="center" wrapText="1"/>
    </xf>
    <xf numFmtId="1" fontId="25" fillId="2" borderId="0" xfId="0" applyNumberFormat="1" applyFont="1" applyFill="1" applyBorder="1" applyAlignment="1" applyProtection="1">
      <alignment horizontal="center" vertical="center"/>
    </xf>
    <xf numFmtId="1" fontId="25" fillId="2" borderId="10" xfId="0" applyNumberFormat="1" applyFont="1" applyFill="1" applyBorder="1" applyAlignment="1" applyProtection="1">
      <alignment horizontal="center" vertical="center"/>
    </xf>
    <xf numFmtId="164" fontId="21" fillId="6" borderId="9" xfId="0" applyNumberFormat="1" applyFont="1" applyFill="1" applyBorder="1" applyAlignment="1" applyProtection="1">
      <alignment vertical="center" wrapText="1"/>
    </xf>
    <xf numFmtId="165" fontId="21" fillId="7" borderId="21" xfId="0" applyNumberFormat="1" applyFont="1" applyFill="1" applyBorder="1" applyAlignment="1" applyProtection="1">
      <alignment horizontal="center" vertical="center" wrapText="1"/>
      <protection locked="0"/>
    </xf>
    <xf numFmtId="165" fontId="21" fillId="7" borderId="32" xfId="0" applyNumberFormat="1" applyFont="1" applyFill="1" applyBorder="1" applyAlignment="1" applyProtection="1">
      <alignment horizontal="center" vertical="center" wrapText="1"/>
      <protection locked="0"/>
    </xf>
    <xf numFmtId="165" fontId="21" fillId="7" borderId="22" xfId="0" applyNumberFormat="1" applyFont="1" applyFill="1" applyBorder="1" applyAlignment="1" applyProtection="1">
      <alignment horizontal="center" vertical="center" wrapText="1"/>
      <protection locked="0"/>
    </xf>
    <xf numFmtId="165" fontId="21" fillId="7" borderId="26" xfId="0" applyNumberFormat="1" applyFont="1" applyFill="1" applyBorder="1" applyAlignment="1" applyProtection="1">
      <alignment horizontal="center" vertical="center" wrapText="1"/>
      <protection locked="0"/>
    </xf>
    <xf numFmtId="164" fontId="13" fillId="0" borderId="9" xfId="0" applyNumberFormat="1" applyFont="1" applyFill="1" applyBorder="1" applyAlignment="1" applyProtection="1">
      <alignment vertical="center" wrapText="1"/>
    </xf>
    <xf numFmtId="3" fontId="13" fillId="7" borderId="27" xfId="0" applyNumberFormat="1" applyFont="1" applyFill="1" applyBorder="1" applyAlignment="1" applyProtection="1">
      <alignment horizontal="center" vertical="center" wrapText="1"/>
      <protection locked="0"/>
    </xf>
    <xf numFmtId="3" fontId="13" fillId="7" borderId="28" xfId="0" applyNumberFormat="1" applyFont="1" applyFill="1" applyBorder="1" applyAlignment="1" applyProtection="1">
      <alignment horizontal="center" vertical="center" wrapText="1"/>
      <protection locked="0"/>
    </xf>
    <xf numFmtId="164" fontId="21" fillId="7" borderId="9" xfId="0" applyNumberFormat="1" applyFont="1" applyFill="1" applyBorder="1" applyAlignment="1" applyProtection="1">
      <alignment vertical="center" wrapText="1"/>
    </xf>
    <xf numFmtId="3" fontId="21" fillId="7" borderId="0" xfId="0" applyNumberFormat="1" applyFont="1" applyFill="1" applyBorder="1" applyAlignment="1" applyProtection="1">
      <alignment horizontal="center" vertical="center"/>
    </xf>
    <xf numFmtId="3" fontId="21" fillId="7" borderId="10" xfId="0" applyNumberFormat="1" applyFont="1" applyFill="1" applyBorder="1" applyAlignment="1" applyProtection="1">
      <alignment horizontal="center" vertical="center"/>
    </xf>
    <xf numFmtId="3" fontId="13" fillId="6" borderId="0" xfId="0" applyNumberFormat="1" applyFont="1" applyFill="1" applyBorder="1" applyAlignment="1" applyProtection="1">
      <alignment horizontal="center" vertical="center"/>
    </xf>
    <xf numFmtId="3" fontId="13" fillId="6" borderId="10" xfId="0" applyNumberFormat="1" applyFont="1" applyFill="1" applyBorder="1" applyAlignment="1" applyProtection="1">
      <alignment horizontal="center" vertical="center"/>
    </xf>
    <xf numFmtId="1" fontId="19" fillId="4" borderId="0" xfId="0" applyNumberFormat="1" applyFont="1" applyFill="1" applyBorder="1" applyAlignment="1" applyProtection="1">
      <alignment horizontal="center" vertical="center"/>
    </xf>
    <xf numFmtId="3" fontId="13" fillId="7" borderId="0" xfId="0" applyNumberFormat="1" applyFont="1" applyFill="1" applyBorder="1" applyAlignment="1" applyProtection="1">
      <alignment horizontal="center" vertical="center" wrapText="1"/>
      <protection locked="0"/>
    </xf>
    <xf numFmtId="3" fontId="13" fillId="7" borderId="10" xfId="0" applyNumberFormat="1" applyFont="1" applyFill="1" applyBorder="1" applyAlignment="1" applyProtection="1">
      <alignment horizontal="center" vertical="center" wrapText="1"/>
      <protection locked="0"/>
    </xf>
    <xf numFmtId="1" fontId="7" fillId="2" borderId="0" xfId="0" applyNumberFormat="1" applyFont="1" applyFill="1" applyBorder="1" applyAlignment="1" applyProtection="1">
      <alignment horizontal="center" vertical="center"/>
    </xf>
    <xf numFmtId="1" fontId="7" fillId="2" borderId="10" xfId="0" applyNumberFormat="1" applyFont="1" applyFill="1" applyBorder="1" applyAlignment="1" applyProtection="1">
      <alignment horizontal="center" vertical="center"/>
    </xf>
    <xf numFmtId="164" fontId="7" fillId="6" borderId="7" xfId="0" applyNumberFormat="1" applyFont="1" applyFill="1" applyBorder="1" applyAlignment="1" applyProtection="1">
      <alignment horizontal="center" vertical="center" wrapText="1"/>
    </xf>
    <xf numFmtId="164" fontId="7" fillId="6" borderId="8" xfId="0" applyNumberFormat="1" applyFont="1" applyFill="1" applyBorder="1" applyAlignment="1" applyProtection="1">
      <alignment horizontal="center" vertical="center" wrapText="1"/>
    </xf>
    <xf numFmtId="164" fontId="16" fillId="7" borderId="17" xfId="0" applyNumberFormat="1" applyFont="1" applyFill="1" applyBorder="1" applyAlignment="1" applyProtection="1">
      <alignment horizontal="center" vertical="center" wrapText="1"/>
    </xf>
    <xf numFmtId="164" fontId="16" fillId="7" borderId="18" xfId="0" applyNumberFormat="1" applyFont="1" applyFill="1" applyBorder="1" applyAlignment="1" applyProtection="1">
      <alignment horizontal="center" vertical="center" wrapText="1"/>
    </xf>
    <xf numFmtId="164" fontId="16" fillId="7" borderId="9" xfId="0" applyNumberFormat="1" applyFont="1" applyFill="1" applyBorder="1" applyAlignment="1" applyProtection="1">
      <alignment horizontal="center" vertical="center" wrapText="1"/>
    </xf>
    <xf numFmtId="164" fontId="16" fillId="7" borderId="0" xfId="0" applyNumberFormat="1" applyFont="1" applyFill="1" applyBorder="1" applyAlignment="1" applyProtection="1">
      <alignment horizontal="center" vertical="center" wrapText="1"/>
    </xf>
    <xf numFmtId="164" fontId="6" fillId="6" borderId="7" xfId="0" applyNumberFormat="1" applyFont="1" applyFill="1" applyBorder="1" applyAlignment="1" applyProtection="1">
      <alignment horizontal="center" vertical="center" wrapText="1"/>
    </xf>
    <xf numFmtId="164" fontId="6" fillId="6" borderId="8" xfId="0" applyNumberFormat="1" applyFont="1" applyFill="1" applyBorder="1" applyAlignment="1" applyProtection="1">
      <alignment horizontal="center" vertical="center" wrapText="1"/>
    </xf>
    <xf numFmtId="164" fontId="7" fillId="6" borderId="0" xfId="0" applyNumberFormat="1" applyFont="1" applyFill="1" applyBorder="1" applyAlignment="1" applyProtection="1">
      <alignment horizontal="center" vertical="center" wrapText="1"/>
    </xf>
    <xf numFmtId="164" fontId="7" fillId="6" borderId="1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1" fontId="21" fillId="0" borderId="7" xfId="0" applyNumberFormat="1" applyFont="1" applyFill="1" applyBorder="1" applyAlignment="1" applyProtection="1">
      <alignment horizontal="center" vertical="center"/>
    </xf>
    <xf numFmtId="1" fontId="21" fillId="0" borderId="8" xfId="0" applyNumberFormat="1" applyFont="1" applyFill="1" applyBorder="1" applyAlignment="1" applyProtection="1">
      <alignment horizontal="center" vertical="center"/>
    </xf>
    <xf numFmtId="1" fontId="21" fillId="2" borderId="7" xfId="0" applyNumberFormat="1" applyFont="1" applyFill="1" applyBorder="1" applyAlignment="1" applyProtection="1">
      <alignment horizontal="center" vertical="center"/>
    </xf>
    <xf numFmtId="1" fontId="21" fillId="2" borderId="8" xfId="0" applyNumberFormat="1" applyFont="1" applyFill="1" applyBorder="1" applyAlignment="1" applyProtection="1">
      <alignment horizontal="center" vertical="center"/>
    </xf>
    <xf numFmtId="164" fontId="21" fillId="6" borderId="7" xfId="0" applyNumberFormat="1" applyFont="1" applyFill="1" applyBorder="1" applyAlignment="1" applyProtection="1">
      <alignment horizontal="center" vertical="center" wrapText="1"/>
    </xf>
    <xf numFmtId="164" fontId="21" fillId="6" borderId="8" xfId="0" applyNumberFormat="1" applyFont="1" applyFill="1" applyBorder="1" applyAlignment="1" applyProtection="1">
      <alignment horizontal="center" vertical="center" wrapText="1"/>
    </xf>
    <xf numFmtId="165" fontId="13" fillId="0" borderId="0" xfId="0" applyNumberFormat="1" applyFont="1" applyFill="1" applyBorder="1" applyAlignment="1" applyProtection="1">
      <alignment horizontal="center" vertical="center"/>
    </xf>
    <xf numFmtId="165" fontId="21" fillId="6" borderId="0" xfId="0" applyNumberFormat="1" applyFont="1" applyFill="1" applyBorder="1" applyAlignment="1" applyProtection="1">
      <alignment horizontal="center" vertical="center"/>
    </xf>
    <xf numFmtId="9" fontId="13" fillId="7" borderId="0" xfId="7" applyFont="1" applyFill="1" applyBorder="1" applyAlignment="1" applyProtection="1">
      <alignment horizontal="center" vertical="center"/>
    </xf>
    <xf numFmtId="164" fontId="13" fillId="7" borderId="0" xfId="0" applyNumberFormat="1" applyFont="1" applyFill="1" applyBorder="1" applyAlignment="1" applyProtection="1">
      <alignment vertical="center" wrapText="1"/>
    </xf>
    <xf numFmtId="168" fontId="7" fillId="2" borderId="0" xfId="0" applyNumberFormat="1" applyFont="1" applyFill="1" applyBorder="1" applyAlignment="1" applyProtection="1">
      <alignment horizontal="center" vertical="center"/>
    </xf>
    <xf numFmtId="165" fontId="13" fillId="7" borderId="42" xfId="0" applyNumberFormat="1" applyFont="1" applyFill="1" applyBorder="1" applyAlignment="1" applyProtection="1">
      <alignment horizontal="center" vertical="center"/>
      <protection locked="0"/>
    </xf>
    <xf numFmtId="165" fontId="13" fillId="7" borderId="43" xfId="0" applyNumberFormat="1" applyFont="1" applyFill="1" applyBorder="1" applyAlignment="1" applyProtection="1">
      <alignment horizontal="center" vertical="center"/>
      <protection locked="0"/>
    </xf>
    <xf numFmtId="165" fontId="13" fillId="7" borderId="44" xfId="0" applyNumberFormat="1" applyFont="1" applyFill="1" applyBorder="1" applyAlignment="1" applyProtection="1">
      <alignment horizontal="center" vertical="center"/>
      <protection locked="0"/>
    </xf>
    <xf numFmtId="164" fontId="35" fillId="7" borderId="9" xfId="0" applyNumberFormat="1" applyFont="1" applyFill="1" applyBorder="1" applyAlignment="1" applyProtection="1">
      <alignment vertical="center"/>
    </xf>
    <xf numFmtId="1" fontId="7" fillId="0" borderId="0" xfId="0" applyNumberFormat="1" applyFont="1" applyFill="1" applyBorder="1" applyAlignment="1" applyProtection="1">
      <alignment horizontal="center" vertical="center"/>
    </xf>
    <xf numFmtId="9" fontId="13" fillId="7" borderId="21" xfId="7" applyFont="1" applyFill="1" applyBorder="1" applyAlignment="1" applyProtection="1">
      <alignment horizontal="center" vertical="center" wrapText="1"/>
      <protection locked="0"/>
    </xf>
    <xf numFmtId="165" fontId="13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13" fillId="0" borderId="0" xfId="7" applyFont="1" applyFill="1" applyBorder="1" applyAlignment="1" applyProtection="1">
      <alignment horizontal="center" vertical="center"/>
    </xf>
    <xf numFmtId="3" fontId="13" fillId="7" borderId="0" xfId="7" applyNumberFormat="1" applyFont="1" applyFill="1" applyBorder="1" applyAlignment="1" applyProtection="1">
      <alignment horizontal="center" vertical="center"/>
    </xf>
    <xf numFmtId="3" fontId="13" fillId="7" borderId="10" xfId="7" applyNumberFormat="1" applyFont="1" applyFill="1" applyBorder="1" applyAlignment="1" applyProtection="1">
      <alignment horizontal="center" vertical="center"/>
    </xf>
    <xf numFmtId="9" fontId="21" fillId="7" borderId="21" xfId="7" applyFont="1" applyFill="1" applyBorder="1" applyAlignment="1" applyProtection="1">
      <alignment horizontal="center" vertical="center" wrapText="1"/>
      <protection locked="0"/>
    </xf>
    <xf numFmtId="3" fontId="13" fillId="7" borderId="21" xfId="7" applyNumberFormat="1" applyFont="1" applyFill="1" applyBorder="1" applyAlignment="1" applyProtection="1">
      <alignment horizontal="center" vertical="center" wrapText="1"/>
      <protection locked="0"/>
    </xf>
    <xf numFmtId="3" fontId="13" fillId="7" borderId="32" xfId="7" applyNumberFormat="1" applyFont="1" applyFill="1" applyBorder="1" applyAlignment="1" applyProtection="1">
      <alignment horizontal="center" vertical="center" wrapText="1"/>
      <protection locked="0"/>
    </xf>
    <xf numFmtId="3" fontId="13" fillId="7" borderId="22" xfId="7" applyNumberFormat="1" applyFont="1" applyFill="1" applyBorder="1" applyAlignment="1" applyProtection="1">
      <alignment horizontal="center" vertical="center" wrapText="1"/>
      <protection locked="0"/>
    </xf>
    <xf numFmtId="3" fontId="13" fillId="0" borderId="0" xfId="7" applyNumberFormat="1" applyFont="1" applyFill="1" applyBorder="1" applyAlignment="1" applyProtection="1">
      <alignment horizontal="center" vertical="center" wrapText="1"/>
      <protection locked="0"/>
    </xf>
    <xf numFmtId="3" fontId="13" fillId="7" borderId="23" xfId="7" applyNumberFormat="1" applyFont="1" applyFill="1" applyBorder="1" applyAlignment="1" applyProtection="1">
      <alignment horizontal="center" vertical="center" wrapText="1"/>
      <protection locked="0"/>
    </xf>
    <xf numFmtId="3" fontId="13" fillId="7" borderId="24" xfId="7" applyNumberFormat="1" applyFont="1" applyFill="1" applyBorder="1" applyAlignment="1" applyProtection="1">
      <alignment horizontal="center" vertical="center" wrapText="1"/>
      <protection locked="0"/>
    </xf>
    <xf numFmtId="3" fontId="13" fillId="7" borderId="25" xfId="7" applyNumberFormat="1" applyFont="1" applyFill="1" applyBorder="1" applyAlignment="1" applyProtection="1">
      <alignment horizontal="center" vertical="center" wrapText="1"/>
      <protection locked="0"/>
    </xf>
    <xf numFmtId="3" fontId="13" fillId="7" borderId="0" xfId="7" applyNumberFormat="1" applyFont="1" applyFill="1" applyBorder="1" applyAlignment="1" applyProtection="1">
      <alignment horizontal="center" vertical="center" wrapText="1"/>
      <protection locked="0"/>
    </xf>
    <xf numFmtId="3" fontId="13" fillId="7" borderId="26" xfId="7" applyNumberFormat="1" applyFont="1" applyFill="1" applyBorder="1" applyAlignment="1" applyProtection="1">
      <alignment horizontal="center" vertical="center" wrapText="1"/>
      <protection locked="0"/>
    </xf>
    <xf numFmtId="3" fontId="13" fillId="7" borderId="27" xfId="7" applyNumberFormat="1" applyFont="1" applyFill="1" applyBorder="1" applyAlignment="1" applyProtection="1">
      <alignment horizontal="center" vertical="center" wrapText="1"/>
      <protection locked="0"/>
    </xf>
    <xf numFmtId="3" fontId="13" fillId="7" borderId="28" xfId="7" applyNumberFormat="1" applyFont="1" applyFill="1" applyBorder="1" applyAlignment="1" applyProtection="1">
      <alignment horizontal="center" vertical="center" wrapText="1"/>
      <protection locked="0"/>
    </xf>
    <xf numFmtId="3" fontId="13" fillId="7" borderId="10" xfId="7" applyNumberFormat="1" applyFont="1" applyFill="1" applyBorder="1" applyAlignment="1" applyProtection="1">
      <alignment horizontal="center" vertical="center" wrapText="1"/>
      <protection locked="0"/>
    </xf>
    <xf numFmtId="1" fontId="7" fillId="0" borderId="7" xfId="0" applyNumberFormat="1" applyFont="1" applyFill="1" applyBorder="1" applyAlignment="1" applyProtection="1">
      <alignment horizontal="center" vertical="center"/>
    </xf>
    <xf numFmtId="1" fontId="7" fillId="0" borderId="8" xfId="0" applyNumberFormat="1" applyFont="1" applyFill="1" applyBorder="1" applyAlignment="1" applyProtection="1">
      <alignment horizontal="center" vertical="center"/>
    </xf>
    <xf numFmtId="165" fontId="18" fillId="2" borderId="0" xfId="0" applyNumberFormat="1" applyFont="1" applyFill="1" applyBorder="1" applyAlignment="1" applyProtection="1">
      <alignment horizontal="center" vertical="center"/>
    </xf>
    <xf numFmtId="164" fontId="26" fillId="2" borderId="9" xfId="0" applyNumberFormat="1" applyFont="1" applyFill="1" applyBorder="1" applyAlignment="1" applyProtection="1">
      <alignment vertical="center" wrapText="1"/>
    </xf>
    <xf numFmtId="1" fontId="19" fillId="4" borderId="17" xfId="0" applyNumberFormat="1" applyFont="1" applyFill="1" applyBorder="1" applyAlignment="1" applyProtection="1">
      <alignment horizontal="center" vertical="center"/>
    </xf>
    <xf numFmtId="3" fontId="13" fillId="7" borderId="18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/>
    </xf>
    <xf numFmtId="1" fontId="6" fillId="0" borderId="3" xfId="0" applyNumberFormat="1" applyFont="1" applyBorder="1"/>
    <xf numFmtId="0" fontId="6" fillId="0" borderId="3" xfId="0" applyFont="1" applyBorder="1"/>
    <xf numFmtId="0" fontId="6" fillId="0" borderId="0" xfId="0" applyFont="1"/>
    <xf numFmtId="1" fontId="6" fillId="0" borderId="0" xfId="0" applyNumberFormat="1" applyFont="1"/>
    <xf numFmtId="165" fontId="21" fillId="7" borderId="10" xfId="0" applyNumberFormat="1" applyFont="1" applyFill="1" applyBorder="1" applyAlignment="1" applyProtection="1">
      <alignment horizontal="center" vertical="center" wrapText="1"/>
      <protection locked="0"/>
    </xf>
    <xf numFmtId="165" fontId="21" fillId="7" borderId="0" xfId="0" applyNumberFormat="1" applyFont="1" applyFill="1" applyBorder="1" applyAlignment="1" applyProtection="1">
      <alignment horizontal="center" vertical="center" wrapText="1"/>
      <protection locked="0"/>
    </xf>
    <xf numFmtId="9" fontId="21" fillId="7" borderId="0" xfId="6" applyFont="1" applyFill="1" applyBorder="1" applyAlignment="1" applyProtection="1">
      <alignment horizontal="center" vertical="center"/>
    </xf>
    <xf numFmtId="9" fontId="21" fillId="7" borderId="10" xfId="6" applyFont="1" applyFill="1" applyBorder="1" applyAlignment="1" applyProtection="1">
      <alignment horizontal="center" vertical="center"/>
    </xf>
    <xf numFmtId="167" fontId="13" fillId="7" borderId="0" xfId="6" applyNumberFormat="1" applyFont="1" applyFill="1" applyBorder="1" applyAlignment="1" applyProtection="1">
      <alignment horizontal="center" vertical="center"/>
    </xf>
    <xf numFmtId="9" fontId="13" fillId="7" borderId="0" xfId="6" applyNumberFormat="1" applyFont="1" applyFill="1" applyBorder="1" applyAlignment="1" applyProtection="1">
      <alignment horizontal="center" vertical="center"/>
    </xf>
    <xf numFmtId="3" fontId="21" fillId="7" borderId="0" xfId="7" applyNumberFormat="1" applyFont="1" applyFill="1" applyBorder="1" applyAlignment="1" applyProtection="1">
      <alignment horizontal="center" vertical="center"/>
    </xf>
    <xf numFmtId="9" fontId="13" fillId="7" borderId="9" xfId="6" applyFont="1" applyFill="1" applyBorder="1" applyAlignment="1" applyProtection="1">
      <alignment vertical="center" wrapText="1"/>
    </xf>
    <xf numFmtId="164" fontId="24" fillId="7" borderId="17" xfId="0" applyNumberFormat="1" applyFont="1" applyFill="1" applyBorder="1" applyAlignment="1" applyProtection="1">
      <alignment vertical="center" wrapText="1"/>
    </xf>
    <xf numFmtId="165" fontId="18" fillId="7" borderId="18" xfId="0" applyNumberFormat="1" applyFont="1" applyFill="1" applyBorder="1" applyAlignment="1" applyProtection="1">
      <alignment horizontal="center" vertical="center" wrapText="1"/>
    </xf>
    <xf numFmtId="165" fontId="18" fillId="7" borderId="20" xfId="0" applyNumberFormat="1" applyFont="1" applyFill="1" applyBorder="1" applyAlignment="1" applyProtection="1">
      <alignment horizontal="center" vertical="center" wrapText="1"/>
    </xf>
    <xf numFmtId="9" fontId="21" fillId="7" borderId="9" xfId="6" applyFont="1" applyFill="1" applyBorder="1" applyAlignment="1" applyProtection="1">
      <alignment vertical="center" wrapText="1"/>
    </xf>
    <xf numFmtId="164" fontId="13" fillId="2" borderId="9" xfId="0" applyNumberFormat="1" applyFont="1" applyFill="1" applyBorder="1" applyAlignment="1" applyProtection="1">
      <alignment horizontal="left" vertical="center" wrapText="1"/>
    </xf>
    <xf numFmtId="164" fontId="34" fillId="2" borderId="9" xfId="0" applyNumberFormat="1" applyFont="1" applyFill="1" applyBorder="1" applyAlignment="1" applyProtection="1">
      <alignment vertical="center" wrapText="1"/>
    </xf>
    <xf numFmtId="164" fontId="35" fillId="7" borderId="9" xfId="0" applyNumberFormat="1" applyFont="1" applyFill="1" applyBorder="1" applyAlignment="1" applyProtection="1">
      <alignment vertical="center" wrapText="1"/>
    </xf>
    <xf numFmtId="0" fontId="13" fillId="0" borderId="0" xfId="0" applyFont="1" applyAlignment="1">
      <alignment horizontal="left" vertical="center"/>
    </xf>
    <xf numFmtId="0" fontId="6" fillId="4" borderId="17" xfId="0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28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vertical="center"/>
    </xf>
    <xf numFmtId="0" fontId="6" fillId="0" borderId="18" xfId="0" applyFont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7" fillId="0" borderId="0" xfId="0" applyFont="1" applyFill="1" applyBorder="1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65" fontId="13" fillId="7" borderId="0" xfId="0" applyNumberFormat="1" applyFont="1" applyFill="1" applyBorder="1" applyAlignment="1" applyProtection="1">
      <alignment horizontal="center" vertical="center"/>
      <protection locked="0"/>
    </xf>
    <xf numFmtId="167" fontId="13" fillId="7" borderId="10" xfId="6" applyNumberFormat="1" applyFont="1" applyFill="1" applyBorder="1" applyAlignment="1" applyProtection="1">
      <alignment horizontal="center" vertical="center"/>
    </xf>
    <xf numFmtId="165" fontId="37" fillId="6" borderId="0" xfId="0" applyNumberFormat="1" applyFont="1" applyFill="1" applyBorder="1" applyAlignment="1" applyProtection="1">
      <alignment horizontal="center" vertical="center"/>
    </xf>
    <xf numFmtId="165" fontId="6" fillId="0" borderId="0" xfId="0" applyNumberFormat="1" applyFont="1" applyAlignment="1" applyProtection="1">
      <protection locked="0"/>
    </xf>
    <xf numFmtId="0" fontId="36" fillId="0" borderId="0" xfId="0" applyFont="1" applyAlignment="1" applyProtection="1">
      <protection locked="0"/>
    </xf>
    <xf numFmtId="0" fontId="6" fillId="0" borderId="9" xfId="0" applyFont="1" applyBorder="1" applyAlignment="1" applyProtection="1">
      <protection locked="0"/>
    </xf>
    <xf numFmtId="165" fontId="13" fillId="7" borderId="45" xfId="0" applyNumberFormat="1" applyFont="1" applyFill="1" applyBorder="1" applyAlignment="1" applyProtection="1">
      <alignment horizontal="center" vertical="center" wrapText="1"/>
      <protection locked="0"/>
    </xf>
    <xf numFmtId="165" fontId="6" fillId="0" borderId="9" xfId="0" applyNumberFormat="1" applyFont="1" applyBorder="1" applyAlignment="1" applyProtection="1">
      <protection locked="0"/>
    </xf>
    <xf numFmtId="165" fontId="13" fillId="7" borderId="46" xfId="0" applyNumberFormat="1" applyFont="1" applyFill="1" applyBorder="1" applyAlignment="1" applyProtection="1">
      <alignment horizontal="center" vertical="center" wrapText="1"/>
      <protection locked="0"/>
    </xf>
    <xf numFmtId="165" fontId="21" fillId="7" borderId="44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9" xfId="0" applyFont="1" applyFill="1" applyBorder="1" applyAlignment="1" applyProtection="1">
      <protection locked="0"/>
    </xf>
    <xf numFmtId="165" fontId="13" fillId="7" borderId="0" xfId="7" applyNumberFormat="1" applyFont="1" applyFill="1" applyBorder="1" applyAlignment="1" applyProtection="1">
      <alignment horizontal="center" vertical="center"/>
    </xf>
    <xf numFmtId="167" fontId="13" fillId="0" borderId="0" xfId="6" applyNumberFormat="1" applyFont="1" applyFill="1" applyBorder="1" applyAlignment="1" applyProtection="1">
      <alignment horizontal="center" vertical="center"/>
      <protection locked="0"/>
    </xf>
    <xf numFmtId="167" fontId="13" fillId="0" borderId="10" xfId="6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9" fontId="21" fillId="6" borderId="0" xfId="7" applyFont="1" applyFill="1" applyBorder="1" applyAlignment="1" applyProtection="1">
      <alignment horizontal="center" vertical="center"/>
    </xf>
    <xf numFmtId="3" fontId="13" fillId="0" borderId="0" xfId="0" applyNumberFormat="1" applyFont="1" applyFill="1" applyBorder="1" applyAlignment="1" applyProtection="1">
      <alignment horizontal="center" vertical="center"/>
      <protection locked="0"/>
    </xf>
    <xf numFmtId="3" fontId="13" fillId="0" borderId="10" xfId="0" applyNumberFormat="1" applyFont="1" applyFill="1" applyBorder="1" applyAlignment="1" applyProtection="1">
      <alignment horizontal="center" vertical="center"/>
      <protection locked="0"/>
    </xf>
    <xf numFmtId="3" fontId="13" fillId="2" borderId="0" xfId="0" applyNumberFormat="1" applyFont="1" applyFill="1" applyBorder="1" applyAlignment="1" applyProtection="1">
      <alignment horizontal="center" vertical="center"/>
      <protection locked="0"/>
    </xf>
    <xf numFmtId="3" fontId="13" fillId="2" borderId="10" xfId="0" applyNumberFormat="1" applyFont="1" applyFill="1" applyBorder="1" applyAlignment="1" applyProtection="1">
      <alignment horizontal="center" vertical="center"/>
      <protection locked="0"/>
    </xf>
    <xf numFmtId="164" fontId="13" fillId="2" borderId="47" xfId="0" applyNumberFormat="1" applyFont="1" applyFill="1" applyBorder="1" applyAlignment="1" applyProtection="1">
      <alignment vertical="center" wrapText="1"/>
    </xf>
    <xf numFmtId="164" fontId="13" fillId="7" borderId="48" xfId="0" applyNumberFormat="1" applyFont="1" applyFill="1" applyBorder="1" applyAlignment="1" applyProtection="1">
      <alignment vertical="center" wrapText="1"/>
    </xf>
    <xf numFmtId="167" fontId="13" fillId="7" borderId="49" xfId="7" applyNumberFormat="1" applyFont="1" applyFill="1" applyBorder="1" applyAlignment="1" applyProtection="1">
      <alignment horizontal="center" vertical="center"/>
    </xf>
    <xf numFmtId="170" fontId="13" fillId="7" borderId="49" xfId="7" applyNumberFormat="1" applyFont="1" applyFill="1" applyBorder="1" applyAlignment="1" applyProtection="1">
      <alignment horizontal="center" vertical="center"/>
    </xf>
    <xf numFmtId="3" fontId="13" fillId="7" borderId="49" xfId="0" applyNumberFormat="1" applyFont="1" applyFill="1" applyBorder="1" applyAlignment="1" applyProtection="1">
      <alignment horizontal="center" vertical="center"/>
    </xf>
    <xf numFmtId="164" fontId="13" fillId="7" borderId="50" xfId="0" applyNumberFormat="1" applyFont="1" applyFill="1" applyBorder="1" applyAlignment="1" applyProtection="1">
      <alignment vertical="center" wrapText="1"/>
    </xf>
    <xf numFmtId="167" fontId="13" fillId="7" borderId="51" xfId="7" applyNumberFormat="1" applyFont="1" applyFill="1" applyBorder="1" applyAlignment="1" applyProtection="1">
      <alignment horizontal="center" vertical="center"/>
    </xf>
    <xf numFmtId="167" fontId="13" fillId="7" borderId="52" xfId="7" applyNumberFormat="1" applyFont="1" applyFill="1" applyBorder="1" applyAlignment="1" applyProtection="1">
      <alignment horizontal="center" vertical="center"/>
    </xf>
    <xf numFmtId="1" fontId="13" fillId="7" borderId="4" xfId="0" applyNumberFormat="1" applyFont="1" applyFill="1" applyBorder="1" applyAlignment="1" applyProtection="1">
      <alignment horizontal="left" vertical="center"/>
      <protection locked="0"/>
    </xf>
    <xf numFmtId="1" fontId="21" fillId="0" borderId="0" xfId="0" applyNumberFormat="1" applyFont="1" applyFill="1" applyBorder="1" applyAlignment="1" applyProtection="1">
      <alignment horizontal="right" vertical="center"/>
      <protection locked="0"/>
    </xf>
    <xf numFmtId="1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9" fontId="13" fillId="0" borderId="0" xfId="7" applyFont="1" applyFill="1" applyBorder="1" applyAlignment="1" applyProtection="1">
      <alignment horizontal="left" vertical="center" wrapText="1"/>
      <protection locked="0"/>
    </xf>
    <xf numFmtId="1" fontId="13" fillId="0" borderId="0" xfId="0" applyNumberFormat="1" applyFont="1" applyFill="1" applyBorder="1" applyAlignment="1" applyProtection="1">
      <alignment horizontal="left" vertical="center"/>
      <protection locked="0"/>
    </xf>
    <xf numFmtId="167" fontId="13" fillId="0" borderId="0" xfId="7" applyNumberFormat="1" applyFont="1" applyFill="1" applyBorder="1" applyAlignment="1" applyProtection="1">
      <alignment horizontal="center" vertical="center"/>
    </xf>
    <xf numFmtId="165" fontId="13" fillId="7" borderId="18" xfId="0" applyNumberFormat="1" applyFont="1" applyFill="1" applyBorder="1" applyAlignment="1" applyProtection="1">
      <alignment horizontal="center" vertical="center" wrapText="1"/>
      <protection locked="0"/>
    </xf>
    <xf numFmtId="3" fontId="13" fillId="0" borderId="0" xfId="0" applyNumberFormat="1" applyFont="1" applyFill="1" applyBorder="1" applyAlignment="1" applyProtection="1">
      <alignment horizontal="center" vertical="center" wrapText="1"/>
      <protection locked="0"/>
    </xf>
    <xf numFmtId="3" fontId="13" fillId="0" borderId="0" xfId="0" applyNumberFormat="1" applyFont="1" applyFill="1" applyBorder="1" applyAlignment="1" applyProtection="1">
      <alignment horizontal="center" vertical="center"/>
    </xf>
    <xf numFmtId="10" fontId="13" fillId="0" borderId="0" xfId="7" applyNumberFormat="1" applyFont="1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1" fontId="21" fillId="3" borderId="0" xfId="0" applyNumberFormat="1" applyFont="1" applyFill="1" applyBorder="1" applyAlignment="1" applyProtection="1">
      <alignment horizontal="right" vertical="center"/>
      <protection locked="0"/>
    </xf>
    <xf numFmtId="1" fontId="21" fillId="0" borderId="0" xfId="8" applyNumberFormat="1" applyFont="1" applyFill="1" applyBorder="1" applyAlignment="1" applyProtection="1">
      <alignment horizontal="right" vertical="center"/>
      <protection locked="0"/>
    </xf>
    <xf numFmtId="1" fontId="13" fillId="0" borderId="0" xfId="8" applyNumberFormat="1" applyFont="1" applyFill="1" applyBorder="1" applyAlignment="1" applyProtection="1">
      <alignment horizontal="left" vertical="center" wrapText="1"/>
      <protection locked="0"/>
    </xf>
    <xf numFmtId="1" fontId="13" fillId="3" borderId="0" xfId="8" applyNumberFormat="1" applyFont="1" applyFill="1" applyBorder="1" applyAlignment="1" applyProtection="1">
      <alignment horizontal="left" vertical="center" wrapText="1"/>
      <protection locked="0"/>
    </xf>
    <xf numFmtId="165" fontId="13" fillId="2" borderId="9" xfId="8" applyNumberFormat="1" applyFont="1" applyFill="1" applyBorder="1" applyAlignment="1" applyProtection="1">
      <alignment horizontal="center" vertical="center"/>
      <protection locked="0"/>
    </xf>
    <xf numFmtId="165" fontId="13" fillId="2" borderId="0" xfId="8" applyNumberFormat="1" applyFont="1" applyFill="1" applyBorder="1" applyAlignment="1" applyProtection="1">
      <alignment horizontal="center" vertical="center"/>
      <protection locked="0"/>
    </xf>
    <xf numFmtId="165" fontId="13" fillId="2" borderId="10" xfId="8" applyNumberFormat="1" applyFont="1" applyFill="1" applyBorder="1" applyAlignment="1" applyProtection="1">
      <alignment horizontal="center" vertical="center"/>
      <protection locked="0"/>
    </xf>
    <xf numFmtId="3" fontId="13" fillId="3" borderId="0" xfId="7" applyNumberFormat="1" applyFont="1" applyFill="1" applyBorder="1" applyAlignment="1" applyProtection="1">
      <alignment horizontal="left" vertical="center" wrapText="1"/>
      <protection locked="0"/>
    </xf>
    <xf numFmtId="169" fontId="13" fillId="2" borderId="0" xfId="8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7" fillId="3" borderId="53" xfId="0" applyFont="1" applyFill="1" applyBorder="1" applyAlignment="1" applyProtection="1">
      <alignment horizontal="center" vertical="center"/>
      <protection locked="0"/>
    </xf>
    <xf numFmtId="0" fontId="7" fillId="3" borderId="54" xfId="0" applyFont="1" applyFill="1" applyBorder="1" applyAlignment="1" applyProtection="1">
      <alignment horizontal="center"/>
      <protection locked="0"/>
    </xf>
    <xf numFmtId="164" fontId="13" fillId="7" borderId="9" xfId="0" quotePrefix="1" applyNumberFormat="1" applyFont="1" applyFill="1" applyBorder="1" applyAlignment="1" applyProtection="1">
      <alignment vertical="center" wrapText="1"/>
    </xf>
    <xf numFmtId="0" fontId="6" fillId="7" borderId="0" xfId="0" applyFont="1" applyFill="1"/>
    <xf numFmtId="0" fontId="7" fillId="7" borderId="0" xfId="0" applyFont="1" applyFill="1"/>
    <xf numFmtId="0" fontId="13" fillId="7" borderId="0" xfId="0" applyNumberFormat="1" applyFont="1" applyFill="1" applyBorder="1" applyAlignment="1" applyProtection="1">
      <alignment horizontal="center" vertical="center"/>
    </xf>
    <xf numFmtId="0" fontId="0" fillId="9" borderId="40" xfId="10" applyFont="1" applyBorder="1" applyAlignment="1">
      <alignment horizontal="left"/>
    </xf>
    <xf numFmtId="0" fontId="1" fillId="9" borderId="40" xfId="10" applyBorder="1" applyAlignment="1">
      <alignment horizontal="right"/>
    </xf>
    <xf numFmtId="0" fontId="39" fillId="9" borderId="40" xfId="10" applyFont="1" applyBorder="1" applyAlignment="1">
      <alignment horizontal="right"/>
    </xf>
    <xf numFmtId="2" fontId="38" fillId="8" borderId="3" xfId="9" applyNumberFormat="1" applyBorder="1" applyAlignment="1" applyProtection="1">
      <alignment vertical="center" wrapText="1"/>
      <protection locked="0"/>
    </xf>
    <xf numFmtId="0" fontId="0" fillId="9" borderId="0" xfId="10" applyFont="1" applyBorder="1" applyAlignment="1">
      <alignment horizontal="left"/>
    </xf>
    <xf numFmtId="0" fontId="1" fillId="9" borderId="0" xfId="10" applyBorder="1" applyAlignment="1">
      <alignment horizontal="right"/>
    </xf>
    <xf numFmtId="0" fontId="39" fillId="9" borderId="0" xfId="10" applyFont="1" applyBorder="1" applyAlignment="1">
      <alignment horizontal="right"/>
    </xf>
    <xf numFmtId="9" fontId="38" fillId="8" borderId="3" xfId="6" applyFont="1" applyFill="1" applyBorder="1" applyAlignment="1" applyProtection="1">
      <alignment vertical="center" wrapText="1"/>
      <protection locked="0"/>
    </xf>
    <xf numFmtId="165" fontId="13" fillId="7" borderId="0" xfId="6" applyNumberFormat="1" applyFont="1" applyFill="1" applyBorder="1" applyAlignment="1" applyProtection="1">
      <alignment horizontal="center" vertical="center"/>
    </xf>
    <xf numFmtId="165" fontId="6" fillId="0" borderId="0" xfId="0" applyNumberFormat="1" applyFont="1" applyAlignment="1">
      <alignment vertical="center"/>
    </xf>
    <xf numFmtId="3" fontId="13" fillId="7" borderId="0" xfId="6" applyNumberFormat="1" applyFont="1" applyFill="1" applyBorder="1" applyAlignment="1" applyProtection="1">
      <alignment horizontal="center" vertical="center"/>
    </xf>
    <xf numFmtId="3" fontId="21" fillId="7" borderId="10" xfId="7" applyNumberFormat="1" applyFont="1" applyFill="1" applyBorder="1" applyAlignment="1" applyProtection="1">
      <alignment horizontal="center" vertical="center"/>
    </xf>
    <xf numFmtId="0" fontId="6" fillId="7" borderId="18" xfId="0" applyFont="1" applyFill="1" applyBorder="1"/>
    <xf numFmtId="0" fontId="6" fillId="7" borderId="10" xfId="0" applyFont="1" applyFill="1" applyBorder="1"/>
    <xf numFmtId="0" fontId="6" fillId="7" borderId="20" xfId="0" applyFont="1" applyFill="1" applyBorder="1"/>
    <xf numFmtId="3" fontId="13" fillId="7" borderId="18" xfId="6" applyNumberFormat="1" applyFont="1" applyFill="1" applyBorder="1" applyAlignment="1" applyProtection="1">
      <alignment horizontal="center" vertical="center"/>
    </xf>
    <xf numFmtId="3" fontId="13" fillId="7" borderId="10" xfId="6" applyNumberFormat="1" applyFont="1" applyFill="1" applyBorder="1" applyAlignment="1" applyProtection="1">
      <alignment horizontal="center" vertical="center"/>
    </xf>
    <xf numFmtId="3" fontId="13" fillId="7" borderId="20" xfId="6" applyNumberFormat="1" applyFont="1" applyFill="1" applyBorder="1" applyAlignment="1" applyProtection="1">
      <alignment horizontal="center" vertical="center"/>
    </xf>
    <xf numFmtId="1" fontId="7" fillId="6" borderId="0" xfId="0" applyNumberFormat="1" applyFont="1" applyFill="1" applyBorder="1" applyAlignment="1" applyProtection="1">
      <alignment horizontal="center" vertical="center"/>
    </xf>
    <xf numFmtId="1" fontId="7" fillId="6" borderId="10" xfId="0" applyNumberFormat="1" applyFont="1" applyFill="1" applyBorder="1" applyAlignment="1" applyProtection="1">
      <alignment horizontal="center" vertical="center"/>
    </xf>
    <xf numFmtId="1" fontId="19" fillId="4" borderId="19" xfId="0" applyNumberFormat="1" applyFont="1" applyFill="1" applyBorder="1" applyAlignment="1" applyProtection="1">
      <alignment horizontal="center" vertical="center"/>
    </xf>
    <xf numFmtId="164" fontId="21" fillId="6" borderId="9" xfId="0" applyNumberFormat="1" applyFont="1" applyFill="1" applyBorder="1" applyAlignment="1" applyProtection="1">
      <alignment horizontal="left" vertical="center" wrapText="1"/>
    </xf>
    <xf numFmtId="164" fontId="13" fillId="6" borderId="9" xfId="0" applyNumberFormat="1" applyFont="1" applyFill="1" applyBorder="1" applyAlignment="1" applyProtection="1">
      <alignment horizontal="left" vertical="center"/>
    </xf>
    <xf numFmtId="164" fontId="13" fillId="6" borderId="9" xfId="0" applyNumberFormat="1" applyFont="1" applyFill="1" applyBorder="1" applyAlignment="1" applyProtection="1">
      <alignment horizontal="left" vertical="center" wrapText="1"/>
    </xf>
    <xf numFmtId="164" fontId="23" fillId="6" borderId="9" xfId="0" applyNumberFormat="1" applyFont="1" applyFill="1" applyBorder="1" applyAlignment="1" applyProtection="1">
      <alignment horizontal="left" vertical="center" wrapText="1"/>
    </xf>
    <xf numFmtId="164" fontId="20" fillId="6" borderId="9" xfId="0" applyNumberFormat="1" applyFont="1" applyFill="1" applyBorder="1" applyAlignment="1" applyProtection="1">
      <alignment horizontal="left" wrapText="1"/>
    </xf>
    <xf numFmtId="164" fontId="24" fillId="6" borderId="17" xfId="0" applyNumberFormat="1" applyFont="1" applyFill="1" applyBorder="1" applyAlignment="1" applyProtection="1">
      <alignment horizontal="left" vertical="center" wrapText="1"/>
    </xf>
    <xf numFmtId="0" fontId="6" fillId="0" borderId="7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protection locked="0"/>
    </xf>
    <xf numFmtId="165" fontId="30" fillId="7" borderId="9" xfId="0" applyNumberFormat="1" applyFont="1" applyFill="1" applyBorder="1" applyAlignment="1" applyProtection="1">
      <alignment horizontal="center" vertical="center"/>
    </xf>
    <xf numFmtId="165" fontId="30" fillId="7" borderId="0" xfId="0" applyNumberFormat="1" applyFont="1" applyFill="1" applyBorder="1" applyAlignment="1" applyProtection="1">
      <alignment horizontal="center" vertical="center"/>
    </xf>
    <xf numFmtId="0" fontId="30" fillId="0" borderId="0" xfId="0" applyFont="1" applyAlignment="1" applyProtection="1">
      <protection locked="0"/>
    </xf>
    <xf numFmtId="0" fontId="30" fillId="0" borderId="0" xfId="0" applyFont="1" applyBorder="1" applyAlignment="1" applyProtection="1"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 vertical="center"/>
      <protection locked="0"/>
    </xf>
    <xf numFmtId="170" fontId="30" fillId="0" borderId="0" xfId="0" applyNumberFormat="1" applyFont="1" applyFill="1" applyBorder="1" applyAlignment="1" applyProtection="1">
      <protection locked="0"/>
    </xf>
    <xf numFmtId="1" fontId="13" fillId="7" borderId="4" xfId="0" applyNumberFormat="1" applyFont="1" applyFill="1" applyBorder="1" applyAlignment="1" applyProtection="1">
      <alignment horizontal="left" vertical="center" wrapText="1"/>
      <protection locked="0"/>
    </xf>
    <xf numFmtId="1" fontId="13" fillId="7" borderId="1" xfId="0" applyNumberFormat="1" applyFont="1" applyFill="1" applyBorder="1" applyAlignment="1" applyProtection="1">
      <alignment horizontal="left" vertical="center" wrapText="1"/>
      <protection locked="0"/>
    </xf>
    <xf numFmtId="1" fontId="13" fillId="7" borderId="14" xfId="0" applyNumberFormat="1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/>
    <xf numFmtId="1" fontId="6" fillId="0" borderId="4" xfId="0" applyNumberFormat="1" applyFont="1" applyBorder="1"/>
    <xf numFmtId="3" fontId="13" fillId="2" borderId="3" xfId="0" applyNumberFormat="1" applyFont="1" applyFill="1" applyBorder="1" applyAlignment="1" applyProtection="1">
      <alignment horizontal="center" vertical="center"/>
      <protection locked="0"/>
    </xf>
    <xf numFmtId="3" fontId="13" fillId="0" borderId="3" xfId="0" applyNumberFormat="1" applyFont="1" applyFill="1" applyBorder="1" applyAlignment="1" applyProtection="1">
      <alignment horizontal="center" vertical="center"/>
      <protection locked="0"/>
    </xf>
    <xf numFmtId="167" fontId="13" fillId="0" borderId="3" xfId="6" applyNumberFormat="1" applyFont="1" applyFill="1" applyBorder="1" applyAlignment="1" applyProtection="1">
      <alignment horizontal="center" vertical="center"/>
      <protection locked="0"/>
    </xf>
    <xf numFmtId="9" fontId="13" fillId="7" borderId="3" xfId="6" applyFont="1" applyFill="1" applyBorder="1" applyAlignment="1" applyProtection="1">
      <alignment horizontal="center" vertical="center"/>
    </xf>
    <xf numFmtId="167" fontId="13" fillId="7" borderId="3" xfId="6" applyNumberFormat="1" applyFont="1" applyFill="1" applyBorder="1" applyAlignment="1" applyProtection="1">
      <alignment horizontal="center" vertical="center"/>
    </xf>
    <xf numFmtId="165" fontId="13" fillId="7" borderId="3" xfId="0" applyNumberFormat="1" applyFont="1" applyFill="1" applyBorder="1" applyAlignment="1" applyProtection="1">
      <alignment horizontal="center" vertical="center"/>
    </xf>
    <xf numFmtId="167" fontId="13" fillId="7" borderId="3" xfId="7" applyNumberFormat="1" applyFont="1" applyFill="1" applyBorder="1" applyAlignment="1" applyProtection="1">
      <alignment horizontal="center" vertical="center"/>
    </xf>
    <xf numFmtId="165" fontId="13" fillId="7" borderId="3" xfId="7" applyNumberFormat="1" applyFont="1" applyFill="1" applyBorder="1" applyAlignment="1" applyProtection="1">
      <alignment horizontal="center" vertical="center"/>
    </xf>
    <xf numFmtId="9" fontId="13" fillId="7" borderId="3" xfId="7" applyFont="1" applyFill="1" applyBorder="1" applyAlignment="1" applyProtection="1">
      <alignment horizontal="center" vertical="center"/>
    </xf>
    <xf numFmtId="3" fontId="13" fillId="7" borderId="3" xfId="0" applyNumberFormat="1" applyFont="1" applyFill="1" applyBorder="1" applyAlignment="1" applyProtection="1">
      <alignment horizontal="center" vertical="center"/>
    </xf>
    <xf numFmtId="1" fontId="6" fillId="4" borderId="16" xfId="0" applyNumberFormat="1" applyFont="1" applyFill="1" applyBorder="1" applyAlignment="1" applyProtection="1">
      <alignment horizontal="center" vertical="center" wrapText="1"/>
      <protection locked="0"/>
    </xf>
    <xf numFmtId="0" fontId="15" fillId="4" borderId="8" xfId="3" applyFont="1" applyFill="1" applyBorder="1" applyAlignment="1" applyProtection="1">
      <alignment vertical="center" wrapText="1"/>
      <protection locked="0"/>
    </xf>
    <xf numFmtId="164" fontId="16" fillId="7" borderId="17" xfId="0" applyNumberFormat="1" applyFont="1" applyFill="1" applyBorder="1" applyAlignment="1" applyProtection="1">
      <alignment vertical="center" wrapText="1"/>
      <protection locked="0"/>
    </xf>
    <xf numFmtId="164" fontId="16" fillId="7" borderId="18" xfId="0" applyNumberFormat="1" applyFont="1" applyFill="1" applyBorder="1" applyAlignment="1" applyProtection="1">
      <alignment vertical="center" wrapText="1"/>
      <protection locked="0"/>
    </xf>
    <xf numFmtId="164" fontId="16" fillId="7" borderId="0" xfId="8" applyNumberFormat="1" applyFont="1" applyFill="1" applyBorder="1" applyAlignment="1" applyProtection="1">
      <alignment vertical="center" wrapText="1"/>
      <protection locked="0"/>
    </xf>
    <xf numFmtId="0" fontId="6" fillId="0" borderId="0" xfId="8" applyFont="1" applyAlignment="1" applyProtection="1">
      <alignment vertical="center"/>
      <protection locked="0"/>
    </xf>
    <xf numFmtId="0" fontId="13" fillId="0" borderId="0" xfId="8" applyFont="1" applyAlignment="1" applyProtection="1">
      <alignment horizontal="left" vertical="center"/>
      <protection locked="0"/>
    </xf>
    <xf numFmtId="0" fontId="13" fillId="0" borderId="0" xfId="0" applyFont="1" applyFill="1" applyAlignment="1" applyProtection="1">
      <alignment horizontal="left"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" fontId="6" fillId="4" borderId="13" xfId="0" applyNumberFormat="1" applyFont="1" applyFill="1" applyBorder="1" applyAlignment="1" applyProtection="1">
      <alignment horizontal="center" vertical="center" wrapText="1"/>
      <protection locked="0"/>
    </xf>
    <xf numFmtId="1" fontId="7" fillId="6" borderId="0" xfId="0" applyNumberFormat="1" applyFont="1" applyFill="1" applyBorder="1" applyAlignment="1" applyProtection="1">
      <alignment vertical="center" wrapText="1"/>
      <protection locked="0"/>
    </xf>
    <xf numFmtId="1" fontId="7" fillId="6" borderId="0" xfId="0" applyNumberFormat="1" applyFont="1" applyFill="1" applyBorder="1" applyAlignment="1" applyProtection="1">
      <alignment horizontal="center" vertical="center" wrapText="1"/>
      <protection locked="0"/>
    </xf>
    <xf numFmtId="1" fontId="7" fillId="6" borderId="10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0" xfId="8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8" applyFont="1" applyProtection="1">
      <protection locked="0"/>
    </xf>
    <xf numFmtId="0" fontId="6" fillId="0" borderId="0" xfId="8" applyFont="1" applyFill="1" applyProtection="1">
      <protection locked="0"/>
    </xf>
    <xf numFmtId="1" fontId="6" fillId="6" borderId="0" xfId="0" applyNumberFormat="1" applyFont="1" applyFill="1" applyBorder="1" applyAlignment="1" applyProtection="1">
      <alignment vertical="center" wrapText="1"/>
      <protection locked="0"/>
    </xf>
    <xf numFmtId="15" fontId="14" fillId="6" borderId="0" xfId="0" applyNumberFormat="1" applyFont="1" applyFill="1" applyBorder="1" applyAlignment="1" applyProtection="1">
      <alignment horizontal="left" vertical="center" wrapText="1"/>
      <protection locked="0"/>
    </xf>
    <xf numFmtId="1" fontId="14" fillId="6" borderId="0" xfId="0" applyNumberFormat="1" applyFont="1" applyFill="1" applyBorder="1" applyAlignment="1" applyProtection="1">
      <alignment horizontal="center" vertical="center" wrapText="1"/>
      <protection locked="0"/>
    </xf>
    <xf numFmtId="1" fontId="17" fillId="6" borderId="41" xfId="0" applyNumberFormat="1" applyFont="1" applyFill="1" applyBorder="1" applyAlignment="1" applyProtection="1">
      <alignment horizontal="center" vertical="center" wrapText="1"/>
      <protection locked="0"/>
    </xf>
    <xf numFmtId="1" fontId="17" fillId="0" borderId="0" xfId="8" applyNumberFormat="1" applyFont="1" applyFill="1" applyBorder="1" applyAlignment="1" applyProtection="1">
      <alignment horizontal="center" vertical="center" wrapText="1"/>
      <protection locked="0"/>
    </xf>
    <xf numFmtId="1" fontId="21" fillId="0" borderId="0" xfId="0" applyNumberFormat="1" applyFont="1" applyFill="1" applyBorder="1" applyAlignment="1" applyProtection="1">
      <alignment horizontal="left" vertical="center" wrapText="1"/>
      <protection locked="0"/>
    </xf>
    <xf numFmtId="1" fontId="7" fillId="4" borderId="13" xfId="0" applyNumberFormat="1" applyFont="1" applyFill="1" applyBorder="1" applyAlignment="1" applyProtection="1">
      <alignment horizontal="center" vertical="center" wrapText="1"/>
      <protection locked="0"/>
    </xf>
    <xf numFmtId="1" fontId="17" fillId="6" borderId="40" xfId="0" applyNumberFormat="1" applyFont="1" applyFill="1" applyBorder="1" applyAlignment="1" applyProtection="1">
      <alignment horizontal="center" vertical="center" wrapText="1"/>
      <protection locked="0"/>
    </xf>
    <xf numFmtId="9" fontId="13" fillId="0" borderId="0" xfId="7" applyNumberFormat="1" applyFont="1" applyFill="1" applyBorder="1" applyAlignment="1" applyProtection="1">
      <alignment horizontal="left" vertical="center" wrapText="1"/>
      <protection locked="0"/>
    </xf>
    <xf numFmtId="1" fontId="17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17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17" fillId="6" borderId="0" xfId="0" applyNumberFormat="1" applyFont="1" applyFill="1" applyBorder="1" applyAlignment="1" applyProtection="1">
      <alignment horizontal="center" vertical="center" wrapText="1"/>
      <protection locked="0"/>
    </xf>
    <xf numFmtId="1" fontId="17" fillId="6" borderId="10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0" xfId="8" applyNumberFormat="1" applyFont="1" applyFill="1" applyBorder="1" applyAlignment="1" applyProtection="1">
      <alignment horizontal="left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10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0" xfId="8" applyNumberFormat="1" applyFont="1" applyFill="1" applyBorder="1" applyAlignment="1" applyProtection="1">
      <alignment horizontal="center" vertical="center" wrapText="1"/>
      <protection locked="0"/>
    </xf>
    <xf numFmtId="168" fontId="14" fillId="0" borderId="10" xfId="0" applyNumberFormat="1" applyFont="1" applyFill="1" applyBorder="1" applyAlignment="1" applyProtection="1">
      <alignment horizontal="center" vertical="center" wrapText="1"/>
      <protection locked="0"/>
    </xf>
    <xf numFmtId="168" fontId="14" fillId="0" borderId="0" xfId="8" applyNumberFormat="1" applyFont="1" applyFill="1" applyBorder="1" applyAlignment="1" applyProtection="1">
      <alignment horizontal="center" vertical="center" wrapText="1"/>
      <protection locked="0"/>
    </xf>
    <xf numFmtId="168" fontId="14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6" fillId="4" borderId="19" xfId="0" applyNumberFormat="1" applyFont="1" applyFill="1" applyBorder="1" applyAlignment="1" applyProtection="1">
      <alignment horizontal="center" vertical="center" wrapText="1"/>
      <protection locked="0"/>
    </xf>
    <xf numFmtId="1" fontId="6" fillId="6" borderId="18" xfId="0" applyNumberFormat="1" applyFont="1" applyFill="1" applyBorder="1" applyAlignment="1" applyProtection="1">
      <alignment vertical="center" wrapText="1"/>
      <protection locked="0"/>
    </xf>
    <xf numFmtId="1" fontId="14" fillId="0" borderId="18" xfId="0" applyNumberFormat="1" applyFont="1" applyFill="1" applyBorder="1" applyAlignment="1" applyProtection="1">
      <alignment horizontal="center" vertical="center" wrapText="1"/>
      <protection locked="0"/>
    </xf>
    <xf numFmtId="165" fontId="13" fillId="7" borderId="20" xfId="0" applyNumberFormat="1" applyFont="1" applyFill="1" applyBorder="1" applyAlignment="1" applyProtection="1">
      <alignment horizontal="center" vertical="center"/>
      <protection locked="0"/>
    </xf>
    <xf numFmtId="0" fontId="6" fillId="0" borderId="0" xfId="8" applyFont="1" applyFill="1" applyAlignment="1" applyProtection="1">
      <alignment vertical="center"/>
      <protection locked="0"/>
    </xf>
    <xf numFmtId="165" fontId="13" fillId="0" borderId="0" xfId="8" applyNumberFormat="1" applyFont="1" applyFill="1" applyBorder="1" applyAlignment="1" applyProtection="1">
      <alignment horizontal="center" vertical="center"/>
      <protection locked="0"/>
    </xf>
    <xf numFmtId="165" fontId="6" fillId="0" borderId="0" xfId="8" applyNumberFormat="1" applyFont="1" applyProtection="1">
      <protection locked="0"/>
    </xf>
    <xf numFmtId="9" fontId="6" fillId="0" borderId="0" xfId="7" applyFont="1" applyProtection="1">
      <protection locked="0"/>
    </xf>
    <xf numFmtId="9" fontId="13" fillId="0" borderId="0" xfId="8" applyNumberFormat="1" applyFont="1" applyFill="1" applyAlignment="1" applyProtection="1">
      <alignment horizontal="left"/>
      <protection locked="0"/>
    </xf>
    <xf numFmtId="1" fontId="7" fillId="2" borderId="6" xfId="8" applyNumberFormat="1" applyFont="1" applyFill="1" applyBorder="1" applyAlignment="1" applyProtection="1">
      <alignment horizontal="center" vertical="center"/>
      <protection locked="0"/>
    </xf>
    <xf numFmtId="1" fontId="7" fillId="2" borderId="7" xfId="8" applyNumberFormat="1" applyFont="1" applyFill="1" applyBorder="1" applyAlignment="1" applyProtection="1">
      <alignment horizontal="center" vertical="center"/>
      <protection locked="0"/>
    </xf>
    <xf numFmtId="1" fontId="7" fillId="2" borderId="8" xfId="8" applyNumberFormat="1" applyFont="1" applyFill="1" applyBorder="1" applyAlignment="1" applyProtection="1">
      <alignment horizontal="center" vertical="center"/>
      <protection locked="0"/>
    </xf>
    <xf numFmtId="165" fontId="18" fillId="3" borderId="9" xfId="8" applyNumberFormat="1" applyFont="1" applyFill="1" applyBorder="1" applyAlignment="1" applyProtection="1">
      <alignment horizontal="center" vertical="center"/>
      <protection locked="0"/>
    </xf>
    <xf numFmtId="165" fontId="18" fillId="6" borderId="0" xfId="8" applyNumberFormat="1" applyFont="1" applyFill="1" applyBorder="1" applyAlignment="1" applyProtection="1">
      <alignment horizontal="center" vertical="center"/>
      <protection locked="0"/>
    </xf>
    <xf numFmtId="165" fontId="18" fillId="6" borderId="10" xfId="8" applyNumberFormat="1" applyFont="1" applyFill="1" applyBorder="1" applyAlignment="1" applyProtection="1">
      <alignment horizontal="center" vertical="center"/>
      <protection locked="0"/>
    </xf>
    <xf numFmtId="167" fontId="13" fillId="0" borderId="0" xfId="7" applyNumberFormat="1" applyFont="1" applyFill="1" applyBorder="1" applyAlignment="1" applyProtection="1">
      <alignment horizontal="left" vertical="center" wrapText="1"/>
      <protection locked="0"/>
    </xf>
    <xf numFmtId="165" fontId="18" fillId="6" borderId="9" xfId="8" applyNumberFormat="1" applyFont="1" applyFill="1" applyBorder="1" applyAlignment="1" applyProtection="1">
      <alignment horizontal="center" vertical="center"/>
      <protection locked="0"/>
    </xf>
    <xf numFmtId="167" fontId="13" fillId="3" borderId="0" xfId="8" applyNumberFormat="1" applyFont="1" applyFill="1" applyAlignment="1" applyProtection="1">
      <alignment horizontal="left"/>
      <protection locked="0"/>
    </xf>
    <xf numFmtId="0" fontId="13" fillId="0" borderId="0" xfId="8" applyFont="1" applyAlignment="1" applyProtection="1">
      <alignment horizontal="left"/>
      <protection locked="0"/>
    </xf>
    <xf numFmtId="165" fontId="18" fillId="6" borderId="17" xfId="8" applyNumberFormat="1" applyFont="1" applyFill="1" applyBorder="1" applyAlignment="1" applyProtection="1">
      <alignment horizontal="center" vertical="center" wrapText="1"/>
      <protection locked="0"/>
    </xf>
    <xf numFmtId="165" fontId="18" fillId="6" borderId="18" xfId="8" applyNumberFormat="1" applyFont="1" applyFill="1" applyBorder="1" applyAlignment="1" applyProtection="1">
      <alignment horizontal="center" vertical="center" wrapText="1"/>
      <protection locked="0"/>
    </xf>
    <xf numFmtId="165" fontId="18" fillId="6" borderId="20" xfId="8" applyNumberFormat="1" applyFont="1" applyFill="1" applyBorder="1" applyAlignment="1" applyProtection="1">
      <alignment horizontal="center" vertical="center" wrapText="1"/>
      <protection locked="0"/>
    </xf>
    <xf numFmtId="1" fontId="7" fillId="6" borderId="6" xfId="8" applyNumberFormat="1" applyFont="1" applyFill="1" applyBorder="1" applyAlignment="1" applyProtection="1">
      <alignment horizontal="center" vertical="center"/>
      <protection locked="0"/>
    </xf>
    <xf numFmtId="1" fontId="7" fillId="6" borderId="7" xfId="8" applyNumberFormat="1" applyFont="1" applyFill="1" applyBorder="1" applyAlignment="1" applyProtection="1">
      <alignment horizontal="center" vertical="center"/>
      <protection locked="0"/>
    </xf>
    <xf numFmtId="1" fontId="7" fillId="6" borderId="8" xfId="8" applyNumberFormat="1" applyFont="1" applyFill="1" applyBorder="1" applyAlignment="1" applyProtection="1">
      <alignment horizontal="center" vertical="center"/>
      <protection locked="0"/>
    </xf>
    <xf numFmtId="165" fontId="21" fillId="6" borderId="9" xfId="8" applyNumberFormat="1" applyFont="1" applyFill="1" applyBorder="1" applyAlignment="1" applyProtection="1">
      <alignment horizontal="center" vertical="center"/>
      <protection locked="0"/>
    </xf>
    <xf numFmtId="165" fontId="21" fillId="6" borderId="0" xfId="8" applyNumberFormat="1" applyFont="1" applyFill="1" applyBorder="1" applyAlignment="1" applyProtection="1">
      <alignment horizontal="center" vertical="center"/>
      <protection locked="0"/>
    </xf>
    <xf numFmtId="165" fontId="21" fillId="6" borderId="10" xfId="8" applyNumberFormat="1" applyFont="1" applyFill="1" applyBorder="1" applyAlignment="1" applyProtection="1">
      <alignment horizontal="center" vertical="center"/>
      <protection locked="0"/>
    </xf>
    <xf numFmtId="167" fontId="13" fillId="7" borderId="9" xfId="7" applyNumberFormat="1" applyFont="1" applyFill="1" applyBorder="1" applyAlignment="1" applyProtection="1">
      <alignment horizontal="center" vertical="center"/>
      <protection locked="0"/>
    </xf>
    <xf numFmtId="167" fontId="13" fillId="7" borderId="0" xfId="7" applyNumberFormat="1" applyFont="1" applyFill="1" applyBorder="1" applyAlignment="1" applyProtection="1">
      <alignment horizontal="center" vertical="center"/>
      <protection locked="0"/>
    </xf>
    <xf numFmtId="167" fontId="13" fillId="7" borderId="10" xfId="7" applyNumberFormat="1" applyFont="1" applyFill="1" applyBorder="1" applyAlignment="1" applyProtection="1">
      <alignment horizontal="center" vertical="center"/>
      <protection locked="0"/>
    </xf>
    <xf numFmtId="165" fontId="13" fillId="7" borderId="9" xfId="8" applyNumberFormat="1" applyFont="1" applyFill="1" applyBorder="1" applyAlignment="1" applyProtection="1">
      <alignment horizontal="center" vertical="center"/>
      <protection locked="0"/>
    </xf>
    <xf numFmtId="165" fontId="13" fillId="7" borderId="0" xfId="8" applyNumberFormat="1" applyFont="1" applyFill="1" applyBorder="1" applyAlignment="1" applyProtection="1">
      <alignment horizontal="center" vertical="center"/>
      <protection locked="0"/>
    </xf>
    <xf numFmtId="165" fontId="13" fillId="7" borderId="10" xfId="8" applyNumberFormat="1" applyFont="1" applyFill="1" applyBorder="1" applyAlignment="1" applyProtection="1">
      <alignment horizontal="center" vertical="center"/>
      <protection locked="0"/>
    </xf>
    <xf numFmtId="165" fontId="13" fillId="6" borderId="9" xfId="8" applyNumberFormat="1" applyFont="1" applyFill="1" applyBorder="1" applyAlignment="1" applyProtection="1">
      <alignment horizontal="center" vertical="center"/>
      <protection locked="0"/>
    </xf>
    <xf numFmtId="165" fontId="13" fillId="6" borderId="0" xfId="8" applyNumberFormat="1" applyFont="1" applyFill="1" applyBorder="1" applyAlignment="1" applyProtection="1">
      <alignment horizontal="center" vertical="center"/>
      <protection locked="0"/>
    </xf>
    <xf numFmtId="165" fontId="13" fillId="6" borderId="10" xfId="8" applyNumberFormat="1" applyFont="1" applyFill="1" applyBorder="1" applyAlignment="1" applyProtection="1">
      <alignment horizontal="center" vertical="center"/>
      <protection locked="0"/>
    </xf>
    <xf numFmtId="9" fontId="13" fillId="7" borderId="9" xfId="7" applyFont="1" applyFill="1" applyBorder="1" applyAlignment="1" applyProtection="1">
      <alignment horizontal="center" vertical="center"/>
      <protection locked="0"/>
    </xf>
    <xf numFmtId="9" fontId="13" fillId="7" borderId="0" xfId="7" applyFont="1" applyFill="1" applyBorder="1" applyAlignment="1" applyProtection="1">
      <alignment horizontal="center" vertical="center"/>
      <protection locked="0"/>
    </xf>
    <xf numFmtId="9" fontId="13" fillId="7" borderId="10" xfId="7" applyFont="1" applyFill="1" applyBorder="1" applyAlignment="1" applyProtection="1">
      <alignment horizontal="center" vertical="center"/>
      <protection locked="0"/>
    </xf>
    <xf numFmtId="165" fontId="13" fillId="7" borderId="17" xfId="8" applyNumberFormat="1" applyFont="1" applyFill="1" applyBorder="1" applyAlignment="1" applyProtection="1">
      <alignment horizontal="center" vertical="center"/>
      <protection locked="0"/>
    </xf>
    <xf numFmtId="165" fontId="13" fillId="7" borderId="18" xfId="8" applyNumberFormat="1" applyFont="1" applyFill="1" applyBorder="1" applyAlignment="1" applyProtection="1">
      <alignment horizontal="center" vertical="center"/>
      <protection locked="0"/>
    </xf>
    <xf numFmtId="165" fontId="13" fillId="7" borderId="20" xfId="8" applyNumberFormat="1" applyFont="1" applyFill="1" applyBorder="1" applyAlignment="1" applyProtection="1">
      <alignment horizontal="center" vertical="center"/>
      <protection locked="0"/>
    </xf>
    <xf numFmtId="0" fontId="15" fillId="4" borderId="8" xfId="3" applyFont="1" applyFill="1" applyBorder="1" applyAlignment="1" applyProtection="1">
      <alignment vertical="center" wrapText="1"/>
    </xf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vertical="center"/>
    </xf>
    <xf numFmtId="0" fontId="6" fillId="4" borderId="17" xfId="0" applyFont="1" applyFill="1" applyBorder="1" applyAlignment="1" applyProtection="1">
      <alignment vertical="center"/>
    </xf>
    <xf numFmtId="1" fontId="7" fillId="2" borderId="7" xfId="0" applyNumberFormat="1" applyFont="1" applyFill="1" applyBorder="1" applyAlignment="1" applyProtection="1">
      <alignment horizontal="center" vertical="center"/>
      <protection locked="0"/>
    </xf>
    <xf numFmtId="1" fontId="7" fillId="2" borderId="8" xfId="0" applyNumberFormat="1" applyFont="1" applyFill="1" applyBorder="1" applyAlignment="1" applyProtection="1">
      <alignment horizontal="center" vertical="center"/>
      <protection locked="0"/>
    </xf>
    <xf numFmtId="164" fontId="34" fillId="2" borderId="9" xfId="0" applyNumberFormat="1" applyFont="1" applyFill="1" applyBorder="1" applyAlignment="1" applyProtection="1">
      <alignment vertical="center"/>
      <protection locked="0"/>
    </xf>
    <xf numFmtId="1" fontId="7" fillId="2" borderId="10" xfId="0" applyNumberFormat="1" applyFont="1" applyFill="1" applyBorder="1" applyAlignment="1" applyProtection="1">
      <alignment horizontal="center" vertical="center"/>
      <protection locked="0"/>
    </xf>
    <xf numFmtId="168" fontId="7" fillId="2" borderId="0" xfId="0" applyNumberFormat="1" applyFont="1" applyFill="1" applyBorder="1" applyAlignment="1" applyProtection="1">
      <alignment horizontal="center" vertical="center"/>
      <protection locked="0"/>
    </xf>
    <xf numFmtId="168" fontId="7" fillId="2" borderId="10" xfId="0" applyNumberFormat="1" applyFont="1" applyFill="1" applyBorder="1" applyAlignment="1" applyProtection="1">
      <alignment horizontal="center" vertical="center"/>
      <protection locked="0"/>
    </xf>
    <xf numFmtId="164" fontId="13" fillId="6" borderId="9" xfId="0" applyNumberFormat="1" applyFont="1" applyFill="1" applyBorder="1" applyAlignment="1" applyProtection="1">
      <alignment horizontal="right" vertical="center"/>
      <protection locked="0"/>
    </xf>
    <xf numFmtId="1" fontId="7" fillId="2" borderId="0" xfId="0" applyNumberFormat="1" applyFont="1" applyFill="1" applyBorder="1" applyAlignment="1" applyProtection="1">
      <alignment horizontal="center" vertical="center"/>
      <protection locked="0"/>
    </xf>
    <xf numFmtId="165" fontId="13" fillId="7" borderId="10" xfId="0" applyNumberFormat="1" applyFont="1" applyFill="1" applyBorder="1" applyAlignment="1" applyProtection="1">
      <alignment horizontal="center" vertical="center"/>
      <protection locked="0"/>
    </xf>
    <xf numFmtId="164" fontId="13" fillId="6" borderId="17" xfId="0" applyNumberFormat="1" applyFont="1" applyFill="1" applyBorder="1" applyAlignment="1" applyProtection="1">
      <alignment horizontal="right" vertical="center"/>
      <protection locked="0"/>
    </xf>
    <xf numFmtId="9" fontId="13" fillId="7" borderId="20" xfId="7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65" fontId="13" fillId="0" borderId="0" xfId="0" applyNumberFormat="1" applyFont="1" applyFill="1" applyBorder="1" applyAlignment="1" applyProtection="1">
      <alignment horizontal="center" vertical="center"/>
      <protection locked="0"/>
    </xf>
    <xf numFmtId="1" fontId="6" fillId="4" borderId="16" xfId="0" applyNumberFormat="1" applyFont="1" applyFill="1" applyBorder="1" applyAlignment="1" applyProtection="1">
      <alignment horizontal="center" vertical="center"/>
      <protection locked="0"/>
    </xf>
    <xf numFmtId="1" fontId="6" fillId="4" borderId="0" xfId="0" applyNumberFormat="1" applyFont="1" applyFill="1" applyBorder="1" applyAlignment="1" applyProtection="1">
      <alignment horizontal="center" vertical="center"/>
      <protection locked="0"/>
    </xf>
    <xf numFmtId="164" fontId="21" fillId="2" borderId="9" xfId="0" applyNumberFormat="1" applyFont="1" applyFill="1" applyBorder="1" applyAlignment="1" applyProtection="1">
      <alignment vertical="center" wrapText="1"/>
      <protection locked="0"/>
    </xf>
    <xf numFmtId="168" fontId="7" fillId="2" borderId="7" xfId="0" applyNumberFormat="1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Fill="1" applyBorder="1" applyAlignment="1" applyProtection="1">
      <alignment horizontal="center" vertical="center"/>
      <protection locked="0"/>
    </xf>
    <xf numFmtId="168" fontId="7" fillId="0" borderId="0" xfId="0" applyNumberFormat="1" applyFont="1" applyFill="1" applyBorder="1" applyAlignment="1" applyProtection="1">
      <alignment horizontal="center" vertical="center"/>
      <protection locked="0"/>
    </xf>
    <xf numFmtId="1" fontId="19" fillId="4" borderId="9" xfId="0" applyNumberFormat="1" applyFont="1" applyFill="1" applyBorder="1" applyAlignment="1" applyProtection="1">
      <alignment horizontal="center" vertical="center"/>
      <protection locked="0"/>
    </xf>
    <xf numFmtId="164" fontId="13" fillId="6" borderId="9" xfId="0" applyNumberFormat="1" applyFont="1" applyFill="1" applyBorder="1" applyAlignment="1" applyProtection="1">
      <alignment vertical="center" wrapText="1"/>
      <protection locked="0"/>
    </xf>
    <xf numFmtId="164" fontId="26" fillId="6" borderId="9" xfId="0" applyNumberFormat="1" applyFont="1" applyFill="1" applyBorder="1" applyAlignment="1" applyProtection="1">
      <alignment vertical="center" wrapText="1"/>
      <protection locked="0"/>
    </xf>
    <xf numFmtId="165" fontId="13" fillId="6" borderId="0" xfId="0" applyNumberFormat="1" applyFont="1" applyFill="1" applyBorder="1" applyAlignment="1" applyProtection="1">
      <alignment horizontal="center" vertical="center"/>
      <protection locked="0"/>
    </xf>
    <xf numFmtId="165" fontId="13" fillId="6" borderId="10" xfId="0" applyNumberFormat="1" applyFont="1" applyFill="1" applyBorder="1" applyAlignment="1" applyProtection="1">
      <alignment horizontal="center" vertical="center"/>
      <protection locked="0"/>
    </xf>
    <xf numFmtId="1" fontId="6" fillId="4" borderId="17" xfId="0" applyNumberFormat="1" applyFont="1" applyFill="1" applyBorder="1" applyAlignment="1" applyProtection="1">
      <alignment horizontal="center" vertical="center"/>
      <protection locked="0"/>
    </xf>
    <xf numFmtId="164" fontId="13" fillId="7" borderId="17" xfId="0" applyNumberFormat="1" applyFont="1" applyFill="1" applyBorder="1" applyAlignment="1" applyProtection="1">
      <alignment vertical="center" wrapText="1"/>
      <protection locked="0"/>
    </xf>
    <xf numFmtId="165" fontId="13" fillId="7" borderId="18" xfId="0" applyNumberFormat="1" applyFont="1" applyFill="1" applyBorder="1" applyAlignment="1" applyProtection="1">
      <alignment horizontal="center" vertical="center"/>
      <protection locked="0"/>
    </xf>
    <xf numFmtId="164" fontId="13" fillId="7" borderId="0" xfId="0" applyNumberFormat="1" applyFont="1" applyFill="1" applyBorder="1" applyAlignment="1" applyProtection="1">
      <alignment vertical="center" wrapText="1"/>
      <protection locked="0"/>
    </xf>
    <xf numFmtId="9" fontId="13" fillId="0" borderId="0" xfId="7" applyFont="1" applyFill="1" applyBorder="1" applyAlignment="1" applyProtection="1">
      <alignment horizontal="center" vertical="center"/>
      <protection locked="0"/>
    </xf>
    <xf numFmtId="3" fontId="13" fillId="7" borderId="0" xfId="7" applyNumberFormat="1" applyFont="1" applyFill="1" applyBorder="1" applyAlignment="1" applyProtection="1">
      <alignment horizontal="center" vertical="center"/>
      <protection locked="0"/>
    </xf>
    <xf numFmtId="3" fontId="13" fillId="7" borderId="10" xfId="7" applyNumberFormat="1" applyFont="1" applyFill="1" applyBorder="1" applyAlignment="1" applyProtection="1">
      <alignment horizontal="center" vertical="center"/>
      <protection locked="0"/>
    </xf>
    <xf numFmtId="3" fontId="13" fillId="0" borderId="0" xfId="7" applyNumberFormat="1" applyFont="1" applyFill="1" applyBorder="1" applyAlignment="1" applyProtection="1">
      <alignment horizontal="center" vertical="center"/>
      <protection locked="0"/>
    </xf>
    <xf numFmtId="164" fontId="13" fillId="2" borderId="9" xfId="0" applyNumberFormat="1" applyFont="1" applyFill="1" applyBorder="1" applyAlignment="1" applyProtection="1">
      <alignment vertical="center" wrapText="1"/>
      <protection locked="0"/>
    </xf>
    <xf numFmtId="168" fontId="7" fillId="3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1" fontId="7" fillId="0" borderId="0" xfId="0" applyNumberFormat="1" applyFont="1" applyFill="1" applyAlignment="1" applyProtection="1">
      <alignment horizontal="center" vertical="center"/>
      <protection locked="0"/>
    </xf>
    <xf numFmtId="1" fontId="8" fillId="4" borderId="0" xfId="0" applyNumberFormat="1" applyFont="1" applyFill="1" applyBorder="1" applyAlignment="1" applyProtection="1">
      <alignment horizontal="left" vertical="center"/>
    </xf>
    <xf numFmtId="165" fontId="13" fillId="2" borderId="0" xfId="0" applyNumberFormat="1" applyFont="1" applyFill="1" applyBorder="1" applyAlignment="1" applyProtection="1">
      <alignment horizontal="center" vertical="center"/>
    </xf>
    <xf numFmtId="3" fontId="13" fillId="2" borderId="0" xfId="0" applyNumberFormat="1" applyFont="1" applyFill="1" applyBorder="1" applyAlignment="1" applyProtection="1">
      <alignment horizontal="center" vertical="center"/>
    </xf>
    <xf numFmtId="167" fontId="13" fillId="0" borderId="0" xfId="6" applyNumberFormat="1" applyFont="1" applyFill="1" applyBorder="1" applyAlignment="1" applyProtection="1">
      <alignment horizontal="center" vertical="center"/>
    </xf>
    <xf numFmtId="1" fontId="14" fillId="2" borderId="0" xfId="0" applyNumberFormat="1" applyFont="1" applyFill="1" applyBorder="1" applyAlignment="1" applyProtection="1">
      <alignment horizontal="left" vertical="center"/>
      <protection locked="0"/>
    </xf>
    <xf numFmtId="165" fontId="14" fillId="2" borderId="0" xfId="0" applyNumberFormat="1" applyFont="1" applyFill="1" applyBorder="1" applyAlignment="1" applyProtection="1">
      <alignment horizontal="center" vertical="center"/>
      <protection locked="0"/>
    </xf>
    <xf numFmtId="1" fontId="14" fillId="2" borderId="10" xfId="0" applyNumberFormat="1" applyFont="1" applyFill="1" applyBorder="1" applyAlignment="1" applyProtection="1">
      <alignment horizontal="center" vertical="center" wrapText="1"/>
      <protection locked="0"/>
    </xf>
    <xf numFmtId="165" fontId="14" fillId="2" borderId="0" xfId="0" applyNumberFormat="1" applyFont="1" applyFill="1" applyBorder="1" applyAlignment="1" applyProtection="1">
      <alignment horizontal="left" vertical="center"/>
      <protection locked="0"/>
    </xf>
    <xf numFmtId="165" fontId="14" fillId="3" borderId="0" xfId="0" applyNumberFormat="1" applyFont="1" applyFill="1" applyBorder="1" applyAlignment="1" applyProtection="1">
      <alignment horizontal="left" vertical="center"/>
      <protection locked="0"/>
    </xf>
    <xf numFmtId="165" fontId="14" fillId="3" borderId="0" xfId="0" applyNumberFormat="1" applyFont="1" applyFill="1" applyBorder="1" applyAlignment="1" applyProtection="1">
      <alignment horizontal="center" vertical="center"/>
      <protection locked="0"/>
    </xf>
    <xf numFmtId="165" fontId="18" fillId="2" borderId="0" xfId="0" applyNumberFormat="1" applyFont="1" applyFill="1" applyBorder="1" applyAlignment="1" applyProtection="1">
      <alignment horizontal="center" vertical="center"/>
      <protection locked="0"/>
    </xf>
    <xf numFmtId="1" fontId="18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9" fontId="13" fillId="7" borderId="10" xfId="6" applyFont="1" applyFill="1" applyBorder="1" applyAlignment="1" applyProtection="1">
      <alignment horizontal="center" vertical="center"/>
      <protection locked="0"/>
    </xf>
    <xf numFmtId="9" fontId="13" fillId="7" borderId="0" xfId="6" applyFont="1" applyFill="1" applyBorder="1" applyAlignment="1" applyProtection="1">
      <alignment horizontal="center" vertical="center"/>
      <protection locked="0"/>
    </xf>
    <xf numFmtId="167" fontId="13" fillId="7" borderId="10" xfId="6" applyNumberFormat="1" applyFont="1" applyFill="1" applyBorder="1" applyAlignment="1" applyProtection="1">
      <alignment horizontal="center" vertical="center"/>
      <protection locked="0"/>
    </xf>
    <xf numFmtId="167" fontId="13" fillId="7" borderId="0" xfId="6" applyNumberFormat="1" applyFont="1" applyFill="1" applyBorder="1" applyAlignment="1" applyProtection="1">
      <alignment horizontal="center" vertical="center"/>
      <protection locked="0"/>
    </xf>
    <xf numFmtId="165" fontId="13" fillId="7" borderId="0" xfId="7" applyNumberFormat="1" applyFont="1" applyFill="1" applyBorder="1" applyAlignment="1" applyProtection="1">
      <alignment horizontal="center" vertical="center"/>
      <protection locked="0"/>
    </xf>
    <xf numFmtId="165" fontId="21" fillId="6" borderId="10" xfId="0" applyNumberFormat="1" applyFont="1" applyFill="1" applyBorder="1" applyAlignment="1" applyProtection="1">
      <alignment horizontal="center" vertical="center"/>
      <protection locked="0"/>
    </xf>
    <xf numFmtId="165" fontId="21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3" fontId="13" fillId="7" borderId="10" xfId="0" applyNumberFormat="1" applyFont="1" applyFill="1" applyBorder="1" applyAlignment="1" applyProtection="1">
      <alignment horizontal="center" vertical="center"/>
      <protection locked="0"/>
    </xf>
    <xf numFmtId="3" fontId="13" fillId="7" borderId="0" xfId="0" applyNumberFormat="1" applyFont="1" applyFill="1" applyBorder="1" applyAlignment="1" applyProtection="1">
      <alignment horizontal="center" vertical="center"/>
      <protection locked="0"/>
    </xf>
    <xf numFmtId="9" fontId="21" fillId="6" borderId="0" xfId="7" applyFont="1" applyFill="1" applyBorder="1" applyAlignment="1" applyProtection="1">
      <alignment horizontal="center" vertical="center"/>
      <protection locked="0"/>
    </xf>
    <xf numFmtId="3" fontId="13" fillId="7" borderId="20" xfId="0" applyNumberFormat="1" applyFont="1" applyFill="1" applyBorder="1" applyAlignment="1" applyProtection="1">
      <alignment horizontal="center" vertical="center"/>
      <protection locked="0"/>
    </xf>
    <xf numFmtId="3" fontId="13" fillId="7" borderId="18" xfId="0" applyNumberFormat="1" applyFont="1" applyFill="1" applyBorder="1" applyAlignment="1" applyProtection="1">
      <alignment horizontal="center" vertical="center"/>
      <protection locked="0"/>
    </xf>
    <xf numFmtId="4" fontId="13" fillId="7" borderId="0" xfId="6" applyNumberFormat="1" applyFont="1" applyFill="1" applyBorder="1" applyAlignment="1" applyProtection="1">
      <alignment horizontal="center" vertical="center"/>
    </xf>
    <xf numFmtId="4" fontId="13" fillId="7" borderId="10" xfId="6" applyNumberFormat="1" applyFont="1" applyFill="1" applyBorder="1" applyAlignment="1" applyProtection="1">
      <alignment horizontal="center" vertical="center"/>
    </xf>
    <xf numFmtId="165" fontId="13" fillId="7" borderId="10" xfId="6" applyNumberFormat="1" applyFont="1" applyFill="1" applyBorder="1" applyAlignment="1" applyProtection="1">
      <alignment horizontal="center" vertical="center"/>
      <protection locked="0"/>
    </xf>
    <xf numFmtId="165" fontId="13" fillId="7" borderId="10" xfId="6" applyNumberFormat="1" applyFont="1" applyFill="1" applyBorder="1" applyAlignment="1" applyProtection="1">
      <alignment horizontal="center" vertical="center"/>
    </xf>
    <xf numFmtId="165" fontId="13" fillId="7" borderId="10" xfId="7" applyNumberFormat="1" applyFont="1" applyFill="1" applyBorder="1" applyAlignment="1" applyProtection="1">
      <alignment horizontal="center" vertical="center"/>
      <protection locked="0"/>
    </xf>
    <xf numFmtId="165" fontId="13" fillId="7" borderId="21" xfId="7" applyNumberFormat="1" applyFont="1" applyFill="1" applyBorder="1" applyAlignment="1" applyProtection="1">
      <alignment horizontal="center" vertical="center" wrapText="1"/>
      <protection locked="0"/>
    </xf>
    <xf numFmtId="165" fontId="13" fillId="7" borderId="22" xfId="7" applyNumberFormat="1" applyFont="1" applyFill="1" applyBorder="1" applyAlignment="1" applyProtection="1">
      <alignment horizontal="center" vertical="center" wrapText="1"/>
      <protection locked="0"/>
    </xf>
    <xf numFmtId="165" fontId="13" fillId="7" borderId="23" xfId="6" applyNumberFormat="1" applyFont="1" applyFill="1" applyBorder="1" applyAlignment="1" applyProtection="1">
      <alignment horizontal="center" vertical="center" wrapText="1"/>
      <protection locked="0"/>
    </xf>
    <xf numFmtId="165" fontId="13" fillId="7" borderId="24" xfId="6" applyNumberFormat="1" applyFont="1" applyFill="1" applyBorder="1" applyAlignment="1" applyProtection="1">
      <alignment horizontal="center" vertical="center" wrapText="1"/>
      <protection locked="0"/>
    </xf>
    <xf numFmtId="165" fontId="13" fillId="7" borderId="25" xfId="6" applyNumberFormat="1" applyFont="1" applyFill="1" applyBorder="1" applyAlignment="1" applyProtection="1">
      <alignment horizontal="center" vertical="center" wrapText="1"/>
      <protection locked="0"/>
    </xf>
    <xf numFmtId="165" fontId="6" fillId="0" borderId="0" xfId="0" applyNumberFormat="1" applyFont="1" applyFill="1" applyBorder="1" applyAlignment="1" applyProtection="1">
      <protection locked="0"/>
    </xf>
    <xf numFmtId="164" fontId="6" fillId="0" borderId="0" xfId="0" applyNumberFormat="1" applyFont="1" applyFill="1" applyBorder="1" applyAlignment="1" applyProtection="1">
      <protection locked="0"/>
    </xf>
    <xf numFmtId="164" fontId="6" fillId="0" borderId="0" xfId="0" applyNumberFormat="1" applyFont="1" applyAlignment="1" applyProtection="1">
      <protection locked="0"/>
    </xf>
    <xf numFmtId="4" fontId="13" fillId="7" borderId="0" xfId="7" applyNumberFormat="1" applyFont="1" applyFill="1" applyBorder="1" applyAlignment="1" applyProtection="1">
      <alignment horizontal="center" vertical="center"/>
    </xf>
    <xf numFmtId="169" fontId="13" fillId="7" borderId="0" xfId="7" applyNumberFormat="1" applyFont="1" applyFill="1" applyBorder="1" applyAlignment="1" applyProtection="1">
      <alignment horizontal="center" vertical="center"/>
    </xf>
    <xf numFmtId="10" fontId="13" fillId="7" borderId="0" xfId="6" applyNumberFormat="1" applyFont="1" applyFill="1" applyBorder="1" applyAlignment="1" applyProtection="1">
      <alignment horizontal="center" vertical="center"/>
    </xf>
    <xf numFmtId="171" fontId="13" fillId="7" borderId="0" xfId="6" applyNumberFormat="1" applyFont="1" applyFill="1" applyBorder="1" applyAlignment="1" applyProtection="1">
      <alignment horizontal="center" vertical="center"/>
    </xf>
    <xf numFmtId="164" fontId="13" fillId="10" borderId="9" xfId="0" applyNumberFormat="1" applyFont="1" applyFill="1" applyBorder="1" applyAlignment="1" applyProtection="1">
      <alignment vertical="center" wrapText="1"/>
    </xf>
    <xf numFmtId="172" fontId="13" fillId="7" borderId="0" xfId="6" applyNumberFormat="1" applyFont="1" applyFill="1" applyBorder="1" applyAlignment="1" applyProtection="1">
      <alignment horizontal="center" vertical="center"/>
    </xf>
    <xf numFmtId="4" fontId="21" fillId="7" borderId="0" xfId="0" applyNumberFormat="1" applyFont="1" applyFill="1" applyBorder="1" applyAlignment="1" applyProtection="1">
      <alignment horizontal="center" vertical="center"/>
    </xf>
    <xf numFmtId="4" fontId="21" fillId="7" borderId="10" xfId="0" applyNumberFormat="1" applyFont="1" applyFill="1" applyBorder="1" applyAlignment="1" applyProtection="1">
      <alignment horizontal="center" vertical="center"/>
    </xf>
    <xf numFmtId="4" fontId="13" fillId="7" borderId="0" xfId="0" applyNumberFormat="1" applyFont="1" applyFill="1" applyBorder="1" applyAlignment="1" applyProtection="1">
      <alignment horizontal="center" vertical="center"/>
    </xf>
    <xf numFmtId="4" fontId="13" fillId="7" borderId="10" xfId="0" applyNumberFormat="1" applyFont="1" applyFill="1" applyBorder="1" applyAlignment="1" applyProtection="1">
      <alignment horizontal="center" vertical="center"/>
    </xf>
    <xf numFmtId="173" fontId="13" fillId="7" borderId="0" xfId="0" applyNumberFormat="1" applyFont="1" applyFill="1" applyBorder="1" applyAlignment="1" applyProtection="1">
      <alignment horizontal="center" vertical="center"/>
    </xf>
    <xf numFmtId="169" fontId="13" fillId="7" borderId="0" xfId="0" applyNumberFormat="1" applyFont="1" applyFill="1" applyBorder="1" applyAlignment="1" applyProtection="1">
      <alignment horizontal="center" vertical="center"/>
    </xf>
    <xf numFmtId="164" fontId="13" fillId="3" borderId="9" xfId="0" applyNumberFormat="1" applyFont="1" applyFill="1" applyBorder="1" applyAlignment="1" applyProtection="1">
      <alignment vertical="center" wrapText="1"/>
    </xf>
    <xf numFmtId="0" fontId="40" fillId="0" borderId="4" xfId="0" applyFont="1" applyBorder="1" applyAlignment="1">
      <alignment horizontal="left" vertical="top" wrapText="1"/>
    </xf>
    <xf numFmtId="1" fontId="13" fillId="7" borderId="4" xfId="0" applyNumberFormat="1" applyFont="1" applyFill="1" applyBorder="1" applyAlignment="1" applyProtection="1">
      <alignment horizontal="center" vertical="center" wrapText="1"/>
      <protection locked="0"/>
    </xf>
    <xf numFmtId="1" fontId="13" fillId="7" borderId="1" xfId="0" applyNumberFormat="1" applyFont="1" applyFill="1" applyBorder="1" applyAlignment="1" applyProtection="1">
      <alignment horizontal="center" vertical="center" wrapText="1"/>
      <protection locked="0"/>
    </xf>
    <xf numFmtId="1" fontId="13" fillId="7" borderId="14" xfId="0" applyNumberFormat="1" applyFont="1" applyFill="1" applyBorder="1" applyAlignment="1" applyProtection="1">
      <alignment horizontal="center" vertical="center" wrapText="1"/>
      <protection locked="0"/>
    </xf>
    <xf numFmtId="1" fontId="11" fillId="4" borderId="7" xfId="0" applyNumberFormat="1" applyFont="1" applyFill="1" applyBorder="1" applyAlignment="1" applyProtection="1">
      <alignment horizontal="center" vertical="center"/>
    </xf>
    <xf numFmtId="1" fontId="11" fillId="4" borderId="8" xfId="0" applyNumberFormat="1" applyFont="1" applyFill="1" applyBorder="1" applyAlignment="1" applyProtection="1">
      <alignment horizontal="center" vertical="center"/>
    </xf>
    <xf numFmtId="0" fontId="0" fillId="0" borderId="0" xfId="0"/>
    <xf numFmtId="1" fontId="13" fillId="7" borderId="1" xfId="0" applyNumberFormat="1" applyFont="1" applyFill="1" applyBorder="1" applyAlignment="1" applyProtection="1">
      <alignment horizontal="left" vertical="top" wrapText="1"/>
      <protection locked="0"/>
    </xf>
    <xf numFmtId="1" fontId="13" fillId="7" borderId="14" xfId="0" applyNumberFormat="1" applyFont="1" applyFill="1" applyBorder="1" applyAlignment="1" applyProtection="1">
      <alignment horizontal="left" vertical="top" wrapText="1"/>
      <protection locked="0"/>
    </xf>
    <xf numFmtId="1" fontId="13" fillId="7" borderId="4" xfId="0" applyNumberFormat="1" applyFont="1" applyFill="1" applyBorder="1" applyAlignment="1" applyProtection="1">
      <alignment horizontal="left" vertical="center" wrapText="1"/>
      <protection locked="0"/>
    </xf>
    <xf numFmtId="1" fontId="13" fillId="7" borderId="1" xfId="0" applyNumberFormat="1" applyFont="1" applyFill="1" applyBorder="1" applyAlignment="1" applyProtection="1">
      <alignment horizontal="left" vertical="center" wrapText="1"/>
      <protection locked="0"/>
    </xf>
    <xf numFmtId="1" fontId="13" fillId="7" borderId="14" xfId="0" applyNumberFormat="1" applyFont="1" applyFill="1" applyBorder="1" applyAlignment="1" applyProtection="1">
      <alignment horizontal="left" vertical="center" wrapText="1"/>
      <protection locked="0"/>
    </xf>
  </cellXfs>
  <cellStyles count="11">
    <cellStyle name="40% - Accent2" xfId="10" builtinId="35"/>
    <cellStyle name="Comma 2" xfId="2"/>
    <cellStyle name="Heading 3" xfId="3" builtinId="18"/>
    <cellStyle name="Input" xfId="9" builtinId="20"/>
    <cellStyle name="Normal" xfId="0" builtinId="0"/>
    <cellStyle name="Normal 11" xfId="8"/>
    <cellStyle name="Normal 2" xfId="1"/>
    <cellStyle name="Normal 2 2" xfId="4"/>
    <cellStyle name="Normal 3" xfId="5"/>
    <cellStyle name="Percent" xfId="6" builtinId="5"/>
    <cellStyle name="Percent 2" xfId="7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232A"/>
      <color rgb="FF004C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11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25"/>
  <sheetViews>
    <sheetView showGridLines="0" tabSelected="1" zoomScaleNormal="100" zoomScaleSheetLayoutView="80" workbookViewId="0">
      <selection activeCell="C8" sqref="C8:G8"/>
    </sheetView>
  </sheetViews>
  <sheetFormatPr defaultColWidth="9.28515625" defaultRowHeight="12.75" x14ac:dyDescent="0.2"/>
  <cols>
    <col min="1" max="1" customWidth="true" style="90" width="5.5703125" collapsed="true"/>
    <col min="2" max="2" customWidth="true" style="98" width="59.0" collapsed="true"/>
    <col min="3" max="7" customWidth="true" style="99" width="15.7109375" collapsed="true"/>
    <col min="8" max="9" customWidth="true" style="90" width="15.7109375" collapsed="true"/>
    <col min="10" max="10" customWidth="true" style="297" width="15.7109375" collapsed="true"/>
    <col min="11" max="14" customWidth="true" style="90" width="15.7109375" collapsed="true"/>
    <col min="15" max="16384" style="90" width="9.28515625" collapsed="true"/>
  </cols>
  <sheetData>
    <row r="1" spans="1:8" ht="13.5" thickBot="1" x14ac:dyDescent="0.25">
      <c r="A1" s="35"/>
      <c r="B1" s="1"/>
      <c r="C1" s="29"/>
      <c r="D1" s="29"/>
      <c r="E1" s="29"/>
      <c r="F1" s="29"/>
      <c r="G1" s="29"/>
    </row>
    <row r="2" spans="1:8" ht="23.25" x14ac:dyDescent="0.2">
      <c r="A2" s="36"/>
      <c r="B2" s="589" t="s">
        <v>828</v>
      </c>
      <c r="C2" s="589"/>
      <c r="D2" s="589"/>
      <c r="E2" s="589"/>
      <c r="F2" s="589"/>
      <c r="G2" s="590"/>
    </row>
    <row r="3" spans="1:8" ht="24" thickBot="1" x14ac:dyDescent="0.25">
      <c r="A3" s="37"/>
      <c r="B3" s="3" t="s">
        <v>106</v>
      </c>
      <c r="C3" s="533" t="s">
        <v>827</v>
      </c>
      <c r="D3" s="38"/>
      <c r="E3" s="38"/>
      <c r="F3" s="38"/>
      <c r="G3" s="39"/>
    </row>
    <row r="4" spans="1:8" ht="15" x14ac:dyDescent="0.2">
      <c r="A4" s="40"/>
      <c r="B4" s="91"/>
      <c r="C4" s="92"/>
      <c r="D4" s="92"/>
      <c r="E4" s="92"/>
      <c r="F4" s="92"/>
      <c r="G4" s="28" t="s">
        <v>107</v>
      </c>
    </row>
    <row r="5" spans="1:8" ht="13.5" thickBot="1" x14ac:dyDescent="0.25">
      <c r="A5" s="12"/>
      <c r="B5" s="1"/>
      <c r="C5" s="29"/>
      <c r="D5" s="29"/>
      <c r="E5" s="29"/>
      <c r="F5" s="29"/>
      <c r="G5" s="29"/>
    </row>
    <row r="6" spans="1:8" ht="19.5" thickBot="1" x14ac:dyDescent="0.25">
      <c r="A6" s="7"/>
      <c r="B6" s="34" t="s">
        <v>109</v>
      </c>
      <c r="C6" s="215"/>
      <c r="D6" s="216"/>
      <c r="E6" s="216"/>
      <c r="F6" s="216"/>
      <c r="G6" s="216"/>
      <c r="H6" s="12"/>
    </row>
    <row r="7" spans="1:8" x14ac:dyDescent="0.2">
      <c r="A7" s="4"/>
      <c r="B7" s="9"/>
      <c r="C7" s="124"/>
      <c r="D7" s="124"/>
      <c r="E7" s="124"/>
      <c r="F7" s="124"/>
      <c r="G7" s="125"/>
      <c r="H7" s="12"/>
    </row>
    <row r="8" spans="1:8" x14ac:dyDescent="0.2">
      <c r="A8" s="4"/>
      <c r="B8" s="5" t="s">
        <v>110</v>
      </c>
      <c r="C8" t="s">
        <v>1054</v>
      </c>
      <c r="D8" s="592"/>
      <c r="E8" s="592"/>
      <c r="F8" s="592"/>
      <c r="G8" s="593"/>
      <c r="H8" s="143" t="s">
        <v>165</v>
      </c>
    </row>
    <row r="9" spans="1:8" x14ac:dyDescent="0.2">
      <c r="A9" s="4"/>
      <c r="B9" s="5" t="s">
        <v>7</v>
      </c>
      <c r="C9" s="594" t="s">
        <v>1045</v>
      </c>
      <c r="D9" s="595"/>
      <c r="E9" s="595"/>
      <c r="F9" s="595"/>
      <c r="G9" s="596"/>
      <c r="H9" s="143" t="s">
        <v>166</v>
      </c>
    </row>
    <row r="10" spans="1:8" x14ac:dyDescent="0.2">
      <c r="A10" s="4"/>
      <c r="B10" s="5" t="s">
        <v>6</v>
      </c>
      <c r="C10" s="594">
        <v>2021</v>
      </c>
      <c r="D10" s="595"/>
      <c r="E10" s="595"/>
      <c r="F10" s="595"/>
      <c r="G10" s="596"/>
      <c r="H10" s="143" t="s">
        <v>167</v>
      </c>
    </row>
    <row r="11" spans="1:8" x14ac:dyDescent="0.2">
      <c r="A11" s="4"/>
      <c r="B11" s="5" t="s">
        <v>168</v>
      </c>
      <c r="C11" s="594" t="s">
        <v>124</v>
      </c>
      <c r="D11" s="595"/>
      <c r="E11" s="595"/>
      <c r="F11" s="595"/>
      <c r="G11" s="596"/>
      <c r="H11" s="143" t="s">
        <v>169</v>
      </c>
    </row>
    <row r="12" spans="1:8" x14ac:dyDescent="0.2">
      <c r="A12" s="4"/>
      <c r="B12" s="5" t="s">
        <v>170</v>
      </c>
      <c r="C12" s="126">
        <f>DATE($C$10,MONTH(DATEVALUE(C11&amp;" 1")),VLOOKUP(C11,Lookup!$A$11:$C$14,3,FALSE))</f>
        <v>44286</v>
      </c>
      <c r="D12" s="127"/>
      <c r="E12" s="127"/>
      <c r="F12" s="127"/>
      <c r="G12" s="127"/>
      <c r="H12" s="144"/>
    </row>
    <row r="13" spans="1:8" x14ac:dyDescent="0.2">
      <c r="A13" s="4"/>
      <c r="B13" s="5" t="s">
        <v>8</v>
      </c>
      <c r="C13" s="586" t="s">
        <v>9</v>
      </c>
      <c r="D13" s="587"/>
      <c r="E13" s="587"/>
      <c r="F13" s="587"/>
      <c r="G13" s="588"/>
      <c r="H13" s="143" t="s">
        <v>171</v>
      </c>
    </row>
    <row r="14" spans="1:8" x14ac:dyDescent="0.2">
      <c r="A14" s="128"/>
      <c r="B14" s="5" t="s">
        <v>132</v>
      </c>
      <c r="C14" s="129">
        <f>D14-1</f>
        <v>2017</v>
      </c>
      <c r="D14" s="129">
        <f>E14-1</f>
        <v>2018</v>
      </c>
      <c r="E14" s="129">
        <f>F14-1</f>
        <v>2019</v>
      </c>
      <c r="F14" s="129">
        <f>G14-1</f>
        <v>2020</v>
      </c>
      <c r="G14" s="130">
        <f>$C$10</f>
        <v>2021</v>
      </c>
      <c r="H14" s="145"/>
    </row>
    <row r="15" spans="1:8" x14ac:dyDescent="0.2">
      <c r="A15" s="128"/>
      <c r="B15" s="5" t="s">
        <v>172</v>
      </c>
      <c r="C15" s="146" t="str">
        <f>C20</f>
        <v>Y</v>
      </c>
      <c r="D15" s="146" t="str">
        <f>IF(C15="Y","Y",D20)</f>
        <v>Y</v>
      </c>
      <c r="E15" s="146" t="str">
        <f t="shared" ref="E15:G15" si="0">IF(D15="Y","Y",E20)</f>
        <v>Y</v>
      </c>
      <c r="F15" s="146" t="str">
        <f t="shared" si="0"/>
        <v>Y</v>
      </c>
      <c r="G15" s="147" t="str">
        <f t="shared" si="0"/>
        <v>Y</v>
      </c>
      <c r="H15" s="143"/>
    </row>
    <row r="16" spans="1:8" x14ac:dyDescent="0.2">
      <c r="A16" s="128"/>
      <c r="B16" s="5" t="s">
        <v>128</v>
      </c>
      <c r="C16" s="131" t="s">
        <v>113</v>
      </c>
      <c r="D16" s="131" t="s">
        <v>113</v>
      </c>
      <c r="E16" s="131" t="s">
        <v>113</v>
      </c>
      <c r="F16" s="131" t="s">
        <v>113</v>
      </c>
      <c r="G16" s="133" t="s">
        <v>113</v>
      </c>
      <c r="H16" s="12"/>
    </row>
    <row r="17" spans="1:21" x14ac:dyDescent="0.2">
      <c r="A17" s="4"/>
      <c r="B17" s="10" t="s">
        <v>174</v>
      </c>
      <c r="C17" s="126" t="str">
        <f>TEXT(DATE(C14,MONTH($C$12)-VLOOKUP(C16,Lookup!$A$1:$C$8,2,FALSE),VLOOKUP($C$11,Lookup!$A$11:$J$14,VLOOKUP(C16,Lookup!$F$1:$G$8,2,FALSE),FALSE)),"dd/mm/yyyy")</f>
        <v>31/03/2017</v>
      </c>
      <c r="D17" s="126" t="str">
        <f>TEXT(DATE(D14,MONTH($C$12)-VLOOKUP(D16,Lookup!$A$1:$C$8,2,FALSE),VLOOKUP($C$11,Lookup!$A$11:$J$14,VLOOKUP(D16,Lookup!$F$1:$G$8,2,FALSE),FALSE)),"dd/mm/yyyy")</f>
        <v>31/03/2018</v>
      </c>
      <c r="E17" s="126" t="str">
        <f>TEXT(DATE(E14,MONTH($C$12)-VLOOKUP(E16,Lookup!$A$1:$C$8,2,FALSE),VLOOKUP($C$11,Lookup!$A$11:$J$14,VLOOKUP(E16,Lookup!$F$1:$G$8,2,FALSE),FALSE)),"dd/mm/yyyy")</f>
        <v>31/03/2019</v>
      </c>
      <c r="F17" s="126" t="str">
        <f>TEXT(DATE(F14,MONTH($C$12)-VLOOKUP(F16,Lookup!$A$1:$C$8,2,FALSE),VLOOKUP($C$11,Lookup!$A$11:$J$14,VLOOKUP(F16,Lookup!$F$1:$G$8,2,FALSE),FALSE)),"dd/mm/yyyy")</f>
        <v>31/03/2020</v>
      </c>
      <c r="G17" s="132" t="str">
        <f>TEXT(DATE(G14,MONTH($C$12)-VLOOKUP(G16,Lookup!$A$1:$C$8,2,FALSE),VLOOKUP($C$11,Lookup!$A$11:$J$14,VLOOKUP(G16,Lookup!$F$1:$G$8,2,FALSE),FALSE)),"dd/mm/yyyy")</f>
        <v>31/03/2021</v>
      </c>
      <c r="H17" s="12"/>
    </row>
    <row r="18" spans="1:21" x14ac:dyDescent="0.2">
      <c r="A18" s="4"/>
      <c r="B18" s="6" t="s">
        <v>105</v>
      </c>
      <c r="C18" s="131" t="s">
        <v>5</v>
      </c>
      <c r="D18" s="131" t="s">
        <v>5</v>
      </c>
      <c r="E18" s="131" t="s">
        <v>5</v>
      </c>
      <c r="F18" s="131" t="s">
        <v>5</v>
      </c>
      <c r="G18" s="133" t="s">
        <v>5</v>
      </c>
      <c r="H18" s="12"/>
    </row>
    <row r="19" spans="1:21" x14ac:dyDescent="0.2">
      <c r="A19" s="4"/>
      <c r="B19" s="5" t="s">
        <v>108</v>
      </c>
      <c r="C19" s="131">
        <f>VLOOKUP(C16,Lookup!$A$1:$D$8,4,FALSE)</f>
        <v>12</v>
      </c>
      <c r="D19" s="131">
        <f>VLOOKUP(D16,Lookup!$A$1:$D$8,4,FALSE)</f>
        <v>12</v>
      </c>
      <c r="E19" s="131">
        <f>VLOOKUP(E16,Lookup!$A$1:$D$8,4,FALSE)</f>
        <v>12</v>
      </c>
      <c r="F19" s="131">
        <f>VLOOKUP(F16,Lookup!$A$1:$D$8,4,FALSE)</f>
        <v>12</v>
      </c>
      <c r="G19" s="133">
        <f>VLOOKUP(G16,Lookup!$A$1:$D$8,4,FALSE)</f>
        <v>12</v>
      </c>
      <c r="H19" s="143" t="s">
        <v>175</v>
      </c>
    </row>
    <row r="20" spans="1:21" x14ac:dyDescent="0.2">
      <c r="A20" s="128"/>
      <c r="B20" s="5" t="s">
        <v>172</v>
      </c>
      <c r="C20" s="131" t="s">
        <v>117</v>
      </c>
      <c r="D20" s="131" t="s">
        <v>117</v>
      </c>
      <c r="E20" s="131" t="s">
        <v>117</v>
      </c>
      <c r="F20" s="131" t="s">
        <v>117</v>
      </c>
      <c r="G20" s="133" t="s">
        <v>117</v>
      </c>
      <c r="H20" s="143" t="s">
        <v>173</v>
      </c>
    </row>
    <row r="21" spans="1:21" ht="13.5" thickBot="1" x14ac:dyDescent="0.25">
      <c r="A21" s="134"/>
      <c r="B21" s="11"/>
      <c r="C21" s="135"/>
      <c r="D21" s="135"/>
      <c r="E21" s="135"/>
      <c r="F21" s="135"/>
      <c r="G21" s="136"/>
      <c r="H21" s="12"/>
    </row>
    <row r="22" spans="1:21" ht="13.5" thickBot="1" x14ac:dyDescent="0.25">
      <c r="B22" s="95"/>
      <c r="C22" s="94"/>
      <c r="D22" s="94"/>
      <c r="E22" s="94"/>
      <c r="F22" s="96"/>
      <c r="G22" s="96"/>
      <c r="Q22" s="354"/>
      <c r="R22" s="355"/>
      <c r="T22" s="354" t="s">
        <v>730</v>
      </c>
      <c r="U22" s="355" t="s">
        <v>731</v>
      </c>
    </row>
    <row r="23" spans="1:21" ht="19.5" thickBot="1" x14ac:dyDescent="0.25">
      <c r="A23" s="36"/>
      <c r="B23" s="34" t="s">
        <v>94</v>
      </c>
      <c r="C23" s="44"/>
      <c r="D23" s="44"/>
      <c r="E23" s="44"/>
      <c r="F23" s="44"/>
      <c r="G23" s="44"/>
      <c r="Q23" s="297"/>
      <c r="T23" s="297"/>
    </row>
    <row r="24" spans="1:21" x14ac:dyDescent="0.2">
      <c r="A24" s="42"/>
      <c r="B24" s="13"/>
      <c r="C24" s="45"/>
      <c r="D24" s="45"/>
      <c r="E24" s="45"/>
      <c r="F24" s="45"/>
      <c r="G24" s="57"/>
      <c r="Q24" s="297"/>
      <c r="T24" s="297"/>
    </row>
    <row r="25" spans="1:21" x14ac:dyDescent="0.2">
      <c r="A25" s="46"/>
      <c r="B25" s="19"/>
      <c r="C25" s="47"/>
      <c r="D25" s="47"/>
      <c r="E25" s="47"/>
      <c r="F25" s="47"/>
      <c r="G25" s="48"/>
      <c r="Q25" s="297"/>
      <c r="T25" s="297"/>
    </row>
    <row r="26" spans="1:21" x14ac:dyDescent="0.2">
      <c r="A26" s="42"/>
      <c r="B26" s="19"/>
      <c r="C26" s="47"/>
      <c r="D26" s="47"/>
      <c r="E26" s="47"/>
      <c r="F26" s="47"/>
      <c r="G26" s="48"/>
      <c r="Q26" s="297"/>
      <c r="T26" s="297"/>
    </row>
    <row r="27" spans="1:21" ht="15" x14ac:dyDescent="0.2">
      <c r="A27" s="42"/>
      <c r="B27" s="16" t="s">
        <v>10</v>
      </c>
      <c r="C27" s="49"/>
      <c r="D27" s="49"/>
      <c r="E27" s="49"/>
      <c r="F27" s="49"/>
      <c r="G27" s="50"/>
      <c r="Q27" s="297"/>
      <c r="T27" s="297"/>
    </row>
    <row r="28" spans="1:21" x14ac:dyDescent="0.2">
      <c r="A28" s="42"/>
      <c r="B28" s="32" t="s">
        <v>11</v>
      </c>
      <c r="C28" s="49"/>
      <c r="D28" s="49"/>
      <c r="E28" s="49"/>
      <c r="F28" s="49"/>
      <c r="G28" s="50"/>
      <c r="Q28" s="297"/>
      <c r="T28" s="297"/>
    </row>
    <row r="29" spans="1:21" x14ac:dyDescent="0.2">
      <c r="A29" s="42"/>
      <c r="B29" s="19" t="s">
        <v>178</v>
      </c>
      <c r="C29" s="75">
        <v>35296.6</v>
      </c>
      <c r="D29" s="76">
        <v>39280.800000000003</v>
      </c>
      <c r="E29" s="76">
        <v>48078</v>
      </c>
      <c r="F29" s="76">
        <v>54671</v>
      </c>
      <c r="G29" s="77">
        <v>52415.700000000004</v>
      </c>
      <c r="H29" s="90" t="s">
        <v>1026</v>
      </c>
      <c r="I29" s="90" t="s">
        <v>1027</v>
      </c>
      <c r="Q29" s="297"/>
      <c r="T29" s="297" t="s">
        <v>732</v>
      </c>
      <c r="U29" s="90" t="s">
        <v>734</v>
      </c>
    </row>
    <row r="30" spans="1:21" x14ac:dyDescent="0.2">
      <c r="A30" s="42"/>
      <c r="B30" s="19" t="s">
        <v>266</v>
      </c>
      <c r="C30" s="51">
        <v>2416.5</v>
      </c>
      <c r="D30" s="51">
        <v>2555.5</v>
      </c>
      <c r="E30" s="26">
        <v>3420</v>
      </c>
      <c r="F30" s="26">
        <v>3860.6</v>
      </c>
      <c r="G30" s="27">
        <v>3703.6</v>
      </c>
      <c r="H30" s="90" t="s">
        <v>1026</v>
      </c>
      <c r="I30" s="90" t="s">
        <v>1028</v>
      </c>
      <c r="Q30" s="297"/>
      <c r="T30" s="297" t="s">
        <v>732</v>
      </c>
      <c r="U30" s="90" t="s">
        <v>734</v>
      </c>
    </row>
    <row r="31" spans="1:21" x14ac:dyDescent="0.2">
      <c r="A31" s="42"/>
      <c r="B31" s="19" t="s">
        <v>267</v>
      </c>
      <c r="C31" s="25">
        <v>1178.58</v>
      </c>
      <c r="D31" s="26">
        <v>1196.82</v>
      </c>
      <c r="E31" s="26">
        <v>2073.3999999999942</v>
      </c>
      <c r="F31" s="26">
        <v>3392.7000000000057</v>
      </c>
      <c r="G31" s="27">
        <v>2217.7000000000057</v>
      </c>
      <c r="Q31" s="297"/>
      <c r="T31" s="297" t="s">
        <v>732</v>
      </c>
      <c r="U31" s="90" t="s">
        <v>734</v>
      </c>
    </row>
    <row r="32" spans="1:21" x14ac:dyDescent="0.2">
      <c r="A32" s="42"/>
      <c r="B32" s="19" t="s">
        <v>268</v>
      </c>
      <c r="C32" s="51">
        <v>3169.4</v>
      </c>
      <c r="D32" s="51">
        <v>1453.8</v>
      </c>
      <c r="E32" s="51">
        <v>1449.5</v>
      </c>
      <c r="F32" s="52">
        <v>1854</v>
      </c>
      <c r="G32" s="53">
        <v>1493.1000000000001</v>
      </c>
      <c r="H32" s="90" t="s">
        <v>1026</v>
      </c>
      <c r="I32" s="90" t="s">
        <v>1029</v>
      </c>
      <c r="Q32" s="297"/>
      <c r="T32" s="297" t="s">
        <v>732</v>
      </c>
      <c r="U32" s="90" t="s">
        <v>734</v>
      </c>
    </row>
    <row r="33" spans="1:21" x14ac:dyDescent="0.2">
      <c r="A33" s="42"/>
      <c r="B33" s="33"/>
      <c r="C33" s="47"/>
      <c r="D33" s="47"/>
      <c r="E33" s="47"/>
      <c r="F33" s="47"/>
      <c r="G33" s="48"/>
      <c r="Q33" s="297"/>
      <c r="T33" s="297"/>
    </row>
    <row r="34" spans="1:21" x14ac:dyDescent="0.2">
      <c r="A34" s="42"/>
      <c r="B34" s="33"/>
      <c r="C34" s="47"/>
      <c r="D34" s="47"/>
      <c r="E34" s="47"/>
      <c r="F34" s="47"/>
      <c r="G34" s="48"/>
      <c r="Q34" s="297"/>
      <c r="T34" s="297"/>
    </row>
    <row r="35" spans="1:21" x14ac:dyDescent="0.2">
      <c r="A35" s="42"/>
      <c r="B35" s="33"/>
      <c r="C35" s="47"/>
      <c r="D35" s="47"/>
      <c r="E35" s="47"/>
      <c r="F35" s="47"/>
      <c r="G35" s="48"/>
      <c r="Q35" s="297"/>
      <c r="T35" s="297"/>
    </row>
    <row r="36" spans="1:21" x14ac:dyDescent="0.2">
      <c r="A36" s="42"/>
      <c r="B36" s="33"/>
      <c r="C36" s="47"/>
      <c r="D36" s="47"/>
      <c r="E36" s="47"/>
      <c r="F36" s="47"/>
      <c r="G36" s="48"/>
      <c r="Q36" s="297"/>
      <c r="T36" s="297"/>
    </row>
    <row r="37" spans="1:21" x14ac:dyDescent="0.2">
      <c r="A37" s="42"/>
      <c r="B37" s="56" t="s">
        <v>179</v>
      </c>
      <c r="C37" s="54">
        <v>42061.08</v>
      </c>
      <c r="D37" s="54">
        <v>44486.92</v>
      </c>
      <c r="E37" s="54">
        <v>55020.9</v>
      </c>
      <c r="F37" s="54">
        <v>63778.3</v>
      </c>
      <c r="G37" s="55">
        <v>59830.1</v>
      </c>
      <c r="H37" s="90" t="s">
        <v>1030</v>
      </c>
      <c r="Q37" s="297"/>
      <c r="T37" s="297" t="s">
        <v>733</v>
      </c>
      <c r="U37" s="90" t="s">
        <v>734</v>
      </c>
    </row>
    <row r="38" spans="1:21" x14ac:dyDescent="0.2">
      <c r="A38" s="42"/>
      <c r="B38" s="33"/>
      <c r="C38" s="47"/>
      <c r="D38" s="47"/>
      <c r="E38" s="47"/>
      <c r="F38" s="47"/>
      <c r="G38" s="48"/>
      <c r="Q38" s="297"/>
      <c r="T38" s="297"/>
    </row>
    <row r="39" spans="1:21" ht="15" x14ac:dyDescent="0.2">
      <c r="A39" s="42"/>
      <c r="B39" s="16" t="s">
        <v>180</v>
      </c>
      <c r="C39" s="49"/>
      <c r="D39" s="49"/>
      <c r="E39" s="49"/>
      <c r="F39" s="49"/>
      <c r="G39" s="50"/>
      <c r="Q39" s="297"/>
      <c r="T39" s="297"/>
    </row>
    <row r="40" spans="1:21" x14ac:dyDescent="0.2">
      <c r="A40" s="42"/>
      <c r="B40" s="19" t="s">
        <v>181</v>
      </c>
      <c r="C40" s="75">
        <v>17290.2</v>
      </c>
      <c r="D40" s="76">
        <v>19166.7</v>
      </c>
      <c r="E40" s="76">
        <v>25833.199999999997</v>
      </c>
      <c r="F40" s="76">
        <v>28886</v>
      </c>
      <c r="G40" s="77">
        <v>26878</v>
      </c>
      <c r="H40" s="90" t="s">
        <v>1031</v>
      </c>
      <c r="Q40" s="297"/>
      <c r="T40" s="297" t="s">
        <v>732</v>
      </c>
      <c r="U40" s="90" t="s">
        <v>734</v>
      </c>
    </row>
    <row r="41" spans="1:21" x14ac:dyDescent="0.2">
      <c r="A41" s="42"/>
      <c r="B41" s="19" t="s">
        <v>182</v>
      </c>
      <c r="C41" s="25">
        <v>0</v>
      </c>
      <c r="D41" s="26">
        <v>0</v>
      </c>
      <c r="E41" s="26">
        <v>0</v>
      </c>
      <c r="F41" s="26">
        <v>0</v>
      </c>
      <c r="G41" s="27">
        <v>0</v>
      </c>
      <c r="H41" s="90" t="s">
        <v>1031</v>
      </c>
      <c r="Q41" s="297"/>
      <c r="T41" s="297" t="s">
        <v>732</v>
      </c>
      <c r="U41" s="90" t="s">
        <v>734</v>
      </c>
    </row>
    <row r="42" spans="1:21" x14ac:dyDescent="0.2">
      <c r="A42" s="42"/>
      <c r="B42" s="33"/>
      <c r="C42" s="47"/>
      <c r="D42" s="47"/>
      <c r="E42" s="47"/>
      <c r="F42" s="47"/>
      <c r="G42" s="48"/>
      <c r="Q42" s="297"/>
      <c r="T42" s="297"/>
    </row>
    <row r="43" spans="1:21" x14ac:dyDescent="0.2">
      <c r="A43" s="42"/>
      <c r="B43" s="33"/>
      <c r="C43" s="47"/>
      <c r="D43" s="47"/>
      <c r="E43" s="47"/>
      <c r="F43" s="47"/>
      <c r="G43" s="48"/>
      <c r="Q43" s="297"/>
      <c r="T43" s="297"/>
    </row>
    <row r="44" spans="1:21" x14ac:dyDescent="0.2">
      <c r="A44" s="42"/>
      <c r="B44" s="33"/>
      <c r="C44" s="47"/>
      <c r="D44" s="47"/>
      <c r="E44" s="47"/>
      <c r="F44" s="47"/>
      <c r="G44" s="48"/>
      <c r="Q44" s="297"/>
      <c r="T44" s="297"/>
    </row>
    <row r="45" spans="1:21" x14ac:dyDescent="0.2">
      <c r="A45" s="42"/>
      <c r="B45" s="33"/>
      <c r="C45" s="47"/>
      <c r="D45" s="47"/>
      <c r="E45" s="47"/>
      <c r="F45" s="47"/>
      <c r="G45" s="48"/>
      <c r="Q45" s="297"/>
      <c r="T45" s="297"/>
    </row>
    <row r="46" spans="1:21" x14ac:dyDescent="0.2">
      <c r="A46" s="42"/>
      <c r="B46" s="33"/>
      <c r="C46" s="47"/>
      <c r="D46" s="47"/>
      <c r="E46" s="47"/>
      <c r="F46" s="47"/>
      <c r="G46" s="48"/>
      <c r="Q46" s="297"/>
      <c r="T46" s="297"/>
    </row>
    <row r="47" spans="1:21" x14ac:dyDescent="0.2">
      <c r="A47" s="42"/>
      <c r="B47" s="33"/>
      <c r="C47" s="47"/>
      <c r="D47" s="47"/>
      <c r="E47" s="47"/>
      <c r="F47" s="47"/>
      <c r="G47" s="48"/>
      <c r="Q47" s="297"/>
      <c r="T47" s="297"/>
    </row>
    <row r="48" spans="1:21" x14ac:dyDescent="0.2">
      <c r="A48" s="42"/>
      <c r="B48" s="56" t="s">
        <v>183</v>
      </c>
      <c r="C48" s="54">
        <v>17290.2</v>
      </c>
      <c r="D48" s="54">
        <v>19166.7</v>
      </c>
      <c r="E48" s="54">
        <v>25833.200000000001</v>
      </c>
      <c r="F48" s="54">
        <v>28886</v>
      </c>
      <c r="G48" s="55">
        <v>26878</v>
      </c>
      <c r="H48" s="90" t="s">
        <v>1030</v>
      </c>
      <c r="Q48" s="297"/>
      <c r="T48" s="297" t="s">
        <v>733</v>
      </c>
      <c r="U48" s="90" t="s">
        <v>734</v>
      </c>
    </row>
    <row r="49" spans="1:21" x14ac:dyDescent="0.2">
      <c r="A49" s="42"/>
      <c r="B49" s="33"/>
      <c r="C49" s="47"/>
      <c r="D49" s="47"/>
      <c r="E49" s="47"/>
      <c r="F49" s="47"/>
      <c r="G49" s="48"/>
      <c r="Q49" s="297"/>
      <c r="T49" s="297"/>
    </row>
    <row r="50" spans="1:21" x14ac:dyDescent="0.2">
      <c r="A50" s="42"/>
      <c r="B50" s="33"/>
      <c r="C50" s="47"/>
      <c r="D50" s="47"/>
      <c r="E50" s="47"/>
      <c r="F50" s="47"/>
      <c r="G50" s="48"/>
      <c r="Q50" s="297"/>
      <c r="T50" s="297"/>
    </row>
    <row r="51" spans="1:21" ht="15" x14ac:dyDescent="0.2">
      <c r="A51" s="42"/>
      <c r="B51" s="16" t="s">
        <v>184</v>
      </c>
      <c r="C51" s="54">
        <v>24770.880000000001</v>
      </c>
      <c r="D51" s="54">
        <v>25320.219999999998</v>
      </c>
      <c r="E51" s="54">
        <v>29187.7</v>
      </c>
      <c r="F51" s="54">
        <v>34892.300000000003</v>
      </c>
      <c r="G51" s="55">
        <v>32952.1</v>
      </c>
      <c r="H51" s="90" t="s">
        <v>1030</v>
      </c>
      <c r="Q51" s="297"/>
      <c r="T51" s="297" t="s">
        <v>733</v>
      </c>
      <c r="U51" s="90" t="s">
        <v>734</v>
      </c>
    </row>
    <row r="52" spans="1:21" x14ac:dyDescent="0.2">
      <c r="A52" s="42"/>
      <c r="B52" s="33"/>
      <c r="C52" s="47"/>
      <c r="D52" s="47"/>
      <c r="E52" s="47"/>
      <c r="F52" s="47"/>
      <c r="G52" s="48"/>
      <c r="Q52" s="297"/>
      <c r="T52" s="297"/>
    </row>
    <row r="53" spans="1:21" x14ac:dyDescent="0.2">
      <c r="A53" s="42"/>
      <c r="B53" s="33"/>
      <c r="C53" s="47"/>
      <c r="D53" s="47"/>
      <c r="E53" s="47"/>
      <c r="F53" s="47"/>
      <c r="G53" s="48"/>
      <c r="Q53" s="297"/>
      <c r="T53" s="297"/>
    </row>
    <row r="54" spans="1:21" ht="15" x14ac:dyDescent="0.2">
      <c r="A54" s="42"/>
      <c r="B54" s="16" t="s">
        <v>185</v>
      </c>
      <c r="C54" s="49"/>
      <c r="D54" s="49"/>
      <c r="E54" s="49"/>
      <c r="F54" s="49"/>
      <c r="G54" s="50"/>
      <c r="Q54" s="297"/>
      <c r="T54" s="297"/>
    </row>
    <row r="55" spans="1:21" x14ac:dyDescent="0.2">
      <c r="A55" s="42"/>
      <c r="B55" s="19" t="s">
        <v>187</v>
      </c>
      <c r="C55" s="61">
        <v>0</v>
      </c>
      <c r="D55" s="61">
        <v>0</v>
      </c>
      <c r="E55" s="61">
        <v>0</v>
      </c>
      <c r="F55" s="62">
        <v>219.4</v>
      </c>
      <c r="G55" s="63">
        <v>282.3</v>
      </c>
      <c r="Q55" s="297"/>
      <c r="T55" s="297" t="s">
        <v>732</v>
      </c>
      <c r="U55" s="90" t="s">
        <v>734</v>
      </c>
    </row>
    <row r="56" spans="1:21" x14ac:dyDescent="0.2">
      <c r="A56" s="42"/>
      <c r="B56" s="19" t="s">
        <v>269</v>
      </c>
      <c r="C56" s="51">
        <v>0</v>
      </c>
      <c r="D56" s="51">
        <v>0</v>
      </c>
      <c r="E56" s="51">
        <v>0</v>
      </c>
      <c r="F56" s="52">
        <v>0</v>
      </c>
      <c r="G56" s="53">
        <v>0</v>
      </c>
      <c r="Q56" s="297"/>
      <c r="T56" s="297" t="s">
        <v>732</v>
      </c>
      <c r="U56" s="90" t="s">
        <v>734</v>
      </c>
    </row>
    <row r="57" spans="1:21" x14ac:dyDescent="0.2">
      <c r="A57" s="42"/>
      <c r="B57" s="19" t="s">
        <v>270</v>
      </c>
      <c r="C57" s="51">
        <v>0</v>
      </c>
      <c r="D57" s="26">
        <v>0</v>
      </c>
      <c r="E57" s="26">
        <v>1266</v>
      </c>
      <c r="F57" s="26">
        <v>1949.7</v>
      </c>
      <c r="G57" s="27">
        <v>12345345</v>
      </c>
      <c r="Q57" s="297"/>
      <c r="T57" s="297" t="s">
        <v>732</v>
      </c>
      <c r="U57" s="90" t="s">
        <v>734</v>
      </c>
    </row>
    <row r="58" spans="1:21" x14ac:dyDescent="0.2">
      <c r="A58" s="42"/>
      <c r="B58" s="19" t="s">
        <v>271</v>
      </c>
      <c r="C58" s="51">
        <v>0</v>
      </c>
      <c r="D58" s="51">
        <v>0</v>
      </c>
      <c r="E58" s="51">
        <v>0</v>
      </c>
      <c r="F58" s="52">
        <v>0</v>
      </c>
      <c r="G58" s="53">
        <v>0</v>
      </c>
      <c r="Q58" s="297"/>
      <c r="T58" s="297" t="s">
        <v>732</v>
      </c>
      <c r="U58" s="90" t="s">
        <v>734</v>
      </c>
    </row>
    <row r="59" spans="1:21" x14ac:dyDescent="0.2">
      <c r="A59" s="42"/>
      <c r="B59" s="19" t="s">
        <v>272</v>
      </c>
      <c r="C59" s="51">
        <v>0</v>
      </c>
      <c r="D59" s="51">
        <v>0</v>
      </c>
      <c r="E59" s="51">
        <v>0</v>
      </c>
      <c r="F59" s="52">
        <v>0</v>
      </c>
      <c r="G59" s="53">
        <v>0</v>
      </c>
      <c r="Q59" s="297"/>
      <c r="T59" s="297" t="s">
        <v>732</v>
      </c>
      <c r="U59" s="90" t="s">
        <v>734</v>
      </c>
    </row>
    <row r="60" spans="1:21" x14ac:dyDescent="0.2">
      <c r="A60" s="42"/>
      <c r="B60" s="19" t="s">
        <v>188</v>
      </c>
      <c r="C60" s="25">
        <v>0.72</v>
      </c>
      <c r="D60" s="26">
        <v>2.09</v>
      </c>
      <c r="E60" s="26">
        <v>2.19</v>
      </c>
      <c r="F60" s="26">
        <v>2.2000000000000002</v>
      </c>
      <c r="G60" s="27">
        <v>2.1</v>
      </c>
      <c r="Q60" s="297"/>
      <c r="T60" s="297" t="s">
        <v>732</v>
      </c>
      <c r="U60" s="90" t="s">
        <v>734</v>
      </c>
    </row>
    <row r="61" spans="1:21" x14ac:dyDescent="0.2">
      <c r="A61" s="42"/>
      <c r="B61" s="33"/>
      <c r="C61" s="47"/>
      <c r="D61" s="47"/>
      <c r="E61" s="47"/>
      <c r="F61" s="47"/>
      <c r="G61" s="48"/>
      <c r="Q61" s="297"/>
      <c r="T61" s="297"/>
    </row>
    <row r="62" spans="1:21" x14ac:dyDescent="0.2">
      <c r="A62" s="42"/>
      <c r="B62" s="33"/>
      <c r="C62" s="47"/>
      <c r="D62" s="47"/>
      <c r="E62" s="47"/>
      <c r="F62" s="47"/>
      <c r="G62" s="48"/>
      <c r="Q62" s="297"/>
      <c r="T62" s="297"/>
    </row>
    <row r="63" spans="1:21" x14ac:dyDescent="0.2">
      <c r="A63" s="42"/>
      <c r="B63" s="33"/>
      <c r="C63" s="47"/>
      <c r="D63" s="47"/>
      <c r="E63" s="47"/>
      <c r="F63" s="47"/>
      <c r="G63" s="48"/>
      <c r="Q63" s="297"/>
      <c r="T63" s="297"/>
    </row>
    <row r="64" spans="1:21" x14ac:dyDescent="0.2">
      <c r="A64" s="42"/>
      <c r="B64" s="56" t="s">
        <v>189</v>
      </c>
      <c r="C64" s="54">
        <v>0.72</v>
      </c>
      <c r="D64" s="54">
        <v>2.09</v>
      </c>
      <c r="E64" s="54">
        <v>1268.19</v>
      </c>
      <c r="F64" s="54">
        <v>2171.3000000000002</v>
      </c>
      <c r="G64" s="55">
        <v>12345629.4</v>
      </c>
      <c r="H64" s="90" t="s">
        <v>1030</v>
      </c>
      <c r="Q64" s="297"/>
      <c r="T64" s="297" t="s">
        <v>733</v>
      </c>
      <c r="U64" s="90" t="s">
        <v>734</v>
      </c>
    </row>
    <row r="65" spans="1:21" x14ac:dyDescent="0.2">
      <c r="A65" s="42"/>
      <c r="B65" s="33"/>
      <c r="C65" s="47"/>
      <c r="D65" s="47"/>
      <c r="E65" s="47"/>
      <c r="F65" s="47"/>
      <c r="G65" s="48"/>
      <c r="Q65" s="297"/>
      <c r="T65" s="297"/>
    </row>
    <row r="66" spans="1:21" ht="30" x14ac:dyDescent="0.2">
      <c r="A66" s="42"/>
      <c r="B66" s="16" t="s">
        <v>190</v>
      </c>
      <c r="C66" s="54">
        <v>24771.600000000002</v>
      </c>
      <c r="D66" s="54">
        <v>25322.309999999998</v>
      </c>
      <c r="E66" s="54">
        <v>30455.89</v>
      </c>
      <c r="F66" s="54">
        <v>37063.600000000006</v>
      </c>
      <c r="G66" s="55">
        <v>12378581.5</v>
      </c>
      <c r="H66" s="90" t="s">
        <v>1030</v>
      </c>
      <c r="Q66" s="297"/>
      <c r="T66" s="297" t="s">
        <v>733</v>
      </c>
      <c r="U66" s="90" t="s">
        <v>734</v>
      </c>
    </row>
    <row r="67" spans="1:21" x14ac:dyDescent="0.2">
      <c r="A67" s="42"/>
      <c r="B67" s="33"/>
      <c r="C67" s="47"/>
      <c r="D67" s="47"/>
      <c r="E67" s="47"/>
      <c r="F67" s="47"/>
      <c r="G67" s="48"/>
      <c r="Q67" s="297"/>
      <c r="T67" s="297"/>
    </row>
    <row r="68" spans="1:21" x14ac:dyDescent="0.2">
      <c r="A68" s="42"/>
      <c r="B68" s="33"/>
      <c r="C68" s="47"/>
      <c r="D68" s="47"/>
      <c r="E68" s="47"/>
      <c r="F68" s="47"/>
      <c r="G68" s="48"/>
      <c r="Q68" s="297"/>
      <c r="T68" s="297"/>
    </row>
    <row r="69" spans="1:21" ht="15" x14ac:dyDescent="0.2">
      <c r="A69" s="42"/>
      <c r="B69" s="16" t="s">
        <v>14</v>
      </c>
      <c r="C69" s="49"/>
      <c r="D69" s="49"/>
      <c r="E69" s="49"/>
      <c r="F69" s="49"/>
      <c r="G69" s="50"/>
      <c r="Q69" s="297"/>
      <c r="T69" s="297"/>
    </row>
    <row r="70" spans="1:21" x14ac:dyDescent="0.2">
      <c r="A70" s="42"/>
      <c r="B70" s="19" t="s">
        <v>260</v>
      </c>
      <c r="C70" s="75">
        <v>1730.42</v>
      </c>
      <c r="D70" s="76">
        <v>422.87</v>
      </c>
      <c r="E70" s="76">
        <v>525.4</v>
      </c>
      <c r="F70" s="76">
        <v>431.8</v>
      </c>
      <c r="G70" s="77">
        <v>344</v>
      </c>
      <c r="Q70" s="297"/>
      <c r="T70" s="297" t="s">
        <v>732</v>
      </c>
      <c r="U70" s="90" t="s">
        <v>734</v>
      </c>
    </row>
    <row r="71" spans="1:21" x14ac:dyDescent="0.2">
      <c r="A71" s="42"/>
      <c r="B71" s="19" t="s">
        <v>15</v>
      </c>
      <c r="C71" s="25">
        <v>5479.6</v>
      </c>
      <c r="D71" s="26">
        <v>7131.72</v>
      </c>
      <c r="E71" s="26">
        <v>8830.6</v>
      </c>
      <c r="F71" s="26">
        <v>10108.200000000001</v>
      </c>
      <c r="G71" s="27">
        <v>9062.5</v>
      </c>
      <c r="Q71" s="297"/>
      <c r="T71" s="297" t="s">
        <v>732</v>
      </c>
      <c r="U71" s="90" t="s">
        <v>734</v>
      </c>
    </row>
    <row r="72" spans="1:21" x14ac:dyDescent="0.2">
      <c r="A72" s="42"/>
      <c r="B72" s="19" t="s">
        <v>16</v>
      </c>
      <c r="C72" s="25">
        <v>6585.4900000000007</v>
      </c>
      <c r="D72" s="26">
        <v>7992.4400000000014</v>
      </c>
      <c r="E72" s="26">
        <v>9032.1</v>
      </c>
      <c r="F72" s="26">
        <v>8769</v>
      </c>
      <c r="G72" s="27">
        <v>9070.6999999999989</v>
      </c>
      <c r="Q72" s="297"/>
      <c r="T72" s="297" t="s">
        <v>732</v>
      </c>
      <c r="U72" s="90" t="s">
        <v>734</v>
      </c>
    </row>
    <row r="73" spans="1:21" x14ac:dyDescent="0.2">
      <c r="A73" s="42"/>
      <c r="B73" s="19" t="s">
        <v>796</v>
      </c>
      <c r="C73" s="25">
        <v>330.03999999999996</v>
      </c>
      <c r="D73" s="26">
        <v>352.4</v>
      </c>
      <c r="E73" s="26">
        <v>419.4</v>
      </c>
      <c r="F73" s="26">
        <v>1397.9</v>
      </c>
      <c r="G73" s="27">
        <v>1360.1999999999998</v>
      </c>
      <c r="Q73" s="297"/>
      <c r="T73" s="297" t="s">
        <v>732</v>
      </c>
      <c r="U73" s="90" t="s">
        <v>734</v>
      </c>
    </row>
    <row r="74" spans="1:21" x14ac:dyDescent="0.2">
      <c r="A74" s="42"/>
      <c r="B74" s="19" t="s">
        <v>17</v>
      </c>
      <c r="C74" s="51">
        <v>0</v>
      </c>
      <c r="D74" s="51">
        <v>0</v>
      </c>
      <c r="E74" s="51">
        <v>0</v>
      </c>
      <c r="F74" s="52">
        <v>0</v>
      </c>
      <c r="G74" s="53">
        <v>0</v>
      </c>
      <c r="Q74" s="297"/>
      <c r="T74" s="297" t="s">
        <v>732</v>
      </c>
      <c r="U74" s="90" t="s">
        <v>734</v>
      </c>
    </row>
    <row r="75" spans="1:21" x14ac:dyDescent="0.2">
      <c r="A75" s="42"/>
      <c r="B75" s="19" t="s">
        <v>193</v>
      </c>
      <c r="C75" s="51">
        <v>0</v>
      </c>
      <c r="D75" s="51">
        <v>0</v>
      </c>
      <c r="E75" s="51">
        <v>0</v>
      </c>
      <c r="F75" s="52">
        <v>0</v>
      </c>
      <c r="G75" s="53">
        <v>0</v>
      </c>
      <c r="H75" s="90" t="s">
        <v>1031</v>
      </c>
      <c r="Q75" s="297"/>
      <c r="T75" s="297" t="s">
        <v>732</v>
      </c>
      <c r="U75" s="90" t="s">
        <v>734</v>
      </c>
    </row>
    <row r="76" spans="1:21" x14ac:dyDescent="0.2">
      <c r="A76" s="42"/>
      <c r="B76" s="33"/>
      <c r="C76" s="47"/>
      <c r="D76" s="47"/>
      <c r="E76" s="47"/>
      <c r="F76" s="47"/>
      <c r="G76" s="48"/>
      <c r="Q76" s="297"/>
      <c r="T76" s="297"/>
    </row>
    <row r="77" spans="1:21" x14ac:dyDescent="0.2">
      <c r="A77" s="42"/>
      <c r="B77" s="33"/>
      <c r="C77" s="47"/>
      <c r="D77" s="47"/>
      <c r="E77" s="47"/>
      <c r="F77" s="47"/>
      <c r="G77" s="48"/>
      <c r="Q77" s="297"/>
      <c r="T77" s="297"/>
    </row>
    <row r="78" spans="1:21" x14ac:dyDescent="0.2">
      <c r="A78" s="42"/>
      <c r="B78" s="56" t="s">
        <v>18</v>
      </c>
      <c r="C78" s="54">
        <v>14125.55</v>
      </c>
      <c r="D78" s="54">
        <v>15899.43</v>
      </c>
      <c r="E78" s="54">
        <v>18807.5</v>
      </c>
      <c r="F78" s="54">
        <v>20706.900000000001</v>
      </c>
      <c r="G78" s="55">
        <v>19837.400000000001</v>
      </c>
      <c r="H78" s="90" t="s">
        <v>1030</v>
      </c>
      <c r="Q78" s="297"/>
      <c r="T78" s="297" t="s">
        <v>733</v>
      </c>
      <c r="U78" s="90" t="s">
        <v>734</v>
      </c>
    </row>
    <row r="79" spans="1:21" x14ac:dyDescent="0.2">
      <c r="A79" s="42"/>
      <c r="B79" s="33"/>
      <c r="C79" s="47"/>
      <c r="D79" s="47"/>
      <c r="E79" s="47"/>
      <c r="F79" s="47"/>
      <c r="G79" s="48"/>
      <c r="Q79" s="297"/>
      <c r="T79" s="297"/>
    </row>
    <row r="80" spans="1:21" x14ac:dyDescent="0.2">
      <c r="A80" s="42"/>
      <c r="B80" s="33"/>
      <c r="C80" s="47"/>
      <c r="D80" s="47"/>
      <c r="E80" s="47"/>
      <c r="F80" s="47"/>
      <c r="G80" s="48"/>
      <c r="Q80" s="297"/>
      <c r="T80" s="297"/>
    </row>
    <row r="81" spans="1:21" ht="15" x14ac:dyDescent="0.2">
      <c r="A81" s="42"/>
      <c r="B81" s="16" t="s">
        <v>368</v>
      </c>
      <c r="C81" s="49"/>
      <c r="D81" s="49"/>
      <c r="E81" s="49"/>
      <c r="F81" s="49"/>
      <c r="G81" s="50"/>
      <c r="Q81" s="297"/>
      <c r="T81" s="297"/>
    </row>
    <row r="82" spans="1:21" x14ac:dyDescent="0.2">
      <c r="A82" s="42"/>
      <c r="B82" s="19" t="s">
        <v>12</v>
      </c>
      <c r="C82" s="75">
        <v>13.700000000000001</v>
      </c>
      <c r="D82" s="76">
        <v>24.9</v>
      </c>
      <c r="E82" s="76">
        <v>50.3</v>
      </c>
      <c r="F82" s="76">
        <v>59</v>
      </c>
      <c r="G82" s="77">
        <v>0.1</v>
      </c>
      <c r="Q82" s="297"/>
      <c r="T82" s="297" t="s">
        <v>732</v>
      </c>
      <c r="U82" s="90" t="s">
        <v>734</v>
      </c>
    </row>
    <row r="83" spans="1:21" x14ac:dyDescent="0.2">
      <c r="A83" s="42"/>
      <c r="B83" s="19" t="s">
        <v>13</v>
      </c>
      <c r="C83" s="51">
        <v>383.5</v>
      </c>
      <c r="D83" s="51">
        <v>103.4</v>
      </c>
      <c r="E83" s="51">
        <v>1197.8</v>
      </c>
      <c r="F83" s="52">
        <v>67.099999999999994</v>
      </c>
      <c r="G83" s="53">
        <v>0</v>
      </c>
      <c r="Q83" s="297"/>
      <c r="T83" s="297" t="s">
        <v>732</v>
      </c>
      <c r="U83" s="90" t="s">
        <v>734</v>
      </c>
    </row>
    <row r="84" spans="1:21" x14ac:dyDescent="0.2">
      <c r="A84" s="42"/>
      <c r="B84" s="19" t="s">
        <v>186</v>
      </c>
      <c r="C84" s="25">
        <v>80.25</v>
      </c>
      <c r="D84" s="26">
        <v>39.659999999999997</v>
      </c>
      <c r="E84" s="26">
        <v>374.8</v>
      </c>
      <c r="F84" s="26">
        <v>11.7</v>
      </c>
      <c r="G84" s="27">
        <v>0</v>
      </c>
      <c r="H84" s="305"/>
      <c r="Q84" s="297"/>
      <c r="T84" s="297" t="s">
        <v>732</v>
      </c>
      <c r="U84" s="90" t="s">
        <v>734</v>
      </c>
    </row>
    <row r="85" spans="1:21" x14ac:dyDescent="0.2">
      <c r="A85" s="42"/>
      <c r="B85" s="19" t="s">
        <v>712</v>
      </c>
      <c r="C85" s="51">
        <v>0</v>
      </c>
      <c r="D85" s="51">
        <v>0</v>
      </c>
      <c r="E85" s="51">
        <v>0</v>
      </c>
      <c r="F85" s="52">
        <v>0</v>
      </c>
      <c r="G85" s="53">
        <v>0</v>
      </c>
      <c r="Q85" s="297"/>
      <c r="T85" s="297" t="s">
        <v>732</v>
      </c>
      <c r="U85" s="90" t="s">
        <v>734</v>
      </c>
    </row>
    <row r="86" spans="1:21" x14ac:dyDescent="0.2">
      <c r="A86" s="42"/>
      <c r="B86" s="19" t="s">
        <v>705</v>
      </c>
      <c r="C86" s="25">
        <v>476.2999999999999</v>
      </c>
      <c r="D86" s="26">
        <v>59.8</v>
      </c>
      <c r="E86" s="26">
        <v>1759.2</v>
      </c>
      <c r="F86" s="26">
        <v>145.89999999999998</v>
      </c>
      <c r="G86" s="27">
        <v>2215.2000000000003</v>
      </c>
      <c r="Q86" s="297"/>
      <c r="T86" s="297" t="s">
        <v>732</v>
      </c>
      <c r="U86" s="90" t="s">
        <v>734</v>
      </c>
    </row>
    <row r="87" spans="1:21" x14ac:dyDescent="0.2">
      <c r="A87" s="42"/>
      <c r="B87" s="33"/>
      <c r="C87" s="47"/>
      <c r="D87" s="47"/>
      <c r="E87" s="47"/>
      <c r="F87" s="47"/>
      <c r="G87" s="48"/>
      <c r="Q87" s="297"/>
      <c r="T87" s="297"/>
    </row>
    <row r="88" spans="1:21" x14ac:dyDescent="0.2">
      <c r="A88" s="42"/>
      <c r="B88" s="33"/>
      <c r="C88" s="47"/>
      <c r="D88" s="47"/>
      <c r="E88" s="47"/>
      <c r="F88" s="47"/>
      <c r="G88" s="48"/>
      <c r="Q88" s="297"/>
      <c r="T88" s="297"/>
    </row>
    <row r="89" spans="1:21" x14ac:dyDescent="0.2">
      <c r="A89" s="42"/>
      <c r="B89" s="56" t="s">
        <v>369</v>
      </c>
      <c r="C89" s="54">
        <v>953.75</v>
      </c>
      <c r="D89" s="54">
        <v>227.76</v>
      </c>
      <c r="E89" s="54">
        <v>3382.1</v>
      </c>
      <c r="F89" s="54">
        <v>283.7</v>
      </c>
      <c r="G89" s="55">
        <v>2215.3000000000002</v>
      </c>
      <c r="H89" s="90" t="s">
        <v>1030</v>
      </c>
      <c r="Q89" s="297"/>
      <c r="T89" s="297" t="s">
        <v>733</v>
      </c>
      <c r="U89" s="90" t="s">
        <v>734</v>
      </c>
    </row>
    <row r="90" spans="1:21" x14ac:dyDescent="0.2">
      <c r="A90" s="42"/>
      <c r="B90" s="33"/>
      <c r="C90" s="47"/>
      <c r="D90" s="47"/>
      <c r="E90" s="47"/>
      <c r="F90" s="47"/>
      <c r="G90" s="48"/>
      <c r="Q90" s="297"/>
      <c r="T90" s="297"/>
    </row>
    <row r="91" spans="1:21" ht="15" x14ac:dyDescent="0.2">
      <c r="A91" s="42"/>
      <c r="B91" s="16" t="s">
        <v>19</v>
      </c>
      <c r="C91" s="49"/>
      <c r="D91" s="49"/>
      <c r="E91" s="49"/>
      <c r="F91" s="49"/>
      <c r="G91" s="50"/>
      <c r="Q91" s="297"/>
      <c r="T91" s="297"/>
    </row>
    <row r="92" spans="1:21" x14ac:dyDescent="0.2">
      <c r="A92" s="42"/>
      <c r="B92" s="19" t="s">
        <v>20</v>
      </c>
      <c r="C92" s="75">
        <v>54.9</v>
      </c>
      <c r="D92" s="76">
        <v>46</v>
      </c>
      <c r="E92" s="76">
        <v>0</v>
      </c>
      <c r="F92" s="76">
        <v>0</v>
      </c>
      <c r="G92" s="77">
        <v>0</v>
      </c>
      <c r="Q92" s="297"/>
      <c r="T92" s="297" t="s">
        <v>732</v>
      </c>
      <c r="U92" s="90" t="s">
        <v>734</v>
      </c>
    </row>
    <row r="93" spans="1:21" x14ac:dyDescent="0.2">
      <c r="A93" s="42"/>
      <c r="B93" s="19" t="s">
        <v>21</v>
      </c>
      <c r="C93" s="51">
        <v>460.3</v>
      </c>
      <c r="D93" s="51">
        <v>0</v>
      </c>
      <c r="E93" s="51">
        <v>0</v>
      </c>
      <c r="F93" s="52">
        <v>0</v>
      </c>
      <c r="G93" s="53">
        <v>4.5999999999999996</v>
      </c>
      <c r="Q93" s="297"/>
      <c r="T93" s="297" t="s">
        <v>732</v>
      </c>
      <c r="U93" s="90" t="s">
        <v>734</v>
      </c>
    </row>
    <row r="94" spans="1:21" x14ac:dyDescent="0.2">
      <c r="A94" s="42"/>
      <c r="B94" s="19" t="s">
        <v>191</v>
      </c>
      <c r="C94" s="51">
        <v>2.73</v>
      </c>
      <c r="D94" s="51">
        <v>1.82</v>
      </c>
      <c r="E94" s="51">
        <v>5.0999999999999996</v>
      </c>
      <c r="F94" s="52">
        <v>1.2</v>
      </c>
      <c r="G94" s="53">
        <v>6.5</v>
      </c>
      <c r="Q94" s="297"/>
      <c r="T94" s="297" t="s">
        <v>732</v>
      </c>
      <c r="U94" s="90" t="s">
        <v>734</v>
      </c>
    </row>
    <row r="95" spans="1:21" x14ac:dyDescent="0.2">
      <c r="A95" s="42"/>
      <c r="B95" s="19" t="s">
        <v>192</v>
      </c>
      <c r="C95" s="51">
        <v>0</v>
      </c>
      <c r="D95" s="51">
        <v>0</v>
      </c>
      <c r="E95" s="51">
        <v>0</v>
      </c>
      <c r="F95" s="52">
        <v>0</v>
      </c>
      <c r="G95" s="53">
        <v>0</v>
      </c>
      <c r="Q95" s="297"/>
      <c r="T95" s="297" t="s">
        <v>732</v>
      </c>
      <c r="U95" s="90" t="s">
        <v>734</v>
      </c>
    </row>
    <row r="96" spans="1:21" x14ac:dyDescent="0.2">
      <c r="A96" s="42"/>
      <c r="B96" s="19" t="s">
        <v>22</v>
      </c>
      <c r="C96" s="25">
        <v>0</v>
      </c>
      <c r="D96" s="26">
        <v>123.1</v>
      </c>
      <c r="E96" s="26">
        <v>144.6</v>
      </c>
      <c r="F96" s="26">
        <v>939.3</v>
      </c>
      <c r="G96" s="27">
        <v>0</v>
      </c>
      <c r="Q96" s="297"/>
      <c r="T96" s="297" t="s">
        <v>732</v>
      </c>
      <c r="U96" s="90" t="s">
        <v>734</v>
      </c>
    </row>
    <row r="97" spans="1:21" x14ac:dyDescent="0.2">
      <c r="A97" s="42"/>
      <c r="B97" s="33"/>
      <c r="C97" s="47"/>
      <c r="D97" s="47"/>
      <c r="E97" s="47"/>
      <c r="F97" s="47"/>
      <c r="G97" s="48"/>
      <c r="Q97" s="297"/>
      <c r="T97" s="297"/>
    </row>
    <row r="98" spans="1:21" x14ac:dyDescent="0.2">
      <c r="A98" s="42"/>
      <c r="B98" s="33"/>
      <c r="C98" s="47"/>
      <c r="D98" s="47"/>
      <c r="E98" s="47"/>
      <c r="F98" s="47"/>
      <c r="G98" s="48"/>
      <c r="Q98" s="297"/>
      <c r="T98" s="297"/>
    </row>
    <row r="99" spans="1:21" x14ac:dyDescent="0.2">
      <c r="A99" s="42"/>
      <c r="B99" s="33"/>
      <c r="C99" s="47"/>
      <c r="D99" s="47"/>
      <c r="E99" s="47"/>
      <c r="F99" s="47"/>
      <c r="G99" s="48"/>
      <c r="Q99" s="297"/>
      <c r="T99" s="297"/>
    </row>
    <row r="100" spans="1:21" x14ac:dyDescent="0.2">
      <c r="A100" s="42"/>
      <c r="B100" s="33"/>
      <c r="C100" s="47"/>
      <c r="D100" s="47"/>
      <c r="E100" s="47"/>
      <c r="F100" s="47"/>
      <c r="G100" s="48"/>
      <c r="Q100" s="297"/>
      <c r="T100" s="297"/>
    </row>
    <row r="101" spans="1:21" x14ac:dyDescent="0.2">
      <c r="A101" s="42"/>
      <c r="B101" s="56" t="s">
        <v>23</v>
      </c>
      <c r="C101" s="54">
        <v>517.92999999999995</v>
      </c>
      <c r="D101" s="54">
        <v>170.92</v>
      </c>
      <c r="E101" s="54">
        <v>149.69999999999999</v>
      </c>
      <c r="F101" s="54">
        <v>940.5</v>
      </c>
      <c r="G101" s="55">
        <v>11.1</v>
      </c>
      <c r="H101" s="90" t="s">
        <v>1030</v>
      </c>
      <c r="Q101" s="297"/>
      <c r="T101" s="297" t="s">
        <v>733</v>
      </c>
      <c r="U101" s="90" t="s">
        <v>734</v>
      </c>
    </row>
    <row r="102" spans="1:21" x14ac:dyDescent="0.2">
      <c r="A102" s="42"/>
      <c r="B102" s="33"/>
      <c r="C102" s="47"/>
      <c r="D102" s="47"/>
      <c r="E102" s="47"/>
      <c r="F102" s="47"/>
      <c r="G102" s="48"/>
      <c r="Q102" s="297"/>
      <c r="T102" s="297"/>
    </row>
    <row r="103" spans="1:21" x14ac:dyDescent="0.2">
      <c r="A103" s="42"/>
      <c r="B103" s="33"/>
      <c r="C103" s="47"/>
      <c r="D103" s="47"/>
      <c r="E103" s="47"/>
      <c r="F103" s="47"/>
      <c r="G103" s="48"/>
      <c r="Q103" s="297"/>
      <c r="T103" s="297"/>
    </row>
    <row r="104" spans="1:21" ht="15" x14ac:dyDescent="0.2">
      <c r="A104" s="42"/>
      <c r="B104" s="16" t="s">
        <v>273</v>
      </c>
      <c r="C104" s="54">
        <v>10646.050000000003</v>
      </c>
      <c r="D104" s="54">
        <v>9422.8799999999974</v>
      </c>
      <c r="E104" s="54">
        <v>11648.39</v>
      </c>
      <c r="F104" s="54">
        <v>16356.700000000004</v>
      </c>
      <c r="G104" s="55">
        <v>12358744.1</v>
      </c>
      <c r="H104" s="90" t="s">
        <v>1030</v>
      </c>
      <c r="Q104" s="297"/>
      <c r="T104" s="297" t="s">
        <v>733</v>
      </c>
      <c r="U104" s="90" t="s">
        <v>734</v>
      </c>
    </row>
    <row r="105" spans="1:21" x14ac:dyDescent="0.2">
      <c r="A105" s="42"/>
      <c r="B105" s="33"/>
      <c r="C105" s="47"/>
      <c r="D105" s="47"/>
      <c r="E105" s="47"/>
      <c r="F105" s="47"/>
      <c r="G105" s="48"/>
      <c r="Q105" s="297"/>
      <c r="T105" s="297"/>
    </row>
    <row r="106" spans="1:21" ht="15" x14ac:dyDescent="0.2">
      <c r="A106" s="42"/>
      <c r="B106" s="16" t="s">
        <v>195</v>
      </c>
      <c r="C106" s="49"/>
      <c r="D106" s="49"/>
      <c r="E106" s="49"/>
      <c r="F106" s="49"/>
      <c r="G106" s="50"/>
      <c r="Q106" s="297"/>
      <c r="T106" s="297"/>
    </row>
    <row r="107" spans="1:21" x14ac:dyDescent="0.2">
      <c r="A107" s="42"/>
      <c r="B107" s="19" t="s">
        <v>797</v>
      </c>
      <c r="C107" s="75">
        <v>5668.6</v>
      </c>
      <c r="D107" s="76">
        <v>26</v>
      </c>
      <c r="E107" s="76">
        <v>-3.6</v>
      </c>
      <c r="F107" s="76">
        <v>-23.9</v>
      </c>
      <c r="G107" s="77">
        <v>1.2</v>
      </c>
      <c r="Q107" s="297"/>
      <c r="T107" s="297" t="s">
        <v>732</v>
      </c>
      <c r="U107" s="90" t="s">
        <v>734</v>
      </c>
    </row>
    <row r="108" spans="1:21" x14ac:dyDescent="0.2">
      <c r="A108" s="42"/>
      <c r="B108" s="19" t="s">
        <v>24</v>
      </c>
      <c r="C108" s="25">
        <v>-7.2000000000000028</v>
      </c>
      <c r="D108" s="26">
        <v>58.5</v>
      </c>
      <c r="E108" s="26">
        <v>0</v>
      </c>
      <c r="F108" s="26">
        <v>95</v>
      </c>
      <c r="G108" s="27">
        <v>0</v>
      </c>
      <c r="Q108" s="297"/>
      <c r="T108" s="297" t="s">
        <v>732</v>
      </c>
      <c r="U108" s="90" t="s">
        <v>734</v>
      </c>
    </row>
    <row r="109" spans="1:21" x14ac:dyDescent="0.2">
      <c r="A109" s="42"/>
      <c r="B109" s="19" t="s">
        <v>798</v>
      </c>
      <c r="C109" s="25">
        <v>218.10000000000002</v>
      </c>
      <c r="D109" s="51">
        <v>1804.5</v>
      </c>
      <c r="E109" s="51">
        <v>4518.8999999999996</v>
      </c>
      <c r="F109" s="52">
        <v>8659</v>
      </c>
      <c r="G109" s="53">
        <v>10128.200000000001</v>
      </c>
      <c r="Q109" s="297"/>
      <c r="T109" s="297" t="s">
        <v>732</v>
      </c>
      <c r="U109" s="90" t="s">
        <v>734</v>
      </c>
    </row>
    <row r="110" spans="1:21" x14ac:dyDescent="0.2">
      <c r="A110" s="42"/>
      <c r="B110" s="19" t="s">
        <v>194</v>
      </c>
      <c r="C110" s="51">
        <v>0</v>
      </c>
      <c r="D110" s="51">
        <v>0</v>
      </c>
      <c r="E110" s="51">
        <v>0</v>
      </c>
      <c r="F110" s="52">
        <v>0</v>
      </c>
      <c r="G110" s="53">
        <v>0</v>
      </c>
      <c r="H110" s="90" t="s">
        <v>1031</v>
      </c>
      <c r="Q110" s="297"/>
      <c r="T110" s="297" t="s">
        <v>732</v>
      </c>
      <c r="U110" s="90" t="s">
        <v>734</v>
      </c>
    </row>
    <row r="111" spans="1:21" x14ac:dyDescent="0.2">
      <c r="A111" s="42"/>
      <c r="B111" s="19" t="s">
        <v>2</v>
      </c>
      <c r="C111" s="51">
        <v>137.80000000000001</v>
      </c>
      <c r="D111" s="26">
        <v>140.5</v>
      </c>
      <c r="E111" s="26">
        <v>144.6</v>
      </c>
      <c r="F111" s="26">
        <v>0</v>
      </c>
      <c r="G111" s="27">
        <v>0</v>
      </c>
      <c r="Q111" s="297"/>
      <c r="T111" s="297" t="s">
        <v>732</v>
      </c>
      <c r="U111" s="90" t="s">
        <v>734</v>
      </c>
    </row>
    <row r="112" spans="1:21" x14ac:dyDescent="0.2">
      <c r="A112" s="42"/>
      <c r="B112" s="33"/>
      <c r="C112" s="47"/>
      <c r="D112" s="47"/>
      <c r="E112" s="47"/>
      <c r="F112" s="47"/>
      <c r="G112" s="48"/>
      <c r="Q112" s="297"/>
      <c r="T112" s="297"/>
    </row>
    <row r="113" spans="1:21" x14ac:dyDescent="0.2">
      <c r="A113" s="42"/>
      <c r="B113" s="33"/>
      <c r="C113" s="47"/>
      <c r="D113" s="47"/>
      <c r="E113" s="47"/>
      <c r="F113" s="47"/>
      <c r="G113" s="48"/>
      <c r="Q113" s="297"/>
      <c r="T113" s="297"/>
    </row>
    <row r="114" spans="1:21" x14ac:dyDescent="0.2">
      <c r="A114" s="42"/>
      <c r="B114" s="33"/>
      <c r="C114" s="47"/>
      <c r="D114" s="47"/>
      <c r="E114" s="47"/>
      <c r="F114" s="47"/>
      <c r="G114" s="48"/>
      <c r="Q114" s="297"/>
      <c r="T114" s="297"/>
    </row>
    <row r="115" spans="1:21" x14ac:dyDescent="0.2">
      <c r="A115" s="42"/>
      <c r="B115" s="33"/>
      <c r="C115" s="47"/>
      <c r="D115" s="47"/>
      <c r="E115" s="47"/>
      <c r="F115" s="47"/>
      <c r="G115" s="48"/>
      <c r="Q115" s="297"/>
      <c r="T115" s="297"/>
    </row>
    <row r="116" spans="1:21" x14ac:dyDescent="0.2">
      <c r="A116" s="42"/>
      <c r="B116" s="56" t="s">
        <v>196</v>
      </c>
      <c r="C116" s="54">
        <v>6017.3</v>
      </c>
      <c r="D116" s="54">
        <v>2029.5</v>
      </c>
      <c r="E116" s="54">
        <v>4659.8999999999996</v>
      </c>
      <c r="F116" s="54">
        <v>8730.1</v>
      </c>
      <c r="G116" s="54">
        <v>10129.4</v>
      </c>
      <c r="H116" s="306" t="s">
        <v>1030</v>
      </c>
      <c r="Q116" s="297"/>
      <c r="T116" s="297" t="s">
        <v>733</v>
      </c>
      <c r="U116" s="90" t="s">
        <v>734</v>
      </c>
    </row>
    <row r="117" spans="1:21" x14ac:dyDescent="0.2">
      <c r="A117" s="42"/>
      <c r="B117" s="33"/>
      <c r="C117" s="47"/>
      <c r="D117" s="47"/>
      <c r="E117" s="47"/>
      <c r="F117" s="47"/>
      <c r="G117" s="48"/>
      <c r="Q117" s="297"/>
      <c r="T117" s="297"/>
    </row>
    <row r="118" spans="1:21" ht="15" x14ac:dyDescent="0.2">
      <c r="A118" s="42"/>
      <c r="B118" s="16" t="s">
        <v>274</v>
      </c>
      <c r="C118" s="54">
        <v>5064.5700000000024</v>
      </c>
      <c r="D118" s="54">
        <v>7450.2199999999975</v>
      </c>
      <c r="E118" s="54">
        <v>10220.89</v>
      </c>
      <c r="F118" s="54">
        <v>6969.8000000000038</v>
      </c>
      <c r="G118" s="55">
        <v>12350818.9</v>
      </c>
      <c r="H118" s="306" t="s">
        <v>1030</v>
      </c>
      <c r="Q118" s="297"/>
      <c r="T118" s="297" t="s">
        <v>733</v>
      </c>
      <c r="U118" s="90" t="s">
        <v>734</v>
      </c>
    </row>
    <row r="119" spans="1:21" x14ac:dyDescent="0.2">
      <c r="A119" s="42"/>
      <c r="B119" s="33"/>
      <c r="C119" s="47"/>
      <c r="D119" s="47"/>
      <c r="E119" s="47"/>
      <c r="F119" s="47"/>
      <c r="G119" s="48"/>
      <c r="Q119" s="297"/>
      <c r="T119" s="297"/>
    </row>
    <row r="120" spans="1:21" ht="15" x14ac:dyDescent="0.2">
      <c r="A120" s="42"/>
      <c r="B120" s="16" t="s">
        <v>25</v>
      </c>
      <c r="C120" s="49"/>
      <c r="D120" s="49"/>
      <c r="E120" s="49"/>
      <c r="F120" s="49"/>
      <c r="G120" s="50"/>
      <c r="Q120" s="297"/>
      <c r="T120" s="297"/>
    </row>
    <row r="121" spans="1:21" x14ac:dyDescent="0.2">
      <c r="A121" s="42"/>
      <c r="B121" s="19" t="s">
        <v>26</v>
      </c>
      <c r="C121" s="75">
        <v>0</v>
      </c>
      <c r="D121" s="76">
        <v>8.1999999999999993</v>
      </c>
      <c r="E121" s="76">
        <v>0</v>
      </c>
      <c r="F121" s="76">
        <v>0</v>
      </c>
      <c r="G121" s="77">
        <v>0</v>
      </c>
      <c r="Q121" s="297"/>
      <c r="T121" s="297" t="s">
        <v>732</v>
      </c>
      <c r="U121" s="90" t="s">
        <v>734</v>
      </c>
    </row>
    <row r="122" spans="1:21" x14ac:dyDescent="0.2">
      <c r="A122" s="42"/>
      <c r="B122" s="19" t="s">
        <v>27</v>
      </c>
      <c r="C122" s="25">
        <v>0</v>
      </c>
      <c r="D122" s="26">
        <v>0</v>
      </c>
      <c r="E122" s="26">
        <v>0</v>
      </c>
      <c r="F122" s="26">
        <v>0</v>
      </c>
      <c r="G122" s="27">
        <v>0</v>
      </c>
      <c r="Q122" s="297"/>
      <c r="T122" s="297" t="s">
        <v>732</v>
      </c>
      <c r="U122" s="90" t="s">
        <v>734</v>
      </c>
    </row>
    <row r="123" spans="1:21" x14ac:dyDescent="0.2">
      <c r="A123" s="42"/>
      <c r="B123" s="33"/>
      <c r="C123" s="47"/>
      <c r="D123" s="47"/>
      <c r="E123" s="47"/>
      <c r="F123" s="47"/>
      <c r="G123" s="48"/>
      <c r="Q123" s="297"/>
      <c r="T123" s="297"/>
    </row>
    <row r="124" spans="1:21" x14ac:dyDescent="0.2">
      <c r="A124" s="42"/>
      <c r="B124" s="33"/>
      <c r="C124" s="47"/>
      <c r="D124" s="47"/>
      <c r="E124" s="47"/>
      <c r="F124" s="47"/>
      <c r="G124" s="48"/>
      <c r="Q124" s="297"/>
      <c r="T124" s="297"/>
    </row>
    <row r="125" spans="1:21" x14ac:dyDescent="0.2">
      <c r="A125" s="42"/>
      <c r="B125" s="33"/>
      <c r="C125" s="47"/>
      <c r="D125" s="47"/>
      <c r="E125" s="47"/>
      <c r="F125" s="47"/>
      <c r="G125" s="48"/>
      <c r="Q125" s="297"/>
      <c r="T125" s="297"/>
    </row>
    <row r="126" spans="1:21" x14ac:dyDescent="0.2">
      <c r="A126" s="42"/>
      <c r="B126" s="56" t="s">
        <v>28</v>
      </c>
      <c r="C126" s="54">
        <v>0</v>
      </c>
      <c r="D126" s="54">
        <v>8.1999999999999993</v>
      </c>
      <c r="E126" s="54">
        <v>0</v>
      </c>
      <c r="F126" s="54">
        <v>0</v>
      </c>
      <c r="G126" s="55">
        <v>0</v>
      </c>
      <c r="H126" s="306" t="s">
        <v>1030</v>
      </c>
      <c r="Q126" s="297"/>
      <c r="T126" s="297" t="s">
        <v>733</v>
      </c>
      <c r="U126" s="90" t="s">
        <v>734</v>
      </c>
    </row>
    <row r="127" spans="1:21" x14ac:dyDescent="0.2">
      <c r="A127" s="42"/>
      <c r="B127" s="33"/>
      <c r="C127" s="47"/>
      <c r="D127" s="47"/>
      <c r="E127" s="47"/>
      <c r="F127" s="47"/>
      <c r="G127" s="48"/>
      <c r="Q127" s="297"/>
      <c r="T127" s="297"/>
    </row>
    <row r="128" spans="1:21" ht="15" x14ac:dyDescent="0.2">
      <c r="A128" s="42"/>
      <c r="B128" s="16" t="s">
        <v>29</v>
      </c>
      <c r="C128" s="303">
        <v>5064.57</v>
      </c>
      <c r="D128" s="54">
        <v>7458.42</v>
      </c>
      <c r="E128" s="54">
        <v>10220.89</v>
      </c>
      <c r="F128" s="54">
        <v>6969.8</v>
      </c>
      <c r="G128" s="54">
        <v>12350818.9</v>
      </c>
      <c r="H128" s="306" t="s">
        <v>1030</v>
      </c>
      <c r="Q128" s="297"/>
      <c r="T128" s="297" t="s">
        <v>733</v>
      </c>
      <c r="U128" s="90" t="s">
        <v>734</v>
      </c>
    </row>
    <row r="129" spans="1:21" x14ac:dyDescent="0.2">
      <c r="A129" s="42"/>
      <c r="B129" s="33"/>
      <c r="C129" s="47"/>
      <c r="D129" s="47"/>
      <c r="E129" s="47"/>
      <c r="F129" s="47"/>
      <c r="G129" s="48"/>
      <c r="Q129" s="297"/>
      <c r="T129" s="297"/>
    </row>
    <row r="130" spans="1:21" x14ac:dyDescent="0.2">
      <c r="A130" s="42"/>
      <c r="B130" s="19" t="s">
        <v>30</v>
      </c>
      <c r="C130" s="75">
        <v>1961.8</v>
      </c>
      <c r="D130" s="76">
        <v>1998.1</v>
      </c>
      <c r="E130" s="76">
        <v>2339</v>
      </c>
      <c r="F130" s="76">
        <v>1968.4</v>
      </c>
      <c r="G130" s="77">
        <v>2024</v>
      </c>
      <c r="Q130" s="297"/>
      <c r="T130" s="297" t="s">
        <v>732</v>
      </c>
      <c r="U130" s="90" t="s">
        <v>734</v>
      </c>
    </row>
    <row r="131" spans="1:21" x14ac:dyDescent="0.2">
      <c r="A131" s="42"/>
      <c r="B131" s="19" t="s">
        <v>31</v>
      </c>
      <c r="C131" s="25">
        <v>-796.9</v>
      </c>
      <c r="D131" s="26">
        <v>826.8</v>
      </c>
      <c r="E131" s="26">
        <v>-173.9</v>
      </c>
      <c r="F131" s="26">
        <v>1420.5</v>
      </c>
      <c r="G131" s="27">
        <v>-543.5</v>
      </c>
      <c r="Q131" s="297"/>
      <c r="T131" s="297" t="s">
        <v>732</v>
      </c>
      <c r="U131" s="90" t="s">
        <v>734</v>
      </c>
    </row>
    <row r="132" spans="1:21" x14ac:dyDescent="0.2">
      <c r="A132" s="42"/>
      <c r="B132" s="33"/>
      <c r="C132" s="47"/>
      <c r="D132" s="47"/>
      <c r="E132" s="47"/>
      <c r="F132" s="47"/>
      <c r="G132" s="48"/>
      <c r="Q132" s="297"/>
      <c r="T132" s="297"/>
    </row>
    <row r="133" spans="1:21" x14ac:dyDescent="0.2">
      <c r="A133" s="42"/>
      <c r="B133" s="33"/>
      <c r="C133" s="47"/>
      <c r="D133" s="47"/>
      <c r="E133" s="47"/>
      <c r="F133" s="47"/>
      <c r="G133" s="48"/>
      <c r="Q133" s="297"/>
      <c r="T133" s="297"/>
    </row>
    <row r="134" spans="1:21" x14ac:dyDescent="0.2">
      <c r="A134" s="42"/>
      <c r="B134" s="33"/>
      <c r="C134" s="47"/>
      <c r="D134" s="47"/>
      <c r="E134" s="47"/>
      <c r="F134" s="47"/>
      <c r="G134" s="48"/>
      <c r="Q134" s="297"/>
      <c r="T134" s="297"/>
    </row>
    <row r="135" spans="1:21" ht="15" x14ac:dyDescent="0.2">
      <c r="A135" s="42"/>
      <c r="B135" s="16" t="s">
        <v>32</v>
      </c>
      <c r="C135" s="54">
        <v>3899.67</v>
      </c>
      <c r="D135" s="54">
        <v>4633.5200000000004</v>
      </c>
      <c r="E135" s="54">
        <v>8055.79</v>
      </c>
      <c r="F135" s="54">
        <v>3580.9</v>
      </c>
      <c r="G135" s="55">
        <v>12349338.4</v>
      </c>
      <c r="H135" s="306" t="s">
        <v>1030</v>
      </c>
      <c r="Q135" s="297"/>
      <c r="T135" s="297" t="s">
        <v>733</v>
      </c>
      <c r="U135" s="90" t="s">
        <v>734</v>
      </c>
    </row>
    <row r="136" spans="1:21" x14ac:dyDescent="0.2">
      <c r="A136" s="42"/>
      <c r="B136" s="33"/>
      <c r="C136" s="47"/>
      <c r="D136" s="47"/>
      <c r="E136" s="47"/>
      <c r="F136" s="47"/>
      <c r="G136" s="48"/>
      <c r="Q136" s="297"/>
      <c r="T136" s="297"/>
    </row>
    <row r="137" spans="1:21" x14ac:dyDescent="0.2">
      <c r="A137" s="42"/>
      <c r="B137" s="19" t="s">
        <v>817</v>
      </c>
      <c r="C137" s="75">
        <v>0</v>
      </c>
      <c r="D137" s="76">
        <v>0</v>
      </c>
      <c r="E137" s="76">
        <v>0</v>
      </c>
      <c r="F137" s="76">
        <v>0</v>
      </c>
      <c r="G137" s="77">
        <v>0</v>
      </c>
      <c r="Q137" s="297"/>
      <c r="T137" s="297" t="s">
        <v>732</v>
      </c>
      <c r="U137" s="90" t="s">
        <v>734</v>
      </c>
    </row>
    <row r="138" spans="1:21" x14ac:dyDescent="0.2">
      <c r="A138" s="42"/>
      <c r="B138" s="33"/>
      <c r="C138" s="47"/>
      <c r="D138" s="47"/>
      <c r="E138" s="47"/>
      <c r="F138" s="47"/>
      <c r="G138" s="48"/>
      <c r="Q138" s="297"/>
      <c r="T138" s="297"/>
    </row>
    <row r="139" spans="1:21" x14ac:dyDescent="0.2">
      <c r="A139" s="42"/>
      <c r="B139" s="33"/>
      <c r="C139" s="47"/>
      <c r="D139" s="47"/>
      <c r="E139" s="47"/>
      <c r="F139" s="47"/>
      <c r="G139" s="48"/>
      <c r="Q139" s="297"/>
      <c r="T139" s="297"/>
    </row>
    <row r="140" spans="1:21" x14ac:dyDescent="0.2">
      <c r="A140" s="42"/>
      <c r="B140" s="19" t="s">
        <v>197</v>
      </c>
      <c r="C140" s="75">
        <v>1211.9000000000001</v>
      </c>
      <c r="D140" s="76">
        <v>546.6</v>
      </c>
      <c r="E140" s="76">
        <v>0</v>
      </c>
      <c r="F140" s="76">
        <v>589.5</v>
      </c>
      <c r="G140" s="77">
        <v>1499.5</v>
      </c>
      <c r="Q140" s="297"/>
      <c r="T140" s="297" t="s">
        <v>732</v>
      </c>
      <c r="U140" s="90" t="s">
        <v>734</v>
      </c>
    </row>
    <row r="141" spans="1:21" x14ac:dyDescent="0.2">
      <c r="A141" s="42"/>
      <c r="B141" s="19" t="s">
        <v>198</v>
      </c>
      <c r="C141" s="51">
        <v>0</v>
      </c>
      <c r="D141" s="51">
        <v>0</v>
      </c>
      <c r="E141" s="51">
        <v>0</v>
      </c>
      <c r="F141" s="52">
        <v>0</v>
      </c>
      <c r="G141" s="53">
        <v>0</v>
      </c>
      <c r="H141" s="90" t="s">
        <v>1031</v>
      </c>
      <c r="Q141" s="297"/>
      <c r="T141" s="297" t="s">
        <v>732</v>
      </c>
      <c r="U141" s="90" t="s">
        <v>734</v>
      </c>
    </row>
    <row r="142" spans="1:21" x14ac:dyDescent="0.2">
      <c r="A142" s="42"/>
      <c r="B142" s="19" t="s">
        <v>818</v>
      </c>
      <c r="C142" s="25">
        <v>0</v>
      </c>
      <c r="D142" s="26">
        <v>0</v>
      </c>
      <c r="E142" s="26">
        <v>0</v>
      </c>
      <c r="F142" s="26">
        <v>0</v>
      </c>
      <c r="G142" s="27">
        <v>0</v>
      </c>
      <c r="Q142" s="297"/>
      <c r="T142" s="297" t="s">
        <v>732</v>
      </c>
      <c r="U142" s="90" t="s">
        <v>734</v>
      </c>
    </row>
    <row r="143" spans="1:21" x14ac:dyDescent="0.2">
      <c r="A143" s="42"/>
      <c r="B143" s="33"/>
      <c r="C143" s="47"/>
      <c r="D143" s="47"/>
      <c r="E143" s="47"/>
      <c r="F143" s="47"/>
      <c r="G143" s="48"/>
      <c r="Q143" s="297"/>
      <c r="T143" s="297"/>
    </row>
    <row r="144" spans="1:21" x14ac:dyDescent="0.2">
      <c r="A144" s="42"/>
      <c r="B144" s="33"/>
      <c r="C144" s="47"/>
      <c r="D144" s="47"/>
      <c r="E144" s="47"/>
      <c r="F144" s="47"/>
      <c r="G144" s="48"/>
      <c r="Q144" s="297"/>
      <c r="T144" s="297"/>
    </row>
    <row r="145" spans="1:21" x14ac:dyDescent="0.2">
      <c r="A145" s="42"/>
      <c r="B145" s="56" t="s">
        <v>33</v>
      </c>
      <c r="C145" s="54">
        <v>2687.77</v>
      </c>
      <c r="D145" s="54">
        <v>4086.92</v>
      </c>
      <c r="E145" s="54">
        <v>8055.79</v>
      </c>
      <c r="F145" s="54">
        <v>2991.4</v>
      </c>
      <c r="G145" s="55">
        <v>12347838.9</v>
      </c>
      <c r="H145" s="306" t="s">
        <v>1030</v>
      </c>
      <c r="Q145" s="297"/>
      <c r="T145" s="297" t="s">
        <v>733</v>
      </c>
      <c r="U145" s="90" t="s">
        <v>734</v>
      </c>
    </row>
    <row r="146" spans="1:21" x14ac:dyDescent="0.2">
      <c r="A146" s="42"/>
      <c r="B146" s="33"/>
      <c r="C146" s="47"/>
      <c r="D146" s="47"/>
      <c r="E146" s="47"/>
      <c r="F146" s="47"/>
      <c r="G146" s="48"/>
      <c r="Q146" s="297"/>
      <c r="T146" s="297"/>
    </row>
    <row r="147" spans="1:21" x14ac:dyDescent="0.2">
      <c r="A147" s="42"/>
      <c r="B147" s="33"/>
      <c r="C147" s="47"/>
      <c r="D147" s="47"/>
      <c r="E147" s="47"/>
      <c r="F147" s="47"/>
      <c r="G147" s="48"/>
      <c r="Q147" s="297"/>
      <c r="T147" s="297"/>
    </row>
    <row r="148" spans="1:21" ht="13.5" thickBot="1" x14ac:dyDescent="0.25">
      <c r="A148" s="43"/>
      <c r="B148" s="58"/>
      <c r="C148" s="59"/>
      <c r="D148" s="59"/>
      <c r="E148" s="59"/>
      <c r="F148" s="59"/>
      <c r="G148" s="60"/>
      <c r="Q148" s="297"/>
      <c r="T148" s="297"/>
    </row>
    <row r="149" spans="1:21" x14ac:dyDescent="0.2">
      <c r="Q149" s="297"/>
      <c r="T149" s="297"/>
    </row>
    <row r="150" spans="1:21" ht="13.5" thickBot="1" x14ac:dyDescent="0.25">
      <c r="Q150" s="297"/>
      <c r="T150" s="297"/>
    </row>
    <row r="151" spans="1:21" ht="19.5" thickBot="1" x14ac:dyDescent="0.25">
      <c r="A151" s="7"/>
      <c r="B151" s="8" t="s">
        <v>95</v>
      </c>
      <c r="C151" s="217"/>
      <c r="D151" s="218"/>
      <c r="E151" s="218"/>
      <c r="F151" s="218"/>
      <c r="G151" s="218"/>
      <c r="Q151" s="297"/>
      <c r="T151" s="297"/>
    </row>
    <row r="152" spans="1:21" x14ac:dyDescent="0.2">
      <c r="A152" s="4"/>
      <c r="B152" s="64"/>
      <c r="C152" s="219"/>
      <c r="D152" s="219"/>
      <c r="E152" s="219"/>
      <c r="F152" s="219"/>
      <c r="G152" s="220"/>
      <c r="Q152" s="297"/>
      <c r="T152" s="297"/>
    </row>
    <row r="153" spans="1:21" ht="15" x14ac:dyDescent="0.2">
      <c r="A153" s="65"/>
      <c r="B153" s="66" t="s">
        <v>34</v>
      </c>
      <c r="C153" s="17"/>
      <c r="D153" s="17"/>
      <c r="E153" s="17"/>
      <c r="F153" s="17"/>
      <c r="G153" s="18"/>
      <c r="Q153" s="297"/>
      <c r="T153" s="297"/>
    </row>
    <row r="154" spans="1:21" x14ac:dyDescent="0.2">
      <c r="A154" s="2"/>
      <c r="B154" s="67" t="s">
        <v>35</v>
      </c>
      <c r="C154" s="75">
        <v>12975.5</v>
      </c>
      <c r="D154" s="76">
        <v>12975.5</v>
      </c>
      <c r="E154" s="76">
        <v>13755.6</v>
      </c>
      <c r="F154" s="76">
        <v>16299.3</v>
      </c>
      <c r="G154" s="77">
        <v>16299.3</v>
      </c>
      <c r="Q154" s="297"/>
      <c r="T154" s="297" t="s">
        <v>732</v>
      </c>
      <c r="U154" s="90" t="s">
        <v>734</v>
      </c>
    </row>
    <row r="155" spans="1:21" x14ac:dyDescent="0.2">
      <c r="A155" s="2"/>
      <c r="B155" s="67" t="s">
        <v>36</v>
      </c>
      <c r="C155" s="25">
        <v>9450</v>
      </c>
      <c r="D155" s="25">
        <v>15200</v>
      </c>
      <c r="E155" s="25">
        <v>18890</v>
      </c>
      <c r="F155" s="26">
        <v>0</v>
      </c>
      <c r="G155" s="27">
        <v>0</v>
      </c>
      <c r="Q155" s="297"/>
      <c r="T155" s="297" t="s">
        <v>732</v>
      </c>
      <c r="U155" s="90" t="s">
        <v>734</v>
      </c>
    </row>
    <row r="156" spans="1:21" x14ac:dyDescent="0.2">
      <c r="A156" s="2"/>
      <c r="B156" s="67" t="s">
        <v>38</v>
      </c>
      <c r="C156" s="25">
        <v>8886.5</v>
      </c>
      <c r="D156" s="26">
        <v>8894.2000000000007</v>
      </c>
      <c r="E156" s="26">
        <v>14664.8</v>
      </c>
      <c r="F156" s="26">
        <v>33489.699999999997</v>
      </c>
      <c r="G156" s="27">
        <v>33489.699999999997</v>
      </c>
      <c r="Q156" s="297"/>
      <c r="T156" s="297" t="s">
        <v>732</v>
      </c>
      <c r="U156" s="90" t="s">
        <v>734</v>
      </c>
    </row>
    <row r="157" spans="1:21" x14ac:dyDescent="0.2">
      <c r="A157" s="2"/>
      <c r="B157" s="67" t="s">
        <v>37</v>
      </c>
      <c r="C157" s="25">
        <v>0</v>
      </c>
      <c r="D157" s="26">
        <v>0</v>
      </c>
      <c r="E157" s="26">
        <v>42.9</v>
      </c>
      <c r="F157" s="26">
        <v>85.6</v>
      </c>
      <c r="G157" s="27">
        <v>118.4</v>
      </c>
      <c r="Q157" s="297"/>
      <c r="T157" s="297" t="s">
        <v>732</v>
      </c>
      <c r="U157" s="90" t="s">
        <v>734</v>
      </c>
    </row>
    <row r="158" spans="1:21" x14ac:dyDescent="0.2">
      <c r="A158" s="2"/>
      <c r="B158" s="67" t="s">
        <v>39</v>
      </c>
      <c r="C158" s="22">
        <v>0</v>
      </c>
      <c r="D158" s="22">
        <v>0</v>
      </c>
      <c r="E158" s="22">
        <v>0</v>
      </c>
      <c r="F158" s="23">
        <v>0</v>
      </c>
      <c r="G158" s="24">
        <v>0</v>
      </c>
      <c r="Q158" s="297"/>
      <c r="T158" s="297" t="s">
        <v>732</v>
      </c>
      <c r="U158" s="90" t="s">
        <v>734</v>
      </c>
    </row>
    <row r="159" spans="1:21" x14ac:dyDescent="0.2">
      <c r="A159" s="2"/>
      <c r="B159" s="67" t="s">
        <v>40</v>
      </c>
      <c r="C159" s="25">
        <v>9328.7999999999993</v>
      </c>
      <c r="D159" s="26">
        <v>7647.3999999999978</v>
      </c>
      <c r="E159" s="26">
        <v>11973.000000000002</v>
      </c>
      <c r="F159" s="26">
        <v>12259.000000000005</v>
      </c>
      <c r="G159" s="27">
        <v>17446</v>
      </c>
      <c r="Q159" s="297"/>
      <c r="T159" s="297" t="s">
        <v>732</v>
      </c>
      <c r="U159" s="90" t="s">
        <v>734</v>
      </c>
    </row>
    <row r="160" spans="1:21" x14ac:dyDescent="0.2">
      <c r="A160" s="2"/>
      <c r="B160" s="67" t="s">
        <v>819</v>
      </c>
      <c r="C160" s="25">
        <v>330.8</v>
      </c>
      <c r="D160" s="26">
        <v>235.3</v>
      </c>
      <c r="E160" s="26">
        <v>228.70000000000002</v>
      </c>
      <c r="F160" s="26">
        <v>214.4</v>
      </c>
      <c r="G160" s="27">
        <v>265.10000000000002</v>
      </c>
      <c r="Q160" s="297"/>
      <c r="T160" s="297" t="s">
        <v>732</v>
      </c>
      <c r="U160" s="90" t="s">
        <v>734</v>
      </c>
    </row>
    <row r="161" spans="1:21" x14ac:dyDescent="0.2">
      <c r="A161" s="2"/>
      <c r="B161" s="67" t="s">
        <v>200</v>
      </c>
      <c r="C161" s="25">
        <v>0</v>
      </c>
      <c r="D161" s="25">
        <v>0</v>
      </c>
      <c r="E161" s="25">
        <v>0</v>
      </c>
      <c r="F161" s="26">
        <v>0</v>
      </c>
      <c r="G161" s="27">
        <v>0</v>
      </c>
      <c r="H161" s="90" t="s">
        <v>1031</v>
      </c>
      <c r="Q161" s="297"/>
      <c r="T161" s="297" t="s">
        <v>732</v>
      </c>
      <c r="U161" s="90" t="s">
        <v>734</v>
      </c>
    </row>
    <row r="162" spans="1:21" x14ac:dyDescent="0.2">
      <c r="A162" s="2"/>
      <c r="B162" s="64"/>
      <c r="C162" s="30"/>
      <c r="D162" s="30"/>
      <c r="E162" s="30"/>
      <c r="F162" s="30"/>
      <c r="G162" s="31"/>
      <c r="Q162" s="297"/>
      <c r="T162" s="297"/>
    </row>
    <row r="163" spans="1:21" x14ac:dyDescent="0.2">
      <c r="A163" s="2"/>
      <c r="B163" s="64"/>
      <c r="C163" s="30"/>
      <c r="D163" s="30"/>
      <c r="E163" s="30"/>
      <c r="F163" s="30"/>
      <c r="G163" s="31"/>
      <c r="Q163" s="297"/>
      <c r="T163" s="297"/>
    </row>
    <row r="164" spans="1:21" x14ac:dyDescent="0.2">
      <c r="A164" s="42"/>
      <c r="B164" s="64"/>
      <c r="C164" s="30"/>
      <c r="D164" s="30"/>
      <c r="E164" s="30"/>
      <c r="F164" s="30"/>
      <c r="G164" s="31"/>
      <c r="Q164" s="297"/>
      <c r="T164" s="297"/>
    </row>
    <row r="165" spans="1:21" x14ac:dyDescent="0.2">
      <c r="A165" s="42"/>
      <c r="B165" s="78" t="s">
        <v>51</v>
      </c>
      <c r="C165" s="54">
        <v>40310</v>
      </c>
      <c r="D165" s="54">
        <v>44481.8</v>
      </c>
      <c r="E165" s="54">
        <v>59097.599999999999</v>
      </c>
      <c r="F165" s="54">
        <v>61919.199999999997</v>
      </c>
      <c r="G165" s="55">
        <v>67088.3</v>
      </c>
      <c r="H165" s="306" t="s">
        <v>1030</v>
      </c>
      <c r="Q165" s="297"/>
      <c r="T165" s="297" t="s">
        <v>733</v>
      </c>
      <c r="U165" s="90" t="s">
        <v>734</v>
      </c>
    </row>
    <row r="166" spans="1:21" x14ac:dyDescent="0.2">
      <c r="A166" s="42"/>
      <c r="B166" s="64"/>
      <c r="C166" s="30"/>
      <c r="D166" s="30"/>
      <c r="E166" s="30"/>
      <c r="F166" s="30"/>
      <c r="G166" s="31"/>
      <c r="Q166" s="297"/>
      <c r="T166" s="297"/>
    </row>
    <row r="167" spans="1:21" s="93" customFormat="1" x14ac:dyDescent="0.2">
      <c r="A167" s="2"/>
      <c r="B167" s="67" t="s">
        <v>41</v>
      </c>
      <c r="C167" s="75">
        <v>0</v>
      </c>
      <c r="D167" s="75">
        <v>0</v>
      </c>
      <c r="E167" s="75">
        <v>0</v>
      </c>
      <c r="F167" s="76">
        <v>0</v>
      </c>
      <c r="G167" s="77">
        <v>0</v>
      </c>
      <c r="Q167" s="297"/>
      <c r="R167" s="90"/>
      <c r="T167" s="297" t="s">
        <v>732</v>
      </c>
      <c r="U167" s="90" t="s">
        <v>734</v>
      </c>
    </row>
    <row r="168" spans="1:21" x14ac:dyDescent="0.2">
      <c r="A168" s="2"/>
      <c r="B168" s="64"/>
      <c r="C168" s="30"/>
      <c r="D168" s="30"/>
      <c r="E168" s="30"/>
      <c r="F168" s="30"/>
      <c r="G168" s="31"/>
      <c r="Q168" s="297"/>
      <c r="T168" s="297"/>
    </row>
    <row r="169" spans="1:21" x14ac:dyDescent="0.2">
      <c r="A169" s="2"/>
      <c r="B169" s="64"/>
      <c r="C169" s="30"/>
      <c r="D169" s="30"/>
      <c r="E169" s="30"/>
      <c r="F169" s="30"/>
      <c r="G169" s="31"/>
      <c r="Q169" s="297"/>
      <c r="T169" s="297"/>
    </row>
    <row r="170" spans="1:21" x14ac:dyDescent="0.2">
      <c r="A170" s="2"/>
      <c r="B170" s="64"/>
      <c r="C170" s="30"/>
      <c r="D170" s="30"/>
      <c r="E170" s="30"/>
      <c r="F170" s="30"/>
      <c r="G170" s="31"/>
      <c r="Q170" s="297"/>
      <c r="T170" s="297"/>
    </row>
    <row r="171" spans="1:21" ht="15" x14ac:dyDescent="0.2">
      <c r="A171" s="2"/>
      <c r="B171" s="66" t="s">
        <v>42</v>
      </c>
      <c r="C171" s="17"/>
      <c r="D171" s="17"/>
      <c r="E171" s="17"/>
      <c r="F171" s="17"/>
      <c r="G171" s="18"/>
      <c r="Q171" s="297"/>
      <c r="T171" s="297"/>
    </row>
    <row r="172" spans="1:21" x14ac:dyDescent="0.2">
      <c r="A172" s="2"/>
      <c r="B172" s="67" t="s">
        <v>43</v>
      </c>
      <c r="C172" s="20">
        <v>0</v>
      </c>
      <c r="D172" s="20">
        <v>0</v>
      </c>
      <c r="E172" s="20">
        <v>0</v>
      </c>
      <c r="F172" s="68">
        <v>0</v>
      </c>
      <c r="G172" s="21">
        <v>0</v>
      </c>
      <c r="Q172" s="297"/>
      <c r="T172" s="297" t="s">
        <v>732</v>
      </c>
      <c r="U172" s="90" t="s">
        <v>734</v>
      </c>
    </row>
    <row r="173" spans="1:21" x14ac:dyDescent="0.2">
      <c r="A173" s="2"/>
      <c r="B173" s="67" t="s">
        <v>199</v>
      </c>
      <c r="C173" s="22">
        <v>0</v>
      </c>
      <c r="D173" s="22">
        <v>0</v>
      </c>
      <c r="E173" s="22">
        <v>0</v>
      </c>
      <c r="F173" s="23">
        <v>0</v>
      </c>
      <c r="G173" s="24">
        <v>0</v>
      </c>
      <c r="H173" s="90" t="s">
        <v>1032</v>
      </c>
      <c r="I173" s="90" t="s">
        <v>44</v>
      </c>
      <c r="Q173" s="297"/>
      <c r="T173" s="297" t="s">
        <v>732</v>
      </c>
      <c r="U173" s="90" t="s">
        <v>734</v>
      </c>
    </row>
    <row r="174" spans="1:21" x14ac:dyDescent="0.2">
      <c r="A174" s="2"/>
      <c r="B174" s="67" t="s">
        <v>45</v>
      </c>
      <c r="C174" s="25">
        <v>78568.399999999994</v>
      </c>
      <c r="D174" s="26">
        <v>103630.7</v>
      </c>
      <c r="E174" s="26">
        <v>114417</v>
      </c>
      <c r="F174" s="26">
        <v>135766.5</v>
      </c>
      <c r="G174" s="27">
        <v>156637.29999999999</v>
      </c>
      <c r="H174" s="90">
        <v>0</v>
      </c>
      <c r="Q174" s="297"/>
      <c r="T174" s="297" t="s">
        <v>732</v>
      </c>
      <c r="U174" s="90" t="s">
        <v>734</v>
      </c>
    </row>
    <row r="175" spans="1:21" x14ac:dyDescent="0.2">
      <c r="A175" s="2"/>
      <c r="B175" s="67" t="s">
        <v>278</v>
      </c>
      <c r="C175" s="25">
        <v>16000</v>
      </c>
      <c r="D175" s="26">
        <v>41047.199999999997</v>
      </c>
      <c r="E175" s="26">
        <v>66390</v>
      </c>
      <c r="F175" s="26">
        <v>73394.600000000006</v>
      </c>
      <c r="G175" s="27">
        <v>51674.700000000012</v>
      </c>
      <c r="Q175" s="297"/>
      <c r="T175" s="297" t="s">
        <v>732</v>
      </c>
      <c r="U175" s="90" t="s">
        <v>734</v>
      </c>
    </row>
    <row r="176" spans="1:21" x14ac:dyDescent="0.2">
      <c r="A176" s="2"/>
      <c r="B176" s="67" t="s">
        <v>279</v>
      </c>
      <c r="C176" s="25">
        <v>0</v>
      </c>
      <c r="D176" s="26">
        <v>0</v>
      </c>
      <c r="E176" s="26">
        <v>0</v>
      </c>
      <c r="F176" s="26">
        <v>0</v>
      </c>
      <c r="G176" s="27">
        <v>0</v>
      </c>
      <c r="Q176" s="297"/>
      <c r="T176" s="297" t="s">
        <v>732</v>
      </c>
      <c r="U176" s="90" t="s">
        <v>734</v>
      </c>
    </row>
    <row r="177" spans="1:21" x14ac:dyDescent="0.2">
      <c r="A177" s="2"/>
      <c r="B177" s="67" t="s">
        <v>280</v>
      </c>
      <c r="C177" s="22">
        <v>0</v>
      </c>
      <c r="D177" s="22">
        <v>0</v>
      </c>
      <c r="E177" s="22">
        <v>0</v>
      </c>
      <c r="F177" s="23">
        <v>0</v>
      </c>
      <c r="G177" s="24">
        <v>0</v>
      </c>
      <c r="Q177" s="297"/>
      <c r="T177" s="297" t="s">
        <v>732</v>
      </c>
      <c r="U177" s="90" t="s">
        <v>734</v>
      </c>
    </row>
    <row r="178" spans="1:21" x14ac:dyDescent="0.2">
      <c r="A178" s="2"/>
      <c r="B178" s="67" t="s">
        <v>275</v>
      </c>
      <c r="C178" s="22">
        <v>0</v>
      </c>
      <c r="D178" s="22">
        <v>0</v>
      </c>
      <c r="E178" s="22">
        <v>0</v>
      </c>
      <c r="F178" s="23">
        <v>0</v>
      </c>
      <c r="G178" s="24">
        <v>0</v>
      </c>
      <c r="H178" s="305" t="s">
        <v>1033</v>
      </c>
      <c r="Q178" s="297"/>
      <c r="T178" s="297" t="s">
        <v>732</v>
      </c>
      <c r="U178" s="90" t="s">
        <v>734</v>
      </c>
    </row>
    <row r="179" spans="1:21" x14ac:dyDescent="0.2">
      <c r="A179" s="2"/>
      <c r="B179" s="67" t="s">
        <v>47</v>
      </c>
      <c r="C179" s="22">
        <v>0</v>
      </c>
      <c r="D179" s="22">
        <v>0</v>
      </c>
      <c r="E179" s="22">
        <v>0</v>
      </c>
      <c r="F179" s="23">
        <v>0</v>
      </c>
      <c r="G179" s="24">
        <v>0</v>
      </c>
      <c r="Q179" s="297"/>
      <c r="T179" s="297" t="s">
        <v>732</v>
      </c>
      <c r="U179" s="90" t="s">
        <v>734</v>
      </c>
    </row>
    <row r="180" spans="1:21" x14ac:dyDescent="0.2">
      <c r="A180" s="2"/>
      <c r="B180" s="67" t="s">
        <v>46</v>
      </c>
      <c r="C180" s="25">
        <v>0</v>
      </c>
      <c r="D180" s="26">
        <v>0</v>
      </c>
      <c r="E180" s="26">
        <v>0</v>
      </c>
      <c r="F180" s="26">
        <v>0</v>
      </c>
      <c r="G180" s="27">
        <v>0</v>
      </c>
      <c r="H180" s="90">
        <v>0</v>
      </c>
      <c r="I180" s="304">
        <v>0</v>
      </c>
      <c r="Q180" s="297"/>
      <c r="T180" s="297" t="s">
        <v>732</v>
      </c>
      <c r="U180" s="90" t="s">
        <v>734</v>
      </c>
    </row>
    <row r="181" spans="1:21" x14ac:dyDescent="0.2">
      <c r="A181" s="2"/>
      <c r="B181" s="67" t="s">
        <v>201</v>
      </c>
      <c r="C181" s="22">
        <v>0</v>
      </c>
      <c r="D181" s="22">
        <v>0</v>
      </c>
      <c r="E181" s="26">
        <v>0</v>
      </c>
      <c r="F181" s="26">
        <v>0</v>
      </c>
      <c r="G181" s="27">
        <v>0</v>
      </c>
      <c r="H181" s="90" t="s">
        <v>1031</v>
      </c>
      <c r="Q181" s="297"/>
      <c r="T181" s="297" t="s">
        <v>732</v>
      </c>
      <c r="U181" s="90" t="s">
        <v>734</v>
      </c>
    </row>
    <row r="182" spans="1:21" x14ac:dyDescent="0.2">
      <c r="A182" s="2"/>
      <c r="B182" s="67" t="s">
        <v>281</v>
      </c>
      <c r="C182" s="22">
        <v>0</v>
      </c>
      <c r="D182" s="22">
        <v>0</v>
      </c>
      <c r="E182" s="22">
        <v>0</v>
      </c>
      <c r="F182" s="23">
        <v>0</v>
      </c>
      <c r="G182" s="24">
        <v>0</v>
      </c>
      <c r="Q182" s="297"/>
      <c r="T182" s="297" t="s">
        <v>732</v>
      </c>
      <c r="U182" s="90" t="s">
        <v>734</v>
      </c>
    </row>
    <row r="183" spans="1:21" x14ac:dyDescent="0.2">
      <c r="A183" s="2"/>
      <c r="B183" s="67" t="s">
        <v>365</v>
      </c>
      <c r="C183" s="22">
        <v>0</v>
      </c>
      <c r="D183" s="22">
        <v>0</v>
      </c>
      <c r="E183" s="22">
        <v>0</v>
      </c>
      <c r="F183" s="23">
        <v>0</v>
      </c>
      <c r="G183" s="24">
        <v>0</v>
      </c>
      <c r="Q183" s="297"/>
      <c r="T183" s="297" t="s">
        <v>732</v>
      </c>
      <c r="U183" s="90" t="s">
        <v>734</v>
      </c>
    </row>
    <row r="184" spans="1:21" x14ac:dyDescent="0.2">
      <c r="A184" s="2"/>
      <c r="B184" s="67" t="s">
        <v>48</v>
      </c>
      <c r="C184" s="25">
        <v>0</v>
      </c>
      <c r="D184" s="25">
        <v>0</v>
      </c>
      <c r="E184" s="26">
        <v>0</v>
      </c>
      <c r="F184" s="26">
        <v>5942.7</v>
      </c>
      <c r="G184" s="27">
        <v>3814.7</v>
      </c>
      <c r="Q184" s="297"/>
      <c r="T184" s="297" t="s">
        <v>732</v>
      </c>
      <c r="U184" s="90" t="s">
        <v>734</v>
      </c>
    </row>
    <row r="185" spans="1:21" x14ac:dyDescent="0.2">
      <c r="A185" s="2"/>
      <c r="B185" s="64"/>
      <c r="C185" s="30"/>
      <c r="D185" s="30"/>
      <c r="E185" s="30"/>
      <c r="F185" s="30"/>
      <c r="G185" s="31"/>
      <c r="Q185" s="297"/>
      <c r="T185" s="297"/>
    </row>
    <row r="186" spans="1:21" x14ac:dyDescent="0.2">
      <c r="A186" s="2"/>
      <c r="B186" s="64"/>
      <c r="C186" s="30"/>
      <c r="D186" s="30"/>
      <c r="E186" s="30"/>
      <c r="F186" s="30"/>
      <c r="G186" s="31"/>
      <c r="Q186" s="297"/>
      <c r="T186" s="297"/>
    </row>
    <row r="187" spans="1:21" x14ac:dyDescent="0.2">
      <c r="A187" s="2"/>
      <c r="B187" s="64"/>
      <c r="C187" s="30"/>
      <c r="D187" s="30"/>
      <c r="E187" s="30"/>
      <c r="F187" s="30"/>
      <c r="G187" s="31"/>
      <c r="Q187" s="297"/>
      <c r="T187" s="297"/>
    </row>
    <row r="188" spans="1:21" x14ac:dyDescent="0.2">
      <c r="A188" s="2"/>
      <c r="B188" s="64"/>
      <c r="C188" s="30"/>
      <c r="D188" s="30"/>
      <c r="E188" s="30"/>
      <c r="F188" s="30"/>
      <c r="G188" s="31"/>
      <c r="Q188" s="297"/>
      <c r="T188" s="297"/>
    </row>
    <row r="189" spans="1:21" x14ac:dyDescent="0.2">
      <c r="A189" s="2"/>
      <c r="B189" s="78" t="s">
        <v>49</v>
      </c>
      <c r="C189" s="54">
        <v>94568.4</v>
      </c>
      <c r="D189" s="54">
        <v>144677.9</v>
      </c>
      <c r="E189" s="54">
        <v>180807</v>
      </c>
      <c r="F189" s="54">
        <v>215103.8</v>
      </c>
      <c r="G189" s="55">
        <v>212126.7</v>
      </c>
      <c r="H189" s="306" t="s">
        <v>1030</v>
      </c>
      <c r="Q189" s="297"/>
      <c r="T189" s="297" t="s">
        <v>733</v>
      </c>
      <c r="U189" s="90" t="s">
        <v>734</v>
      </c>
    </row>
    <row r="190" spans="1:21" x14ac:dyDescent="0.2">
      <c r="A190" s="2"/>
      <c r="B190" s="64"/>
      <c r="C190" s="30"/>
      <c r="D190" s="30"/>
      <c r="E190" s="30"/>
      <c r="F190" s="30"/>
      <c r="G190" s="31"/>
      <c r="Q190" s="297"/>
      <c r="T190" s="297"/>
    </row>
    <row r="191" spans="1:21" x14ac:dyDescent="0.2">
      <c r="A191" s="2"/>
      <c r="B191" s="64"/>
      <c r="C191" s="30"/>
      <c r="D191" s="30"/>
      <c r="E191" s="30"/>
      <c r="F191" s="30"/>
      <c r="G191" s="31"/>
      <c r="Q191" s="297"/>
      <c r="T191" s="297"/>
    </row>
    <row r="192" spans="1:21" ht="15" x14ac:dyDescent="0.2">
      <c r="A192" s="2"/>
      <c r="B192" s="66" t="s">
        <v>50</v>
      </c>
      <c r="C192" s="17"/>
      <c r="D192" s="17"/>
      <c r="E192" s="17"/>
      <c r="F192" s="17"/>
      <c r="G192" s="18"/>
      <c r="Q192" s="297"/>
      <c r="T192" s="297"/>
    </row>
    <row r="193" spans="1:21" x14ac:dyDescent="0.2">
      <c r="A193" s="2"/>
      <c r="B193" s="67" t="s">
        <v>277</v>
      </c>
      <c r="C193" s="75">
        <v>39416.9</v>
      </c>
      <c r="D193" s="76">
        <v>51891.199999999997</v>
      </c>
      <c r="E193" s="76">
        <v>53801.9</v>
      </c>
      <c r="F193" s="76">
        <v>43423.199999999997</v>
      </c>
      <c r="G193" s="77">
        <v>36596.300000000003</v>
      </c>
      <c r="H193" s="90" t="s">
        <v>1032</v>
      </c>
      <c r="I193" s="90" t="s">
        <v>1034</v>
      </c>
      <c r="Q193" s="297"/>
      <c r="T193" s="297" t="s">
        <v>732</v>
      </c>
      <c r="U193" s="90" t="s">
        <v>734</v>
      </c>
    </row>
    <row r="194" spans="1:21" x14ac:dyDescent="0.2">
      <c r="A194" s="2"/>
      <c r="B194" s="67" t="s">
        <v>276</v>
      </c>
      <c r="C194" s="22">
        <v>0</v>
      </c>
      <c r="D194" s="22">
        <v>0</v>
      </c>
      <c r="E194" s="22">
        <v>0</v>
      </c>
      <c r="F194" s="23">
        <v>0</v>
      </c>
      <c r="G194" s="24">
        <v>0</v>
      </c>
      <c r="Q194" s="297"/>
      <c r="T194" s="297" t="s">
        <v>732</v>
      </c>
      <c r="U194" s="90" t="s">
        <v>734</v>
      </c>
    </row>
    <row r="195" spans="1:21" x14ac:dyDescent="0.2">
      <c r="A195" s="2"/>
      <c r="B195" s="67" t="s">
        <v>52</v>
      </c>
      <c r="C195" s="25">
        <v>0</v>
      </c>
      <c r="D195" s="26">
        <v>0</v>
      </c>
      <c r="E195" s="26">
        <v>0</v>
      </c>
      <c r="F195" s="26">
        <v>0</v>
      </c>
      <c r="G195" s="27">
        <v>0</v>
      </c>
      <c r="Q195" s="297"/>
      <c r="T195" s="297" t="s">
        <v>732</v>
      </c>
      <c r="U195" s="90" t="s">
        <v>734</v>
      </c>
    </row>
    <row r="196" spans="1:21" x14ac:dyDescent="0.2">
      <c r="A196" s="2"/>
      <c r="B196" s="67" t="s">
        <v>275</v>
      </c>
      <c r="C196" s="22">
        <v>0</v>
      </c>
      <c r="D196" s="22">
        <v>0</v>
      </c>
      <c r="E196" s="22">
        <v>0</v>
      </c>
      <c r="F196" s="23">
        <v>0</v>
      </c>
      <c r="G196" s="24">
        <v>29584.6</v>
      </c>
      <c r="H196" s="90" t="s">
        <v>1032</v>
      </c>
      <c r="I196" s="90" t="s">
        <v>1035</v>
      </c>
      <c r="Q196" s="297"/>
      <c r="T196" s="297" t="s">
        <v>732</v>
      </c>
      <c r="U196" s="90" t="s">
        <v>734</v>
      </c>
    </row>
    <row r="197" spans="1:21" x14ac:dyDescent="0.2">
      <c r="A197" s="2"/>
      <c r="B197" s="67" t="s">
        <v>53</v>
      </c>
      <c r="C197" s="25">
        <v>4482.8999999999996</v>
      </c>
      <c r="D197" s="26">
        <v>3378.4</v>
      </c>
      <c r="E197" s="26">
        <v>1072.5999999999999</v>
      </c>
      <c r="F197" s="26">
        <v>5862.7</v>
      </c>
      <c r="G197" s="27">
        <v>11550.2</v>
      </c>
      <c r="Q197" s="297"/>
      <c r="T197" s="297" t="s">
        <v>732</v>
      </c>
      <c r="U197" s="90" t="s">
        <v>734</v>
      </c>
    </row>
    <row r="198" spans="1:21" x14ac:dyDescent="0.2">
      <c r="A198" s="2"/>
      <c r="B198" s="67" t="s">
        <v>54</v>
      </c>
      <c r="C198" s="22">
        <v>0</v>
      </c>
      <c r="D198" s="22">
        <v>721.5</v>
      </c>
      <c r="E198" s="22">
        <v>0</v>
      </c>
      <c r="F198" s="23">
        <v>0</v>
      </c>
      <c r="G198" s="24">
        <v>0</v>
      </c>
      <c r="Q198" s="297"/>
      <c r="T198" s="297" t="s">
        <v>732</v>
      </c>
      <c r="U198" s="90" t="s">
        <v>734</v>
      </c>
    </row>
    <row r="199" spans="1:21" x14ac:dyDescent="0.2">
      <c r="A199" s="2"/>
      <c r="B199" s="67" t="s">
        <v>55</v>
      </c>
      <c r="C199" s="25">
        <v>56763.199999999997</v>
      </c>
      <c r="D199" s="26">
        <v>64135.5</v>
      </c>
      <c r="E199" s="26">
        <v>63242.2</v>
      </c>
      <c r="F199" s="26">
        <v>38125.199999999997</v>
      </c>
      <c r="G199" s="24">
        <v>30858.3</v>
      </c>
      <c r="Q199" s="297"/>
      <c r="T199" s="297" t="s">
        <v>732</v>
      </c>
      <c r="U199" s="90" t="s">
        <v>734</v>
      </c>
    </row>
    <row r="200" spans="1:21" x14ac:dyDescent="0.2">
      <c r="A200" s="2"/>
      <c r="B200" s="67" t="s">
        <v>282</v>
      </c>
      <c r="C200" s="22">
        <v>0</v>
      </c>
      <c r="D200" s="22">
        <v>0</v>
      </c>
      <c r="E200" s="22">
        <v>0</v>
      </c>
      <c r="F200" s="23">
        <v>0</v>
      </c>
      <c r="G200" s="24">
        <v>0</v>
      </c>
      <c r="Q200" s="297"/>
      <c r="T200" s="297" t="s">
        <v>732</v>
      </c>
      <c r="U200" s="90" t="s">
        <v>734</v>
      </c>
    </row>
    <row r="201" spans="1:21" x14ac:dyDescent="0.2">
      <c r="A201" s="2"/>
      <c r="B201" s="67" t="s">
        <v>4</v>
      </c>
      <c r="C201" s="22">
        <v>0</v>
      </c>
      <c r="D201" s="22">
        <v>0</v>
      </c>
      <c r="E201" s="22">
        <v>0</v>
      </c>
      <c r="F201" s="23">
        <v>0</v>
      </c>
      <c r="G201" s="24">
        <v>0</v>
      </c>
      <c r="Q201" s="297"/>
      <c r="T201" s="297" t="s">
        <v>732</v>
      </c>
      <c r="U201" s="90" t="s">
        <v>734</v>
      </c>
    </row>
    <row r="202" spans="1:21" x14ac:dyDescent="0.2">
      <c r="A202" s="2"/>
      <c r="B202" s="67" t="s">
        <v>202</v>
      </c>
      <c r="C202" s="25">
        <v>77609.5</v>
      </c>
      <c r="D202" s="26">
        <v>48439.4</v>
      </c>
      <c r="E202" s="26">
        <v>85574.399999999994</v>
      </c>
      <c r="F202" s="26">
        <v>80427.500000000015</v>
      </c>
      <c r="G202" s="27">
        <v>85761.3</v>
      </c>
      <c r="Q202" s="297"/>
      <c r="T202" s="297" t="s">
        <v>732</v>
      </c>
      <c r="U202" s="90" t="s">
        <v>734</v>
      </c>
    </row>
    <row r="203" spans="1:21" x14ac:dyDescent="0.2">
      <c r="A203" s="2"/>
      <c r="B203" s="67" t="s">
        <v>203</v>
      </c>
      <c r="C203" s="22">
        <v>0</v>
      </c>
      <c r="D203" s="22">
        <v>0</v>
      </c>
      <c r="E203" s="22">
        <v>0</v>
      </c>
      <c r="F203" s="26">
        <v>75989</v>
      </c>
      <c r="G203" s="27">
        <v>125409.20000000001</v>
      </c>
      <c r="Q203" s="297"/>
      <c r="T203" s="297" t="s">
        <v>732</v>
      </c>
      <c r="U203" s="90" t="s">
        <v>734</v>
      </c>
    </row>
    <row r="204" spans="1:21" x14ac:dyDescent="0.2">
      <c r="A204" s="2"/>
      <c r="B204" s="67" t="s">
        <v>56</v>
      </c>
      <c r="C204" s="25">
        <v>8546.6</v>
      </c>
      <c r="D204" s="25">
        <v>7730.4</v>
      </c>
      <c r="E204" s="25">
        <v>8087.1</v>
      </c>
      <c r="F204" s="26">
        <v>8193.9</v>
      </c>
      <c r="G204" s="27">
        <v>9328.1</v>
      </c>
      <c r="Q204" s="297"/>
      <c r="T204" s="297" t="s">
        <v>732</v>
      </c>
      <c r="U204" s="90" t="s">
        <v>734</v>
      </c>
    </row>
    <row r="205" spans="1:21" x14ac:dyDescent="0.2">
      <c r="A205" s="2"/>
      <c r="B205" s="64"/>
      <c r="C205" s="30"/>
      <c r="D205" s="30"/>
      <c r="E205" s="30"/>
      <c r="F205" s="30"/>
      <c r="G205" s="31"/>
      <c r="Q205" s="297"/>
      <c r="T205" s="297"/>
    </row>
    <row r="206" spans="1:21" x14ac:dyDescent="0.2">
      <c r="A206" s="2"/>
      <c r="B206" s="64"/>
      <c r="C206" s="30"/>
      <c r="D206" s="30"/>
      <c r="E206" s="30"/>
      <c r="F206" s="30"/>
      <c r="G206" s="31"/>
      <c r="Q206" s="297"/>
      <c r="T206" s="297"/>
    </row>
    <row r="207" spans="1:21" x14ac:dyDescent="0.2">
      <c r="A207" s="2"/>
      <c r="B207" s="64"/>
      <c r="C207" s="30"/>
      <c r="D207" s="30"/>
      <c r="E207" s="30"/>
      <c r="F207" s="30"/>
      <c r="G207" s="31"/>
      <c r="Q207" s="297"/>
      <c r="T207" s="297"/>
    </row>
    <row r="208" spans="1:21" x14ac:dyDescent="0.2">
      <c r="A208" s="2"/>
      <c r="B208" s="64"/>
      <c r="C208" s="30"/>
      <c r="D208" s="30"/>
      <c r="E208" s="30"/>
      <c r="F208" s="30"/>
      <c r="G208" s="31"/>
      <c r="Q208" s="297"/>
      <c r="T208" s="297"/>
    </row>
    <row r="209" spans="1:21" x14ac:dyDescent="0.2">
      <c r="A209" s="2"/>
      <c r="B209" s="78" t="s">
        <v>57</v>
      </c>
      <c r="C209" s="54">
        <v>186819.1</v>
      </c>
      <c r="D209" s="54">
        <v>176296.4</v>
      </c>
      <c r="E209" s="54">
        <v>211778.2</v>
      </c>
      <c r="F209" s="54">
        <v>252021.5</v>
      </c>
      <c r="G209" s="55">
        <v>329088</v>
      </c>
      <c r="H209" s="306" t="s">
        <v>1030</v>
      </c>
      <c r="Q209" s="297"/>
      <c r="T209" s="297" t="s">
        <v>733</v>
      </c>
      <c r="U209" s="90" t="s">
        <v>734</v>
      </c>
    </row>
    <row r="210" spans="1:21" x14ac:dyDescent="0.2">
      <c r="A210" s="2"/>
      <c r="B210" s="64"/>
      <c r="C210" s="30"/>
      <c r="D210" s="30"/>
      <c r="E210" s="30"/>
      <c r="F210" s="30"/>
      <c r="G210" s="31"/>
      <c r="Q210" s="297"/>
      <c r="T210" s="297"/>
    </row>
    <row r="211" spans="1:21" x14ac:dyDescent="0.2">
      <c r="A211" s="2"/>
      <c r="B211" s="78" t="s">
        <v>263</v>
      </c>
      <c r="C211" s="54">
        <v>281387.5</v>
      </c>
      <c r="D211" s="54">
        <v>320974.3</v>
      </c>
      <c r="E211" s="54">
        <v>392585.2</v>
      </c>
      <c r="F211" s="54">
        <v>467125.3</v>
      </c>
      <c r="G211" s="55">
        <v>541214.69999999995</v>
      </c>
      <c r="H211" s="306" t="s">
        <v>1030</v>
      </c>
      <c r="Q211" s="297"/>
      <c r="T211" s="297" t="s">
        <v>733</v>
      </c>
      <c r="U211" s="90" t="s">
        <v>734</v>
      </c>
    </row>
    <row r="212" spans="1:21" x14ac:dyDescent="0.2">
      <c r="A212" s="2"/>
      <c r="B212" s="168" t="s">
        <v>264</v>
      </c>
      <c r="C212" s="20">
        <v>0</v>
      </c>
      <c r="D212" s="20">
        <v>0</v>
      </c>
      <c r="E212" s="20">
        <v>0</v>
      </c>
      <c r="F212" s="68">
        <v>642990.89999999991</v>
      </c>
      <c r="G212" s="21">
        <v>671736.1</v>
      </c>
      <c r="H212" s="90" t="s">
        <v>1031</v>
      </c>
      <c r="Q212" s="297"/>
      <c r="T212" s="297" t="s">
        <v>732</v>
      </c>
      <c r="U212" s="90" t="s">
        <v>734</v>
      </c>
    </row>
    <row r="213" spans="1:21" x14ac:dyDescent="0.2">
      <c r="A213" s="2"/>
      <c r="B213" s="168" t="s">
        <v>265</v>
      </c>
      <c r="C213" s="25">
        <v>0</v>
      </c>
      <c r="D213" s="25">
        <v>0</v>
      </c>
      <c r="E213" s="25">
        <v>0</v>
      </c>
      <c r="F213" s="26">
        <v>181125.6</v>
      </c>
      <c r="G213" s="27">
        <v>227903.9</v>
      </c>
      <c r="H213" s="90" t="s">
        <v>1031</v>
      </c>
      <c r="Q213" s="297"/>
      <c r="T213" s="297" t="s">
        <v>732</v>
      </c>
      <c r="U213" s="90" t="s">
        <v>734</v>
      </c>
    </row>
    <row r="214" spans="1:21" x14ac:dyDescent="0.2">
      <c r="A214" s="2"/>
      <c r="B214" s="64"/>
      <c r="C214" s="30"/>
      <c r="D214" s="30"/>
      <c r="E214" s="30"/>
      <c r="F214" s="30"/>
      <c r="G214" s="31"/>
      <c r="Q214" s="297"/>
      <c r="T214" s="297"/>
    </row>
    <row r="215" spans="1:21" ht="15" x14ac:dyDescent="0.2">
      <c r="A215" s="2"/>
      <c r="B215" s="66" t="s">
        <v>58</v>
      </c>
      <c r="C215" s="17"/>
      <c r="D215" s="17"/>
      <c r="E215" s="17"/>
      <c r="F215" s="17"/>
      <c r="G215" s="18"/>
      <c r="Q215" s="297"/>
      <c r="T215" s="297"/>
    </row>
    <row r="216" spans="1:21" x14ac:dyDescent="0.2">
      <c r="A216" s="2"/>
      <c r="B216" s="67" t="s">
        <v>59</v>
      </c>
      <c r="C216" s="75">
        <v>2836.8</v>
      </c>
      <c r="D216" s="76">
        <v>5256.6</v>
      </c>
      <c r="E216" s="76">
        <v>2620.1999999999998</v>
      </c>
      <c r="F216" s="76">
        <v>2040.2999999999997</v>
      </c>
      <c r="G216" s="77">
        <v>3190.8999999999996</v>
      </c>
      <c r="Q216" s="297"/>
      <c r="T216" s="297" t="s">
        <v>732</v>
      </c>
      <c r="U216" s="90" t="s">
        <v>734</v>
      </c>
    </row>
    <row r="217" spans="1:21" x14ac:dyDescent="0.2">
      <c r="A217" s="2"/>
      <c r="B217" s="67" t="s">
        <v>60</v>
      </c>
      <c r="C217" s="25">
        <v>-581.79999999999995</v>
      </c>
      <c r="D217" s="26">
        <v>384.9</v>
      </c>
      <c r="E217" s="26">
        <v>431.29999999999995</v>
      </c>
      <c r="F217" s="26">
        <v>-495.9</v>
      </c>
      <c r="G217" s="27">
        <v>876.5</v>
      </c>
      <c r="Q217" s="297"/>
      <c r="T217" s="297" t="s">
        <v>732</v>
      </c>
      <c r="U217" s="90" t="s">
        <v>734</v>
      </c>
    </row>
    <row r="218" spans="1:21" x14ac:dyDescent="0.2">
      <c r="A218" s="2"/>
      <c r="B218" s="67" t="s">
        <v>61</v>
      </c>
      <c r="C218" s="25">
        <v>0</v>
      </c>
      <c r="D218" s="26">
        <v>0</v>
      </c>
      <c r="E218" s="26">
        <v>0</v>
      </c>
      <c r="F218" s="26">
        <v>0</v>
      </c>
      <c r="G218" s="27">
        <v>0</v>
      </c>
      <c r="Q218" s="297"/>
      <c r="T218" s="297" t="s">
        <v>732</v>
      </c>
      <c r="U218" s="90" t="s">
        <v>734</v>
      </c>
    </row>
    <row r="219" spans="1:21" x14ac:dyDescent="0.2">
      <c r="A219" s="2"/>
      <c r="B219" s="67" t="s">
        <v>62</v>
      </c>
      <c r="C219" s="25">
        <v>273</v>
      </c>
      <c r="D219" s="26">
        <v>2034.8</v>
      </c>
      <c r="E219" s="26">
        <v>379.6</v>
      </c>
      <c r="F219" s="26">
        <v>220.10000000000002</v>
      </c>
      <c r="G219" s="27">
        <v>344.3</v>
      </c>
      <c r="Q219" s="297"/>
      <c r="T219" s="297" t="s">
        <v>732</v>
      </c>
      <c r="U219" s="90" t="s">
        <v>734</v>
      </c>
    </row>
    <row r="220" spans="1:21" x14ac:dyDescent="0.2">
      <c r="A220" s="2"/>
      <c r="B220" s="67" t="s">
        <v>63</v>
      </c>
      <c r="C220" s="22">
        <v>0</v>
      </c>
      <c r="D220" s="22">
        <v>0</v>
      </c>
      <c r="E220" s="22">
        <v>0</v>
      </c>
      <c r="F220" s="23">
        <v>0</v>
      </c>
      <c r="G220" s="24">
        <v>0</v>
      </c>
      <c r="Q220" s="297"/>
      <c r="T220" s="297" t="s">
        <v>732</v>
      </c>
      <c r="U220" s="90" t="s">
        <v>734</v>
      </c>
    </row>
    <row r="221" spans="1:21" x14ac:dyDescent="0.2">
      <c r="A221" s="2"/>
      <c r="B221" s="67" t="s">
        <v>204</v>
      </c>
      <c r="C221" s="22">
        <v>0</v>
      </c>
      <c r="D221" s="22">
        <v>0</v>
      </c>
      <c r="E221" s="22">
        <v>0</v>
      </c>
      <c r="F221" s="23">
        <v>0</v>
      </c>
      <c r="G221" s="24">
        <v>0</v>
      </c>
      <c r="H221" s="90" t="s">
        <v>1031</v>
      </c>
      <c r="Q221" s="297"/>
      <c r="T221" s="297" t="s">
        <v>732</v>
      </c>
      <c r="U221" s="90" t="s">
        <v>734</v>
      </c>
    </row>
    <row r="222" spans="1:21" x14ac:dyDescent="0.2">
      <c r="A222" s="2"/>
      <c r="B222" s="67" t="s">
        <v>205</v>
      </c>
      <c r="C222" s="22">
        <v>0</v>
      </c>
      <c r="D222" s="22">
        <v>0</v>
      </c>
      <c r="E222" s="22">
        <v>0</v>
      </c>
      <c r="F222" s="23">
        <v>0</v>
      </c>
      <c r="G222" s="24">
        <v>0</v>
      </c>
      <c r="H222" s="90" t="s">
        <v>1031</v>
      </c>
      <c r="Q222" s="297"/>
      <c r="T222" s="297" t="s">
        <v>732</v>
      </c>
      <c r="U222" s="90" t="s">
        <v>734</v>
      </c>
    </row>
    <row r="223" spans="1:21" x14ac:dyDescent="0.2">
      <c r="A223" s="2"/>
      <c r="B223" s="67" t="s">
        <v>64</v>
      </c>
      <c r="C223" s="25">
        <v>19863.099999999999</v>
      </c>
      <c r="D223" s="26">
        <v>24923.3</v>
      </c>
      <c r="E223" s="26">
        <v>10144.9</v>
      </c>
      <c r="F223" s="26">
        <v>11918.9</v>
      </c>
      <c r="G223" s="27">
        <v>14970.6</v>
      </c>
      <c r="Q223" s="297"/>
      <c r="T223" s="297" t="s">
        <v>732</v>
      </c>
      <c r="U223" s="90" t="s">
        <v>734</v>
      </c>
    </row>
    <row r="224" spans="1:21" x14ac:dyDescent="0.2">
      <c r="A224" s="2"/>
      <c r="B224" s="64"/>
      <c r="C224" s="30"/>
      <c r="D224" s="30"/>
      <c r="E224" s="30"/>
      <c r="F224" s="30"/>
      <c r="G224" s="31"/>
      <c r="Q224" s="297"/>
      <c r="T224" s="297"/>
    </row>
    <row r="225" spans="1:21" x14ac:dyDescent="0.2">
      <c r="A225" s="2"/>
      <c r="B225" s="64"/>
      <c r="C225" s="30"/>
      <c r="D225" s="30"/>
      <c r="E225" s="30"/>
      <c r="F225" s="30"/>
      <c r="G225" s="31"/>
      <c r="Q225" s="297"/>
      <c r="T225" s="297"/>
    </row>
    <row r="226" spans="1:21" x14ac:dyDescent="0.2">
      <c r="A226" s="2"/>
      <c r="B226" s="64"/>
      <c r="C226" s="30"/>
      <c r="D226" s="30"/>
      <c r="E226" s="30"/>
      <c r="F226" s="30"/>
      <c r="G226" s="31"/>
      <c r="Q226" s="297"/>
      <c r="T226" s="297"/>
    </row>
    <row r="227" spans="1:21" x14ac:dyDescent="0.2">
      <c r="A227" s="2"/>
      <c r="B227" s="64"/>
      <c r="C227" s="30"/>
      <c r="D227" s="30"/>
      <c r="E227" s="30"/>
      <c r="F227" s="30"/>
      <c r="G227" s="31"/>
      <c r="Q227" s="297"/>
      <c r="T227" s="297"/>
    </row>
    <row r="228" spans="1:21" x14ac:dyDescent="0.2">
      <c r="A228" s="2"/>
      <c r="B228" s="78" t="s">
        <v>65</v>
      </c>
      <c r="C228" s="54">
        <v>22391.1</v>
      </c>
      <c r="D228" s="54">
        <v>32599.599999999999</v>
      </c>
      <c r="E228" s="54">
        <v>13576</v>
      </c>
      <c r="F228" s="54">
        <v>13683.4</v>
      </c>
      <c r="G228" s="55">
        <v>19382.3</v>
      </c>
      <c r="H228" s="306" t="s">
        <v>1030</v>
      </c>
      <c r="Q228" s="297"/>
      <c r="T228" s="297" t="s">
        <v>733</v>
      </c>
      <c r="U228" s="90" t="s">
        <v>734</v>
      </c>
    </row>
    <row r="229" spans="1:21" x14ac:dyDescent="0.2">
      <c r="A229" s="2"/>
      <c r="B229" s="64"/>
      <c r="C229" s="30"/>
      <c r="D229" s="30"/>
      <c r="E229" s="30"/>
      <c r="F229" s="30"/>
      <c r="G229" s="31"/>
      <c r="Q229" s="297"/>
      <c r="T229" s="297"/>
    </row>
    <row r="230" spans="1:21" ht="13.5" thickBot="1" x14ac:dyDescent="0.25">
      <c r="A230" s="2"/>
      <c r="B230" s="69"/>
      <c r="C230" s="70"/>
      <c r="D230" s="70"/>
      <c r="E230" s="70"/>
      <c r="F230" s="70"/>
      <c r="G230" s="71"/>
      <c r="Q230" s="297"/>
      <c r="T230" s="297"/>
    </row>
    <row r="231" spans="1:21" ht="16.5" thickTop="1" thickBot="1" x14ac:dyDescent="0.25">
      <c r="A231" s="2"/>
      <c r="B231" s="72" t="s">
        <v>66</v>
      </c>
      <c r="C231" s="73">
        <v>344088.6</v>
      </c>
      <c r="D231" s="73">
        <v>398055.7</v>
      </c>
      <c r="E231" s="73">
        <v>465258.8</v>
      </c>
      <c r="F231" s="73">
        <v>542727.9</v>
      </c>
      <c r="G231" s="74">
        <v>627685.30000000005</v>
      </c>
      <c r="H231" s="306" t="s">
        <v>1030</v>
      </c>
      <c r="Q231" s="297"/>
      <c r="T231" s="297" t="s">
        <v>733</v>
      </c>
      <c r="U231" s="90" t="s">
        <v>734</v>
      </c>
    </row>
    <row r="232" spans="1:21" ht="14.25" thickTop="1" thickBot="1" x14ac:dyDescent="0.25">
      <c r="A232" s="100"/>
      <c r="B232" s="101"/>
      <c r="C232" s="102"/>
      <c r="D232" s="102"/>
      <c r="E232" s="102"/>
      <c r="F232" s="102"/>
      <c r="G232" s="103"/>
      <c r="Q232" s="297"/>
      <c r="T232" s="297"/>
    </row>
    <row r="233" spans="1:21" ht="13.5" thickBot="1" x14ac:dyDescent="0.25">
      <c r="B233" s="90"/>
      <c r="Q233" s="297"/>
      <c r="T233" s="297"/>
    </row>
    <row r="234" spans="1:21" ht="19.5" thickBot="1" x14ac:dyDescent="0.25">
      <c r="A234" s="7"/>
      <c r="B234" s="8" t="s">
        <v>96</v>
      </c>
      <c r="C234" s="217"/>
      <c r="D234" s="218"/>
      <c r="E234" s="218"/>
      <c r="F234" s="218"/>
      <c r="G234" s="218"/>
      <c r="Q234" s="297"/>
      <c r="T234" s="297"/>
    </row>
    <row r="235" spans="1:21" x14ac:dyDescent="0.2">
      <c r="A235" s="4"/>
      <c r="B235" s="64"/>
      <c r="C235" s="219"/>
      <c r="D235" s="219"/>
      <c r="E235" s="219"/>
      <c r="F235" s="219"/>
      <c r="G235" s="220"/>
      <c r="Q235" s="297"/>
      <c r="T235" s="297"/>
    </row>
    <row r="236" spans="1:21" ht="15" x14ac:dyDescent="0.2">
      <c r="A236" s="65"/>
      <c r="B236" s="66" t="s">
        <v>67</v>
      </c>
      <c r="C236" s="17"/>
      <c r="D236" s="17"/>
      <c r="E236" s="17"/>
      <c r="F236" s="17"/>
      <c r="G236" s="18"/>
      <c r="Q236" s="297"/>
      <c r="T236" s="297"/>
    </row>
    <row r="237" spans="1:21" x14ac:dyDescent="0.2">
      <c r="A237" s="2"/>
      <c r="B237" s="67" t="s">
        <v>68</v>
      </c>
      <c r="C237" s="20">
        <v>355.4</v>
      </c>
      <c r="D237" s="68">
        <v>205.5</v>
      </c>
      <c r="E237" s="76">
        <v>225.4</v>
      </c>
      <c r="F237" s="68">
        <v>243.6</v>
      </c>
      <c r="G237" s="21">
        <v>235.5</v>
      </c>
      <c r="Q237" s="297"/>
      <c r="T237" s="297" t="s">
        <v>732</v>
      </c>
      <c r="U237" s="90" t="s">
        <v>734</v>
      </c>
    </row>
    <row r="238" spans="1:21" x14ac:dyDescent="0.2">
      <c r="A238" s="2"/>
      <c r="B238" s="67" t="s">
        <v>69</v>
      </c>
      <c r="C238" s="25">
        <v>185.3</v>
      </c>
      <c r="D238" s="26">
        <v>54.6</v>
      </c>
      <c r="E238" s="26">
        <v>99.4</v>
      </c>
      <c r="F238" s="26">
        <v>129.19999999999999</v>
      </c>
      <c r="G238" s="27">
        <v>148</v>
      </c>
      <c r="Q238" s="297"/>
      <c r="T238" s="297" t="s">
        <v>732</v>
      </c>
      <c r="U238" s="90" t="s">
        <v>734</v>
      </c>
    </row>
    <row r="239" spans="1:21" x14ac:dyDescent="0.2">
      <c r="A239" s="2"/>
      <c r="B239" s="67" t="s">
        <v>100</v>
      </c>
      <c r="C239" s="22">
        <v>0</v>
      </c>
      <c r="D239" s="22">
        <v>0</v>
      </c>
      <c r="E239" s="22">
        <v>0</v>
      </c>
      <c r="F239" s="23">
        <v>0</v>
      </c>
      <c r="G239" s="24">
        <v>0</v>
      </c>
      <c r="Q239" s="297"/>
      <c r="T239" s="297" t="s">
        <v>732</v>
      </c>
      <c r="U239" s="90" t="s">
        <v>734</v>
      </c>
    </row>
    <row r="240" spans="1:21" x14ac:dyDescent="0.2">
      <c r="A240" s="2"/>
      <c r="B240" s="67" t="s">
        <v>70</v>
      </c>
      <c r="C240" s="25">
        <v>10810.6</v>
      </c>
      <c r="D240" s="26">
        <v>8818.2000000000007</v>
      </c>
      <c r="E240" s="26">
        <v>13575.1</v>
      </c>
      <c r="F240" s="26">
        <v>16375.9</v>
      </c>
      <c r="G240" s="27">
        <v>16044.199999999999</v>
      </c>
      <c r="Q240" s="297"/>
      <c r="T240" s="297" t="s">
        <v>732</v>
      </c>
      <c r="U240" s="90" t="s">
        <v>734</v>
      </c>
    </row>
    <row r="241" spans="1:21" x14ac:dyDescent="0.2">
      <c r="A241" s="2"/>
      <c r="B241" s="67" t="s">
        <v>71</v>
      </c>
      <c r="C241" s="25">
        <v>3275.5</v>
      </c>
      <c r="D241" s="26">
        <v>2069.1</v>
      </c>
      <c r="E241" s="26">
        <v>4552.4000000000005</v>
      </c>
      <c r="F241" s="26">
        <v>7124.3</v>
      </c>
      <c r="G241" s="27">
        <v>8649.2000000000007</v>
      </c>
      <c r="Q241" s="297"/>
      <c r="T241" s="297" t="s">
        <v>732</v>
      </c>
      <c r="U241" s="90" t="s">
        <v>734</v>
      </c>
    </row>
    <row r="242" spans="1:21" x14ac:dyDescent="0.2">
      <c r="A242" s="2"/>
      <c r="B242" s="67" t="s">
        <v>72</v>
      </c>
      <c r="C242" s="25">
        <v>832.4</v>
      </c>
      <c r="D242" s="26">
        <v>1755.3</v>
      </c>
      <c r="E242" s="26">
        <v>2270.1999999999998</v>
      </c>
      <c r="F242" s="26">
        <v>1570.2</v>
      </c>
      <c r="G242" s="27">
        <v>303.7</v>
      </c>
      <c r="Q242" s="297"/>
      <c r="T242" s="297" t="s">
        <v>732</v>
      </c>
      <c r="U242" s="90" t="s">
        <v>734</v>
      </c>
    </row>
    <row r="243" spans="1:21" x14ac:dyDescent="0.2">
      <c r="A243" s="2"/>
      <c r="B243" s="64"/>
      <c r="C243" s="30"/>
      <c r="D243" s="30"/>
      <c r="E243" s="30"/>
      <c r="F243" s="30"/>
      <c r="G243" s="31"/>
      <c r="Q243" s="297"/>
      <c r="T243" s="297"/>
    </row>
    <row r="244" spans="1:21" x14ac:dyDescent="0.2">
      <c r="A244" s="2"/>
      <c r="B244" s="64"/>
      <c r="C244" s="30"/>
      <c r="D244" s="30"/>
      <c r="E244" s="30"/>
      <c r="F244" s="30"/>
      <c r="G244" s="31"/>
      <c r="Q244" s="297"/>
      <c r="T244" s="297"/>
    </row>
    <row r="245" spans="1:21" x14ac:dyDescent="0.2">
      <c r="A245" s="2"/>
      <c r="B245" s="64"/>
      <c r="C245" s="30"/>
      <c r="D245" s="30"/>
      <c r="E245" s="30"/>
      <c r="F245" s="30"/>
      <c r="G245" s="31"/>
      <c r="Q245" s="297"/>
      <c r="T245" s="297"/>
    </row>
    <row r="246" spans="1:21" x14ac:dyDescent="0.2">
      <c r="A246" s="2"/>
      <c r="B246" s="78" t="s">
        <v>73</v>
      </c>
      <c r="C246" s="54">
        <v>8537.6</v>
      </c>
      <c r="D246" s="54">
        <v>8655.2999999999993</v>
      </c>
      <c r="E246" s="54">
        <v>11418.9</v>
      </c>
      <c r="F246" s="54">
        <v>10936.2</v>
      </c>
      <c r="G246" s="55">
        <v>7786.2</v>
      </c>
      <c r="H246" s="306" t="s">
        <v>1030</v>
      </c>
      <c r="Q246" s="297"/>
      <c r="T246" s="297" t="s">
        <v>733</v>
      </c>
      <c r="U246" s="90" t="s">
        <v>734</v>
      </c>
    </row>
    <row r="247" spans="1:21" x14ac:dyDescent="0.2">
      <c r="A247" s="2"/>
      <c r="B247" s="64"/>
      <c r="C247" s="30"/>
      <c r="D247" s="30"/>
      <c r="E247" s="30"/>
      <c r="F247" s="30"/>
      <c r="G247" s="31"/>
      <c r="Q247" s="297"/>
      <c r="T247" s="297"/>
    </row>
    <row r="248" spans="1:21" s="93" customFormat="1" x14ac:dyDescent="0.2">
      <c r="A248" s="2"/>
      <c r="B248" s="67" t="s">
        <v>74</v>
      </c>
      <c r="C248" s="75">
        <v>4348.3</v>
      </c>
      <c r="D248" s="76">
        <v>6268.4</v>
      </c>
      <c r="E248" s="76">
        <v>6432.4</v>
      </c>
      <c r="F248" s="76">
        <v>5078.8</v>
      </c>
      <c r="G248" s="77">
        <v>5669.8</v>
      </c>
      <c r="Q248" s="297"/>
      <c r="R248" s="90"/>
      <c r="T248" s="297" t="s">
        <v>732</v>
      </c>
      <c r="U248" s="90" t="s">
        <v>734</v>
      </c>
    </row>
    <row r="249" spans="1:21" x14ac:dyDescent="0.2">
      <c r="A249" s="2"/>
      <c r="B249" s="67"/>
      <c r="C249" s="30"/>
      <c r="D249" s="30"/>
      <c r="E249" s="30"/>
      <c r="F249" s="30"/>
      <c r="G249" s="31"/>
      <c r="Q249" s="297"/>
      <c r="T249" s="297"/>
    </row>
    <row r="250" spans="1:21" ht="15" x14ac:dyDescent="0.2">
      <c r="A250" s="2"/>
      <c r="B250" s="66" t="s">
        <v>206</v>
      </c>
      <c r="C250" s="30"/>
      <c r="D250" s="30"/>
      <c r="E250" s="30"/>
      <c r="F250" s="30"/>
      <c r="G250" s="31"/>
      <c r="H250" s="90" t="s">
        <v>1031</v>
      </c>
      <c r="Q250" s="297"/>
      <c r="T250" s="297"/>
    </row>
    <row r="251" spans="1:21" x14ac:dyDescent="0.2">
      <c r="A251" s="2"/>
      <c r="B251" s="67"/>
      <c r="C251" s="30"/>
      <c r="D251" s="30"/>
      <c r="E251" s="30"/>
      <c r="F251" s="30"/>
      <c r="G251" s="31"/>
      <c r="Q251" s="297"/>
      <c r="T251" s="297"/>
    </row>
    <row r="252" spans="1:21" ht="15" x14ac:dyDescent="0.2">
      <c r="A252" s="2"/>
      <c r="B252" s="66" t="s">
        <v>207</v>
      </c>
      <c r="C252" s="30"/>
      <c r="D252" s="30"/>
      <c r="E252" s="30"/>
      <c r="F252" s="30"/>
      <c r="G252" s="31"/>
      <c r="H252" s="90" t="s">
        <v>1031</v>
      </c>
      <c r="Q252" s="297"/>
      <c r="T252" s="297"/>
    </row>
    <row r="253" spans="1:21" x14ac:dyDescent="0.2">
      <c r="A253" s="2"/>
      <c r="B253" s="67" t="s">
        <v>208</v>
      </c>
      <c r="C253" s="20">
        <v>289414.84999999998</v>
      </c>
      <c r="D253" s="76">
        <v>362888.95000000007</v>
      </c>
      <c r="E253" s="68">
        <v>408383.9</v>
      </c>
      <c r="F253" s="68">
        <v>164982.70000000007</v>
      </c>
      <c r="G253" s="21">
        <v>116921.89999999991</v>
      </c>
      <c r="H253" s="90" t="s">
        <v>1031</v>
      </c>
      <c r="Q253" s="297"/>
      <c r="T253" s="297" t="s">
        <v>732</v>
      </c>
      <c r="U253" s="90" t="s">
        <v>734</v>
      </c>
    </row>
    <row r="254" spans="1:21" x14ac:dyDescent="0.2">
      <c r="A254" s="2"/>
      <c r="B254" s="67" t="s">
        <v>258</v>
      </c>
      <c r="C254" s="25">
        <v>0</v>
      </c>
      <c r="D254" s="25">
        <v>0</v>
      </c>
      <c r="E254" s="25">
        <v>0</v>
      </c>
      <c r="F254" s="26">
        <v>0</v>
      </c>
      <c r="G254" s="27">
        <v>0</v>
      </c>
      <c r="Q254" s="297"/>
      <c r="T254" s="297" t="s">
        <v>732</v>
      </c>
      <c r="U254" s="90" t="s">
        <v>734</v>
      </c>
    </row>
    <row r="255" spans="1:21" x14ac:dyDescent="0.2">
      <c r="A255" s="2"/>
      <c r="B255" s="67" t="s">
        <v>80</v>
      </c>
      <c r="C255" s="25">
        <v>80.5</v>
      </c>
      <c r="D255" s="25">
        <v>0</v>
      </c>
      <c r="E255" s="25">
        <v>42</v>
      </c>
      <c r="F255" s="26">
        <v>44.8</v>
      </c>
      <c r="G255" s="27">
        <v>61.2</v>
      </c>
      <c r="H255" s="90" t="s">
        <v>1031</v>
      </c>
      <c r="Q255" s="297"/>
      <c r="T255" s="297" t="s">
        <v>732</v>
      </c>
      <c r="U255" s="90" t="s">
        <v>734</v>
      </c>
    </row>
    <row r="256" spans="1:21" ht="25.5" x14ac:dyDescent="0.2">
      <c r="A256" s="2"/>
      <c r="B256" s="67" t="s">
        <v>209</v>
      </c>
      <c r="C256" s="25">
        <v>0</v>
      </c>
      <c r="D256" s="25">
        <v>0</v>
      </c>
      <c r="E256" s="25">
        <v>0</v>
      </c>
      <c r="F256" s="26">
        <v>0</v>
      </c>
      <c r="G256" s="27">
        <v>0</v>
      </c>
      <c r="H256" s="90" t="s">
        <v>1031</v>
      </c>
      <c r="Q256" s="297"/>
      <c r="T256" s="297" t="s">
        <v>732</v>
      </c>
      <c r="U256" s="90" t="s">
        <v>734</v>
      </c>
    </row>
    <row r="257" spans="1:21" x14ac:dyDescent="0.2">
      <c r="A257" s="2"/>
      <c r="B257" s="67"/>
      <c r="C257" s="30"/>
      <c r="D257" s="30"/>
      <c r="E257" s="30"/>
      <c r="F257" s="30"/>
      <c r="G257" s="31"/>
      <c r="Q257" s="297"/>
      <c r="T257" s="297"/>
    </row>
    <row r="258" spans="1:21" x14ac:dyDescent="0.2">
      <c r="A258" s="2"/>
      <c r="B258" s="67"/>
      <c r="C258" s="30"/>
      <c r="D258" s="30"/>
      <c r="E258" s="30"/>
      <c r="F258" s="30"/>
      <c r="G258" s="31"/>
      <c r="Q258" s="297"/>
      <c r="T258" s="297"/>
    </row>
    <row r="259" spans="1:21" x14ac:dyDescent="0.2">
      <c r="A259" s="2"/>
      <c r="B259" s="67"/>
      <c r="C259" s="30"/>
      <c r="D259" s="30"/>
      <c r="E259" s="30"/>
      <c r="F259" s="30"/>
      <c r="G259" s="31"/>
      <c r="Q259" s="297"/>
      <c r="T259" s="297"/>
    </row>
    <row r="260" spans="1:21" x14ac:dyDescent="0.2">
      <c r="A260" s="2"/>
      <c r="B260" s="67"/>
      <c r="C260" s="30"/>
      <c r="D260" s="30"/>
      <c r="E260" s="30"/>
      <c r="F260" s="30"/>
      <c r="G260" s="31"/>
      <c r="Q260" s="297"/>
      <c r="T260" s="297"/>
    </row>
    <row r="261" spans="1:21" x14ac:dyDescent="0.2">
      <c r="A261" s="2"/>
      <c r="B261" s="78" t="s">
        <v>210</v>
      </c>
      <c r="C261" s="54">
        <v>289495.34999999998</v>
      </c>
      <c r="D261" s="54">
        <v>362888.95000000007</v>
      </c>
      <c r="E261" s="54">
        <v>408425.9</v>
      </c>
      <c r="F261" s="54">
        <v>165027.50000000006</v>
      </c>
      <c r="G261" s="55">
        <v>116983.0999999999</v>
      </c>
      <c r="H261" s="306" t="s">
        <v>1030</v>
      </c>
      <c r="Q261" s="297"/>
      <c r="T261" s="297" t="s">
        <v>733</v>
      </c>
      <c r="U261" s="90" t="s">
        <v>734</v>
      </c>
    </row>
    <row r="262" spans="1:21" x14ac:dyDescent="0.2">
      <c r="A262" s="2"/>
      <c r="B262" s="67"/>
      <c r="C262" s="30"/>
      <c r="D262" s="30"/>
      <c r="E262" s="30"/>
      <c r="F262" s="30"/>
      <c r="G262" s="31"/>
      <c r="Q262" s="297"/>
      <c r="T262" s="297"/>
    </row>
    <row r="263" spans="1:21" ht="15" x14ac:dyDescent="0.2">
      <c r="A263" s="2"/>
      <c r="B263" s="66" t="s">
        <v>211</v>
      </c>
      <c r="C263" s="30"/>
      <c r="D263" s="30"/>
      <c r="E263" s="30"/>
      <c r="F263" s="30"/>
      <c r="G263" s="31"/>
      <c r="H263" s="90" t="s">
        <v>1031</v>
      </c>
      <c r="Q263" s="297"/>
      <c r="T263" s="297"/>
    </row>
    <row r="264" spans="1:21" x14ac:dyDescent="0.2">
      <c r="A264" s="2"/>
      <c r="B264" s="67" t="s">
        <v>212</v>
      </c>
      <c r="C264" s="20">
        <v>0</v>
      </c>
      <c r="D264" s="20">
        <v>0</v>
      </c>
      <c r="E264" s="20">
        <v>0</v>
      </c>
      <c r="F264" s="68">
        <v>282873.09999999998</v>
      </c>
      <c r="G264" s="21">
        <v>379301.9</v>
      </c>
      <c r="H264" s="90" t="s">
        <v>1031</v>
      </c>
      <c r="Q264" s="297"/>
      <c r="T264" s="297" t="s">
        <v>732</v>
      </c>
      <c r="U264" s="90" t="s">
        <v>734</v>
      </c>
    </row>
    <row r="265" spans="1:21" x14ac:dyDescent="0.2">
      <c r="A265" s="2"/>
      <c r="B265" s="67" t="s">
        <v>258</v>
      </c>
      <c r="C265" s="25">
        <v>0</v>
      </c>
      <c r="D265" s="25">
        <v>5239.3999999999996</v>
      </c>
      <c r="E265" s="25">
        <v>0</v>
      </c>
      <c r="F265" s="26">
        <v>0</v>
      </c>
      <c r="G265" s="27">
        <v>0</v>
      </c>
      <c r="Q265" s="297"/>
      <c r="T265" s="297" t="s">
        <v>732</v>
      </c>
      <c r="U265" s="90" t="s">
        <v>734</v>
      </c>
    </row>
    <row r="266" spans="1:21" x14ac:dyDescent="0.2">
      <c r="A266" s="2"/>
      <c r="B266" s="67" t="s">
        <v>80</v>
      </c>
      <c r="C266" s="25">
        <v>0</v>
      </c>
      <c r="D266" s="25">
        <v>0</v>
      </c>
      <c r="E266" s="25">
        <v>0</v>
      </c>
      <c r="F266" s="26">
        <v>0</v>
      </c>
      <c r="G266" s="27">
        <v>0</v>
      </c>
      <c r="H266" s="90" t="s">
        <v>1031</v>
      </c>
      <c r="Q266" s="297"/>
      <c r="T266" s="297" t="s">
        <v>732</v>
      </c>
      <c r="U266" s="90" t="s">
        <v>734</v>
      </c>
    </row>
    <row r="267" spans="1:21" ht="25.5" x14ac:dyDescent="0.2">
      <c r="A267" s="2"/>
      <c r="B267" s="67" t="s">
        <v>209</v>
      </c>
      <c r="C267" s="25">
        <v>0</v>
      </c>
      <c r="D267" s="25">
        <v>0</v>
      </c>
      <c r="E267" s="25">
        <v>0</v>
      </c>
      <c r="F267" s="26">
        <v>161.4</v>
      </c>
      <c r="G267" s="27">
        <v>588.20000000000005</v>
      </c>
      <c r="H267" s="90" t="s">
        <v>1031</v>
      </c>
      <c r="Q267" s="297"/>
      <c r="T267" s="297" t="s">
        <v>732</v>
      </c>
      <c r="U267" s="90" t="s">
        <v>734</v>
      </c>
    </row>
    <row r="268" spans="1:21" x14ac:dyDescent="0.2">
      <c r="A268" s="2"/>
      <c r="B268" s="67"/>
      <c r="C268" s="30"/>
      <c r="D268" s="30"/>
      <c r="E268" s="30"/>
      <c r="F268" s="30"/>
      <c r="G268" s="31"/>
      <c r="Q268" s="297"/>
      <c r="T268" s="297"/>
    </row>
    <row r="269" spans="1:21" x14ac:dyDescent="0.2">
      <c r="A269" s="2"/>
      <c r="B269" s="67"/>
      <c r="C269" s="30"/>
      <c r="D269" s="30"/>
      <c r="E269" s="30"/>
      <c r="F269" s="30"/>
      <c r="G269" s="31"/>
      <c r="Q269" s="297"/>
      <c r="T269" s="297"/>
    </row>
    <row r="270" spans="1:21" x14ac:dyDescent="0.2">
      <c r="A270" s="2"/>
      <c r="B270" s="67"/>
      <c r="C270" s="30"/>
      <c r="D270" s="30"/>
      <c r="E270" s="30"/>
      <c r="F270" s="30"/>
      <c r="G270" s="31"/>
      <c r="Q270" s="297"/>
      <c r="T270" s="297"/>
    </row>
    <row r="271" spans="1:21" x14ac:dyDescent="0.2">
      <c r="A271" s="2"/>
      <c r="B271" s="67"/>
      <c r="C271" s="30"/>
      <c r="D271" s="30"/>
      <c r="E271" s="30"/>
      <c r="F271" s="30"/>
      <c r="G271" s="31"/>
      <c r="Q271" s="297"/>
      <c r="T271" s="297"/>
    </row>
    <row r="272" spans="1:21" x14ac:dyDescent="0.2">
      <c r="A272" s="2"/>
      <c r="B272" s="78" t="s">
        <v>213</v>
      </c>
      <c r="C272" s="54">
        <v>0</v>
      </c>
      <c r="D272" s="54">
        <v>5239.3999999999996</v>
      </c>
      <c r="E272" s="54">
        <v>0</v>
      </c>
      <c r="F272" s="54">
        <v>283034.5</v>
      </c>
      <c r="G272" s="55">
        <v>379890.10000000003</v>
      </c>
      <c r="H272" s="306" t="s">
        <v>1030</v>
      </c>
      <c r="Q272" s="297"/>
      <c r="T272" s="297" t="s">
        <v>733</v>
      </c>
      <c r="U272" s="90" t="s">
        <v>734</v>
      </c>
    </row>
    <row r="273" spans="1:21" x14ac:dyDescent="0.2">
      <c r="A273" s="2"/>
      <c r="B273" s="64"/>
      <c r="C273" s="30"/>
      <c r="D273" s="30"/>
      <c r="E273" s="30"/>
      <c r="F273" s="30"/>
      <c r="G273" s="31"/>
      <c r="Q273" s="297"/>
      <c r="T273" s="297"/>
    </row>
    <row r="274" spans="1:21" x14ac:dyDescent="0.2">
      <c r="A274" s="2"/>
      <c r="B274" s="78" t="s">
        <v>214</v>
      </c>
      <c r="C274" s="54">
        <v>289495.34999999998</v>
      </c>
      <c r="D274" s="54">
        <v>368128.35000000009</v>
      </c>
      <c r="E274" s="54">
        <v>408425.9</v>
      </c>
      <c r="F274" s="54">
        <v>448062.00000000006</v>
      </c>
      <c r="G274" s="55">
        <v>496873.19999999995</v>
      </c>
      <c r="H274" s="306" t="s">
        <v>1030</v>
      </c>
      <c r="I274" s="304"/>
      <c r="Q274" s="297"/>
      <c r="T274" s="297" t="s">
        <v>733</v>
      </c>
      <c r="U274" s="90" t="s">
        <v>734</v>
      </c>
    </row>
    <row r="275" spans="1:21" x14ac:dyDescent="0.2">
      <c r="A275" s="2"/>
      <c r="B275" s="168" t="s">
        <v>261</v>
      </c>
      <c r="C275" s="20">
        <v>0</v>
      </c>
      <c r="D275" s="20">
        <v>0</v>
      </c>
      <c r="E275" s="20">
        <v>0</v>
      </c>
      <c r="F275" s="68">
        <v>413775.70000000007</v>
      </c>
      <c r="G275" s="21">
        <v>469200.39999999997</v>
      </c>
      <c r="H275" s="90" t="s">
        <v>1031</v>
      </c>
      <c r="Q275" s="297"/>
      <c r="T275" s="297" t="s">
        <v>732</v>
      </c>
      <c r="U275" s="90" t="s">
        <v>734</v>
      </c>
    </row>
    <row r="276" spans="1:21" x14ac:dyDescent="0.2">
      <c r="A276" s="2"/>
      <c r="B276" s="168" t="s">
        <v>262</v>
      </c>
      <c r="C276" s="25">
        <v>0</v>
      </c>
      <c r="D276" s="25">
        <v>0</v>
      </c>
      <c r="E276" s="25">
        <v>0</v>
      </c>
      <c r="F276" s="26">
        <v>34286.300000000003</v>
      </c>
      <c r="G276" s="27">
        <v>27672.799999999999</v>
      </c>
      <c r="H276" s="90" t="s">
        <v>1031</v>
      </c>
      <c r="Q276" s="297"/>
      <c r="T276" s="297" t="s">
        <v>732</v>
      </c>
      <c r="U276" s="90" t="s">
        <v>734</v>
      </c>
    </row>
    <row r="277" spans="1:21" x14ac:dyDescent="0.2">
      <c r="A277" s="2"/>
      <c r="B277" s="64"/>
      <c r="C277" s="30"/>
      <c r="D277" s="30"/>
      <c r="E277" s="30"/>
      <c r="F277" s="30"/>
      <c r="G277" s="31"/>
      <c r="Q277" s="297"/>
      <c r="T277" s="297"/>
    </row>
    <row r="278" spans="1:21" ht="15" x14ac:dyDescent="0.2">
      <c r="A278" s="2"/>
      <c r="B278" s="66" t="s">
        <v>75</v>
      </c>
      <c r="C278" s="17"/>
      <c r="D278" s="17"/>
      <c r="E278" s="17"/>
      <c r="F278" s="17"/>
      <c r="G278" s="18"/>
      <c r="Q278" s="297"/>
      <c r="T278" s="297"/>
    </row>
    <row r="279" spans="1:21" x14ac:dyDescent="0.2">
      <c r="A279" s="2"/>
      <c r="B279" s="67" t="s">
        <v>76</v>
      </c>
      <c r="C279" s="20">
        <v>0</v>
      </c>
      <c r="D279" s="20">
        <v>0</v>
      </c>
      <c r="E279" s="20">
        <v>0</v>
      </c>
      <c r="F279" s="68">
        <v>0</v>
      </c>
      <c r="G279" s="21">
        <v>0</v>
      </c>
      <c r="Q279" s="297"/>
      <c r="T279" s="297" t="s">
        <v>732</v>
      </c>
      <c r="U279" s="90" t="s">
        <v>734</v>
      </c>
    </row>
    <row r="280" spans="1:21" x14ac:dyDescent="0.2">
      <c r="A280" s="2"/>
      <c r="B280" s="67" t="s">
        <v>215</v>
      </c>
      <c r="C280" s="25">
        <v>406.1</v>
      </c>
      <c r="D280" s="26">
        <v>799.6</v>
      </c>
      <c r="E280" s="26">
        <v>554.9</v>
      </c>
      <c r="F280" s="26">
        <v>459.9</v>
      </c>
      <c r="G280" s="27">
        <v>414.2</v>
      </c>
      <c r="Q280" s="297"/>
      <c r="T280" s="297" t="s">
        <v>732</v>
      </c>
      <c r="U280" s="90" t="s">
        <v>734</v>
      </c>
    </row>
    <row r="281" spans="1:21" x14ac:dyDescent="0.2">
      <c r="A281" s="2"/>
      <c r="B281" s="67" t="s">
        <v>216</v>
      </c>
      <c r="C281" s="22">
        <v>0</v>
      </c>
      <c r="D281" s="22">
        <v>0</v>
      </c>
      <c r="E281" s="22">
        <v>0</v>
      </c>
      <c r="F281" s="23">
        <v>0</v>
      </c>
      <c r="G281" s="24">
        <v>0</v>
      </c>
      <c r="H281" s="90" t="s">
        <v>1031</v>
      </c>
      <c r="Q281" s="297"/>
      <c r="T281" s="297" t="s">
        <v>732</v>
      </c>
      <c r="U281" s="90" t="s">
        <v>734</v>
      </c>
    </row>
    <row r="282" spans="1:21" x14ac:dyDescent="0.2">
      <c r="A282" s="2"/>
      <c r="B282" s="67" t="s">
        <v>217</v>
      </c>
      <c r="C282" s="22">
        <v>0</v>
      </c>
      <c r="D282" s="22">
        <v>0</v>
      </c>
      <c r="E282" s="22">
        <v>0</v>
      </c>
      <c r="F282" s="23">
        <v>0</v>
      </c>
      <c r="G282" s="24">
        <v>0</v>
      </c>
      <c r="H282" s="90" t="s">
        <v>1031</v>
      </c>
      <c r="Q282" s="297"/>
      <c r="T282" s="297" t="s">
        <v>732</v>
      </c>
      <c r="U282" s="90" t="s">
        <v>734</v>
      </c>
    </row>
    <row r="283" spans="1:21" x14ac:dyDescent="0.2">
      <c r="A283" s="2"/>
      <c r="B283" s="67" t="s">
        <v>218</v>
      </c>
      <c r="C283" s="22">
        <v>0</v>
      </c>
      <c r="D283" s="22">
        <v>0</v>
      </c>
      <c r="E283" s="22">
        <v>0</v>
      </c>
      <c r="F283" s="23">
        <v>0</v>
      </c>
      <c r="G283" s="24">
        <v>0</v>
      </c>
      <c r="H283" s="90" t="s">
        <v>1031</v>
      </c>
      <c r="Q283" s="297"/>
      <c r="T283" s="297" t="s">
        <v>732</v>
      </c>
      <c r="U283" s="90" t="s">
        <v>734</v>
      </c>
    </row>
    <row r="284" spans="1:21" x14ac:dyDescent="0.2">
      <c r="A284" s="2"/>
      <c r="B284" s="67" t="s">
        <v>219</v>
      </c>
      <c r="C284" s="25">
        <v>2204.8000000000002</v>
      </c>
      <c r="D284" s="26">
        <v>2039.8999999999999</v>
      </c>
      <c r="E284" s="26">
        <v>3110.3999999999996</v>
      </c>
      <c r="F284" s="26">
        <v>1436.4</v>
      </c>
      <c r="G284" s="27">
        <v>1636.100000000001</v>
      </c>
      <c r="Q284" s="297"/>
      <c r="T284" s="297" t="s">
        <v>732</v>
      </c>
      <c r="U284" s="90" t="s">
        <v>734</v>
      </c>
    </row>
    <row r="285" spans="1:21" x14ac:dyDescent="0.2">
      <c r="A285" s="2"/>
      <c r="B285" s="67" t="s">
        <v>77</v>
      </c>
      <c r="C285" s="25">
        <v>0</v>
      </c>
      <c r="D285" s="26">
        <v>0</v>
      </c>
      <c r="E285" s="26">
        <v>0</v>
      </c>
      <c r="F285" s="26">
        <v>0</v>
      </c>
      <c r="G285" s="27">
        <v>0</v>
      </c>
      <c r="Q285" s="297"/>
      <c r="T285" s="297" t="s">
        <v>732</v>
      </c>
      <c r="U285" s="90" t="s">
        <v>734</v>
      </c>
    </row>
    <row r="286" spans="1:21" x14ac:dyDescent="0.2">
      <c r="A286" s="2"/>
      <c r="B286" s="64"/>
      <c r="C286" s="30"/>
      <c r="D286" s="30"/>
      <c r="E286" s="30"/>
      <c r="F286" s="30"/>
      <c r="G286" s="31"/>
      <c r="Q286" s="297"/>
      <c r="T286" s="297"/>
    </row>
    <row r="287" spans="1:21" x14ac:dyDescent="0.2">
      <c r="A287" s="2"/>
      <c r="B287" s="67" t="s">
        <v>803</v>
      </c>
      <c r="C287" s="75">
        <v>0</v>
      </c>
      <c r="D287" s="76">
        <v>0</v>
      </c>
      <c r="E287" s="76">
        <v>0</v>
      </c>
      <c r="F287" s="76">
        <v>0</v>
      </c>
      <c r="G287" s="77">
        <v>0</v>
      </c>
      <c r="Q287" s="297"/>
      <c r="T287" s="297" t="s">
        <v>732</v>
      </c>
      <c r="U287" s="90" t="s">
        <v>734</v>
      </c>
    </row>
    <row r="288" spans="1:21" x14ac:dyDescent="0.2">
      <c r="A288" s="2"/>
      <c r="B288" s="64"/>
      <c r="C288" s="30"/>
      <c r="D288" s="30"/>
      <c r="E288" s="30"/>
      <c r="F288" s="30"/>
      <c r="G288" s="31"/>
      <c r="Q288" s="297"/>
      <c r="T288" s="297"/>
    </row>
    <row r="289" spans="1:21" x14ac:dyDescent="0.2">
      <c r="A289" s="2"/>
      <c r="B289" s="64"/>
      <c r="C289" s="30"/>
      <c r="D289" s="30"/>
      <c r="E289" s="30"/>
      <c r="F289" s="30"/>
      <c r="G289" s="31"/>
      <c r="Q289" s="297"/>
      <c r="T289" s="297"/>
    </row>
    <row r="290" spans="1:21" x14ac:dyDescent="0.2">
      <c r="A290" s="2"/>
      <c r="B290" s="78" t="s">
        <v>78</v>
      </c>
      <c r="C290" s="54">
        <v>2610.9</v>
      </c>
      <c r="D290" s="54">
        <v>2839.5</v>
      </c>
      <c r="E290" s="54">
        <v>3665.3</v>
      </c>
      <c r="F290" s="54">
        <v>1896.3</v>
      </c>
      <c r="G290" s="55">
        <v>2050.3000000000002</v>
      </c>
      <c r="H290" s="306" t="s">
        <v>1030</v>
      </c>
      <c r="Q290" s="297"/>
      <c r="T290" s="297" t="s">
        <v>733</v>
      </c>
      <c r="U290" s="90" t="s">
        <v>734</v>
      </c>
    </row>
    <row r="291" spans="1:21" x14ac:dyDescent="0.2">
      <c r="A291" s="2"/>
      <c r="B291" s="64"/>
      <c r="C291" s="30"/>
      <c r="D291" s="30"/>
      <c r="E291" s="30"/>
      <c r="F291" s="30"/>
      <c r="G291" s="31"/>
      <c r="Q291" s="297"/>
      <c r="T291" s="297"/>
    </row>
    <row r="292" spans="1:21" ht="15" x14ac:dyDescent="0.2">
      <c r="A292" s="2"/>
      <c r="B292" s="66" t="s">
        <v>221</v>
      </c>
      <c r="C292" s="17"/>
      <c r="D292" s="17"/>
      <c r="E292" s="17"/>
      <c r="F292" s="17"/>
      <c r="G292" s="18"/>
      <c r="Q292" s="297"/>
      <c r="T292" s="297"/>
    </row>
    <row r="293" spans="1:21" x14ac:dyDescent="0.2">
      <c r="A293" s="2"/>
      <c r="B293" s="67" t="s">
        <v>79</v>
      </c>
      <c r="C293" s="75">
        <v>733.7</v>
      </c>
      <c r="D293" s="76">
        <v>812.8</v>
      </c>
      <c r="E293" s="76">
        <v>7847.8</v>
      </c>
      <c r="F293" s="76">
        <v>15850</v>
      </c>
      <c r="G293" s="77">
        <v>10038.5</v>
      </c>
      <c r="Q293" s="297"/>
      <c r="T293" s="297" t="s">
        <v>732</v>
      </c>
      <c r="U293" s="90" t="s">
        <v>734</v>
      </c>
    </row>
    <row r="294" spans="1:21" x14ac:dyDescent="0.2">
      <c r="A294" s="2"/>
      <c r="B294" s="67" t="s">
        <v>222</v>
      </c>
      <c r="C294" s="25">
        <v>34227.65</v>
      </c>
      <c r="D294" s="26">
        <v>4333.3499999999995</v>
      </c>
      <c r="E294" s="26">
        <v>23372.9</v>
      </c>
      <c r="F294" s="26">
        <v>54501.4</v>
      </c>
      <c r="G294" s="27">
        <v>86807.700000000012</v>
      </c>
      <c r="Q294" s="297"/>
      <c r="T294" s="297" t="s">
        <v>732</v>
      </c>
      <c r="U294" s="90" t="s">
        <v>734</v>
      </c>
    </row>
    <row r="295" spans="1:21" x14ac:dyDescent="0.2">
      <c r="A295" s="2"/>
      <c r="B295" s="67"/>
      <c r="C295" s="30"/>
      <c r="D295" s="30"/>
      <c r="E295" s="30"/>
      <c r="F295" s="30"/>
      <c r="G295" s="31"/>
      <c r="Q295" s="297"/>
      <c r="T295" s="297"/>
    </row>
    <row r="296" spans="1:21" x14ac:dyDescent="0.2">
      <c r="A296" s="2"/>
      <c r="B296" s="64"/>
      <c r="C296" s="30"/>
      <c r="D296" s="30"/>
      <c r="E296" s="30"/>
      <c r="F296" s="30"/>
      <c r="G296" s="31"/>
      <c r="Q296" s="297"/>
      <c r="T296" s="297"/>
    </row>
    <row r="297" spans="1:21" x14ac:dyDescent="0.2">
      <c r="A297" s="2"/>
      <c r="B297" s="64"/>
      <c r="C297" s="30"/>
      <c r="D297" s="30"/>
      <c r="E297" s="30"/>
      <c r="F297" s="30"/>
      <c r="G297" s="31"/>
      <c r="Q297" s="297"/>
      <c r="T297" s="297"/>
    </row>
    <row r="298" spans="1:21" x14ac:dyDescent="0.2">
      <c r="A298" s="2"/>
      <c r="B298" s="64"/>
      <c r="C298" s="30"/>
      <c r="D298" s="30"/>
      <c r="E298" s="30"/>
      <c r="F298" s="30"/>
      <c r="G298" s="31"/>
      <c r="Q298" s="297"/>
      <c r="T298" s="297"/>
    </row>
    <row r="299" spans="1:21" x14ac:dyDescent="0.2">
      <c r="A299" s="2"/>
      <c r="B299" s="64"/>
      <c r="C299" s="30"/>
      <c r="D299" s="30"/>
      <c r="E299" s="30"/>
      <c r="F299" s="30"/>
      <c r="G299" s="31"/>
      <c r="Q299" s="297"/>
      <c r="T299" s="297"/>
    </row>
    <row r="300" spans="1:21" x14ac:dyDescent="0.2">
      <c r="A300" s="2"/>
      <c r="B300" s="78" t="s">
        <v>223</v>
      </c>
      <c r="C300" s="54">
        <v>34961.35</v>
      </c>
      <c r="D300" s="54">
        <v>5146.1499999999996</v>
      </c>
      <c r="E300" s="54">
        <v>31220.7</v>
      </c>
      <c r="F300" s="54">
        <v>70351.399999999994</v>
      </c>
      <c r="G300" s="55">
        <v>96846.2</v>
      </c>
      <c r="H300" s="306" t="s">
        <v>1030</v>
      </c>
      <c r="Q300" s="297"/>
      <c r="T300" s="297" t="s">
        <v>733</v>
      </c>
      <c r="U300" s="90" t="s">
        <v>734</v>
      </c>
    </row>
    <row r="301" spans="1:21" x14ac:dyDescent="0.2">
      <c r="A301" s="2"/>
      <c r="B301" s="64"/>
      <c r="C301" s="30"/>
      <c r="D301" s="30"/>
      <c r="E301" s="30"/>
      <c r="F301" s="30"/>
      <c r="G301" s="31"/>
      <c r="Q301" s="297"/>
      <c r="T301" s="297"/>
    </row>
    <row r="302" spans="1:21" ht="15" x14ac:dyDescent="0.2">
      <c r="A302" s="2"/>
      <c r="B302" s="66" t="s">
        <v>220</v>
      </c>
      <c r="C302" s="17"/>
      <c r="D302" s="17"/>
      <c r="E302" s="17"/>
      <c r="F302" s="17"/>
      <c r="G302" s="18"/>
      <c r="Q302" s="297"/>
      <c r="T302" s="297"/>
    </row>
    <row r="303" spans="1:21" x14ac:dyDescent="0.2">
      <c r="A303" s="2"/>
      <c r="B303" s="67" t="s">
        <v>707</v>
      </c>
      <c r="C303" s="20">
        <v>0</v>
      </c>
      <c r="D303" s="20">
        <v>0</v>
      </c>
      <c r="E303" s="20">
        <v>0</v>
      </c>
      <c r="F303" s="68">
        <v>2491</v>
      </c>
      <c r="G303" s="21">
        <v>1717.3</v>
      </c>
      <c r="H303" s="90" t="s">
        <v>1032</v>
      </c>
      <c r="I303" s="90" t="s">
        <v>79</v>
      </c>
      <c r="Q303" s="297"/>
      <c r="T303" s="297" t="s">
        <v>732</v>
      </c>
      <c r="U303" s="90" t="s">
        <v>734</v>
      </c>
    </row>
    <row r="304" spans="1:21" x14ac:dyDescent="0.2">
      <c r="A304" s="2"/>
      <c r="B304" s="67" t="s">
        <v>224</v>
      </c>
      <c r="C304" s="22">
        <v>0</v>
      </c>
      <c r="D304" s="22">
        <v>59.7</v>
      </c>
      <c r="E304" s="22">
        <v>107.3</v>
      </c>
      <c r="F304" s="23">
        <v>32.9</v>
      </c>
      <c r="G304" s="24">
        <v>20.399999999999999</v>
      </c>
      <c r="H304" s="90" t="s">
        <v>1032</v>
      </c>
      <c r="I304" s="90" t="s">
        <v>1036</v>
      </c>
      <c r="Q304" s="297"/>
      <c r="T304" s="297" t="s">
        <v>732</v>
      </c>
      <c r="U304" s="90" t="s">
        <v>734</v>
      </c>
    </row>
    <row r="305" spans="1:21" x14ac:dyDescent="0.2">
      <c r="A305" s="2"/>
      <c r="B305" s="67" t="s">
        <v>225</v>
      </c>
      <c r="C305" s="25">
        <v>4055.4000000000005</v>
      </c>
      <c r="D305" s="26">
        <v>6404.4000000000005</v>
      </c>
      <c r="E305" s="26">
        <v>3846.8999999999996</v>
      </c>
      <c r="F305" s="26">
        <v>3870.5000000000005</v>
      </c>
      <c r="G305" s="27">
        <v>5677.6</v>
      </c>
      <c r="H305" s="90" t="s">
        <v>1032</v>
      </c>
      <c r="I305" s="90" t="s">
        <v>1037</v>
      </c>
      <c r="Q305" s="297"/>
      <c r="T305" s="297" t="s">
        <v>732</v>
      </c>
      <c r="U305" s="90" t="s">
        <v>734</v>
      </c>
    </row>
    <row r="306" spans="1:21" x14ac:dyDescent="0.2">
      <c r="A306" s="2"/>
      <c r="B306" s="67" t="s">
        <v>226</v>
      </c>
      <c r="C306" s="25">
        <v>79.7</v>
      </c>
      <c r="D306" s="26">
        <v>553.9</v>
      </c>
      <c r="E306" s="26">
        <v>141.4</v>
      </c>
      <c r="F306" s="26">
        <v>8.8000000000000007</v>
      </c>
      <c r="G306" s="27">
        <v>11044.3</v>
      </c>
      <c r="H306" s="90" t="s">
        <v>1032</v>
      </c>
      <c r="I306" s="90" t="s">
        <v>1038</v>
      </c>
      <c r="Q306" s="297"/>
      <c r="T306" s="297" t="s">
        <v>732</v>
      </c>
      <c r="U306" s="90" t="s">
        <v>734</v>
      </c>
    </row>
    <row r="307" spans="1:21" x14ac:dyDescent="0.2">
      <c r="A307" s="2"/>
      <c r="B307" s="64"/>
      <c r="C307" s="30"/>
      <c r="D307" s="30"/>
      <c r="E307" s="30"/>
      <c r="F307" s="30"/>
      <c r="G307" s="31"/>
      <c r="Q307" s="297"/>
      <c r="T307" s="297"/>
    </row>
    <row r="308" spans="1:21" x14ac:dyDescent="0.2">
      <c r="A308" s="2"/>
      <c r="B308" s="64"/>
      <c r="C308" s="30"/>
      <c r="D308" s="30"/>
      <c r="E308" s="30"/>
      <c r="F308" s="30"/>
      <c r="G308" s="31"/>
      <c r="Q308" s="297"/>
      <c r="T308" s="297"/>
    </row>
    <row r="309" spans="1:21" x14ac:dyDescent="0.2">
      <c r="A309" s="2"/>
      <c r="B309" s="64"/>
      <c r="C309" s="30"/>
      <c r="D309" s="30"/>
      <c r="E309" s="30"/>
      <c r="F309" s="30"/>
      <c r="G309" s="31"/>
      <c r="Q309" s="297"/>
      <c r="T309" s="297"/>
    </row>
    <row r="310" spans="1:21" x14ac:dyDescent="0.2">
      <c r="A310" s="2"/>
      <c r="B310" s="64"/>
      <c r="C310" s="30"/>
      <c r="D310" s="30"/>
      <c r="E310" s="30"/>
      <c r="F310" s="30"/>
      <c r="G310" s="31"/>
      <c r="Q310" s="297"/>
      <c r="T310" s="297"/>
    </row>
    <row r="311" spans="1:21" x14ac:dyDescent="0.2">
      <c r="A311" s="2"/>
      <c r="B311" s="78" t="s">
        <v>227</v>
      </c>
      <c r="C311" s="54">
        <v>4135.1000000000004</v>
      </c>
      <c r="D311" s="54">
        <v>7018</v>
      </c>
      <c r="E311" s="54">
        <v>4095.6</v>
      </c>
      <c r="F311" s="54">
        <v>6403.2</v>
      </c>
      <c r="G311" s="55">
        <v>18459.599999999999</v>
      </c>
      <c r="H311" s="306" t="s">
        <v>1030</v>
      </c>
      <c r="Q311" s="297"/>
      <c r="T311" s="297" t="s">
        <v>733</v>
      </c>
      <c r="U311" s="90" t="s">
        <v>734</v>
      </c>
    </row>
    <row r="312" spans="1:21" x14ac:dyDescent="0.2">
      <c r="A312" s="2"/>
      <c r="B312" s="64"/>
      <c r="C312" s="30"/>
      <c r="D312" s="30"/>
      <c r="E312" s="30"/>
      <c r="F312" s="30"/>
      <c r="G312" s="31"/>
      <c r="Q312" s="297"/>
      <c r="T312" s="297"/>
    </row>
    <row r="313" spans="1:21" ht="13.5" thickBot="1" x14ac:dyDescent="0.25">
      <c r="A313" s="2"/>
      <c r="B313" s="69"/>
      <c r="C313" s="70"/>
      <c r="D313" s="70"/>
      <c r="E313" s="70"/>
      <c r="F313" s="70"/>
      <c r="G313" s="71"/>
      <c r="Q313" s="297"/>
      <c r="T313" s="297"/>
    </row>
    <row r="314" spans="1:21" ht="16.5" thickTop="1" thickBot="1" x14ac:dyDescent="0.25">
      <c r="A314" s="2"/>
      <c r="B314" s="72" t="s">
        <v>81</v>
      </c>
      <c r="C314" s="73">
        <v>344088.6</v>
      </c>
      <c r="D314" s="73">
        <v>398055.7</v>
      </c>
      <c r="E314" s="73">
        <v>465258.8</v>
      </c>
      <c r="F314" s="73">
        <v>542727.9</v>
      </c>
      <c r="G314" s="74">
        <v>627685.30000000005</v>
      </c>
      <c r="H314" s="306" t="s">
        <v>1030</v>
      </c>
      <c r="Q314" s="297"/>
      <c r="T314" s="297" t="s">
        <v>733</v>
      </c>
      <c r="U314" s="90" t="s">
        <v>734</v>
      </c>
    </row>
    <row r="315" spans="1:21" ht="16.5" thickTop="1" thickBot="1" x14ac:dyDescent="0.25">
      <c r="A315" s="100"/>
      <c r="B315" s="79" t="s">
        <v>111</v>
      </c>
      <c r="C315" s="80" t="s">
        <v>117</v>
      </c>
      <c r="D315" s="80" t="s">
        <v>117</v>
      </c>
      <c r="E315" s="80" t="s">
        <v>117</v>
      </c>
      <c r="F315" s="80" t="s">
        <v>117</v>
      </c>
      <c r="G315" s="81" t="s">
        <v>117</v>
      </c>
      <c r="H315" s="306" t="s">
        <v>1030</v>
      </c>
      <c r="Q315" s="297"/>
      <c r="T315" s="297" t="s">
        <v>733</v>
      </c>
      <c r="U315" s="90" t="s">
        <v>737</v>
      </c>
    </row>
    <row r="316" spans="1:21" x14ac:dyDescent="0.2">
      <c r="A316" s="104"/>
      <c r="B316" s="105"/>
      <c r="C316" s="106"/>
      <c r="D316" s="106"/>
      <c r="E316" s="106"/>
      <c r="F316" s="106"/>
      <c r="G316" s="106"/>
      <c r="Q316" s="297"/>
      <c r="T316" s="297"/>
    </row>
    <row r="317" spans="1:21" ht="13.5" thickBot="1" x14ac:dyDescent="0.25">
      <c r="A317" s="104"/>
      <c r="B317" s="95"/>
      <c r="C317" s="107"/>
      <c r="D317" s="107"/>
      <c r="E317" s="107"/>
      <c r="F317" s="107"/>
      <c r="G317" s="107"/>
      <c r="Q317" s="297"/>
      <c r="T317" s="297"/>
    </row>
    <row r="318" spans="1:21" ht="19.5" thickBot="1" x14ac:dyDescent="0.25">
      <c r="A318" s="7"/>
      <c r="B318" s="8" t="s">
        <v>1</v>
      </c>
      <c r="C318" s="218"/>
      <c r="D318" s="218"/>
      <c r="E318" s="218"/>
      <c r="F318" s="218"/>
      <c r="G318" s="218"/>
      <c r="Q318" s="297"/>
      <c r="T318" s="297"/>
    </row>
    <row r="319" spans="1:21" ht="15" x14ac:dyDescent="0.2">
      <c r="A319" s="4"/>
      <c r="B319" s="66" t="s">
        <v>85</v>
      </c>
      <c r="C319" s="213"/>
      <c r="D319" s="213"/>
      <c r="E319" s="213"/>
      <c r="F319" s="213"/>
      <c r="G319" s="214"/>
      <c r="Q319" s="297"/>
      <c r="T319" s="297"/>
    </row>
    <row r="320" spans="1:21" x14ac:dyDescent="0.2">
      <c r="A320" s="2"/>
      <c r="B320" s="67" t="s">
        <v>648</v>
      </c>
      <c r="C320" s="75">
        <v>15056.06</v>
      </c>
      <c r="D320" s="76">
        <v>22139.14</v>
      </c>
      <c r="E320" s="76">
        <v>999999</v>
      </c>
      <c r="F320" s="76">
        <v>999999</v>
      </c>
      <c r="G320" s="21">
        <v>9999999</v>
      </c>
      <c r="Q320" s="297"/>
      <c r="T320" s="297" t="s">
        <v>732</v>
      </c>
      <c r="U320" s="90" t="s">
        <v>734</v>
      </c>
    </row>
    <row r="321" spans="1:21" x14ac:dyDescent="0.2">
      <c r="A321" s="2"/>
      <c r="B321" s="67" t="s">
        <v>649</v>
      </c>
      <c r="C321" s="25">
        <v>0</v>
      </c>
      <c r="D321" s="25">
        <v>0</v>
      </c>
      <c r="E321" s="25">
        <v>0</v>
      </c>
      <c r="F321" s="26">
        <v>0</v>
      </c>
      <c r="G321" s="27">
        <v>0</v>
      </c>
      <c r="Q321" s="297"/>
      <c r="T321" s="297" t="s">
        <v>732</v>
      </c>
      <c r="U321" s="90" t="s">
        <v>734</v>
      </c>
    </row>
    <row r="322" spans="1:21" x14ac:dyDescent="0.2">
      <c r="A322" s="2"/>
      <c r="B322" s="67" t="s">
        <v>650</v>
      </c>
      <c r="C322" s="22">
        <v>0</v>
      </c>
      <c r="D322" s="22">
        <v>0</v>
      </c>
      <c r="E322" s="22">
        <v>0</v>
      </c>
      <c r="F322" s="23">
        <v>0</v>
      </c>
      <c r="G322" s="24">
        <v>0</v>
      </c>
      <c r="Q322" s="297"/>
      <c r="T322" s="297" t="s">
        <v>732</v>
      </c>
      <c r="U322" s="90" t="s">
        <v>734</v>
      </c>
    </row>
    <row r="323" spans="1:21" x14ac:dyDescent="0.2">
      <c r="A323" s="2"/>
      <c r="B323" s="67" t="s">
        <v>651</v>
      </c>
      <c r="C323" s="22">
        <v>0</v>
      </c>
      <c r="D323" s="22">
        <v>0</v>
      </c>
      <c r="E323" s="22">
        <v>0</v>
      </c>
      <c r="F323" s="23">
        <v>0</v>
      </c>
      <c r="G323" s="24">
        <v>0</v>
      </c>
      <c r="Q323" s="297"/>
      <c r="T323" s="297" t="s">
        <v>732</v>
      </c>
      <c r="U323" s="90" t="s">
        <v>734</v>
      </c>
    </row>
    <row r="324" spans="1:21" x14ac:dyDescent="0.2">
      <c r="A324" s="2"/>
      <c r="B324" s="67" t="s">
        <v>82</v>
      </c>
      <c r="C324" s="22">
        <v>0</v>
      </c>
      <c r="D324" s="22">
        <v>0</v>
      </c>
      <c r="E324" s="22">
        <v>0</v>
      </c>
      <c r="F324" s="23">
        <v>0</v>
      </c>
      <c r="G324" s="24">
        <v>0</v>
      </c>
      <c r="Q324" s="297"/>
      <c r="T324" s="297" t="s">
        <v>732</v>
      </c>
      <c r="U324" s="90" t="s">
        <v>734</v>
      </c>
    </row>
    <row r="325" spans="1:21" x14ac:dyDescent="0.2">
      <c r="A325" s="2"/>
      <c r="B325" s="67" t="s">
        <v>83</v>
      </c>
      <c r="C325" s="25">
        <v>2375.9</v>
      </c>
      <c r="D325" s="26">
        <v>4381.07</v>
      </c>
      <c r="E325" s="26">
        <v>3226.1</v>
      </c>
      <c r="F325" s="26">
        <v>4432</v>
      </c>
      <c r="G325" s="27">
        <v>20936.199999999997</v>
      </c>
      <c r="Q325" s="297"/>
      <c r="T325" s="297" t="s">
        <v>732</v>
      </c>
      <c r="U325" s="90" t="s">
        <v>734</v>
      </c>
    </row>
    <row r="326" spans="1:21" x14ac:dyDescent="0.2">
      <c r="A326" s="2"/>
      <c r="B326" s="67" t="s">
        <v>84</v>
      </c>
      <c r="C326" s="25">
        <v>178.6</v>
      </c>
      <c r="D326" s="26">
        <v>191.6</v>
      </c>
      <c r="E326" s="26">
        <v>258.60000000000002</v>
      </c>
      <c r="F326" s="26">
        <v>466.9</v>
      </c>
      <c r="G326" s="27">
        <v>396.5</v>
      </c>
      <c r="Q326" s="297"/>
      <c r="T326" s="297" t="s">
        <v>732</v>
      </c>
      <c r="U326" s="90" t="s">
        <v>734</v>
      </c>
    </row>
    <row r="327" spans="1:21" x14ac:dyDescent="0.2">
      <c r="A327" s="2"/>
      <c r="B327" s="67" t="s">
        <v>86</v>
      </c>
      <c r="C327" s="25">
        <v>0</v>
      </c>
      <c r="D327" s="25">
        <v>0</v>
      </c>
      <c r="E327" s="25">
        <v>0</v>
      </c>
      <c r="F327" s="26">
        <v>0</v>
      </c>
      <c r="G327" s="27">
        <v>0</v>
      </c>
      <c r="Q327" s="297"/>
      <c r="T327" s="297" t="s">
        <v>732</v>
      </c>
      <c r="U327" s="90" t="s">
        <v>734</v>
      </c>
    </row>
    <row r="328" spans="1:21" ht="15.75" thickBot="1" x14ac:dyDescent="0.25">
      <c r="A328" s="100"/>
      <c r="B328" s="79"/>
      <c r="C328" s="80"/>
      <c r="D328" s="80"/>
      <c r="E328" s="80"/>
      <c r="F328" s="80"/>
      <c r="G328" s="81"/>
      <c r="Q328" s="297"/>
      <c r="T328" s="297"/>
    </row>
    <row r="329" spans="1:21" x14ac:dyDescent="0.2">
      <c r="B329" s="108"/>
      <c r="C329" s="109"/>
      <c r="D329" s="109"/>
      <c r="E329" s="109"/>
      <c r="F329" s="109"/>
      <c r="G329" s="109"/>
      <c r="Q329" s="297"/>
      <c r="T329" s="297"/>
    </row>
    <row r="330" spans="1:21" ht="13.5" thickBot="1" x14ac:dyDescent="0.25">
      <c r="B330" s="95"/>
      <c r="C330" s="110"/>
      <c r="D330" s="110"/>
      <c r="E330" s="110"/>
      <c r="F330" s="110"/>
      <c r="G330" s="110"/>
      <c r="Q330" s="297"/>
      <c r="T330" s="297"/>
    </row>
    <row r="331" spans="1:21" ht="19.5" thickBot="1" x14ac:dyDescent="0.25">
      <c r="A331" s="7"/>
      <c r="B331" s="8" t="s">
        <v>87</v>
      </c>
      <c r="C331" s="218"/>
      <c r="D331" s="218"/>
      <c r="E331" s="218"/>
      <c r="F331" s="218"/>
      <c r="G331" s="218"/>
      <c r="I331" s="90">
        <v>100</v>
      </c>
      <c r="Q331" s="297"/>
      <c r="T331" s="297"/>
    </row>
    <row r="332" spans="1:21" x14ac:dyDescent="0.2">
      <c r="A332" s="4"/>
      <c r="B332" s="157" t="s">
        <v>285</v>
      </c>
      <c r="C332" s="229" t="s">
        <v>1039</v>
      </c>
      <c r="D332" s="229" t="s">
        <v>1040</v>
      </c>
      <c r="E332" s="229" t="s">
        <v>1041</v>
      </c>
      <c r="F332" s="229" t="s">
        <v>1042</v>
      </c>
      <c r="G332" s="230" t="s">
        <v>1043</v>
      </c>
      <c r="Q332" s="297"/>
      <c r="T332" s="297" t="s">
        <v>733</v>
      </c>
      <c r="U332" s="90" t="s">
        <v>450</v>
      </c>
    </row>
    <row r="333" spans="1:21" x14ac:dyDescent="0.2">
      <c r="A333" s="2"/>
      <c r="B333" s="157"/>
      <c r="C333" s="221"/>
      <c r="D333" s="221"/>
      <c r="E333" s="221"/>
      <c r="F333" s="221"/>
      <c r="G333" s="222"/>
      <c r="Q333" s="297"/>
      <c r="T333" s="297"/>
    </row>
    <row r="334" spans="1:21" ht="15" x14ac:dyDescent="0.2">
      <c r="A334" s="2"/>
      <c r="B334" s="66" t="s">
        <v>0</v>
      </c>
      <c r="C334" s="221"/>
      <c r="D334" s="221"/>
      <c r="E334" s="221"/>
      <c r="F334" s="221"/>
      <c r="G334" s="222"/>
      <c r="Q334" s="297"/>
      <c r="T334" s="297"/>
    </row>
    <row r="335" spans="1:21" x14ac:dyDescent="0.2">
      <c r="A335" s="2"/>
      <c r="B335" s="67" t="s">
        <v>3</v>
      </c>
      <c r="C335" s="564">
        <v>16.939999999999998</v>
      </c>
      <c r="D335" s="564">
        <v>17.380000000000003</v>
      </c>
      <c r="E335" s="564">
        <v>20.27</v>
      </c>
      <c r="F335" s="564">
        <v>21.990000000000002</v>
      </c>
      <c r="G335" s="565">
        <v>22.5</v>
      </c>
      <c r="Q335" s="297"/>
      <c r="T335" s="297" t="s">
        <v>732</v>
      </c>
      <c r="U335" s="90" t="s">
        <v>736</v>
      </c>
    </row>
    <row r="336" spans="1:21" x14ac:dyDescent="0.2">
      <c r="A336" s="2"/>
      <c r="B336" s="67" t="s">
        <v>255</v>
      </c>
      <c r="C336" s="566">
        <v>0</v>
      </c>
      <c r="D336" s="566">
        <v>0</v>
      </c>
      <c r="E336" s="566">
        <v>0</v>
      </c>
      <c r="F336" s="567">
        <v>18.13</v>
      </c>
      <c r="G336" s="568">
        <v>19.939999999999998</v>
      </c>
      <c r="H336" s="90" t="s">
        <v>1031</v>
      </c>
      <c r="Q336" s="297"/>
      <c r="T336" s="297" t="s">
        <v>732</v>
      </c>
      <c r="U336" s="90" t="s">
        <v>736</v>
      </c>
    </row>
    <row r="337" spans="1:21" x14ac:dyDescent="0.2">
      <c r="A337" s="2"/>
      <c r="B337" s="67" t="s">
        <v>256</v>
      </c>
      <c r="C337" s="566">
        <v>0</v>
      </c>
      <c r="D337" s="566">
        <v>0</v>
      </c>
      <c r="E337" s="566">
        <v>0</v>
      </c>
      <c r="F337" s="567">
        <v>3.8600000000000003</v>
      </c>
      <c r="G337" s="568">
        <v>2.56</v>
      </c>
      <c r="H337" s="90" t="s">
        <v>1031</v>
      </c>
      <c r="Q337" s="297"/>
      <c r="T337" s="297" t="s">
        <v>732</v>
      </c>
      <c r="U337" s="90" t="s">
        <v>736</v>
      </c>
    </row>
    <row r="338" spans="1:21" x14ac:dyDescent="0.2">
      <c r="A338" s="2"/>
      <c r="B338" s="67" t="s">
        <v>228</v>
      </c>
      <c r="C338" s="25">
        <v>15914.7</v>
      </c>
      <c r="D338" s="26">
        <v>12243.1</v>
      </c>
      <c r="E338" s="26">
        <v>10933.8</v>
      </c>
      <c r="F338" s="26">
        <v>10579.1</v>
      </c>
      <c r="G338" s="27">
        <v>132917</v>
      </c>
      <c r="Q338" s="297"/>
      <c r="T338" s="297" t="s">
        <v>732</v>
      </c>
      <c r="U338" s="90" t="s">
        <v>734</v>
      </c>
    </row>
    <row r="339" spans="1:21" x14ac:dyDescent="0.2">
      <c r="A339" s="2"/>
      <c r="B339" s="67" t="s">
        <v>229</v>
      </c>
      <c r="C339" s="25">
        <v>3792.6</v>
      </c>
      <c r="D339" s="26">
        <v>1575.2</v>
      </c>
      <c r="E339" s="26">
        <v>1703.7</v>
      </c>
      <c r="F339" s="26">
        <v>2307.6999999999998</v>
      </c>
      <c r="G339" s="27">
        <v>3884</v>
      </c>
      <c r="Q339" s="297"/>
      <c r="T339" s="297" t="s">
        <v>732</v>
      </c>
      <c r="U339" s="90" t="s">
        <v>734</v>
      </c>
    </row>
    <row r="340" spans="1:21" x14ac:dyDescent="0.2">
      <c r="A340" s="2"/>
      <c r="B340" s="67" t="s">
        <v>230</v>
      </c>
      <c r="C340" s="25">
        <v>9.1999999999999993</v>
      </c>
      <c r="D340" s="26">
        <v>9.4</v>
      </c>
      <c r="E340" s="26">
        <v>8.4</v>
      </c>
      <c r="F340" s="26">
        <v>8.4</v>
      </c>
      <c r="G340" s="27">
        <v>21</v>
      </c>
      <c r="H340" s="90" t="s">
        <v>1031</v>
      </c>
      <c r="Q340" s="297"/>
      <c r="T340" s="297" t="s">
        <v>732</v>
      </c>
      <c r="U340" s="90" t="s">
        <v>736</v>
      </c>
    </row>
    <row r="341" spans="1:21" x14ac:dyDescent="0.2">
      <c r="A341" s="2"/>
      <c r="B341" s="67" t="s">
        <v>231</v>
      </c>
      <c r="C341" s="25">
        <v>2.8000000000000003</v>
      </c>
      <c r="D341" s="26">
        <v>2.8000000000000003</v>
      </c>
      <c r="E341" s="26">
        <v>5.7</v>
      </c>
      <c r="F341" s="26">
        <v>5.6000000000000005</v>
      </c>
      <c r="G341" s="27">
        <v>4.2</v>
      </c>
      <c r="H341" s="90" t="s">
        <v>1031</v>
      </c>
      <c r="Q341" s="297"/>
      <c r="T341" s="297" t="s">
        <v>732</v>
      </c>
      <c r="U341" s="90" t="s">
        <v>736</v>
      </c>
    </row>
    <row r="342" spans="1:21" x14ac:dyDescent="0.2">
      <c r="A342" s="2"/>
      <c r="B342" s="67" t="s">
        <v>711</v>
      </c>
      <c r="C342" s="25">
        <v>0</v>
      </c>
      <c r="D342" s="26">
        <v>0</v>
      </c>
      <c r="E342" s="26">
        <v>0</v>
      </c>
      <c r="F342" s="26">
        <v>598.53768278965129</v>
      </c>
      <c r="G342" s="27">
        <v>59.733894084278162</v>
      </c>
      <c r="H342" s="305"/>
      <c r="Q342" s="297"/>
      <c r="T342" s="297" t="s">
        <v>732</v>
      </c>
      <c r="U342" s="90" t="s">
        <v>736</v>
      </c>
    </row>
    <row r="343" spans="1:21" x14ac:dyDescent="0.2">
      <c r="A343" s="2"/>
      <c r="B343" s="67" t="s">
        <v>653</v>
      </c>
      <c r="C343" s="22">
        <v>0</v>
      </c>
      <c r="D343" s="22">
        <v>0</v>
      </c>
      <c r="E343" s="22">
        <v>0</v>
      </c>
      <c r="F343" s="23">
        <v>32150.6</v>
      </c>
      <c r="G343" s="24">
        <v>62850.5</v>
      </c>
      <c r="Q343" s="297"/>
      <c r="T343" s="297" t="s">
        <v>732</v>
      </c>
      <c r="U343" s="90" t="s">
        <v>734</v>
      </c>
    </row>
    <row r="344" spans="1:21" x14ac:dyDescent="0.2">
      <c r="A344" s="2"/>
      <c r="B344" s="67" t="s">
        <v>676</v>
      </c>
      <c r="C344" s="22">
        <v>0</v>
      </c>
      <c r="D344" s="22">
        <v>0</v>
      </c>
      <c r="E344" s="22">
        <v>0</v>
      </c>
      <c r="F344" s="23">
        <v>10429.9</v>
      </c>
      <c r="G344" s="24">
        <v>13013.3</v>
      </c>
      <c r="Q344" s="297"/>
      <c r="T344" s="297" t="s">
        <v>732</v>
      </c>
      <c r="U344" s="90" t="s">
        <v>734</v>
      </c>
    </row>
    <row r="345" spans="1:21" x14ac:dyDescent="0.2">
      <c r="A345" s="2"/>
      <c r="B345" s="67" t="s">
        <v>654</v>
      </c>
      <c r="C345" s="22">
        <v>0</v>
      </c>
      <c r="D345" s="22">
        <v>0</v>
      </c>
      <c r="E345" s="22">
        <v>0</v>
      </c>
      <c r="F345" s="23">
        <v>308.25</v>
      </c>
      <c r="G345" s="24">
        <v>482.96999999999997</v>
      </c>
      <c r="Q345" s="297"/>
      <c r="T345" s="297" t="s">
        <v>732</v>
      </c>
      <c r="U345" s="90" t="s">
        <v>736</v>
      </c>
    </row>
    <row r="346" spans="1:21" x14ac:dyDescent="0.2">
      <c r="A346" s="2"/>
      <c r="B346" s="67" t="s">
        <v>362</v>
      </c>
      <c r="C346" s="22">
        <v>322279.60000000003</v>
      </c>
      <c r="D346" s="26">
        <v>365294.5</v>
      </c>
      <c r="E346" s="26">
        <v>431202.9</v>
      </c>
      <c r="F346" s="26">
        <v>442906</v>
      </c>
      <c r="G346" s="307">
        <v>447236.4</v>
      </c>
      <c r="H346" s="308">
        <v>-714679.49999999988</v>
      </c>
      <c r="Q346" s="297"/>
      <c r="T346" s="297" t="s">
        <v>732</v>
      </c>
      <c r="U346" s="90" t="s">
        <v>734</v>
      </c>
    </row>
    <row r="347" spans="1:21" x14ac:dyDescent="0.2">
      <c r="A347" s="2"/>
      <c r="B347" s="67" t="s">
        <v>363</v>
      </c>
      <c r="C347" s="22">
        <v>0</v>
      </c>
      <c r="D347" s="22">
        <v>0</v>
      </c>
      <c r="E347" s="22">
        <v>0</v>
      </c>
      <c r="F347" s="23">
        <v>0</v>
      </c>
      <c r="G347" s="24">
        <v>0</v>
      </c>
      <c r="H347" s="305"/>
      <c r="Q347" s="297"/>
      <c r="T347" s="297" t="s">
        <v>732</v>
      </c>
      <c r="U347" s="90" t="s">
        <v>734</v>
      </c>
    </row>
    <row r="348" spans="1:21" x14ac:dyDescent="0.2">
      <c r="A348" s="2"/>
      <c r="B348" s="67" t="s">
        <v>257</v>
      </c>
      <c r="C348" s="22">
        <v>0</v>
      </c>
      <c r="D348" s="22">
        <v>0</v>
      </c>
      <c r="E348" s="22">
        <v>0</v>
      </c>
      <c r="F348" s="23">
        <v>1097492.3999999999</v>
      </c>
      <c r="G348" s="24">
        <v>1172428.2</v>
      </c>
      <c r="H348" s="90" t="s">
        <v>1031</v>
      </c>
      <c r="I348" s="304"/>
      <c r="Q348" s="297"/>
      <c r="T348" s="297" t="s">
        <v>732</v>
      </c>
      <c r="U348" s="90" t="s">
        <v>734</v>
      </c>
    </row>
    <row r="349" spans="1:21" x14ac:dyDescent="0.2">
      <c r="A349" s="2"/>
      <c r="B349" s="67" t="s">
        <v>232</v>
      </c>
      <c r="C349" s="22">
        <v>0</v>
      </c>
      <c r="D349" s="22">
        <v>0</v>
      </c>
      <c r="E349" s="22">
        <v>0</v>
      </c>
      <c r="F349" s="23">
        <v>7232.8</v>
      </c>
      <c r="G349" s="24">
        <v>7307.4</v>
      </c>
      <c r="H349" s="90" t="s">
        <v>1031</v>
      </c>
      <c r="Q349" s="297"/>
      <c r="T349" s="297" t="s">
        <v>732</v>
      </c>
      <c r="U349" s="90" t="s">
        <v>734</v>
      </c>
    </row>
    <row r="350" spans="1:21" x14ac:dyDescent="0.2">
      <c r="A350" s="2"/>
      <c r="B350" s="67" t="s">
        <v>645</v>
      </c>
      <c r="C350" s="22">
        <v>0</v>
      </c>
      <c r="D350" s="22">
        <v>0</v>
      </c>
      <c r="E350" s="22">
        <v>0</v>
      </c>
      <c r="F350" s="23">
        <v>6.0699999999999994</v>
      </c>
      <c r="G350" s="24">
        <v>4.5999999999999996</v>
      </c>
      <c r="Q350" s="297"/>
      <c r="T350" s="297" t="s">
        <v>732</v>
      </c>
      <c r="U350" s="90" t="s">
        <v>736</v>
      </c>
    </row>
    <row r="351" spans="1:21" x14ac:dyDescent="0.2">
      <c r="A351" s="2"/>
      <c r="B351" s="67" t="s">
        <v>646</v>
      </c>
      <c r="C351" s="22">
        <v>0</v>
      </c>
      <c r="D351" s="22">
        <v>0</v>
      </c>
      <c r="E351" s="22">
        <v>0</v>
      </c>
      <c r="F351" s="23">
        <v>0</v>
      </c>
      <c r="G351" s="24">
        <v>336196.1</v>
      </c>
      <c r="Q351" s="297"/>
      <c r="T351" s="297" t="s">
        <v>732</v>
      </c>
      <c r="U351" s="90" t="s">
        <v>734</v>
      </c>
    </row>
    <row r="352" spans="1:21" x14ac:dyDescent="0.2">
      <c r="A352" s="2"/>
      <c r="B352" s="67" t="s">
        <v>647</v>
      </c>
      <c r="C352" s="22">
        <v>0</v>
      </c>
      <c r="D352" s="22">
        <v>0</v>
      </c>
      <c r="E352" s="22">
        <v>0</v>
      </c>
      <c r="F352" s="23">
        <v>0</v>
      </c>
      <c r="G352" s="24">
        <v>31.66</v>
      </c>
      <c r="Q352" s="297"/>
      <c r="T352" s="297" t="s">
        <v>732</v>
      </c>
      <c r="U352" s="90" t="s">
        <v>736</v>
      </c>
    </row>
    <row r="353" spans="1:21" x14ac:dyDescent="0.2">
      <c r="A353" s="2"/>
      <c r="B353" s="67" t="s">
        <v>233</v>
      </c>
      <c r="C353" s="22">
        <v>0</v>
      </c>
      <c r="D353" s="22">
        <v>0</v>
      </c>
      <c r="E353" s="22">
        <v>0</v>
      </c>
      <c r="F353" s="23">
        <v>3451.1</v>
      </c>
      <c r="G353" s="24">
        <v>3234.7</v>
      </c>
      <c r="H353" s="90" t="s">
        <v>1031</v>
      </c>
      <c r="Q353" s="297"/>
      <c r="T353" s="297" t="s">
        <v>732</v>
      </c>
      <c r="U353" s="90" t="s">
        <v>734</v>
      </c>
    </row>
    <row r="354" spans="1:21" x14ac:dyDescent="0.2">
      <c r="A354" s="2"/>
      <c r="B354" s="67" t="s">
        <v>234</v>
      </c>
      <c r="C354" s="22">
        <v>0</v>
      </c>
      <c r="D354" s="22">
        <v>0</v>
      </c>
      <c r="E354" s="22">
        <v>0</v>
      </c>
      <c r="F354" s="23">
        <v>0.32</v>
      </c>
      <c r="G354" s="24">
        <v>300</v>
      </c>
      <c r="H354" s="90" t="s">
        <v>1031</v>
      </c>
      <c r="Q354" s="297"/>
      <c r="T354" s="297" t="s">
        <v>732</v>
      </c>
      <c r="U354" s="90" t="s">
        <v>736</v>
      </c>
    </row>
    <row r="355" spans="1:21" x14ac:dyDescent="0.2">
      <c r="A355" s="2"/>
      <c r="B355" s="67" t="s">
        <v>698</v>
      </c>
      <c r="C355" s="22">
        <v>0</v>
      </c>
      <c r="D355" s="22">
        <v>0</v>
      </c>
      <c r="E355" s="22">
        <v>0</v>
      </c>
      <c r="F355" s="23">
        <v>1323.6</v>
      </c>
      <c r="G355" s="24">
        <v>1372.1</v>
      </c>
      <c r="H355" s="90" t="s">
        <v>1031</v>
      </c>
      <c r="Q355" s="297"/>
      <c r="T355" s="297" t="s">
        <v>732</v>
      </c>
      <c r="U355" s="90" t="s">
        <v>734</v>
      </c>
    </row>
    <row r="356" spans="1:21" x14ac:dyDescent="0.2">
      <c r="A356" s="2"/>
      <c r="B356" s="67" t="s">
        <v>350</v>
      </c>
      <c r="C356" s="22">
        <v>0</v>
      </c>
      <c r="D356" s="22">
        <v>0</v>
      </c>
      <c r="E356" s="22">
        <v>780.10000000000036</v>
      </c>
      <c r="F356" s="23">
        <v>2543.6999999999989</v>
      </c>
      <c r="G356" s="24">
        <v>0</v>
      </c>
      <c r="Q356" s="297"/>
      <c r="T356" s="297" t="s">
        <v>732</v>
      </c>
      <c r="U356" s="90" t="s">
        <v>734</v>
      </c>
    </row>
    <row r="357" spans="1:21" x14ac:dyDescent="0.2">
      <c r="A357" s="2"/>
      <c r="B357" s="67" t="s">
        <v>351</v>
      </c>
      <c r="C357" s="22">
        <v>0</v>
      </c>
      <c r="D357" s="22">
        <v>7.7000000000007276</v>
      </c>
      <c r="E357" s="22">
        <v>5770.5999999999985</v>
      </c>
      <c r="F357" s="23">
        <v>18824.899999999998</v>
      </c>
      <c r="G357" s="24">
        <v>0</v>
      </c>
      <c r="Q357" s="297"/>
      <c r="T357" s="297" t="s">
        <v>732</v>
      </c>
      <c r="U357" s="90" t="s">
        <v>734</v>
      </c>
    </row>
    <row r="358" spans="1:21" x14ac:dyDescent="0.2">
      <c r="A358" s="2"/>
      <c r="B358" s="67" t="s">
        <v>88</v>
      </c>
      <c r="C358" s="25">
        <v>0</v>
      </c>
      <c r="D358" s="26">
        <v>0</v>
      </c>
      <c r="E358" s="26">
        <v>142.1</v>
      </c>
      <c r="F358" s="26">
        <v>-217.899999999996</v>
      </c>
      <c r="G358" s="27">
        <v>-50.600000000004002</v>
      </c>
      <c r="Q358" s="297"/>
      <c r="T358" s="297" t="s">
        <v>732</v>
      </c>
      <c r="U358" s="90" t="s">
        <v>734</v>
      </c>
    </row>
    <row r="359" spans="1:21" x14ac:dyDescent="0.2">
      <c r="A359" s="2"/>
      <c r="B359" s="67" t="s">
        <v>89</v>
      </c>
      <c r="C359" s="25">
        <v>-0.1</v>
      </c>
      <c r="D359" s="25">
        <v>1711.0999999999995</v>
      </c>
      <c r="E359" s="25">
        <v>0</v>
      </c>
      <c r="F359" s="26">
        <v>0</v>
      </c>
      <c r="G359" s="27">
        <v>0</v>
      </c>
      <c r="Q359" s="297"/>
      <c r="T359" s="297" t="s">
        <v>732</v>
      </c>
      <c r="U359" s="90" t="s">
        <v>734</v>
      </c>
    </row>
    <row r="360" spans="1:21" x14ac:dyDescent="0.2">
      <c r="A360" s="2"/>
      <c r="B360" s="67" t="s">
        <v>90</v>
      </c>
      <c r="C360" s="22">
        <v>0</v>
      </c>
      <c r="D360" s="22">
        <v>0</v>
      </c>
      <c r="E360" s="22">
        <v>0</v>
      </c>
      <c r="F360" s="23">
        <v>0</v>
      </c>
      <c r="G360" s="24">
        <v>0</v>
      </c>
      <c r="Q360" s="297"/>
      <c r="T360" s="297" t="s">
        <v>732</v>
      </c>
      <c r="U360" s="90" t="s">
        <v>734</v>
      </c>
    </row>
    <row r="361" spans="1:21" x14ac:dyDescent="0.2">
      <c r="A361" s="2"/>
      <c r="B361" s="67" t="s">
        <v>352</v>
      </c>
      <c r="C361" s="22">
        <v>0</v>
      </c>
      <c r="D361" s="22">
        <v>0</v>
      </c>
      <c r="E361" s="22">
        <v>0</v>
      </c>
      <c r="F361" s="23">
        <v>5</v>
      </c>
      <c r="G361" s="24">
        <v>3</v>
      </c>
      <c r="Q361" s="297"/>
      <c r="T361" s="297" t="s">
        <v>732</v>
      </c>
      <c r="U361" s="90" t="s">
        <v>735</v>
      </c>
    </row>
    <row r="362" spans="1:21" x14ac:dyDescent="0.2">
      <c r="A362" s="2"/>
      <c r="B362" s="67" t="s">
        <v>353</v>
      </c>
      <c r="C362" s="22">
        <v>0</v>
      </c>
      <c r="D362" s="22">
        <v>0</v>
      </c>
      <c r="E362" s="22">
        <v>0</v>
      </c>
      <c r="F362" s="23">
        <v>4.5999999999999996</v>
      </c>
      <c r="G362" s="24">
        <v>10.5</v>
      </c>
      <c r="Q362" s="297"/>
      <c r="T362" s="297" t="s">
        <v>732</v>
      </c>
      <c r="U362" s="90" t="s">
        <v>734</v>
      </c>
    </row>
    <row r="363" spans="1:21" x14ac:dyDescent="0.2">
      <c r="A363" s="2"/>
      <c r="B363" s="67" t="s">
        <v>354</v>
      </c>
      <c r="C363" s="22">
        <v>0</v>
      </c>
      <c r="D363" s="22">
        <v>0</v>
      </c>
      <c r="E363" s="22">
        <v>0</v>
      </c>
      <c r="F363" s="23">
        <v>28045</v>
      </c>
      <c r="G363" s="24">
        <v>24452</v>
      </c>
      <c r="Q363" s="297"/>
      <c r="T363" s="297" t="s">
        <v>732</v>
      </c>
      <c r="U363" s="90" t="s">
        <v>735</v>
      </c>
    </row>
    <row r="364" spans="1:21" x14ac:dyDescent="0.2">
      <c r="A364" s="2"/>
      <c r="B364" s="67" t="s">
        <v>361</v>
      </c>
      <c r="C364" s="22">
        <v>0</v>
      </c>
      <c r="D364" s="22">
        <v>0</v>
      </c>
      <c r="E364" s="22">
        <v>0</v>
      </c>
      <c r="F364" s="23">
        <v>0</v>
      </c>
      <c r="G364" s="24">
        <v>0</v>
      </c>
      <c r="Q364" s="297"/>
      <c r="T364" s="297" t="s">
        <v>732</v>
      </c>
      <c r="U364" s="90" t="s">
        <v>735</v>
      </c>
    </row>
    <row r="365" spans="1:21" x14ac:dyDescent="0.2">
      <c r="A365" s="2"/>
      <c r="B365" s="67" t="s">
        <v>355</v>
      </c>
      <c r="C365" s="22">
        <v>0</v>
      </c>
      <c r="D365" s="22">
        <v>0</v>
      </c>
      <c r="E365" s="22">
        <v>0</v>
      </c>
      <c r="F365" s="23">
        <v>1758</v>
      </c>
      <c r="G365" s="24">
        <v>1817</v>
      </c>
      <c r="Q365" s="297"/>
      <c r="T365" s="297" t="s">
        <v>732</v>
      </c>
      <c r="U365" s="90" t="s">
        <v>735</v>
      </c>
    </row>
    <row r="366" spans="1:21" x14ac:dyDescent="0.2">
      <c r="A366" s="2"/>
      <c r="B366" s="67" t="s">
        <v>710</v>
      </c>
      <c r="C366" s="22">
        <v>0</v>
      </c>
      <c r="D366" s="22">
        <v>0</v>
      </c>
      <c r="E366" s="22"/>
      <c r="F366" s="23"/>
      <c r="G366" s="24"/>
      <c r="Q366" s="297"/>
      <c r="T366" s="297" t="s">
        <v>732</v>
      </c>
      <c r="U366" s="90" t="s">
        <v>735</v>
      </c>
    </row>
    <row r="367" spans="1:21" x14ac:dyDescent="0.2">
      <c r="A367" s="2"/>
      <c r="B367" s="67" t="s">
        <v>91</v>
      </c>
      <c r="C367" s="22">
        <v>10</v>
      </c>
      <c r="D367" s="22">
        <v>10</v>
      </c>
      <c r="E367" s="22">
        <v>10</v>
      </c>
      <c r="F367" s="23">
        <v>10</v>
      </c>
      <c r="G367" s="24">
        <v>10</v>
      </c>
      <c r="Q367" s="297"/>
      <c r="T367" s="297" t="s">
        <v>732</v>
      </c>
      <c r="U367" s="90" t="s">
        <v>735</v>
      </c>
    </row>
    <row r="368" spans="1:21" x14ac:dyDescent="0.2">
      <c r="A368" s="2"/>
      <c r="B368" s="67" t="s">
        <v>366</v>
      </c>
      <c r="C368" s="22"/>
      <c r="D368" s="22"/>
      <c r="E368" s="22"/>
      <c r="F368" s="23"/>
      <c r="G368" s="24"/>
      <c r="Q368" s="297"/>
      <c r="T368" s="297" t="s">
        <v>732</v>
      </c>
      <c r="U368" s="90" t="s">
        <v>737</v>
      </c>
    </row>
    <row r="369" spans="1:21" x14ac:dyDescent="0.2">
      <c r="A369" s="2"/>
      <c r="B369" s="67" t="s">
        <v>367</v>
      </c>
      <c r="C369" s="22" t="s">
        <v>112</v>
      </c>
      <c r="D369" s="22" t="s">
        <v>112</v>
      </c>
      <c r="E369" s="22" t="s">
        <v>112</v>
      </c>
      <c r="F369" s="22" t="s">
        <v>112</v>
      </c>
      <c r="G369" s="24" t="s">
        <v>112</v>
      </c>
      <c r="Q369" s="297"/>
      <c r="T369" s="297" t="s">
        <v>732</v>
      </c>
      <c r="U369" s="90" t="s">
        <v>737</v>
      </c>
    </row>
    <row r="370" spans="1:21" x14ac:dyDescent="0.2">
      <c r="A370" s="2"/>
      <c r="B370" s="67" t="s">
        <v>92</v>
      </c>
      <c r="C370" s="22" t="s">
        <v>112</v>
      </c>
      <c r="D370" s="22" t="s">
        <v>112</v>
      </c>
      <c r="E370" s="22" t="s">
        <v>112</v>
      </c>
      <c r="F370" s="22" t="s">
        <v>112</v>
      </c>
      <c r="G370" s="24" t="s">
        <v>112</v>
      </c>
      <c r="Q370" s="297"/>
      <c r="T370" s="297" t="s">
        <v>732</v>
      </c>
      <c r="U370" s="90" t="s">
        <v>737</v>
      </c>
    </row>
    <row r="371" spans="1:21" x14ac:dyDescent="0.2">
      <c r="A371" s="2"/>
      <c r="B371" s="67" t="s">
        <v>93</v>
      </c>
      <c r="C371" s="25" t="s">
        <v>112</v>
      </c>
      <c r="D371" s="25" t="s">
        <v>112</v>
      </c>
      <c r="E371" s="25" t="s">
        <v>112</v>
      </c>
      <c r="F371" s="25" t="s">
        <v>112</v>
      </c>
      <c r="G371" s="27" t="s">
        <v>112</v>
      </c>
      <c r="Q371" s="297"/>
      <c r="T371" s="297" t="s">
        <v>732</v>
      </c>
      <c r="U371" s="90" t="s">
        <v>737</v>
      </c>
    </row>
    <row r="372" spans="1:21" ht="15.75" thickBot="1" x14ac:dyDescent="0.25">
      <c r="A372" s="100"/>
      <c r="B372" s="79"/>
      <c r="C372" s="80"/>
      <c r="D372" s="80"/>
      <c r="E372" s="80"/>
      <c r="F372" s="80"/>
      <c r="G372" s="81"/>
      <c r="Q372" s="297"/>
      <c r="T372" s="297"/>
    </row>
    <row r="373" spans="1:21" ht="15" x14ac:dyDescent="0.2">
      <c r="A373" s="166"/>
      <c r="B373" s="167"/>
      <c r="C373" s="17"/>
      <c r="D373" s="17"/>
      <c r="E373" s="17"/>
      <c r="F373" s="17"/>
      <c r="G373" s="18"/>
      <c r="Q373" s="297"/>
      <c r="T373" s="297"/>
    </row>
    <row r="374" spans="1:21" s="97" customFormat="1" x14ac:dyDescent="0.2">
      <c r="A374" s="2"/>
      <c r="B374" s="67" t="s">
        <v>102</v>
      </c>
      <c r="C374" s="82">
        <v>42061.08</v>
      </c>
      <c r="D374" s="82">
        <v>44486.92</v>
      </c>
      <c r="E374" s="82">
        <v>55020.9</v>
      </c>
      <c r="F374" s="82">
        <v>63778.3</v>
      </c>
      <c r="G374" s="83">
        <v>59830.1</v>
      </c>
      <c r="H374" s="306" t="s">
        <v>1030</v>
      </c>
      <c r="Q374" s="297"/>
      <c r="R374" s="90"/>
      <c r="T374" s="297" t="s">
        <v>733</v>
      </c>
      <c r="U374" s="90" t="s">
        <v>734</v>
      </c>
    </row>
    <row r="375" spans="1:21" s="97" customFormat="1" x14ac:dyDescent="0.2">
      <c r="A375" s="2"/>
      <c r="B375" s="67" t="s">
        <v>103</v>
      </c>
      <c r="C375" s="82">
        <v>344088.6</v>
      </c>
      <c r="D375" s="82">
        <v>398055.7</v>
      </c>
      <c r="E375" s="82">
        <v>465258.8</v>
      </c>
      <c r="F375" s="82">
        <v>542727.9</v>
      </c>
      <c r="G375" s="83">
        <v>627685.30000000005</v>
      </c>
      <c r="H375" s="306" t="s">
        <v>1030</v>
      </c>
      <c r="Q375" s="297"/>
      <c r="R375" s="90"/>
      <c r="T375" s="297" t="s">
        <v>733</v>
      </c>
      <c r="U375" s="90" t="s">
        <v>734</v>
      </c>
    </row>
    <row r="376" spans="1:21" s="97" customFormat="1" x14ac:dyDescent="0.2">
      <c r="A376" s="2"/>
      <c r="B376" s="67" t="s">
        <v>104</v>
      </c>
      <c r="C376" s="82">
        <v>303778.59999999998</v>
      </c>
      <c r="D376" s="82">
        <v>353573.9</v>
      </c>
      <c r="E376" s="82">
        <v>406161.2</v>
      </c>
      <c r="F376" s="82">
        <v>480808.7</v>
      </c>
      <c r="G376" s="83">
        <v>560597</v>
      </c>
      <c r="H376" s="306" t="s">
        <v>1030</v>
      </c>
      <c r="Q376" s="297"/>
      <c r="R376" s="90"/>
      <c r="T376" s="297" t="s">
        <v>733</v>
      </c>
      <c r="U376" s="90" t="s">
        <v>734</v>
      </c>
    </row>
    <row r="377" spans="1:21" s="97" customFormat="1" ht="15.75" thickBot="1" x14ac:dyDescent="0.25">
      <c r="A377" s="100"/>
      <c r="B377" s="79"/>
      <c r="C377" s="80"/>
      <c r="D377" s="80"/>
      <c r="E377" s="80"/>
      <c r="F377" s="80"/>
      <c r="G377" s="81"/>
      <c r="J377" s="289"/>
    </row>
    <row r="378" spans="1:21" s="97" customFormat="1" x14ac:dyDescent="0.2">
      <c r="B378" s="111"/>
      <c r="C378" s="96"/>
      <c r="D378" s="96"/>
      <c r="E378" s="96"/>
      <c r="F378" s="96"/>
      <c r="G378" s="96"/>
      <c r="J378" s="289"/>
    </row>
    <row r="379" spans="1:21" s="97" customFormat="1" ht="13.5" thickBot="1" x14ac:dyDescent="0.25">
      <c r="B379" s="111"/>
      <c r="C379" s="96"/>
      <c r="D379" s="96"/>
      <c r="E379" s="96"/>
      <c r="F379" s="96"/>
      <c r="G379" s="96"/>
      <c r="H379" s="96"/>
      <c r="J379" s="289"/>
    </row>
    <row r="380" spans="1:21" s="97" customFormat="1" ht="19.5" thickBot="1" x14ac:dyDescent="0.25">
      <c r="A380" s="7"/>
      <c r="B380" s="8" t="s">
        <v>235</v>
      </c>
      <c r="C380" s="218"/>
      <c r="D380" s="218"/>
      <c r="E380" s="218"/>
      <c r="F380" s="218"/>
      <c r="G380" s="218"/>
      <c r="H380" s="96"/>
      <c r="J380" s="289"/>
    </row>
    <row r="381" spans="1:21" s="97" customFormat="1" x14ac:dyDescent="0.2">
      <c r="A381" s="4"/>
      <c r="B381" s="157" t="s">
        <v>285</v>
      </c>
      <c r="C381" s="229" t="s">
        <v>1043</v>
      </c>
      <c r="D381" s="213"/>
      <c r="E381" s="213"/>
      <c r="F381" s="213"/>
      <c r="G381" s="213"/>
      <c r="H381" s="14"/>
      <c r="I381" s="14"/>
      <c r="J381" s="213"/>
      <c r="K381" s="14"/>
      <c r="L381" s="14"/>
      <c r="M381" s="15"/>
    </row>
    <row r="382" spans="1:21" s="97" customFormat="1" ht="51" x14ac:dyDescent="0.35">
      <c r="A382" s="2"/>
      <c r="B382" s="160" t="s">
        <v>701</v>
      </c>
      <c r="C382" s="161" t="s">
        <v>237</v>
      </c>
      <c r="D382" s="161" t="s">
        <v>238</v>
      </c>
      <c r="E382" s="161" t="s">
        <v>239</v>
      </c>
      <c r="F382" s="161" t="s">
        <v>240</v>
      </c>
      <c r="G382" s="161" t="s">
        <v>241</v>
      </c>
      <c r="H382" s="161" t="s">
        <v>242</v>
      </c>
      <c r="I382" s="161" t="s">
        <v>243</v>
      </c>
      <c r="J382" s="161" t="s">
        <v>244</v>
      </c>
      <c r="K382" s="161" t="s">
        <v>245</v>
      </c>
      <c r="L382" s="161" t="s">
        <v>246</v>
      </c>
      <c r="M382" s="162" t="s">
        <v>247</v>
      </c>
    </row>
    <row r="383" spans="1:21" s="97" customFormat="1" ht="15" x14ac:dyDescent="0.35">
      <c r="A383" s="2"/>
      <c r="B383" s="160"/>
      <c r="C383" s="158"/>
      <c r="D383" s="158"/>
      <c r="E383" s="158"/>
      <c r="F383" s="158"/>
      <c r="G383" s="158"/>
      <c r="H383" s="158"/>
      <c r="I383" s="158"/>
      <c r="J383" s="158"/>
      <c r="K383" s="158"/>
      <c r="L383" s="158"/>
      <c r="M383" s="159"/>
    </row>
    <row r="384" spans="1:21" s="97" customFormat="1" ht="15" x14ac:dyDescent="0.35">
      <c r="A384" s="2"/>
      <c r="B384" s="160" t="s">
        <v>248</v>
      </c>
      <c r="C384" s="158"/>
      <c r="D384" s="158"/>
      <c r="E384" s="158"/>
      <c r="F384" s="158"/>
      <c r="G384" s="158"/>
      <c r="H384" s="158"/>
      <c r="I384" s="158"/>
      <c r="J384" s="158"/>
      <c r="K384" s="158"/>
      <c r="L384" s="158"/>
      <c r="M384" s="159"/>
    </row>
    <row r="385" spans="1:21" s="97" customFormat="1" x14ac:dyDescent="0.2">
      <c r="A385" s="2"/>
      <c r="B385" s="67" t="s">
        <v>702</v>
      </c>
      <c r="C385" s="20">
        <v>31686.9</v>
      </c>
      <c r="D385" s="20">
        <v>23563.7</v>
      </c>
      <c r="E385" s="20">
        <v>29633.200000000001</v>
      </c>
      <c r="F385" s="20">
        <v>88943.6</v>
      </c>
      <c r="G385" s="20">
        <v>120044.4</v>
      </c>
      <c r="H385" s="20">
        <v>243240.8</v>
      </c>
      <c r="I385" s="20">
        <v>84845.4</v>
      </c>
      <c r="J385" s="20">
        <v>59157.8</v>
      </c>
      <c r="K385" s="68">
        <v>0</v>
      </c>
      <c r="L385" s="309">
        <v>0</v>
      </c>
      <c r="M385" s="55">
        <v>681115.80000000016</v>
      </c>
      <c r="N385" s="306" t="s">
        <v>1044</v>
      </c>
      <c r="T385" s="97" t="s">
        <v>738</v>
      </c>
      <c r="U385" s="97" t="s">
        <v>734</v>
      </c>
    </row>
    <row r="386" spans="1:21" s="97" customFormat="1" x14ac:dyDescent="0.2">
      <c r="A386" s="2"/>
      <c r="B386" s="67" t="s">
        <v>249</v>
      </c>
      <c r="C386" s="22">
        <v>0</v>
      </c>
      <c r="D386" s="22">
        <v>0</v>
      </c>
      <c r="E386" s="22">
        <v>0</v>
      </c>
      <c r="F386" s="22">
        <v>0</v>
      </c>
      <c r="G386" s="22">
        <v>0</v>
      </c>
      <c r="H386" s="22">
        <v>0</v>
      </c>
      <c r="I386" s="22">
        <v>0</v>
      </c>
      <c r="J386" s="22">
        <v>0</v>
      </c>
      <c r="K386" s="22">
        <v>0</v>
      </c>
      <c r="L386" s="164">
        <v>0</v>
      </c>
      <c r="M386" s="55">
        <v>0</v>
      </c>
      <c r="N386" s="306" t="s">
        <v>1044</v>
      </c>
      <c r="T386" s="97" t="s">
        <v>738</v>
      </c>
      <c r="U386" s="97" t="s">
        <v>734</v>
      </c>
    </row>
    <row r="387" spans="1:21" s="97" customFormat="1" x14ac:dyDescent="0.2">
      <c r="A387" s="2"/>
      <c r="B387" s="67" t="s">
        <v>250</v>
      </c>
      <c r="C387" s="22">
        <v>3605.3999999999996</v>
      </c>
      <c r="D387" s="22">
        <v>2050.6</v>
      </c>
      <c r="E387" s="22">
        <v>3114.9</v>
      </c>
      <c r="F387" s="22">
        <v>13577.4</v>
      </c>
      <c r="G387" s="22">
        <v>33172.400000000001</v>
      </c>
      <c r="H387" s="22">
        <v>76898.399999999994</v>
      </c>
      <c r="I387" s="22">
        <v>30476.5</v>
      </c>
      <c r="J387" s="22">
        <v>0</v>
      </c>
      <c r="K387" s="22">
        <v>0</v>
      </c>
      <c r="L387" s="164">
        <v>0</v>
      </c>
      <c r="M387" s="55">
        <v>162895.59999999998</v>
      </c>
      <c r="N387" s="306" t="s">
        <v>1044</v>
      </c>
      <c r="T387" s="97" t="s">
        <v>738</v>
      </c>
      <c r="U387" s="97" t="s">
        <v>734</v>
      </c>
    </row>
    <row r="388" spans="1:21" s="97" customFormat="1" x14ac:dyDescent="0.2">
      <c r="A388" s="2"/>
      <c r="B388" s="67" t="s">
        <v>251</v>
      </c>
      <c r="C388" s="22">
        <v>2466.6999999999998</v>
      </c>
      <c r="D388" s="22">
        <v>0</v>
      </c>
      <c r="E388" s="22">
        <v>220.9</v>
      </c>
      <c r="F388" s="22">
        <v>2287.6</v>
      </c>
      <c r="G388" s="22">
        <v>29915.5</v>
      </c>
      <c r="H388" s="22">
        <v>175623.2</v>
      </c>
      <c r="I388" s="22">
        <v>5350.3</v>
      </c>
      <c r="J388" s="22">
        <v>3156.2</v>
      </c>
      <c r="K388" s="22">
        <v>0</v>
      </c>
      <c r="L388" s="164">
        <v>0</v>
      </c>
      <c r="M388" s="55">
        <v>219020.40000000002</v>
      </c>
      <c r="N388" s="306" t="s">
        <v>1044</v>
      </c>
      <c r="T388" s="97" t="s">
        <v>738</v>
      </c>
      <c r="U388" s="97" t="s">
        <v>734</v>
      </c>
    </row>
    <row r="389" spans="1:21" s="97" customFormat="1" x14ac:dyDescent="0.2">
      <c r="A389" s="2"/>
      <c r="B389" s="67" t="s">
        <v>283</v>
      </c>
      <c r="C389" s="22">
        <v>0</v>
      </c>
      <c r="D389" s="22">
        <v>0</v>
      </c>
      <c r="E389" s="22">
        <v>0</v>
      </c>
      <c r="F389" s="22">
        <v>0</v>
      </c>
      <c r="G389" s="22">
        <v>0</v>
      </c>
      <c r="H389" s="22">
        <v>0</v>
      </c>
      <c r="I389" s="22">
        <v>0</v>
      </c>
      <c r="J389" s="22">
        <v>0</v>
      </c>
      <c r="K389" s="22">
        <v>0</v>
      </c>
      <c r="L389" s="164">
        <v>0</v>
      </c>
      <c r="M389" s="55">
        <v>0</v>
      </c>
      <c r="N389" s="306" t="s">
        <v>1044</v>
      </c>
      <c r="T389" s="97" t="s">
        <v>738</v>
      </c>
      <c r="U389" s="97" t="s">
        <v>734</v>
      </c>
    </row>
    <row r="390" spans="1:21" s="97" customFormat="1" x14ac:dyDescent="0.2">
      <c r="A390" s="2"/>
      <c r="B390" s="67" t="s">
        <v>703</v>
      </c>
      <c r="C390" s="22">
        <v>0</v>
      </c>
      <c r="D390" s="22">
        <v>0</v>
      </c>
      <c r="E390" s="22">
        <v>0</v>
      </c>
      <c r="F390" s="22">
        <v>0</v>
      </c>
      <c r="G390" s="22">
        <v>0</v>
      </c>
      <c r="H390" s="22">
        <v>0</v>
      </c>
      <c r="I390" s="22">
        <v>0</v>
      </c>
      <c r="J390" s="22">
        <v>0</v>
      </c>
      <c r="K390" s="22">
        <v>0</v>
      </c>
      <c r="L390" s="164">
        <v>0</v>
      </c>
      <c r="M390" s="55">
        <v>0</v>
      </c>
      <c r="N390" s="306" t="s">
        <v>1044</v>
      </c>
      <c r="T390" s="97" t="s">
        <v>738</v>
      </c>
      <c r="U390" s="97" t="s">
        <v>734</v>
      </c>
    </row>
    <row r="391" spans="1:21" s="97" customFormat="1" x14ac:dyDescent="0.2">
      <c r="A391" s="2"/>
      <c r="B391" s="67" t="s">
        <v>2</v>
      </c>
      <c r="C391" s="25">
        <v>0</v>
      </c>
      <c r="D391" s="25">
        <v>0</v>
      </c>
      <c r="E391" s="25">
        <v>0</v>
      </c>
      <c r="F391" s="25">
        <v>0</v>
      </c>
      <c r="G391" s="25">
        <v>0</v>
      </c>
      <c r="H391" s="25">
        <v>0</v>
      </c>
      <c r="I391" s="25">
        <v>0</v>
      </c>
      <c r="J391" s="25">
        <v>0</v>
      </c>
      <c r="K391" s="25">
        <v>0</v>
      </c>
      <c r="L391" s="165">
        <v>0</v>
      </c>
      <c r="M391" s="55">
        <v>0</v>
      </c>
      <c r="N391" s="306" t="s">
        <v>1044</v>
      </c>
      <c r="T391" s="97" t="s">
        <v>738</v>
      </c>
      <c r="U391" s="97" t="s">
        <v>734</v>
      </c>
    </row>
    <row r="392" spans="1:21" s="97" customFormat="1" x14ac:dyDescent="0.2">
      <c r="A392" s="2"/>
      <c r="B392" s="67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1"/>
      <c r="N392" s="306"/>
    </row>
    <row r="393" spans="1:21" s="97" customFormat="1" x14ac:dyDescent="0.2">
      <c r="A393" s="2"/>
      <c r="B393" s="78" t="s">
        <v>247</v>
      </c>
      <c r="C393" s="54">
        <v>37759</v>
      </c>
      <c r="D393" s="54">
        <v>25614.3</v>
      </c>
      <c r="E393" s="54">
        <v>32969</v>
      </c>
      <c r="F393" s="54">
        <v>104808.6</v>
      </c>
      <c r="G393" s="54">
        <v>183132.3</v>
      </c>
      <c r="H393" s="54">
        <v>495762.39999999997</v>
      </c>
      <c r="I393" s="54">
        <v>120672.2</v>
      </c>
      <c r="J393" s="54">
        <v>62314</v>
      </c>
      <c r="K393" s="54">
        <v>0</v>
      </c>
      <c r="L393" s="54">
        <v>0</v>
      </c>
      <c r="M393" s="55">
        <v>1063031.8000000003</v>
      </c>
      <c r="N393" s="306" t="s">
        <v>1030</v>
      </c>
    </row>
    <row r="394" spans="1:21" s="97" customFormat="1" x14ac:dyDescent="0.2">
      <c r="A394" s="2"/>
      <c r="B394" s="67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1"/>
    </row>
    <row r="395" spans="1:21" s="97" customFormat="1" ht="15" x14ac:dyDescent="0.35">
      <c r="A395" s="2"/>
      <c r="B395" s="160" t="s">
        <v>252</v>
      </c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1"/>
    </row>
    <row r="396" spans="1:21" s="97" customFormat="1" x14ac:dyDescent="0.2">
      <c r="A396" s="2"/>
      <c r="B396" s="67" t="s">
        <v>253</v>
      </c>
      <c r="C396" s="20">
        <v>0</v>
      </c>
      <c r="D396" s="20">
        <v>32068.400000000001</v>
      </c>
      <c r="E396" s="20">
        <v>31657.3</v>
      </c>
      <c r="F396" s="20">
        <v>96769.2</v>
      </c>
      <c r="G396" s="20">
        <v>1787.5</v>
      </c>
      <c r="H396" s="20">
        <v>513974.9</v>
      </c>
      <c r="I396" s="20">
        <v>159383.29999999999</v>
      </c>
      <c r="J396" s="20">
        <v>30370.3</v>
      </c>
      <c r="K396" s="20">
        <v>0</v>
      </c>
      <c r="L396" s="163">
        <v>0</v>
      </c>
      <c r="M396" s="55">
        <v>866010.90000000014</v>
      </c>
      <c r="N396" s="306" t="s">
        <v>1044</v>
      </c>
      <c r="T396" s="97" t="s">
        <v>738</v>
      </c>
      <c r="U396" s="97" t="s">
        <v>734</v>
      </c>
    </row>
    <row r="397" spans="1:21" s="97" customFormat="1" x14ac:dyDescent="0.2">
      <c r="A397" s="2"/>
      <c r="B397" s="67" t="s">
        <v>75</v>
      </c>
      <c r="C397" s="22">
        <v>0</v>
      </c>
      <c r="D397" s="22">
        <v>587.79999999999995</v>
      </c>
      <c r="E397" s="22">
        <v>496.9</v>
      </c>
      <c r="F397" s="22">
        <v>1342.6</v>
      </c>
      <c r="G397" s="22">
        <v>2357.6</v>
      </c>
      <c r="H397" s="22">
        <v>7940.4</v>
      </c>
      <c r="I397" s="22">
        <v>1691.5</v>
      </c>
      <c r="J397" s="22">
        <v>17114.599999999999</v>
      </c>
      <c r="K397" s="22">
        <v>0</v>
      </c>
      <c r="L397" s="164">
        <v>0</v>
      </c>
      <c r="M397" s="55">
        <v>31531.399999999998</v>
      </c>
      <c r="N397" s="306" t="s">
        <v>1044</v>
      </c>
      <c r="T397" s="97" t="s">
        <v>738</v>
      </c>
      <c r="U397" s="97" t="s">
        <v>734</v>
      </c>
    </row>
    <row r="398" spans="1:21" s="97" customFormat="1" x14ac:dyDescent="0.2">
      <c r="A398" s="2"/>
      <c r="B398" s="67" t="s">
        <v>250</v>
      </c>
      <c r="C398" s="22">
        <v>0</v>
      </c>
      <c r="D398" s="22">
        <v>0</v>
      </c>
      <c r="E398" s="22">
        <v>0</v>
      </c>
      <c r="F398" s="22">
        <v>0</v>
      </c>
      <c r="G398" s="22">
        <v>0</v>
      </c>
      <c r="H398" s="22">
        <v>0</v>
      </c>
      <c r="I398" s="22">
        <v>0</v>
      </c>
      <c r="J398" s="22">
        <v>0</v>
      </c>
      <c r="K398" s="22">
        <v>0</v>
      </c>
      <c r="L398" s="164">
        <v>0</v>
      </c>
      <c r="M398" s="55">
        <v>0</v>
      </c>
      <c r="N398" s="306" t="s">
        <v>1044</v>
      </c>
      <c r="T398" s="97" t="s">
        <v>738</v>
      </c>
      <c r="U398" s="97" t="s">
        <v>734</v>
      </c>
    </row>
    <row r="399" spans="1:21" s="97" customFormat="1" x14ac:dyDescent="0.2">
      <c r="A399" s="2"/>
      <c r="B399" s="67" t="s">
        <v>254</v>
      </c>
      <c r="C399" s="22">
        <v>0</v>
      </c>
      <c r="D399" s="22">
        <v>0</v>
      </c>
      <c r="E399" s="22">
        <v>0</v>
      </c>
      <c r="F399" s="22">
        <v>0</v>
      </c>
      <c r="G399" s="22">
        <v>0</v>
      </c>
      <c r="H399" s="22">
        <v>0</v>
      </c>
      <c r="I399" s="22">
        <v>0</v>
      </c>
      <c r="J399" s="22">
        <v>0</v>
      </c>
      <c r="K399" s="22">
        <v>0</v>
      </c>
      <c r="L399" s="164">
        <v>0</v>
      </c>
      <c r="M399" s="55">
        <v>0</v>
      </c>
      <c r="N399" s="306" t="s">
        <v>1044</v>
      </c>
      <c r="T399" s="97" t="s">
        <v>738</v>
      </c>
      <c r="U399" s="97" t="s">
        <v>734</v>
      </c>
    </row>
    <row r="400" spans="1:21" s="97" customFormat="1" x14ac:dyDescent="0.2">
      <c r="A400" s="2"/>
      <c r="B400" s="67" t="s">
        <v>704</v>
      </c>
      <c r="C400" s="22">
        <v>0</v>
      </c>
      <c r="D400" s="22">
        <v>0</v>
      </c>
      <c r="E400" s="22">
        <v>0</v>
      </c>
      <c r="F400" s="22">
        <v>0</v>
      </c>
      <c r="G400" s="22">
        <v>0</v>
      </c>
      <c r="H400" s="22">
        <v>0</v>
      </c>
      <c r="I400" s="22">
        <v>0</v>
      </c>
      <c r="J400" s="22">
        <v>0</v>
      </c>
      <c r="K400" s="22">
        <v>0</v>
      </c>
      <c r="L400" s="164">
        <v>0</v>
      </c>
      <c r="M400" s="55">
        <v>0</v>
      </c>
      <c r="N400" s="306" t="s">
        <v>1044</v>
      </c>
      <c r="T400" s="97" t="s">
        <v>738</v>
      </c>
      <c r="U400" s="97" t="s">
        <v>734</v>
      </c>
    </row>
    <row r="401" spans="1:21" s="97" customFormat="1" x14ac:dyDescent="0.2">
      <c r="A401" s="2"/>
      <c r="B401" s="67" t="s">
        <v>2</v>
      </c>
      <c r="C401" s="25">
        <v>0</v>
      </c>
      <c r="D401" s="25">
        <v>0</v>
      </c>
      <c r="E401" s="25">
        <v>0</v>
      </c>
      <c r="F401" s="25">
        <v>0</v>
      </c>
      <c r="G401" s="25">
        <v>0</v>
      </c>
      <c r="H401" s="25">
        <v>0</v>
      </c>
      <c r="I401" s="25">
        <v>0</v>
      </c>
      <c r="J401" s="25">
        <v>0</v>
      </c>
      <c r="K401" s="25">
        <v>0</v>
      </c>
      <c r="L401" s="165">
        <v>0</v>
      </c>
      <c r="M401" s="55">
        <v>0</v>
      </c>
      <c r="N401" s="306" t="s">
        <v>1044</v>
      </c>
      <c r="T401" s="97" t="s">
        <v>738</v>
      </c>
      <c r="U401" s="97" t="s">
        <v>734</v>
      </c>
    </row>
    <row r="402" spans="1:21" s="97" customFormat="1" x14ac:dyDescent="0.2">
      <c r="A402" s="2"/>
      <c r="B402" s="67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1"/>
      <c r="N402" s="306"/>
    </row>
    <row r="403" spans="1:21" s="97" customFormat="1" x14ac:dyDescent="0.2">
      <c r="A403" s="2"/>
      <c r="B403" s="67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1"/>
      <c r="N403" s="306"/>
    </row>
    <row r="404" spans="1:21" s="97" customFormat="1" x14ac:dyDescent="0.2">
      <c r="A404" s="2"/>
      <c r="B404" s="78" t="s">
        <v>247</v>
      </c>
      <c r="C404" s="54">
        <v>0</v>
      </c>
      <c r="D404" s="54">
        <v>32656.2</v>
      </c>
      <c r="E404" s="54">
        <v>32154.2</v>
      </c>
      <c r="F404" s="54">
        <v>98111.8</v>
      </c>
      <c r="G404" s="54">
        <v>4145.1000000000004</v>
      </c>
      <c r="H404" s="54">
        <v>521915.30000000005</v>
      </c>
      <c r="I404" s="54">
        <v>161074.79999999999</v>
      </c>
      <c r="J404" s="54">
        <v>47484.899999999994</v>
      </c>
      <c r="K404" s="54">
        <v>0</v>
      </c>
      <c r="L404" s="54">
        <v>0</v>
      </c>
      <c r="M404" s="55">
        <v>897542.30000000016</v>
      </c>
      <c r="N404" s="306" t="s">
        <v>1030</v>
      </c>
      <c r="T404" s="97" t="s">
        <v>738</v>
      </c>
      <c r="U404" s="97" t="s">
        <v>734</v>
      </c>
    </row>
    <row r="405" spans="1:21" s="97" customFormat="1" ht="15.75" thickBot="1" x14ac:dyDescent="0.25">
      <c r="A405" s="100"/>
      <c r="B405" s="79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1"/>
    </row>
    <row r="406" spans="1:21" s="97" customFormat="1" x14ac:dyDescent="0.2">
      <c r="B406" s="111"/>
      <c r="C406" s="112"/>
      <c r="D406" s="112"/>
      <c r="E406" s="112"/>
      <c r="F406" s="112"/>
      <c r="G406" s="112"/>
      <c r="J406" s="289"/>
    </row>
    <row r="407" spans="1:21" s="97" customFormat="1" ht="13.5" thickBot="1" x14ac:dyDescent="0.25">
      <c r="B407" s="111"/>
      <c r="C407" s="96"/>
      <c r="D407" s="96"/>
      <c r="E407" s="96"/>
      <c r="F407" s="96"/>
      <c r="G407" s="96"/>
      <c r="J407" s="289"/>
    </row>
    <row r="408" spans="1:21" s="97" customFormat="1" ht="19.5" thickBot="1" x14ac:dyDescent="0.25">
      <c r="A408" s="41"/>
      <c r="B408" s="34" t="s">
        <v>284</v>
      </c>
      <c r="C408" s="223"/>
      <c r="D408" s="223"/>
      <c r="E408" s="223"/>
      <c r="F408" s="223"/>
      <c r="G408" s="223"/>
      <c r="H408" s="96"/>
      <c r="J408" s="289"/>
    </row>
    <row r="409" spans="1:21" s="97" customFormat="1" x14ac:dyDescent="0.2">
      <c r="A409" s="169"/>
      <c r="B409" s="170" t="s">
        <v>285</v>
      </c>
      <c r="C409" s="227" t="s">
        <v>1039</v>
      </c>
      <c r="D409" s="227" t="s">
        <v>1040</v>
      </c>
      <c r="E409" s="227" t="s">
        <v>1041</v>
      </c>
      <c r="F409" s="227" t="s">
        <v>1042</v>
      </c>
      <c r="G409" s="228" t="s">
        <v>1043</v>
      </c>
      <c r="H409" s="10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297" t="s">
        <v>733</v>
      </c>
      <c r="U409" s="90" t="s">
        <v>450</v>
      </c>
    </row>
    <row r="410" spans="1:21" s="97" customFormat="1" x14ac:dyDescent="0.2">
      <c r="A410" s="169"/>
      <c r="B410" s="170"/>
      <c r="C410" s="211"/>
      <c r="D410" s="211"/>
      <c r="E410" s="211"/>
      <c r="F410" s="211"/>
      <c r="G410" s="212"/>
      <c r="H410" s="109"/>
      <c r="I410" s="569"/>
      <c r="J410" s="569"/>
      <c r="K410" s="569"/>
      <c r="L410" s="569"/>
      <c r="M410" s="569"/>
      <c r="N410" s="569"/>
      <c r="O410" s="569"/>
      <c r="P410" s="569"/>
      <c r="Q410" s="569"/>
      <c r="R410" s="569"/>
      <c r="S410" s="569"/>
      <c r="T410" s="289"/>
    </row>
    <row r="411" spans="1:21" s="97" customFormat="1" x14ac:dyDescent="0.2">
      <c r="A411" s="84"/>
      <c r="B411" s="67" t="s">
        <v>286</v>
      </c>
      <c r="C411" s="20">
        <v>0</v>
      </c>
      <c r="D411" s="20">
        <v>0</v>
      </c>
      <c r="E411" s="20">
        <v>324234</v>
      </c>
      <c r="F411" s="68">
        <v>883196.3</v>
      </c>
      <c r="G411" s="21">
        <v>952169.3</v>
      </c>
      <c r="H411" s="109"/>
      <c r="I411" s="569"/>
      <c r="J411" s="569"/>
      <c r="K411" s="569"/>
      <c r="L411" s="569"/>
      <c r="M411" s="569"/>
      <c r="N411" s="569"/>
      <c r="O411" s="569"/>
      <c r="P411" s="569"/>
      <c r="Q411" s="569"/>
      <c r="R411" s="569"/>
      <c r="S411" s="569"/>
      <c r="T411" s="289" t="s">
        <v>732</v>
      </c>
      <c r="U411" s="90" t="s">
        <v>734</v>
      </c>
    </row>
    <row r="412" spans="1:21" s="97" customFormat="1" x14ac:dyDescent="0.2">
      <c r="A412" s="84"/>
      <c r="B412" s="67" t="s">
        <v>287</v>
      </c>
      <c r="C412" s="22">
        <v>0</v>
      </c>
      <c r="D412" s="22">
        <v>0</v>
      </c>
      <c r="E412" s="22">
        <v>4323432</v>
      </c>
      <c r="F412" s="23">
        <v>21968.3</v>
      </c>
      <c r="G412" s="24">
        <v>30950.6</v>
      </c>
      <c r="H412" s="10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289" t="s">
        <v>732</v>
      </c>
      <c r="U412" s="90" t="s">
        <v>734</v>
      </c>
    </row>
    <row r="413" spans="1:21" s="97" customFormat="1" x14ac:dyDescent="0.2">
      <c r="A413" s="84"/>
      <c r="B413" s="67" t="s">
        <v>288</v>
      </c>
      <c r="C413" s="22">
        <v>0</v>
      </c>
      <c r="D413" s="22">
        <v>0</v>
      </c>
      <c r="E413" s="22">
        <v>234342</v>
      </c>
      <c r="F413" s="23">
        <v>123123.3</v>
      </c>
      <c r="G413" s="24">
        <v>1398312</v>
      </c>
      <c r="H413" s="10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289" t="s">
        <v>732</v>
      </c>
      <c r="U413" s="90" t="s">
        <v>734</v>
      </c>
    </row>
    <row r="414" spans="1:21" s="97" customFormat="1" x14ac:dyDescent="0.2">
      <c r="A414" s="84"/>
      <c r="B414" s="67" t="s">
        <v>289</v>
      </c>
      <c r="C414" s="25">
        <v>0</v>
      </c>
      <c r="D414" s="25">
        <v>0</v>
      </c>
      <c r="E414" s="25">
        <v>34234223</v>
      </c>
      <c r="F414" s="26">
        <v>9465.1</v>
      </c>
      <c r="G414" s="27">
        <v>13560.7</v>
      </c>
      <c r="H414" s="109"/>
      <c r="I414" s="569"/>
      <c r="J414" s="569"/>
      <c r="K414" s="569"/>
      <c r="L414" s="569"/>
      <c r="M414" s="569"/>
      <c r="N414" s="569"/>
      <c r="O414" s="569"/>
      <c r="P414" s="569"/>
      <c r="Q414" s="569"/>
      <c r="R414" s="569"/>
      <c r="S414" s="569"/>
      <c r="T414" s="289" t="s">
        <v>732</v>
      </c>
      <c r="U414" s="90" t="s">
        <v>734</v>
      </c>
    </row>
    <row r="415" spans="1:21" s="97" customFormat="1" x14ac:dyDescent="0.2">
      <c r="A415" s="84"/>
      <c r="B415" s="176" t="s">
        <v>290</v>
      </c>
      <c r="C415" s="177">
        <v>0</v>
      </c>
      <c r="D415" s="177">
        <v>0</v>
      </c>
      <c r="E415" s="177">
        <v>558576</v>
      </c>
      <c r="F415" s="177">
        <v>1006319.6000000001</v>
      </c>
      <c r="G415" s="178">
        <v>2350481.2999999998</v>
      </c>
      <c r="H415" s="109" t="s">
        <v>1030</v>
      </c>
      <c r="I415" s="569"/>
      <c r="J415" s="569"/>
      <c r="K415" s="569"/>
      <c r="L415" s="569"/>
      <c r="M415" s="569"/>
      <c r="N415" s="569"/>
      <c r="O415" s="569"/>
      <c r="P415" s="569"/>
      <c r="Q415" s="569"/>
      <c r="R415" s="569"/>
      <c r="S415" s="569"/>
      <c r="T415" s="297" t="s">
        <v>733</v>
      </c>
      <c r="U415" s="90" t="s">
        <v>734</v>
      </c>
    </row>
    <row r="416" spans="1:21" s="97" customFormat="1" x14ac:dyDescent="0.2">
      <c r="A416" s="84"/>
      <c r="B416" s="176" t="s">
        <v>291</v>
      </c>
      <c r="C416" s="177">
        <v>0</v>
      </c>
      <c r="D416" s="177">
        <v>0</v>
      </c>
      <c r="E416" s="177">
        <v>38557655</v>
      </c>
      <c r="F416" s="177">
        <v>31433.4</v>
      </c>
      <c r="G416" s="178">
        <v>44511.3</v>
      </c>
      <c r="H416" s="109" t="s">
        <v>1030</v>
      </c>
      <c r="I416" s="569"/>
      <c r="J416" s="569"/>
      <c r="K416" s="569"/>
      <c r="L416" s="569"/>
      <c r="M416" s="569"/>
      <c r="N416" s="569"/>
      <c r="O416" s="569"/>
      <c r="P416" s="569"/>
      <c r="Q416" s="569"/>
      <c r="R416" s="569"/>
      <c r="S416" s="569"/>
      <c r="T416" s="297" t="s">
        <v>733</v>
      </c>
      <c r="U416" s="90" t="s">
        <v>734</v>
      </c>
    </row>
    <row r="417" spans="1:30" s="97" customFormat="1" x14ac:dyDescent="0.2">
      <c r="A417" s="84"/>
      <c r="B417" s="67" t="s">
        <v>292</v>
      </c>
      <c r="C417" s="20">
        <v>0</v>
      </c>
      <c r="D417" s="20">
        <v>0</v>
      </c>
      <c r="E417" s="20">
        <v>2231231231</v>
      </c>
      <c r="F417" s="68">
        <v>91797.1</v>
      </c>
      <c r="G417" s="21">
        <v>82952</v>
      </c>
      <c r="H417" s="109"/>
      <c r="I417" s="569"/>
      <c r="J417" s="569"/>
      <c r="K417" s="569"/>
      <c r="L417" s="569"/>
      <c r="M417" s="569"/>
      <c r="N417" s="569"/>
      <c r="O417" s="569"/>
      <c r="P417" s="569"/>
      <c r="Q417" s="569"/>
      <c r="R417" s="569"/>
      <c r="S417" s="569"/>
      <c r="T417" s="289" t="s">
        <v>732</v>
      </c>
      <c r="U417" s="90" t="s">
        <v>734</v>
      </c>
    </row>
    <row r="418" spans="1:30" s="97" customFormat="1" x14ac:dyDescent="0.2">
      <c r="A418" s="84"/>
      <c r="B418" s="67" t="s">
        <v>293</v>
      </c>
      <c r="C418" s="25">
        <v>0</v>
      </c>
      <c r="D418" s="25">
        <v>0</v>
      </c>
      <c r="E418" s="25">
        <v>232343232</v>
      </c>
      <c r="F418" s="26">
        <v>31886.5</v>
      </c>
      <c r="G418" s="27">
        <v>34885.199999999997</v>
      </c>
      <c r="H418" s="109"/>
      <c r="I418" s="569"/>
      <c r="J418" s="569"/>
      <c r="K418" s="569"/>
      <c r="L418" s="569"/>
      <c r="M418" s="569"/>
      <c r="N418" s="569"/>
      <c r="O418" s="569"/>
      <c r="P418" s="569"/>
      <c r="Q418" s="569"/>
      <c r="R418" s="569"/>
      <c r="S418" s="569"/>
      <c r="T418" s="289" t="s">
        <v>732</v>
      </c>
      <c r="U418" s="90" t="s">
        <v>734</v>
      </c>
    </row>
    <row r="419" spans="1:30" s="97" customFormat="1" x14ac:dyDescent="0.2">
      <c r="A419" s="84"/>
      <c r="B419" s="179"/>
      <c r="C419" s="180"/>
      <c r="D419" s="180"/>
      <c r="E419" s="180"/>
      <c r="F419" s="180"/>
      <c r="G419" s="181"/>
      <c r="H419" s="10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289"/>
    </row>
    <row r="420" spans="1:30" s="97" customFormat="1" x14ac:dyDescent="0.2">
      <c r="A420" s="84"/>
      <c r="B420" s="203" t="s">
        <v>303</v>
      </c>
      <c r="C420" s="204">
        <v>0</v>
      </c>
      <c r="D420" s="204">
        <v>0</v>
      </c>
      <c r="E420" s="204">
        <v>270900887</v>
      </c>
      <c r="F420" s="204">
        <v>63319.9</v>
      </c>
      <c r="G420" s="205">
        <v>79396.5</v>
      </c>
      <c r="H420" s="109" t="s">
        <v>1030</v>
      </c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297" t="s">
        <v>733</v>
      </c>
      <c r="U420" s="90" t="s">
        <v>734</v>
      </c>
    </row>
    <row r="421" spans="1:30" s="97" customFormat="1" x14ac:dyDescent="0.2">
      <c r="A421" s="84"/>
      <c r="B421" s="67" t="s">
        <v>364</v>
      </c>
      <c r="C421" s="189"/>
      <c r="D421" s="190"/>
      <c r="E421" s="190"/>
      <c r="F421" s="190"/>
      <c r="G421" s="191"/>
      <c r="H421" s="10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289" t="s">
        <v>732</v>
      </c>
      <c r="U421" s="90" t="s">
        <v>734</v>
      </c>
    </row>
    <row r="422" spans="1:30" s="97" customFormat="1" x14ac:dyDescent="0.2">
      <c r="A422" s="84"/>
      <c r="B422" s="179"/>
      <c r="C422" s="209"/>
      <c r="D422" s="209"/>
      <c r="E422" s="209"/>
      <c r="F422" s="209"/>
      <c r="G422" s="210"/>
      <c r="H422" s="109"/>
      <c r="I422" s="569"/>
      <c r="J422" s="569"/>
      <c r="K422" s="569"/>
      <c r="L422" s="569"/>
      <c r="M422" s="569"/>
      <c r="N422" s="569"/>
      <c r="O422" s="569"/>
      <c r="P422" s="569"/>
      <c r="Q422" s="569"/>
      <c r="R422" s="569"/>
      <c r="S422" s="569"/>
    </row>
    <row r="423" spans="1:30" s="97" customFormat="1" ht="13.5" thickBot="1" x14ac:dyDescent="0.25">
      <c r="A423" s="87"/>
      <c r="B423" s="192"/>
      <c r="C423" s="153"/>
      <c r="D423" s="153"/>
      <c r="E423" s="153"/>
      <c r="F423" s="153"/>
      <c r="G423" s="154"/>
      <c r="H423" s="109"/>
      <c r="I423" s="569"/>
      <c r="J423" s="569"/>
      <c r="K423" s="569"/>
      <c r="L423" s="569"/>
      <c r="M423" s="569"/>
      <c r="N423" s="569"/>
      <c r="O423" s="569"/>
      <c r="P423" s="569"/>
      <c r="Q423" s="569"/>
      <c r="R423" s="569"/>
      <c r="S423" s="569"/>
    </row>
    <row r="424" spans="1:30" s="97" customFormat="1" x14ac:dyDescent="0.2">
      <c r="B424" s="111"/>
      <c r="C424" s="96"/>
      <c r="D424" s="96"/>
      <c r="E424" s="96"/>
      <c r="F424" s="96"/>
      <c r="G424" s="96"/>
      <c r="H424" s="10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</row>
    <row r="425" spans="1:30" s="97" customFormat="1" ht="13.5" thickBot="1" x14ac:dyDescent="0.25">
      <c r="B425" s="113"/>
      <c r="C425" s="112"/>
      <c r="D425" s="112"/>
      <c r="E425" s="112"/>
      <c r="F425" s="112"/>
      <c r="G425" s="112"/>
      <c r="H425" s="10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</row>
    <row r="426" spans="1:30" s="97" customFormat="1" ht="19.5" thickBot="1" x14ac:dyDescent="0.25">
      <c r="A426" s="41"/>
      <c r="B426" s="34" t="s">
        <v>306</v>
      </c>
      <c r="C426" s="223"/>
      <c r="D426" s="223"/>
      <c r="E426" s="223"/>
      <c r="F426" s="223"/>
      <c r="G426" s="223"/>
      <c r="H426" s="570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</row>
    <row r="427" spans="1:30" s="97" customFormat="1" x14ac:dyDescent="0.2">
      <c r="A427" s="169"/>
      <c r="B427" s="170"/>
      <c r="C427" s="171"/>
      <c r="D427" s="171"/>
      <c r="E427" s="171"/>
      <c r="F427" s="171"/>
      <c r="G427" s="171"/>
      <c r="H427" s="171"/>
      <c r="I427" s="171"/>
      <c r="J427" s="172"/>
    </row>
    <row r="428" spans="1:30" s="97" customFormat="1" x14ac:dyDescent="0.2">
      <c r="A428" s="169"/>
      <c r="B428" s="170" t="s">
        <v>285</v>
      </c>
      <c r="C428" s="193" t="s">
        <v>1043</v>
      </c>
      <c r="D428" s="193"/>
      <c r="E428" s="193"/>
      <c r="F428" s="193"/>
      <c r="G428" s="193"/>
      <c r="H428" s="193"/>
      <c r="I428" s="193"/>
      <c r="J428" s="194"/>
    </row>
    <row r="429" spans="1:30" s="97" customFormat="1" ht="15" x14ac:dyDescent="0.35">
      <c r="A429" s="84"/>
      <c r="B429" s="160"/>
      <c r="C429" s="193" t="s">
        <v>308</v>
      </c>
      <c r="D429" s="193"/>
      <c r="E429" s="193"/>
      <c r="F429" s="193"/>
      <c r="G429" s="193" t="s">
        <v>326</v>
      </c>
      <c r="H429" s="193"/>
      <c r="I429" s="193"/>
      <c r="J429" s="194"/>
    </row>
    <row r="430" spans="1:30" s="97" customFormat="1" ht="15" x14ac:dyDescent="0.35">
      <c r="A430" s="84"/>
      <c r="B430" s="160" t="s">
        <v>307</v>
      </c>
      <c r="C430" s="193" t="s">
        <v>309</v>
      </c>
      <c r="D430" s="193" t="s">
        <v>310</v>
      </c>
      <c r="E430" s="193" t="s">
        <v>311</v>
      </c>
      <c r="F430" s="193" t="s">
        <v>247</v>
      </c>
      <c r="G430" s="193" t="s">
        <v>309</v>
      </c>
      <c r="H430" s="193" t="s">
        <v>310</v>
      </c>
      <c r="I430" s="193" t="s">
        <v>311</v>
      </c>
      <c r="J430" s="194" t="s">
        <v>247</v>
      </c>
      <c r="W430" s="193"/>
      <c r="X430" s="193" t="s">
        <v>310</v>
      </c>
      <c r="Y430" s="193" t="s">
        <v>311</v>
      </c>
      <c r="Z430" s="193" t="s">
        <v>247</v>
      </c>
      <c r="AA430" s="193" t="s">
        <v>309</v>
      </c>
      <c r="AB430" s="193" t="s">
        <v>310</v>
      </c>
      <c r="AC430" s="193" t="s">
        <v>311</v>
      </c>
      <c r="AD430" s="194" t="s">
        <v>247</v>
      </c>
    </row>
    <row r="431" spans="1:30" s="97" customFormat="1" x14ac:dyDescent="0.2">
      <c r="A431" s="84"/>
      <c r="B431" s="195" t="s">
        <v>324</v>
      </c>
      <c r="C431" s="196">
        <v>870649.7</v>
      </c>
      <c r="D431" s="196">
        <v>122596.6</v>
      </c>
      <c r="E431" s="196">
        <v>91770.8</v>
      </c>
      <c r="F431" s="197">
        <v>1085017.0999999999</v>
      </c>
      <c r="G431" s="196">
        <v>21560.5</v>
      </c>
      <c r="H431" s="196">
        <v>9280.7999999999993</v>
      </c>
      <c r="I431" s="197">
        <v>31859.5</v>
      </c>
      <c r="J431" s="198">
        <v>62700.800000000003</v>
      </c>
      <c r="K431" s="97" t="s">
        <v>1044</v>
      </c>
      <c r="T431" s="97" t="s">
        <v>738</v>
      </c>
      <c r="U431" s="97" t="s">
        <v>734</v>
      </c>
      <c r="W431" s="569"/>
      <c r="X431" s="569" t="s">
        <v>830</v>
      </c>
      <c r="Y431" s="569" t="s">
        <v>831</v>
      </c>
      <c r="Z431" s="569" t="s">
        <v>832</v>
      </c>
      <c r="AA431" s="569" t="s">
        <v>833</v>
      </c>
      <c r="AB431" s="569" t="s">
        <v>834</v>
      </c>
      <c r="AC431" s="569" t="s">
        <v>835</v>
      </c>
      <c r="AD431" s="569" t="s">
        <v>836</v>
      </c>
    </row>
    <row r="432" spans="1:30" s="97" customFormat="1" ht="25.5" x14ac:dyDescent="0.2">
      <c r="A432" s="84"/>
      <c r="B432" s="67" t="s">
        <v>312</v>
      </c>
      <c r="C432" s="20">
        <v>213</v>
      </c>
      <c r="D432" s="20">
        <v>435</v>
      </c>
      <c r="E432" s="20">
        <v>657</v>
      </c>
      <c r="F432" s="68">
        <v>1305</v>
      </c>
      <c r="G432" s="20">
        <v>10101.299999999999</v>
      </c>
      <c r="H432" s="20">
        <v>4022</v>
      </c>
      <c r="I432" s="68">
        <v>5566.5</v>
      </c>
      <c r="J432" s="198">
        <v>19689.8</v>
      </c>
      <c r="K432" s="97" t="s">
        <v>1044</v>
      </c>
      <c r="T432" s="97" t="s">
        <v>738</v>
      </c>
      <c r="U432" s="97" t="s">
        <v>734</v>
      </c>
      <c r="W432" s="569"/>
      <c r="X432" s="569" t="s">
        <v>837</v>
      </c>
      <c r="Y432" s="569" t="s">
        <v>838</v>
      </c>
      <c r="Z432" s="569" t="s">
        <v>839</v>
      </c>
      <c r="AA432" s="569" t="s">
        <v>840</v>
      </c>
      <c r="AB432" s="569" t="s">
        <v>841</v>
      </c>
      <c r="AC432" s="569" t="s">
        <v>842</v>
      </c>
      <c r="AD432" s="569" t="s">
        <v>843</v>
      </c>
    </row>
    <row r="433" spans="1:30" s="97" customFormat="1" x14ac:dyDescent="0.2">
      <c r="A433" s="84"/>
      <c r="B433" s="67" t="s">
        <v>313</v>
      </c>
      <c r="C433" s="20">
        <v>-225924.1</v>
      </c>
      <c r="D433" s="20">
        <v>-35316.5</v>
      </c>
      <c r="E433" s="20">
        <v>-21578.400000000001</v>
      </c>
      <c r="F433" s="68">
        <v>-282819</v>
      </c>
      <c r="G433" s="20">
        <v>0</v>
      </c>
      <c r="H433" s="20">
        <v>0</v>
      </c>
      <c r="I433" s="68">
        <v>0</v>
      </c>
      <c r="J433" s="21">
        <v>0</v>
      </c>
      <c r="K433" s="97" t="s">
        <v>1044</v>
      </c>
      <c r="T433" s="97" t="s">
        <v>738</v>
      </c>
      <c r="U433" s="97" t="s">
        <v>734</v>
      </c>
      <c r="W433" s="569"/>
      <c r="X433" s="569" t="s">
        <v>844</v>
      </c>
      <c r="Y433" s="569" t="s">
        <v>845</v>
      </c>
      <c r="Z433" s="569" t="s">
        <v>846</v>
      </c>
      <c r="AA433" s="569" t="s">
        <v>847</v>
      </c>
      <c r="AB433" s="569" t="s">
        <v>848</v>
      </c>
      <c r="AC433" s="569" t="s">
        <v>849</v>
      </c>
      <c r="AD433" s="569" t="s">
        <v>850</v>
      </c>
    </row>
    <row r="434" spans="1:30" s="97" customFormat="1" x14ac:dyDescent="0.2">
      <c r="A434" s="84"/>
      <c r="B434" s="67" t="s">
        <v>314</v>
      </c>
      <c r="C434" s="20">
        <v>0</v>
      </c>
      <c r="D434" s="20">
        <v>0</v>
      </c>
      <c r="E434" s="20">
        <v>0</v>
      </c>
      <c r="F434" s="68">
        <v>0</v>
      </c>
      <c r="G434" s="20">
        <v>0</v>
      </c>
      <c r="H434" s="20">
        <v>0</v>
      </c>
      <c r="I434" s="68">
        <v>0</v>
      </c>
      <c r="J434" s="21">
        <v>0</v>
      </c>
      <c r="K434" s="97" t="s">
        <v>1044</v>
      </c>
      <c r="T434" s="97" t="s">
        <v>738</v>
      </c>
      <c r="U434" s="97" t="s">
        <v>734</v>
      </c>
      <c r="W434" s="569"/>
      <c r="X434" s="569" t="s">
        <v>851</v>
      </c>
      <c r="Y434" s="569" t="s">
        <v>852</v>
      </c>
      <c r="Z434" s="569" t="s">
        <v>853</v>
      </c>
      <c r="AA434" s="569" t="s">
        <v>854</v>
      </c>
      <c r="AB434" s="569" t="s">
        <v>855</v>
      </c>
      <c r="AC434" s="569" t="s">
        <v>856</v>
      </c>
      <c r="AD434" s="569" t="s">
        <v>857</v>
      </c>
    </row>
    <row r="435" spans="1:30" s="97" customFormat="1" x14ac:dyDescent="0.2">
      <c r="A435" s="84"/>
      <c r="B435" s="67" t="s">
        <v>315</v>
      </c>
      <c r="C435" s="20">
        <v>99586.5</v>
      </c>
      <c r="D435" s="20">
        <v>-77267</v>
      </c>
      <c r="E435" s="20">
        <v>-22319.5</v>
      </c>
      <c r="F435" s="68">
        <v>0</v>
      </c>
      <c r="G435" s="20">
        <v>13811.3</v>
      </c>
      <c r="H435" s="20">
        <v>-6025.4</v>
      </c>
      <c r="I435" s="68">
        <v>-7785.9</v>
      </c>
      <c r="J435" s="21">
        <v>0</v>
      </c>
      <c r="K435" s="97" t="s">
        <v>1044</v>
      </c>
      <c r="T435" s="97" t="s">
        <v>738</v>
      </c>
      <c r="U435" s="97" t="s">
        <v>734</v>
      </c>
      <c r="W435" s="569"/>
      <c r="X435" s="569" t="s">
        <v>858</v>
      </c>
      <c r="Y435" s="569" t="s">
        <v>859</v>
      </c>
      <c r="Z435" s="569" t="s">
        <v>860</v>
      </c>
      <c r="AA435" s="569" t="s">
        <v>861</v>
      </c>
      <c r="AB435" s="569" t="s">
        <v>862</v>
      </c>
      <c r="AC435" s="569" t="s">
        <v>863</v>
      </c>
      <c r="AD435" s="569" t="s">
        <v>864</v>
      </c>
    </row>
    <row r="436" spans="1:30" s="97" customFormat="1" x14ac:dyDescent="0.2">
      <c r="A436" s="84"/>
      <c r="B436" s="67" t="s">
        <v>316</v>
      </c>
      <c r="C436" s="20">
        <v>-97663.5</v>
      </c>
      <c r="D436" s="20">
        <v>107229.3</v>
      </c>
      <c r="E436" s="20">
        <v>-9565.7999999999993</v>
      </c>
      <c r="F436" s="68">
        <v>0</v>
      </c>
      <c r="G436" s="20">
        <v>-2607.5</v>
      </c>
      <c r="H436" s="20">
        <v>5989.6</v>
      </c>
      <c r="I436" s="68">
        <v>-3382.1</v>
      </c>
      <c r="J436" s="21">
        <v>0</v>
      </c>
      <c r="K436" s="97" t="s">
        <v>1044</v>
      </c>
      <c r="T436" s="97" t="s">
        <v>738</v>
      </c>
      <c r="U436" s="97" t="s">
        <v>734</v>
      </c>
      <c r="W436" s="569"/>
      <c r="X436" s="569" t="s">
        <v>865</v>
      </c>
      <c r="Y436" s="569" t="s">
        <v>866</v>
      </c>
      <c r="Z436" s="569" t="s">
        <v>867</v>
      </c>
      <c r="AA436" s="569" t="s">
        <v>868</v>
      </c>
      <c r="AB436" s="569" t="s">
        <v>869</v>
      </c>
      <c r="AC436" s="569" t="s">
        <v>870</v>
      </c>
      <c r="AD436" s="569" t="s">
        <v>871</v>
      </c>
    </row>
    <row r="437" spans="1:30" s="97" customFormat="1" x14ac:dyDescent="0.2">
      <c r="A437" s="84"/>
      <c r="B437" s="67" t="s">
        <v>317</v>
      </c>
      <c r="C437" s="20">
        <v>-24490.799999999999</v>
      </c>
      <c r="D437" s="20">
        <v>-16931.2</v>
      </c>
      <c r="E437" s="20">
        <v>41422</v>
      </c>
      <c r="F437" s="68">
        <v>0</v>
      </c>
      <c r="G437" s="20">
        <v>-654.20000000000005</v>
      </c>
      <c r="H437" s="20">
        <v>-1452.9</v>
      </c>
      <c r="I437" s="68">
        <v>2107.1</v>
      </c>
      <c r="J437" s="21">
        <v>0</v>
      </c>
      <c r="K437" s="97" t="s">
        <v>1044</v>
      </c>
      <c r="T437" s="97" t="s">
        <v>738</v>
      </c>
      <c r="U437" s="97" t="s">
        <v>734</v>
      </c>
      <c r="W437" s="569"/>
      <c r="X437" s="569" t="s">
        <v>872</v>
      </c>
      <c r="Y437" s="569" t="s">
        <v>873</v>
      </c>
      <c r="Z437" s="569" t="s">
        <v>874</v>
      </c>
      <c r="AA437" s="569" t="s">
        <v>875</v>
      </c>
      <c r="AB437" s="569" t="s">
        <v>876</v>
      </c>
      <c r="AC437" s="569" t="s">
        <v>877</v>
      </c>
      <c r="AD437" s="569" t="s">
        <v>878</v>
      </c>
    </row>
    <row r="438" spans="1:30" s="97" customFormat="1" x14ac:dyDescent="0.2">
      <c r="A438" s="182"/>
      <c r="B438" s="67" t="s">
        <v>318</v>
      </c>
      <c r="C438" s="20">
        <v>-4005.4</v>
      </c>
      <c r="D438" s="20">
        <v>-1104.7</v>
      </c>
      <c r="E438" s="20">
        <v>-9986</v>
      </c>
      <c r="F438" s="68">
        <v>-15096.1</v>
      </c>
      <c r="G438" s="20">
        <v>-4005.4</v>
      </c>
      <c r="H438" s="20">
        <v>-1104.7</v>
      </c>
      <c r="I438" s="68">
        <v>-9986.4</v>
      </c>
      <c r="J438" s="21">
        <v>-15096.5</v>
      </c>
      <c r="K438" s="97" t="s">
        <v>1044</v>
      </c>
      <c r="T438" s="97" t="s">
        <v>738</v>
      </c>
      <c r="U438" s="97" t="s">
        <v>734</v>
      </c>
      <c r="W438" s="569"/>
      <c r="X438" s="569" t="s">
        <v>879</v>
      </c>
      <c r="Y438" s="569" t="s">
        <v>880</v>
      </c>
      <c r="Z438" s="569" t="s">
        <v>881</v>
      </c>
      <c r="AA438" s="569" t="s">
        <v>882</v>
      </c>
      <c r="AB438" s="569" t="s">
        <v>883</v>
      </c>
      <c r="AC438" s="569" t="s">
        <v>884</v>
      </c>
      <c r="AD438" s="569" t="s">
        <v>885</v>
      </c>
    </row>
    <row r="439" spans="1:30" s="97" customFormat="1" ht="25.5" x14ac:dyDescent="0.2">
      <c r="A439" s="182"/>
      <c r="B439" s="67" t="s">
        <v>319</v>
      </c>
      <c r="C439" s="20">
        <v>0</v>
      </c>
      <c r="D439" s="20">
        <v>0</v>
      </c>
      <c r="E439" s="20">
        <v>0</v>
      </c>
      <c r="F439" s="68">
        <v>0</v>
      </c>
      <c r="G439" s="20">
        <v>-7742.5</v>
      </c>
      <c r="H439" s="20">
        <v>2851.3</v>
      </c>
      <c r="I439" s="68">
        <v>16482.2</v>
      </c>
      <c r="J439" s="21">
        <v>11591</v>
      </c>
      <c r="K439" s="97" t="s">
        <v>1044</v>
      </c>
      <c r="T439" s="97" t="s">
        <v>738</v>
      </c>
      <c r="U439" s="97" t="s">
        <v>734</v>
      </c>
      <c r="W439" s="569"/>
      <c r="X439" s="569" t="s">
        <v>886</v>
      </c>
      <c r="Y439" s="569" t="s">
        <v>887</v>
      </c>
      <c r="Z439" s="569" t="s">
        <v>888</v>
      </c>
      <c r="AA439" s="569" t="s">
        <v>889</v>
      </c>
      <c r="AB439" s="569" t="s">
        <v>890</v>
      </c>
      <c r="AC439" s="569" t="s">
        <v>891</v>
      </c>
      <c r="AD439" s="569" t="s">
        <v>892</v>
      </c>
    </row>
    <row r="440" spans="1:30" s="97" customFormat="1" x14ac:dyDescent="0.2">
      <c r="A440" s="182"/>
      <c r="B440" s="67" t="s">
        <v>320</v>
      </c>
      <c r="C440" s="20">
        <v>0</v>
      </c>
      <c r="D440" s="20">
        <v>0</v>
      </c>
      <c r="E440" s="20">
        <v>0</v>
      </c>
      <c r="F440" s="68">
        <v>0</v>
      </c>
      <c r="G440" s="20">
        <v>0</v>
      </c>
      <c r="H440" s="20">
        <v>0</v>
      </c>
      <c r="I440" s="68">
        <v>0</v>
      </c>
      <c r="J440" s="21">
        <v>0</v>
      </c>
      <c r="K440" s="97" t="s">
        <v>1044</v>
      </c>
      <c r="T440" s="97" t="s">
        <v>738</v>
      </c>
      <c r="U440" s="97" t="s">
        <v>734</v>
      </c>
      <c r="W440" s="569"/>
      <c r="X440" s="569" t="s">
        <v>893</v>
      </c>
      <c r="Y440" s="569" t="s">
        <v>894</v>
      </c>
      <c r="Z440" s="569" t="s">
        <v>895</v>
      </c>
      <c r="AA440" s="569" t="s">
        <v>896</v>
      </c>
      <c r="AB440" s="569" t="s">
        <v>897</v>
      </c>
      <c r="AC440" s="569" t="s">
        <v>898</v>
      </c>
      <c r="AD440" s="569" t="s">
        <v>899</v>
      </c>
    </row>
    <row r="441" spans="1:30" s="97" customFormat="1" x14ac:dyDescent="0.2">
      <c r="A441" s="182"/>
      <c r="B441" s="67" t="s">
        <v>321</v>
      </c>
      <c r="C441" s="20">
        <v>0</v>
      </c>
      <c r="D441" s="20">
        <v>0</v>
      </c>
      <c r="E441" s="20">
        <v>0</v>
      </c>
      <c r="F441" s="68">
        <v>0</v>
      </c>
      <c r="G441" s="20">
        <v>0</v>
      </c>
      <c r="H441" s="20">
        <v>0</v>
      </c>
      <c r="I441" s="68">
        <v>0</v>
      </c>
      <c r="J441" s="21">
        <v>0</v>
      </c>
      <c r="K441" s="97" t="s">
        <v>1044</v>
      </c>
      <c r="T441" s="97" t="s">
        <v>738</v>
      </c>
      <c r="U441" s="97" t="s">
        <v>734</v>
      </c>
      <c r="W441" s="569"/>
      <c r="X441" s="569" t="s">
        <v>900</v>
      </c>
      <c r="Y441" s="569" t="s">
        <v>901</v>
      </c>
      <c r="Z441" s="569" t="s">
        <v>902</v>
      </c>
      <c r="AA441" s="569" t="s">
        <v>903</v>
      </c>
      <c r="AB441" s="569" t="s">
        <v>904</v>
      </c>
      <c r="AC441" s="569" t="s">
        <v>905</v>
      </c>
      <c r="AD441" s="569" t="s">
        <v>906</v>
      </c>
    </row>
    <row r="442" spans="1:30" s="97" customFormat="1" x14ac:dyDescent="0.2">
      <c r="A442" s="182"/>
      <c r="B442" s="67" t="s">
        <v>322</v>
      </c>
      <c r="C442" s="20">
        <v>0</v>
      </c>
      <c r="D442" s="20">
        <v>0</v>
      </c>
      <c r="E442" s="20">
        <v>0</v>
      </c>
      <c r="F442" s="68">
        <v>0</v>
      </c>
      <c r="G442" s="20">
        <v>0</v>
      </c>
      <c r="H442" s="20">
        <v>0</v>
      </c>
      <c r="I442" s="68">
        <v>0</v>
      </c>
      <c r="J442" s="21">
        <v>0</v>
      </c>
      <c r="K442" s="97" t="s">
        <v>1044</v>
      </c>
      <c r="T442" s="97" t="s">
        <v>738</v>
      </c>
      <c r="U442" s="97" t="s">
        <v>734</v>
      </c>
      <c r="W442" s="569"/>
      <c r="X442" s="569" t="s">
        <v>907</v>
      </c>
      <c r="Y442" s="569" t="s">
        <v>908</v>
      </c>
      <c r="Z442" s="569" t="s">
        <v>909</v>
      </c>
      <c r="AA442" s="569" t="s">
        <v>910</v>
      </c>
      <c r="AB442" s="569" t="s">
        <v>911</v>
      </c>
      <c r="AC442" s="569" t="s">
        <v>912</v>
      </c>
      <c r="AD442" s="569" t="s">
        <v>913</v>
      </c>
    </row>
    <row r="443" spans="1:30" s="97" customFormat="1" ht="25.5" x14ac:dyDescent="0.2">
      <c r="A443" s="182"/>
      <c r="B443" s="67" t="s">
        <v>323</v>
      </c>
      <c r="C443" s="20">
        <v>0</v>
      </c>
      <c r="D443" s="20">
        <v>0</v>
      </c>
      <c r="E443" s="20">
        <v>0</v>
      </c>
      <c r="F443" s="68">
        <v>0</v>
      </c>
      <c r="G443" s="20">
        <v>0</v>
      </c>
      <c r="H443" s="20">
        <v>0</v>
      </c>
      <c r="I443" s="68">
        <v>0</v>
      </c>
      <c r="J443" s="21">
        <v>0</v>
      </c>
      <c r="K443" s="97" t="s">
        <v>1044</v>
      </c>
      <c r="T443" s="97" t="s">
        <v>738</v>
      </c>
      <c r="U443" s="97" t="s">
        <v>734</v>
      </c>
      <c r="W443" s="569"/>
      <c r="X443" s="569" t="s">
        <v>914</v>
      </c>
      <c r="Y443" s="569" t="s">
        <v>915</v>
      </c>
      <c r="Z443" s="569" t="s">
        <v>916</v>
      </c>
      <c r="AA443" s="569" t="s">
        <v>917</v>
      </c>
      <c r="AB443" s="569" t="s">
        <v>918</v>
      </c>
      <c r="AC443" s="569" t="s">
        <v>919</v>
      </c>
      <c r="AD443" s="569" t="s">
        <v>920</v>
      </c>
    </row>
    <row r="444" spans="1:30" s="97" customFormat="1" x14ac:dyDescent="0.2">
      <c r="A444" s="182"/>
      <c r="B444" s="195" t="s">
        <v>325</v>
      </c>
      <c r="C444" s="199">
        <v>618365.39999999991</v>
      </c>
      <c r="D444" s="199">
        <v>99641.500000000015</v>
      </c>
      <c r="E444" s="199">
        <v>70400.099999999991</v>
      </c>
      <c r="F444" s="199">
        <v>788406.99999999988</v>
      </c>
      <c r="G444" s="199">
        <v>30463.5</v>
      </c>
      <c r="H444" s="199">
        <v>13560.7</v>
      </c>
      <c r="I444" s="199">
        <v>34860.899999999994</v>
      </c>
      <c r="J444" s="310">
        <v>78885.100000000006</v>
      </c>
      <c r="K444" s="311" t="s">
        <v>1030</v>
      </c>
      <c r="T444" s="97" t="s">
        <v>738</v>
      </c>
      <c r="U444" s="97" t="s">
        <v>734</v>
      </c>
      <c r="W444" s="569"/>
      <c r="X444" s="569" t="s">
        <v>921</v>
      </c>
      <c r="Y444" s="569" t="s">
        <v>922</v>
      </c>
      <c r="Z444" s="569" t="s">
        <v>923</v>
      </c>
      <c r="AA444" s="569" t="s">
        <v>924</v>
      </c>
      <c r="AB444" s="569" t="s">
        <v>925</v>
      </c>
      <c r="AC444" s="569" t="s">
        <v>926</v>
      </c>
      <c r="AD444" s="569" t="s">
        <v>927</v>
      </c>
    </row>
    <row r="445" spans="1:30" x14ac:dyDescent="0.2">
      <c r="A445" s="84"/>
      <c r="B445" s="179"/>
      <c r="C445" s="151"/>
      <c r="D445" s="151"/>
      <c r="E445" s="151"/>
      <c r="F445" s="151"/>
      <c r="G445" s="151"/>
      <c r="H445" s="151"/>
      <c r="I445" s="151"/>
      <c r="J445" s="152"/>
    </row>
    <row r="446" spans="1:30" ht="13.5" thickBot="1" x14ac:dyDescent="0.25">
      <c r="A446" s="87"/>
      <c r="B446" s="192"/>
      <c r="C446" s="153"/>
      <c r="D446" s="153"/>
      <c r="E446" s="153"/>
      <c r="F446" s="153"/>
      <c r="G446" s="153"/>
      <c r="H446" s="153"/>
      <c r="I446" s="153"/>
      <c r="J446" s="154"/>
    </row>
    <row r="447" spans="1:30" ht="13.5" thickBot="1" x14ac:dyDescent="0.25">
      <c r="A447" s="97"/>
      <c r="B447" s="111"/>
      <c r="C447" s="96"/>
      <c r="D447" s="96"/>
      <c r="E447" s="96"/>
      <c r="F447" s="96"/>
      <c r="G447" s="96"/>
    </row>
    <row r="448" spans="1:30" ht="19.5" thickBot="1" x14ac:dyDescent="0.25">
      <c r="A448" s="41"/>
      <c r="B448" s="34" t="s">
        <v>306</v>
      </c>
      <c r="C448" s="223"/>
      <c r="D448" s="223"/>
      <c r="E448" s="223"/>
      <c r="F448" s="223"/>
      <c r="G448" s="223"/>
      <c r="H448" s="97"/>
      <c r="I448" s="97"/>
      <c r="J448" s="289"/>
    </row>
    <row r="449" spans="1:30" x14ac:dyDescent="0.2">
      <c r="A449" s="169"/>
      <c r="B449" s="170"/>
      <c r="C449" s="171"/>
      <c r="D449" s="171"/>
      <c r="E449" s="171"/>
      <c r="F449" s="171"/>
      <c r="G449" s="171"/>
      <c r="H449" s="171"/>
      <c r="I449" s="171"/>
      <c r="J449" s="172"/>
    </row>
    <row r="450" spans="1:30" x14ac:dyDescent="0.2">
      <c r="A450" s="169"/>
      <c r="B450" s="170" t="s">
        <v>285</v>
      </c>
      <c r="C450" s="193" t="s">
        <v>1042</v>
      </c>
      <c r="D450" s="193"/>
      <c r="E450" s="193"/>
      <c r="F450" s="193"/>
      <c r="G450" s="193"/>
      <c r="H450" s="193"/>
      <c r="I450" s="193"/>
      <c r="J450" s="194"/>
    </row>
    <row r="451" spans="1:30" ht="15" x14ac:dyDescent="0.35">
      <c r="A451" s="84"/>
      <c r="B451" s="160"/>
      <c r="C451" s="193" t="s">
        <v>308</v>
      </c>
      <c r="D451" s="193"/>
      <c r="E451" s="193"/>
      <c r="F451" s="193"/>
      <c r="G451" s="193" t="s">
        <v>326</v>
      </c>
      <c r="H451" s="193"/>
      <c r="I451" s="193"/>
      <c r="J451" s="194"/>
    </row>
    <row r="452" spans="1:30" ht="15" x14ac:dyDescent="0.35">
      <c r="A452" s="84"/>
      <c r="B452" s="160" t="s">
        <v>307</v>
      </c>
      <c r="C452" s="193" t="s">
        <v>309</v>
      </c>
      <c r="D452" s="193" t="s">
        <v>310</v>
      </c>
      <c r="E452" s="193" t="s">
        <v>311</v>
      </c>
      <c r="F452" s="193" t="s">
        <v>247</v>
      </c>
      <c r="G452" s="193" t="s">
        <v>309</v>
      </c>
      <c r="H452" s="193" t="s">
        <v>310</v>
      </c>
      <c r="I452" s="193" t="s">
        <v>311</v>
      </c>
      <c r="J452" s="194" t="s">
        <v>247</v>
      </c>
      <c r="V452" s="571"/>
      <c r="W452" s="571"/>
      <c r="X452" s="571" t="str">
        <f t="shared" ref="X452:AD452" si="1">D452</f>
        <v>Stage 2</v>
      </c>
      <c r="Y452" s="571" t="str">
        <f t="shared" si="1"/>
        <v>Stage 3</v>
      </c>
      <c r="Z452" s="571" t="str">
        <f t="shared" si="1"/>
        <v>Total</v>
      </c>
      <c r="AA452" s="571" t="str">
        <f t="shared" si="1"/>
        <v>Stage 1</v>
      </c>
      <c r="AB452" s="571" t="str">
        <f t="shared" si="1"/>
        <v>Stage 2</v>
      </c>
      <c r="AC452" s="571" t="str">
        <f t="shared" si="1"/>
        <v>Stage 3</v>
      </c>
      <c r="AD452" s="571" t="str">
        <f t="shared" si="1"/>
        <v>Total</v>
      </c>
    </row>
    <row r="453" spans="1:30" x14ac:dyDescent="0.2">
      <c r="A453" s="84"/>
      <c r="B453" s="195" t="s">
        <v>324</v>
      </c>
      <c r="C453" s="196">
        <v>740998.9</v>
      </c>
      <c r="D453" s="196">
        <v>195913.3</v>
      </c>
      <c r="E453" s="196">
        <v>86162.7</v>
      </c>
      <c r="F453" s="197">
        <v>1023074.8999999999</v>
      </c>
      <c r="G453" s="196">
        <v>14728</v>
      </c>
      <c r="H453" s="196">
        <v>11134.6</v>
      </c>
      <c r="I453" s="197">
        <v>29697.4</v>
      </c>
      <c r="J453" s="198">
        <v>55560</v>
      </c>
      <c r="K453" s="97" t="s">
        <v>1044</v>
      </c>
      <c r="Q453" s="97"/>
      <c r="R453" s="97"/>
      <c r="T453" s="97" t="s">
        <v>738</v>
      </c>
      <c r="U453" s="97" t="s">
        <v>734</v>
      </c>
      <c r="V453" s="571"/>
      <c r="W453" s="571"/>
      <c r="X453" s="571" t="s">
        <v>928</v>
      </c>
      <c r="Y453" s="571" t="s">
        <v>929</v>
      </c>
      <c r="Z453" s="571" t="s">
        <v>930</v>
      </c>
      <c r="AA453" s="571" t="s">
        <v>931</v>
      </c>
      <c r="AB453" s="571" t="s">
        <v>932</v>
      </c>
      <c r="AC453" s="571" t="s">
        <v>933</v>
      </c>
      <c r="AD453" s="571" t="s">
        <v>934</v>
      </c>
    </row>
    <row r="454" spans="1:30" ht="25.5" x14ac:dyDescent="0.2">
      <c r="A454" s="84"/>
      <c r="B454" s="67" t="s">
        <v>312</v>
      </c>
      <c r="C454" s="20">
        <v>430058.2</v>
      </c>
      <c r="D454" s="20">
        <v>73565.8</v>
      </c>
      <c r="E454" s="20">
        <v>11134.7</v>
      </c>
      <c r="F454" s="197">
        <v>514758.7</v>
      </c>
      <c r="G454" s="20">
        <v>8878.2999999999993</v>
      </c>
      <c r="H454" s="20">
        <v>4895.5</v>
      </c>
      <c r="I454" s="68">
        <v>3827.2</v>
      </c>
      <c r="J454" s="21">
        <v>17601</v>
      </c>
      <c r="K454" s="97" t="s">
        <v>1044</v>
      </c>
      <c r="Q454" s="97"/>
      <c r="R454" s="97"/>
      <c r="T454" s="97" t="s">
        <v>738</v>
      </c>
      <c r="U454" s="97" t="s">
        <v>734</v>
      </c>
      <c r="V454" s="571"/>
      <c r="W454" s="571"/>
      <c r="X454" s="571" t="s">
        <v>935</v>
      </c>
      <c r="Y454" s="571" t="s">
        <v>936</v>
      </c>
      <c r="Z454" s="571" t="s">
        <v>937</v>
      </c>
      <c r="AA454" s="571" t="s">
        <v>938</v>
      </c>
      <c r="AB454" s="571" t="s">
        <v>939</v>
      </c>
      <c r="AC454" s="571" t="s">
        <v>940</v>
      </c>
      <c r="AD454" s="571" t="s">
        <v>941</v>
      </c>
    </row>
    <row r="455" spans="1:30" x14ac:dyDescent="0.2">
      <c r="A455" s="84"/>
      <c r="B455" s="67" t="s">
        <v>313</v>
      </c>
      <c r="C455" s="20">
        <v>-334638.5</v>
      </c>
      <c r="D455" s="20">
        <v>-63062.3</v>
      </c>
      <c r="E455" s="20">
        <v>-34762.199999999997</v>
      </c>
      <c r="F455" s="197">
        <v>-432463</v>
      </c>
      <c r="G455" s="20">
        <v>0</v>
      </c>
      <c r="H455" s="20">
        <v>0</v>
      </c>
      <c r="I455" s="68">
        <v>0</v>
      </c>
      <c r="J455" s="21">
        <v>0</v>
      </c>
      <c r="K455" s="97" t="s">
        <v>1044</v>
      </c>
      <c r="Q455" s="97"/>
      <c r="R455" s="97"/>
      <c r="T455" s="97" t="s">
        <v>738</v>
      </c>
      <c r="U455" s="97" t="s">
        <v>734</v>
      </c>
      <c r="V455" s="571"/>
      <c r="W455" s="571"/>
      <c r="X455" s="571" t="s">
        <v>942</v>
      </c>
      <c r="Y455" s="571" t="s">
        <v>943</v>
      </c>
      <c r="Z455" s="571" t="s">
        <v>944</v>
      </c>
      <c r="AA455" s="571" t="s">
        <v>945</v>
      </c>
      <c r="AB455" s="571" t="s">
        <v>946</v>
      </c>
      <c r="AC455" s="571" t="s">
        <v>947</v>
      </c>
      <c r="AD455" s="571" t="s">
        <v>948</v>
      </c>
    </row>
    <row r="456" spans="1:30" x14ac:dyDescent="0.2">
      <c r="A456" s="84"/>
      <c r="B456" s="67" t="s">
        <v>314</v>
      </c>
      <c r="C456" s="20">
        <v>0</v>
      </c>
      <c r="D456" s="20">
        <v>0</v>
      </c>
      <c r="E456" s="20">
        <v>0</v>
      </c>
      <c r="F456" s="68">
        <v>0</v>
      </c>
      <c r="G456" s="20">
        <v>0</v>
      </c>
      <c r="H456" s="20">
        <v>0</v>
      </c>
      <c r="I456" s="68">
        <v>0</v>
      </c>
      <c r="J456" s="21">
        <v>0</v>
      </c>
      <c r="K456" s="97" t="s">
        <v>1044</v>
      </c>
      <c r="Q456" s="97"/>
      <c r="R456" s="97"/>
      <c r="T456" s="97" t="s">
        <v>738</v>
      </c>
      <c r="U456" s="97" t="s">
        <v>734</v>
      </c>
      <c r="V456" s="571"/>
      <c r="W456" s="571"/>
      <c r="X456" s="571" t="s">
        <v>949</v>
      </c>
      <c r="Y456" s="571" t="s">
        <v>950</v>
      </c>
      <c r="Z456" s="571" t="s">
        <v>951</v>
      </c>
      <c r="AA456" s="571" t="s">
        <v>952</v>
      </c>
      <c r="AB456" s="571" t="s">
        <v>953</v>
      </c>
      <c r="AC456" s="571" t="s">
        <v>954</v>
      </c>
      <c r="AD456" s="571" t="s">
        <v>955</v>
      </c>
    </row>
    <row r="457" spans="1:30" x14ac:dyDescent="0.2">
      <c r="A457" s="84"/>
      <c r="B457" s="67" t="s">
        <v>315</v>
      </c>
      <c r="C457" s="20">
        <v>153783.5</v>
      </c>
      <c r="D457" s="20">
        <v>-136549.9</v>
      </c>
      <c r="E457" s="20">
        <v>-17233.599999999999</v>
      </c>
      <c r="F457" s="68">
        <v>0</v>
      </c>
      <c r="G457" s="20">
        <v>14083.2</v>
      </c>
      <c r="H457" s="20">
        <v>-8290.7999999999993</v>
      </c>
      <c r="I457" s="68">
        <v>-5792.4</v>
      </c>
      <c r="J457" s="21">
        <v>0</v>
      </c>
      <c r="K457" s="97" t="s">
        <v>1044</v>
      </c>
      <c r="Q457" s="97"/>
      <c r="R457" s="97"/>
      <c r="T457" s="97" t="s">
        <v>738</v>
      </c>
      <c r="U457" s="97" t="s">
        <v>734</v>
      </c>
      <c r="V457" s="571"/>
      <c r="W457" s="571"/>
      <c r="X457" s="571" t="s">
        <v>956</v>
      </c>
      <c r="Y457" s="571" t="s">
        <v>957</v>
      </c>
      <c r="Z457" s="571" t="s">
        <v>958</v>
      </c>
      <c r="AA457" s="571" t="s">
        <v>959</v>
      </c>
      <c r="AB457" s="571" t="s">
        <v>960</v>
      </c>
      <c r="AC457" s="571" t="s">
        <v>961</v>
      </c>
      <c r="AD457" s="571" t="s">
        <v>962</v>
      </c>
    </row>
    <row r="458" spans="1:30" x14ac:dyDescent="0.2">
      <c r="A458" s="84"/>
      <c r="B458" s="67" t="s">
        <v>316</v>
      </c>
      <c r="C458" s="20">
        <v>-77128.800000000003</v>
      </c>
      <c r="D458" s="20">
        <v>86834.5</v>
      </c>
      <c r="E458" s="20">
        <v>-9705.7000000000007</v>
      </c>
      <c r="F458" s="68">
        <v>0</v>
      </c>
      <c r="G458" s="20">
        <v>-1597.3</v>
      </c>
      <c r="H458" s="20">
        <v>4776.5</v>
      </c>
      <c r="I458" s="68">
        <v>-3179.2</v>
      </c>
      <c r="J458" s="21">
        <v>0</v>
      </c>
      <c r="K458" s="97" t="s">
        <v>1044</v>
      </c>
      <c r="Q458" s="97"/>
      <c r="R458" s="97"/>
      <c r="T458" s="97" t="s">
        <v>738</v>
      </c>
      <c r="U458" s="97" t="s">
        <v>734</v>
      </c>
      <c r="V458" s="571"/>
      <c r="W458" s="571"/>
      <c r="X458" s="571" t="s">
        <v>963</v>
      </c>
      <c r="Y458" s="571" t="s">
        <v>964</v>
      </c>
      <c r="Z458" s="571" t="s">
        <v>965</v>
      </c>
      <c r="AA458" s="571" t="s">
        <v>966</v>
      </c>
      <c r="AB458" s="571" t="s">
        <v>967</v>
      </c>
      <c r="AC458" s="571" t="s">
        <v>968</v>
      </c>
      <c r="AD458" s="571" t="s">
        <v>969</v>
      </c>
    </row>
    <row r="459" spans="1:30" s="93" customFormat="1" x14ac:dyDescent="0.2">
      <c r="A459" s="84"/>
      <c r="B459" s="67" t="s">
        <v>317</v>
      </c>
      <c r="C459" s="20">
        <v>-36724.800000000003</v>
      </c>
      <c r="D459" s="20">
        <v>-31573</v>
      </c>
      <c r="E459" s="20">
        <v>68297.8</v>
      </c>
      <c r="F459" s="68">
        <v>0</v>
      </c>
      <c r="G459" s="20">
        <v>-789.4</v>
      </c>
      <c r="H459" s="20">
        <v>-2009.3</v>
      </c>
      <c r="I459" s="68">
        <v>2978.7</v>
      </c>
      <c r="J459" s="21">
        <v>180</v>
      </c>
      <c r="K459" s="97" t="s">
        <v>1044</v>
      </c>
      <c r="Q459" s="97"/>
      <c r="R459" s="97"/>
      <c r="T459" s="97" t="s">
        <v>738</v>
      </c>
      <c r="U459" s="97" t="s">
        <v>734</v>
      </c>
      <c r="V459" s="571"/>
      <c r="W459" s="571"/>
      <c r="X459" s="571" t="s">
        <v>970</v>
      </c>
      <c r="Y459" s="571" t="s">
        <v>971</v>
      </c>
      <c r="Z459" s="571" t="s">
        <v>972</v>
      </c>
      <c r="AA459" s="571" t="s">
        <v>973</v>
      </c>
      <c r="AB459" s="571" t="s">
        <v>974</v>
      </c>
      <c r="AC459" s="571" t="s">
        <v>975</v>
      </c>
      <c r="AD459" s="571" t="s">
        <v>976</v>
      </c>
    </row>
    <row r="460" spans="1:30" s="93" customFormat="1" x14ac:dyDescent="0.2">
      <c r="A460" s="182"/>
      <c r="B460" s="67" t="s">
        <v>318</v>
      </c>
      <c r="C460" s="20">
        <v>-5698.8</v>
      </c>
      <c r="D460" s="20">
        <v>-2531.8000000000002</v>
      </c>
      <c r="E460" s="20">
        <v>-12122.9</v>
      </c>
      <c r="F460" s="68">
        <v>-20353.5</v>
      </c>
      <c r="G460" s="20">
        <v>-5698.8</v>
      </c>
      <c r="H460" s="20">
        <v>-2531.8000000000002</v>
      </c>
      <c r="I460" s="68">
        <v>-12122.9</v>
      </c>
      <c r="J460" s="21">
        <v>-20353.5</v>
      </c>
      <c r="K460" s="97" t="s">
        <v>1044</v>
      </c>
      <c r="Q460" s="97"/>
      <c r="R460" s="97"/>
      <c r="T460" s="97" t="s">
        <v>738</v>
      </c>
      <c r="U460" s="97" t="s">
        <v>734</v>
      </c>
      <c r="V460" s="571"/>
      <c r="W460" s="571"/>
      <c r="X460" s="571" t="s">
        <v>977</v>
      </c>
      <c r="Y460" s="571" t="s">
        <v>978</v>
      </c>
      <c r="Z460" s="571" t="s">
        <v>979</v>
      </c>
      <c r="AA460" s="571" t="s">
        <v>980</v>
      </c>
      <c r="AB460" s="571" t="s">
        <v>981</v>
      </c>
      <c r="AC460" s="571" t="s">
        <v>982</v>
      </c>
      <c r="AD460" s="571" t="s">
        <v>983</v>
      </c>
    </row>
    <row r="461" spans="1:30" ht="25.5" x14ac:dyDescent="0.2">
      <c r="A461" s="182"/>
      <c r="B461" s="67" t="s">
        <v>319</v>
      </c>
      <c r="C461" s="20">
        <v>0</v>
      </c>
      <c r="D461" s="20">
        <v>0</v>
      </c>
      <c r="E461" s="20">
        <v>0</v>
      </c>
      <c r="F461" s="68">
        <v>0</v>
      </c>
      <c r="G461" s="20">
        <v>-8043.5</v>
      </c>
      <c r="H461" s="20">
        <v>1306.0999999999999</v>
      </c>
      <c r="I461" s="68">
        <v>16630.7</v>
      </c>
      <c r="J461" s="21">
        <v>9893.3000000000011</v>
      </c>
      <c r="K461" s="97" t="s">
        <v>1044</v>
      </c>
      <c r="Q461" s="97"/>
      <c r="R461" s="97"/>
      <c r="T461" s="97" t="s">
        <v>738</v>
      </c>
      <c r="U461" s="97" t="s">
        <v>734</v>
      </c>
      <c r="V461" s="571"/>
      <c r="W461" s="571"/>
      <c r="X461" s="571" t="s">
        <v>984</v>
      </c>
      <c r="Y461" s="571" t="s">
        <v>985</v>
      </c>
      <c r="Z461" s="571" t="s">
        <v>986</v>
      </c>
      <c r="AA461" s="571" t="s">
        <v>987</v>
      </c>
      <c r="AB461" s="571" t="s">
        <v>988</v>
      </c>
      <c r="AC461" s="571" t="s">
        <v>989</v>
      </c>
      <c r="AD461" s="571" t="s">
        <v>990</v>
      </c>
    </row>
    <row r="462" spans="1:30" x14ac:dyDescent="0.2">
      <c r="A462" s="182"/>
      <c r="B462" s="67" t="s">
        <v>320</v>
      </c>
      <c r="C462" s="20">
        <v>0</v>
      </c>
      <c r="D462" s="20">
        <v>0</v>
      </c>
      <c r="E462" s="20">
        <v>0</v>
      </c>
      <c r="F462" s="68">
        <v>0</v>
      </c>
      <c r="G462" s="20">
        <v>0</v>
      </c>
      <c r="H462" s="20">
        <v>0</v>
      </c>
      <c r="I462" s="68">
        <v>0</v>
      </c>
      <c r="J462" s="21">
        <v>0</v>
      </c>
      <c r="K462" s="97" t="s">
        <v>1044</v>
      </c>
      <c r="Q462" s="97"/>
      <c r="R462" s="97"/>
      <c r="T462" s="97" t="s">
        <v>738</v>
      </c>
      <c r="U462" s="97" t="s">
        <v>734</v>
      </c>
      <c r="V462" s="571"/>
      <c r="W462" s="571"/>
      <c r="X462" s="571" t="s">
        <v>991</v>
      </c>
      <c r="Y462" s="571" t="s">
        <v>992</v>
      </c>
      <c r="Z462" s="571" t="s">
        <v>993</v>
      </c>
      <c r="AA462" s="571" t="s">
        <v>994</v>
      </c>
      <c r="AB462" s="571" t="s">
        <v>995</v>
      </c>
      <c r="AC462" s="571" t="s">
        <v>996</v>
      </c>
      <c r="AD462" s="571" t="s">
        <v>997</v>
      </c>
    </row>
    <row r="463" spans="1:30" x14ac:dyDescent="0.2">
      <c r="A463" s="182"/>
      <c r="B463" s="67" t="s">
        <v>321</v>
      </c>
      <c r="C463" s="20">
        <v>0</v>
      </c>
      <c r="D463" s="20">
        <v>0</v>
      </c>
      <c r="E463" s="20">
        <v>0</v>
      </c>
      <c r="F463" s="68">
        <v>0</v>
      </c>
      <c r="G463" s="20">
        <v>0</v>
      </c>
      <c r="H463" s="20">
        <v>0</v>
      </c>
      <c r="I463" s="68">
        <v>0</v>
      </c>
      <c r="J463" s="21">
        <v>0</v>
      </c>
      <c r="K463" s="97" t="s">
        <v>1044</v>
      </c>
      <c r="Q463" s="97"/>
      <c r="R463" s="97"/>
      <c r="T463" s="97" t="s">
        <v>738</v>
      </c>
      <c r="U463" s="97" t="s">
        <v>734</v>
      </c>
      <c r="V463" s="571"/>
      <c r="W463" s="571"/>
      <c r="X463" s="571" t="s">
        <v>998</v>
      </c>
      <c r="Y463" s="571" t="s">
        <v>999</v>
      </c>
      <c r="Z463" s="571" t="s">
        <v>1000</v>
      </c>
      <c r="AA463" s="571" t="s">
        <v>1001</v>
      </c>
      <c r="AB463" s="571" t="s">
        <v>1002</v>
      </c>
      <c r="AC463" s="571" t="s">
        <v>1003</v>
      </c>
      <c r="AD463" s="571" t="s">
        <v>1004</v>
      </c>
    </row>
    <row r="464" spans="1:30" x14ac:dyDescent="0.2">
      <c r="A464" s="182"/>
      <c r="B464" s="67" t="s">
        <v>322</v>
      </c>
      <c r="C464" s="20">
        <v>0</v>
      </c>
      <c r="D464" s="20">
        <v>0</v>
      </c>
      <c r="E464" s="20">
        <v>0</v>
      </c>
      <c r="F464" s="68">
        <v>0</v>
      </c>
      <c r="G464" s="20">
        <v>0</v>
      </c>
      <c r="H464" s="20">
        <v>0</v>
      </c>
      <c r="I464" s="68">
        <v>0</v>
      </c>
      <c r="J464" s="21">
        <v>0</v>
      </c>
      <c r="K464" s="97" t="s">
        <v>1044</v>
      </c>
      <c r="Q464" s="97"/>
      <c r="R464" s="97"/>
      <c r="T464" s="97" t="s">
        <v>738</v>
      </c>
      <c r="U464" s="97" t="s">
        <v>734</v>
      </c>
      <c r="V464" s="571"/>
      <c r="W464" s="571"/>
      <c r="X464" s="571" t="s">
        <v>1005</v>
      </c>
      <c r="Y464" s="571" t="s">
        <v>1006</v>
      </c>
      <c r="Z464" s="571" t="s">
        <v>1007</v>
      </c>
      <c r="AA464" s="571" t="s">
        <v>1008</v>
      </c>
      <c r="AB464" s="571" t="s">
        <v>1009</v>
      </c>
      <c r="AC464" s="571" t="s">
        <v>1010</v>
      </c>
      <c r="AD464" s="571" t="s">
        <v>1011</v>
      </c>
    </row>
    <row r="465" spans="1:30" ht="25.5" x14ac:dyDescent="0.2">
      <c r="A465" s="182"/>
      <c r="B465" s="67" t="s">
        <v>323</v>
      </c>
      <c r="C465" s="20">
        <v>0</v>
      </c>
      <c r="D465" s="20">
        <v>0</v>
      </c>
      <c r="E465" s="20">
        <v>0</v>
      </c>
      <c r="F465" s="68">
        <v>0</v>
      </c>
      <c r="G465" s="20">
        <v>0</v>
      </c>
      <c r="H465" s="20">
        <v>0</v>
      </c>
      <c r="I465" s="68">
        <v>0</v>
      </c>
      <c r="J465" s="21">
        <v>0</v>
      </c>
      <c r="K465" s="97" t="s">
        <v>1044</v>
      </c>
      <c r="Q465" s="97"/>
      <c r="R465" s="97"/>
      <c r="T465" s="97" t="s">
        <v>738</v>
      </c>
      <c r="U465" s="97" t="s">
        <v>734</v>
      </c>
      <c r="V465" s="571"/>
      <c r="W465" s="571"/>
      <c r="X465" s="571" t="s">
        <v>1012</v>
      </c>
      <c r="Y465" s="571" t="s">
        <v>1013</v>
      </c>
      <c r="Z465" s="571" t="s">
        <v>1014</v>
      </c>
      <c r="AA465" s="571" t="s">
        <v>1015</v>
      </c>
      <c r="AB465" s="571" t="s">
        <v>1016</v>
      </c>
      <c r="AC465" s="571" t="s">
        <v>1017</v>
      </c>
      <c r="AD465" s="571" t="s">
        <v>1018</v>
      </c>
    </row>
    <row r="466" spans="1:30" x14ac:dyDescent="0.2">
      <c r="A466" s="182"/>
      <c r="B466" s="195" t="s">
        <v>325</v>
      </c>
      <c r="C466" s="199">
        <v>870649.7</v>
      </c>
      <c r="D466" s="199">
        <v>122596.59999999999</v>
      </c>
      <c r="E466" s="199">
        <v>91770.8</v>
      </c>
      <c r="F466" s="199">
        <v>1085017.0999999999</v>
      </c>
      <c r="G466" s="199">
        <v>21560.499999999996</v>
      </c>
      <c r="H466" s="199">
        <v>9280.8000000000011</v>
      </c>
      <c r="I466" s="199">
        <v>32039.5</v>
      </c>
      <c r="J466" s="199">
        <v>62880.800000000003</v>
      </c>
      <c r="K466" s="311" t="s">
        <v>1030</v>
      </c>
      <c r="Q466" s="97"/>
      <c r="R466" s="97"/>
      <c r="T466" s="97" t="s">
        <v>738</v>
      </c>
      <c r="U466" s="97" t="s">
        <v>734</v>
      </c>
      <c r="V466" s="571"/>
      <c r="W466" s="571"/>
      <c r="X466" s="571" t="s">
        <v>1019</v>
      </c>
      <c r="Y466" s="571" t="s">
        <v>1020</v>
      </c>
      <c r="Z466" s="571" t="s">
        <v>1021</v>
      </c>
      <c r="AA466" s="571" t="s">
        <v>1022</v>
      </c>
      <c r="AB466" s="571" t="s">
        <v>1023</v>
      </c>
      <c r="AC466" s="571" t="s">
        <v>1024</v>
      </c>
      <c r="AD466" s="571" t="s">
        <v>1025</v>
      </c>
    </row>
    <row r="467" spans="1:30" x14ac:dyDescent="0.2">
      <c r="A467" s="84"/>
      <c r="B467" s="179"/>
      <c r="C467" s="151"/>
      <c r="D467" s="151"/>
      <c r="E467" s="151"/>
      <c r="F467" s="151"/>
      <c r="G467" s="151"/>
      <c r="H467" s="151"/>
      <c r="I467" s="151"/>
      <c r="J467" s="152"/>
    </row>
    <row r="468" spans="1:30" s="93" customFormat="1" ht="13.5" thickBot="1" x14ac:dyDescent="0.25">
      <c r="A468" s="87"/>
      <c r="B468" s="192"/>
      <c r="C468" s="153"/>
      <c r="D468" s="153"/>
      <c r="E468" s="153"/>
      <c r="F468" s="153"/>
      <c r="G468" s="153"/>
      <c r="H468" s="153"/>
      <c r="I468" s="153"/>
      <c r="J468" s="154"/>
    </row>
    <row r="470" spans="1:30" s="93" customFormat="1" ht="13.5" thickBot="1" x14ac:dyDescent="0.25">
      <c r="C470" s="224"/>
      <c r="D470" s="224"/>
      <c r="E470" s="224"/>
      <c r="F470" s="224"/>
      <c r="G470" s="224"/>
      <c r="J470" s="300"/>
    </row>
    <row r="471" spans="1:30" ht="19.5" thickBot="1" x14ac:dyDescent="0.25">
      <c r="A471" s="41"/>
      <c r="B471" s="34" t="s">
        <v>327</v>
      </c>
      <c r="C471" s="223"/>
      <c r="D471" s="223"/>
      <c r="E471" s="223"/>
      <c r="F471" s="223"/>
      <c r="G471" s="223"/>
    </row>
    <row r="472" spans="1:30" x14ac:dyDescent="0.2">
      <c r="A472" s="169"/>
      <c r="B472" s="200"/>
      <c r="C472" s="225" t="s">
        <v>1039</v>
      </c>
      <c r="D472" s="225" t="s">
        <v>1040</v>
      </c>
      <c r="E472" s="225" t="s">
        <v>1041</v>
      </c>
      <c r="F472" s="225" t="s">
        <v>1042</v>
      </c>
      <c r="G472" s="226" t="s">
        <v>1043</v>
      </c>
      <c r="Q472" s="297"/>
      <c r="T472" s="297" t="s">
        <v>733</v>
      </c>
      <c r="U472" s="90" t="s">
        <v>450</v>
      </c>
    </row>
    <row r="473" spans="1:30" x14ac:dyDescent="0.2">
      <c r="A473" s="84"/>
      <c r="B473" s="188" t="s">
        <v>339</v>
      </c>
      <c r="C473" s="149"/>
      <c r="D473" s="149"/>
      <c r="E473" s="149"/>
      <c r="F473" s="149"/>
      <c r="G473" s="150"/>
      <c r="Q473" s="297"/>
      <c r="T473" s="297"/>
    </row>
    <row r="474" spans="1:30" x14ac:dyDescent="0.2">
      <c r="A474" s="84"/>
      <c r="B474" s="179" t="s">
        <v>328</v>
      </c>
      <c r="C474" s="177">
        <v>0</v>
      </c>
      <c r="D474" s="177">
        <v>0</v>
      </c>
      <c r="E474" s="177">
        <v>0</v>
      </c>
      <c r="F474" s="177">
        <v>86162.7</v>
      </c>
      <c r="G474" s="178">
        <v>91770.8</v>
      </c>
      <c r="Q474" s="297"/>
      <c r="T474" s="297" t="s">
        <v>732</v>
      </c>
      <c r="U474" s="90" t="s">
        <v>734</v>
      </c>
    </row>
    <row r="475" spans="1:30" s="93" customFormat="1" x14ac:dyDescent="0.2">
      <c r="A475" s="84"/>
      <c r="B475" s="67" t="s">
        <v>329</v>
      </c>
      <c r="C475" s="173">
        <v>0</v>
      </c>
      <c r="D475" s="173">
        <v>0</v>
      </c>
      <c r="E475" s="173">
        <v>0</v>
      </c>
      <c r="F475" s="174">
        <v>79432.5</v>
      </c>
      <c r="G475" s="175">
        <v>54607</v>
      </c>
      <c r="Q475" s="297"/>
      <c r="R475" s="90"/>
      <c r="T475" s="297" t="s">
        <v>732</v>
      </c>
      <c r="U475" s="90" t="s">
        <v>734</v>
      </c>
    </row>
    <row r="476" spans="1:30" s="93" customFormat="1" x14ac:dyDescent="0.2">
      <c r="A476" s="84"/>
      <c r="B476" s="67" t="s">
        <v>330</v>
      </c>
      <c r="C476" s="187">
        <v>0</v>
      </c>
      <c r="D476" s="187">
        <v>0</v>
      </c>
      <c r="E476" s="187">
        <v>0</v>
      </c>
      <c r="F476" s="201">
        <v>73824.399999999994</v>
      </c>
      <c r="G476" s="202">
        <v>63449.7</v>
      </c>
      <c r="Q476" s="297"/>
      <c r="R476" s="90"/>
      <c r="T476" s="297" t="s">
        <v>732</v>
      </c>
      <c r="U476" s="90" t="s">
        <v>734</v>
      </c>
    </row>
    <row r="477" spans="1:30" s="93" customFormat="1" x14ac:dyDescent="0.2">
      <c r="A477" s="84"/>
      <c r="B477" s="203" t="s">
        <v>331</v>
      </c>
      <c r="C477" s="204">
        <v>0</v>
      </c>
      <c r="D477" s="204">
        <v>0</v>
      </c>
      <c r="E477" s="204">
        <v>0</v>
      </c>
      <c r="F477" s="204">
        <v>91770.800000000017</v>
      </c>
      <c r="G477" s="205">
        <v>82928.099999999991</v>
      </c>
      <c r="H477" s="93" t="s">
        <v>1030</v>
      </c>
      <c r="Q477" s="297"/>
      <c r="T477" s="297" t="s">
        <v>733</v>
      </c>
      <c r="U477" s="93" t="s">
        <v>734</v>
      </c>
    </row>
    <row r="478" spans="1:30" x14ac:dyDescent="0.2">
      <c r="A478" s="84"/>
      <c r="B478" s="179"/>
      <c r="C478" s="177"/>
      <c r="D478" s="177"/>
      <c r="E478" s="177"/>
      <c r="F478" s="177"/>
      <c r="G478" s="178"/>
      <c r="Q478" s="297"/>
      <c r="T478" s="297"/>
    </row>
    <row r="479" spans="1:30" x14ac:dyDescent="0.2">
      <c r="A479" s="84"/>
      <c r="B479" s="188" t="s">
        <v>340</v>
      </c>
      <c r="C479" s="206"/>
      <c r="D479" s="206"/>
      <c r="E479" s="206"/>
      <c r="F479" s="206"/>
      <c r="G479" s="207"/>
      <c r="Q479" s="297"/>
      <c r="T479" s="297"/>
    </row>
    <row r="480" spans="1:30" x14ac:dyDescent="0.2">
      <c r="A480" s="208"/>
      <c r="B480" s="179" t="s">
        <v>328</v>
      </c>
      <c r="C480" s="177">
        <v>0</v>
      </c>
      <c r="D480" s="177">
        <v>0</v>
      </c>
      <c r="E480" s="177">
        <v>0</v>
      </c>
      <c r="F480" s="177">
        <v>56465.3</v>
      </c>
      <c r="G480" s="178">
        <v>59911.3</v>
      </c>
      <c r="Q480" s="297"/>
      <c r="T480" s="297" t="s">
        <v>732</v>
      </c>
      <c r="U480" s="90" t="s">
        <v>734</v>
      </c>
    </row>
    <row r="481" spans="1:21" x14ac:dyDescent="0.2">
      <c r="A481" s="208"/>
      <c r="B481" s="67" t="s">
        <v>329</v>
      </c>
      <c r="C481" s="173">
        <v>0</v>
      </c>
      <c r="D481" s="173">
        <v>0</v>
      </c>
      <c r="E481" s="173">
        <v>0</v>
      </c>
      <c r="F481" s="174">
        <v>56175.9</v>
      </c>
      <c r="G481" s="175">
        <v>30451.200000000001</v>
      </c>
      <c r="Q481" s="297"/>
      <c r="T481" s="297" t="s">
        <v>732</v>
      </c>
      <c r="U481" s="90" t="s">
        <v>734</v>
      </c>
    </row>
    <row r="482" spans="1:21" x14ac:dyDescent="0.2">
      <c r="A482" s="208"/>
      <c r="B482" s="67" t="s">
        <v>330</v>
      </c>
      <c r="C482" s="187">
        <v>0</v>
      </c>
      <c r="D482" s="187">
        <v>0</v>
      </c>
      <c r="E482" s="187">
        <v>0</v>
      </c>
      <c r="F482" s="201">
        <v>52729.9</v>
      </c>
      <c r="G482" s="202">
        <v>42295.7</v>
      </c>
      <c r="Q482" s="297"/>
      <c r="T482" s="297" t="s">
        <v>732</v>
      </c>
      <c r="U482" s="90" t="s">
        <v>734</v>
      </c>
    </row>
    <row r="483" spans="1:21" x14ac:dyDescent="0.2">
      <c r="A483" s="208"/>
      <c r="B483" s="203" t="s">
        <v>331</v>
      </c>
      <c r="C483" s="204">
        <v>0</v>
      </c>
      <c r="D483" s="204">
        <v>0</v>
      </c>
      <c r="E483" s="204">
        <v>0</v>
      </c>
      <c r="F483" s="204">
        <v>59911.30000000001</v>
      </c>
      <c r="G483" s="205">
        <v>48066.8</v>
      </c>
      <c r="H483" s="93" t="s">
        <v>1030</v>
      </c>
      <c r="Q483" s="297"/>
      <c r="R483" s="93"/>
      <c r="T483" s="297" t="s">
        <v>733</v>
      </c>
      <c r="U483" s="93" t="s">
        <v>734</v>
      </c>
    </row>
    <row r="484" spans="1:21" s="93" customFormat="1" x14ac:dyDescent="0.2">
      <c r="A484" s="208"/>
      <c r="B484" s="179"/>
      <c r="C484" s="177"/>
      <c r="D484" s="177"/>
      <c r="E484" s="177"/>
      <c r="F484" s="177"/>
      <c r="G484" s="178"/>
      <c r="Q484" s="300"/>
      <c r="T484" s="300"/>
    </row>
    <row r="485" spans="1:21" ht="25.5" x14ac:dyDescent="0.2">
      <c r="A485" s="208"/>
      <c r="B485" s="188" t="s">
        <v>341</v>
      </c>
      <c r="C485" s="206"/>
      <c r="D485" s="206"/>
      <c r="E485" s="206"/>
      <c r="F485" s="206"/>
      <c r="G485" s="207"/>
      <c r="Q485" s="297"/>
      <c r="T485" s="297"/>
    </row>
    <row r="486" spans="1:21" x14ac:dyDescent="0.2">
      <c r="A486" s="208"/>
      <c r="B486" s="67" t="s">
        <v>328</v>
      </c>
      <c r="C486" s="173">
        <v>0</v>
      </c>
      <c r="D486" s="173">
        <v>0</v>
      </c>
      <c r="E486" s="173">
        <v>0</v>
      </c>
      <c r="F486" s="174">
        <v>29697.4</v>
      </c>
      <c r="G486" s="175">
        <v>31859.5</v>
      </c>
      <c r="Q486" s="297"/>
      <c r="T486" s="297" t="s">
        <v>732</v>
      </c>
      <c r="U486" s="90" t="s">
        <v>734</v>
      </c>
    </row>
    <row r="487" spans="1:21" x14ac:dyDescent="0.2">
      <c r="A487" s="208"/>
      <c r="B487" s="67" t="s">
        <v>329</v>
      </c>
      <c r="C487" s="173">
        <v>0</v>
      </c>
      <c r="D487" s="173">
        <v>0</v>
      </c>
      <c r="E487" s="173">
        <v>0</v>
      </c>
      <c r="F487" s="174">
        <v>23256.6</v>
      </c>
      <c r="G487" s="175">
        <v>24155.8</v>
      </c>
      <c r="Q487" s="297"/>
      <c r="T487" s="297" t="s">
        <v>732</v>
      </c>
      <c r="U487" s="90" t="s">
        <v>734</v>
      </c>
    </row>
    <row r="488" spans="1:21" x14ac:dyDescent="0.2">
      <c r="A488" s="208"/>
      <c r="B488" s="67" t="s">
        <v>330</v>
      </c>
      <c r="C488" s="187">
        <v>0</v>
      </c>
      <c r="D488" s="187">
        <v>0</v>
      </c>
      <c r="E488" s="187">
        <v>0</v>
      </c>
      <c r="F488" s="201">
        <v>21094.5</v>
      </c>
      <c r="G488" s="202">
        <v>21154</v>
      </c>
      <c r="Q488" s="297"/>
      <c r="T488" s="297" t="s">
        <v>732</v>
      </c>
      <c r="U488" s="90" t="s">
        <v>734</v>
      </c>
    </row>
    <row r="489" spans="1:21" x14ac:dyDescent="0.2">
      <c r="A489" s="208"/>
      <c r="B489" s="203" t="s">
        <v>331</v>
      </c>
      <c r="C489" s="204">
        <v>0</v>
      </c>
      <c r="D489" s="204">
        <v>0</v>
      </c>
      <c r="E489" s="204">
        <v>0</v>
      </c>
      <c r="F489" s="204">
        <v>31859.5</v>
      </c>
      <c r="G489" s="205">
        <v>34861.300000000003</v>
      </c>
      <c r="H489" s="93" t="s">
        <v>1030</v>
      </c>
      <c r="Q489" s="297"/>
      <c r="R489" s="93"/>
      <c r="T489" s="297" t="s">
        <v>733</v>
      </c>
      <c r="U489" s="93" t="s">
        <v>734</v>
      </c>
    </row>
    <row r="490" spans="1:21" ht="13.5" thickBot="1" x14ac:dyDescent="0.25">
      <c r="A490" s="87"/>
      <c r="B490" s="192"/>
      <c r="C490" s="153"/>
      <c r="D490" s="153"/>
      <c r="E490" s="153"/>
      <c r="F490" s="153"/>
      <c r="G490" s="154"/>
      <c r="Q490" s="297"/>
      <c r="T490" s="297"/>
    </row>
    <row r="491" spans="1:21" x14ac:dyDescent="0.2">
      <c r="Q491" s="297"/>
      <c r="T491" s="297"/>
    </row>
    <row r="492" spans="1:21" ht="13.5" thickBot="1" x14ac:dyDescent="0.25">
      <c r="Q492" s="297"/>
      <c r="T492" s="297"/>
    </row>
    <row r="493" spans="1:21" s="93" customFormat="1" ht="38.25" thickBot="1" x14ac:dyDescent="0.25">
      <c r="A493" s="41"/>
      <c r="B493" s="34" t="s">
        <v>336</v>
      </c>
      <c r="C493" s="223"/>
      <c r="D493" s="223"/>
      <c r="E493" s="223"/>
      <c r="F493" s="223"/>
      <c r="G493" s="223"/>
      <c r="Q493" s="300"/>
      <c r="R493" s="90"/>
      <c r="T493" s="300"/>
      <c r="U493" s="90"/>
    </row>
    <row r="494" spans="1:21" x14ac:dyDescent="0.2">
      <c r="A494" s="169"/>
      <c r="B494" s="200"/>
      <c r="C494" s="225" t="s">
        <v>1039</v>
      </c>
      <c r="D494" s="225" t="s">
        <v>1040</v>
      </c>
      <c r="E494" s="225" t="s">
        <v>1041</v>
      </c>
      <c r="F494" s="225" t="s">
        <v>1042</v>
      </c>
      <c r="G494" s="226" t="s">
        <v>1043</v>
      </c>
      <c r="Q494" s="297"/>
      <c r="T494" s="297" t="s">
        <v>733</v>
      </c>
      <c r="U494" s="90" t="s">
        <v>450</v>
      </c>
    </row>
    <row r="495" spans="1:21" ht="25.5" x14ac:dyDescent="0.2">
      <c r="A495" s="84"/>
      <c r="B495" s="188" t="s">
        <v>332</v>
      </c>
      <c r="C495" s="149"/>
      <c r="D495" s="149"/>
      <c r="E495" s="149"/>
      <c r="F495" s="149"/>
      <c r="G495" s="150"/>
      <c r="Q495" s="297"/>
      <c r="T495" s="297"/>
    </row>
    <row r="496" spans="1:21" x14ac:dyDescent="0.2">
      <c r="A496" s="84"/>
      <c r="B496" s="67" t="s">
        <v>333</v>
      </c>
      <c r="C496" s="173">
        <v>0</v>
      </c>
      <c r="D496" s="173">
        <v>0</v>
      </c>
      <c r="E496" s="173">
        <v>0</v>
      </c>
      <c r="F496" s="174">
        <v>0</v>
      </c>
      <c r="G496" s="175">
        <v>0</v>
      </c>
      <c r="Q496" s="297"/>
      <c r="T496" s="297" t="s">
        <v>732</v>
      </c>
      <c r="U496" s="90" t="s">
        <v>735</v>
      </c>
    </row>
    <row r="497" spans="1:21" x14ac:dyDescent="0.2">
      <c r="A497" s="84"/>
      <c r="B497" s="67" t="s">
        <v>334</v>
      </c>
      <c r="C497" s="173">
        <v>0</v>
      </c>
      <c r="D497" s="173">
        <v>0</v>
      </c>
      <c r="E497" s="173">
        <v>0</v>
      </c>
      <c r="F497" s="174">
        <v>0</v>
      </c>
      <c r="G497" s="175">
        <v>0</v>
      </c>
      <c r="Q497" s="297"/>
      <c r="T497" s="297" t="s">
        <v>732</v>
      </c>
      <c r="U497" s="90" t="s">
        <v>734</v>
      </c>
    </row>
    <row r="498" spans="1:21" x14ac:dyDescent="0.2">
      <c r="A498" s="84"/>
      <c r="B498" s="67" t="s">
        <v>335</v>
      </c>
      <c r="C498" s="187">
        <v>0</v>
      </c>
      <c r="D498" s="187">
        <v>0</v>
      </c>
      <c r="E498" s="187">
        <v>0</v>
      </c>
      <c r="F498" s="201">
        <v>0</v>
      </c>
      <c r="G498" s="202">
        <v>0</v>
      </c>
      <c r="Q498" s="297"/>
      <c r="T498" s="297" t="s">
        <v>732</v>
      </c>
      <c r="U498" s="90" t="s">
        <v>734</v>
      </c>
    </row>
    <row r="499" spans="1:21" x14ac:dyDescent="0.2">
      <c r="A499" s="84"/>
      <c r="B499" s="203"/>
      <c r="C499" s="204"/>
      <c r="D499" s="204"/>
      <c r="E499" s="204"/>
      <c r="F499" s="204"/>
      <c r="G499" s="205"/>
      <c r="Q499" s="297"/>
      <c r="T499" s="297"/>
    </row>
    <row r="500" spans="1:21" x14ac:dyDescent="0.2">
      <c r="A500" s="84"/>
      <c r="B500" s="179"/>
      <c r="C500" s="177"/>
      <c r="D500" s="177"/>
      <c r="E500" s="177"/>
      <c r="F500" s="177"/>
      <c r="G500" s="178"/>
      <c r="Q500" s="297"/>
      <c r="T500" s="297"/>
    </row>
    <row r="501" spans="1:21" s="93" customFormat="1" x14ac:dyDescent="0.2">
      <c r="A501" s="84"/>
      <c r="B501" s="188" t="s">
        <v>337</v>
      </c>
      <c r="C501" s="149"/>
      <c r="D501" s="149"/>
      <c r="E501" s="149"/>
      <c r="F501" s="149"/>
      <c r="G501" s="150"/>
      <c r="Q501" s="300"/>
      <c r="T501" s="300"/>
    </row>
    <row r="502" spans="1:21" x14ac:dyDescent="0.2">
      <c r="A502" s="208"/>
      <c r="B502" s="67" t="s">
        <v>333</v>
      </c>
      <c r="C502" s="173">
        <v>0</v>
      </c>
      <c r="D502" s="173">
        <v>0</v>
      </c>
      <c r="E502" s="173">
        <v>0</v>
      </c>
      <c r="F502" s="174">
        <v>0</v>
      </c>
      <c r="G502" s="175">
        <v>1</v>
      </c>
      <c r="Q502" s="297"/>
      <c r="T502" s="297" t="s">
        <v>732</v>
      </c>
      <c r="U502" s="90" t="s">
        <v>735</v>
      </c>
    </row>
    <row r="503" spans="1:21" s="93" customFormat="1" x14ac:dyDescent="0.2">
      <c r="A503" s="208"/>
      <c r="B503" s="67" t="s">
        <v>641</v>
      </c>
      <c r="C503" s="173">
        <v>0</v>
      </c>
      <c r="D503" s="173">
        <v>0</v>
      </c>
      <c r="E503" s="173">
        <v>0</v>
      </c>
      <c r="F503" s="174">
        <v>0</v>
      </c>
      <c r="G503" s="175">
        <v>4858.3</v>
      </c>
      <c r="Q503" s="297"/>
      <c r="R503" s="90"/>
      <c r="T503" s="297" t="s">
        <v>732</v>
      </c>
      <c r="U503" s="90" t="s">
        <v>734</v>
      </c>
    </row>
    <row r="504" spans="1:21" x14ac:dyDescent="0.2">
      <c r="A504" s="208"/>
      <c r="B504" s="67" t="s">
        <v>335</v>
      </c>
      <c r="C504" s="187">
        <v>0</v>
      </c>
      <c r="D504" s="187">
        <v>0</v>
      </c>
      <c r="E504" s="187">
        <v>0</v>
      </c>
      <c r="F504" s="201">
        <v>0</v>
      </c>
      <c r="G504" s="202">
        <v>21.5</v>
      </c>
      <c r="Q504" s="297"/>
      <c r="T504" s="297" t="s">
        <v>732</v>
      </c>
      <c r="U504" s="90" t="s">
        <v>734</v>
      </c>
    </row>
    <row r="505" spans="1:21" x14ac:dyDescent="0.2">
      <c r="A505" s="208"/>
      <c r="B505" s="203"/>
      <c r="C505" s="204"/>
      <c r="D505" s="204"/>
      <c r="E505" s="204"/>
      <c r="F505" s="204"/>
      <c r="G505" s="205"/>
      <c r="Q505" s="297"/>
      <c r="T505" s="297"/>
    </row>
    <row r="506" spans="1:21" x14ac:dyDescent="0.2">
      <c r="A506" s="208"/>
      <c r="B506" s="179"/>
      <c r="C506" s="177"/>
      <c r="D506" s="177"/>
      <c r="E506" s="177"/>
      <c r="F506" s="177"/>
      <c r="G506" s="178"/>
      <c r="Q506" s="297"/>
      <c r="T506" s="297"/>
    </row>
    <row r="507" spans="1:21" x14ac:dyDescent="0.2">
      <c r="A507" s="208"/>
      <c r="B507" s="188" t="s">
        <v>338</v>
      </c>
      <c r="C507" s="149"/>
      <c r="D507" s="149"/>
      <c r="E507" s="149"/>
      <c r="F507" s="149"/>
      <c r="G507" s="150"/>
      <c r="Q507" s="297"/>
      <c r="T507" s="297"/>
    </row>
    <row r="508" spans="1:21" x14ac:dyDescent="0.2">
      <c r="A508" s="208"/>
      <c r="B508" s="67" t="s">
        <v>333</v>
      </c>
      <c r="C508" s="173">
        <v>0</v>
      </c>
      <c r="D508" s="173">
        <v>0</v>
      </c>
      <c r="E508" s="173">
        <v>0</v>
      </c>
      <c r="F508" s="174">
        <v>0</v>
      </c>
      <c r="G508" s="175">
        <v>0</v>
      </c>
      <c r="Q508" s="297"/>
      <c r="T508" s="297" t="s">
        <v>732</v>
      </c>
      <c r="U508" s="90" t="s">
        <v>735</v>
      </c>
    </row>
    <row r="509" spans="1:21" x14ac:dyDescent="0.2">
      <c r="A509" s="208"/>
      <c r="B509" s="67" t="s">
        <v>640</v>
      </c>
      <c r="C509" s="173">
        <v>0</v>
      </c>
      <c r="D509" s="173">
        <v>0</v>
      </c>
      <c r="E509" s="173">
        <v>0</v>
      </c>
      <c r="F509" s="174">
        <v>0</v>
      </c>
      <c r="G509" s="175">
        <v>0</v>
      </c>
      <c r="Q509" s="297"/>
      <c r="T509" s="297" t="s">
        <v>732</v>
      </c>
      <c r="U509" s="90" t="s">
        <v>734</v>
      </c>
    </row>
    <row r="510" spans="1:21" x14ac:dyDescent="0.2">
      <c r="A510" s="208"/>
      <c r="B510" s="67" t="s">
        <v>335</v>
      </c>
      <c r="C510" s="187">
        <v>0</v>
      </c>
      <c r="D510" s="187">
        <v>0</v>
      </c>
      <c r="E510" s="187">
        <v>0</v>
      </c>
      <c r="F510" s="201">
        <v>0</v>
      </c>
      <c r="G510" s="202">
        <v>0</v>
      </c>
      <c r="Q510" s="297"/>
      <c r="T510" s="297" t="s">
        <v>732</v>
      </c>
      <c r="U510" s="90" t="s">
        <v>734</v>
      </c>
    </row>
    <row r="511" spans="1:21" x14ac:dyDescent="0.2">
      <c r="A511" s="208"/>
      <c r="B511" s="203"/>
      <c r="C511" s="204"/>
      <c r="D511" s="204"/>
      <c r="E511" s="204"/>
      <c r="F511" s="204"/>
      <c r="G511" s="205"/>
      <c r="Q511" s="297"/>
      <c r="T511" s="297"/>
    </row>
    <row r="512" spans="1:21" ht="13.5" thickBot="1" x14ac:dyDescent="0.25">
      <c r="A512" s="87"/>
      <c r="B512" s="192"/>
      <c r="C512" s="153"/>
      <c r="D512" s="153"/>
      <c r="E512" s="153"/>
      <c r="F512" s="153"/>
      <c r="G512" s="154"/>
      <c r="Q512" s="297"/>
      <c r="T512" s="297"/>
    </row>
    <row r="513" spans="1:21" x14ac:dyDescent="0.2">
      <c r="Q513" s="297"/>
      <c r="T513" s="297"/>
    </row>
    <row r="514" spans="1:21" s="93" customFormat="1" ht="13.5" thickBot="1" x14ac:dyDescent="0.25">
      <c r="C514" s="224"/>
      <c r="D514" s="224"/>
      <c r="E514" s="224"/>
      <c r="F514" s="224"/>
      <c r="G514" s="224"/>
      <c r="Q514" s="300"/>
      <c r="T514" s="300"/>
    </row>
    <row r="515" spans="1:21" ht="38.25" thickBot="1" x14ac:dyDescent="0.25">
      <c r="A515" s="41"/>
      <c r="B515" s="34" t="s">
        <v>342</v>
      </c>
      <c r="C515" s="223"/>
      <c r="D515" s="223"/>
      <c r="E515" s="223"/>
      <c r="F515" s="223"/>
      <c r="G515" s="223"/>
      <c r="Q515" s="297"/>
      <c r="T515" s="297"/>
    </row>
    <row r="516" spans="1:21" x14ac:dyDescent="0.2">
      <c r="A516" s="169"/>
      <c r="B516" s="200"/>
      <c r="C516" s="225" t="s">
        <v>1039</v>
      </c>
      <c r="D516" s="225" t="s">
        <v>1040</v>
      </c>
      <c r="E516" s="225" t="s">
        <v>1041</v>
      </c>
      <c r="F516" s="225" t="s">
        <v>1042</v>
      </c>
      <c r="G516" s="226" t="s">
        <v>1043</v>
      </c>
      <c r="Q516" s="297"/>
      <c r="T516" s="297" t="s">
        <v>733</v>
      </c>
      <c r="U516" s="90" t="s">
        <v>450</v>
      </c>
    </row>
    <row r="517" spans="1:21" ht="15" x14ac:dyDescent="0.2">
      <c r="A517" s="169"/>
      <c r="B517" s="66" t="s">
        <v>343</v>
      </c>
      <c r="C517" s="49"/>
      <c r="D517" s="49"/>
      <c r="E517" s="49"/>
      <c r="F517" s="49"/>
      <c r="G517" s="50"/>
      <c r="Q517" s="297"/>
      <c r="T517" s="297"/>
    </row>
    <row r="518" spans="1:21" ht="15" x14ac:dyDescent="0.2">
      <c r="A518" s="169"/>
      <c r="B518" s="66"/>
      <c r="C518" s="49"/>
      <c r="D518" s="49"/>
      <c r="E518" s="49"/>
      <c r="F518" s="49"/>
      <c r="G518" s="50"/>
      <c r="Q518" s="297"/>
      <c r="T518" s="297"/>
    </row>
    <row r="519" spans="1:21" x14ac:dyDescent="0.2">
      <c r="A519" s="84"/>
      <c r="B519" s="188" t="s">
        <v>344</v>
      </c>
      <c r="C519" s="149"/>
      <c r="D519" s="149"/>
      <c r="E519" s="149"/>
      <c r="F519" s="149"/>
      <c r="G519" s="150"/>
      <c r="Q519" s="297"/>
      <c r="T519" s="297"/>
    </row>
    <row r="520" spans="1:21" x14ac:dyDescent="0.2">
      <c r="A520" s="84"/>
      <c r="B520" s="67" t="s">
        <v>345</v>
      </c>
      <c r="C520" s="173">
        <v>0</v>
      </c>
      <c r="D520" s="173">
        <v>0</v>
      </c>
      <c r="E520" s="173">
        <v>0</v>
      </c>
      <c r="F520" s="174">
        <v>0</v>
      </c>
      <c r="G520" s="175">
        <v>0</v>
      </c>
      <c r="Q520" s="297"/>
      <c r="T520" s="297" t="s">
        <v>732</v>
      </c>
      <c r="U520" s="90" t="s">
        <v>735</v>
      </c>
    </row>
    <row r="521" spans="1:21" x14ac:dyDescent="0.2">
      <c r="A521" s="84"/>
      <c r="B521" s="67" t="s">
        <v>346</v>
      </c>
      <c r="C521" s="173">
        <v>0</v>
      </c>
      <c r="D521" s="173">
        <v>0</v>
      </c>
      <c r="E521" s="173">
        <v>0</v>
      </c>
      <c r="F521" s="174">
        <v>0</v>
      </c>
      <c r="G521" s="175">
        <v>0</v>
      </c>
      <c r="Q521" s="297"/>
      <c r="T521" s="297" t="s">
        <v>732</v>
      </c>
      <c r="U521" s="90" t="s">
        <v>734</v>
      </c>
    </row>
    <row r="522" spans="1:21" x14ac:dyDescent="0.2">
      <c r="A522" s="84"/>
      <c r="B522" s="67" t="s">
        <v>347</v>
      </c>
      <c r="C522" s="187">
        <v>0</v>
      </c>
      <c r="D522" s="187">
        <v>0</v>
      </c>
      <c r="E522" s="187">
        <v>0</v>
      </c>
      <c r="F522" s="201">
        <v>0</v>
      </c>
      <c r="G522" s="202">
        <v>0</v>
      </c>
      <c r="Q522" s="297"/>
      <c r="T522" s="297" t="s">
        <v>732</v>
      </c>
      <c r="U522" s="90" t="s">
        <v>734</v>
      </c>
    </row>
    <row r="523" spans="1:21" x14ac:dyDescent="0.2">
      <c r="A523" s="84"/>
      <c r="B523" s="203"/>
      <c r="C523" s="204"/>
      <c r="D523" s="204"/>
      <c r="E523" s="204"/>
      <c r="F523" s="204"/>
      <c r="G523" s="205"/>
      <c r="Q523" s="297"/>
      <c r="T523" s="297"/>
    </row>
    <row r="524" spans="1:21" x14ac:dyDescent="0.2">
      <c r="A524" s="84"/>
      <c r="B524" s="179"/>
      <c r="C524" s="177"/>
      <c r="D524" s="177"/>
      <c r="E524" s="177"/>
      <c r="F524" s="177"/>
      <c r="G524" s="178"/>
      <c r="Q524" s="297"/>
      <c r="T524" s="297"/>
    </row>
    <row r="525" spans="1:21" x14ac:dyDescent="0.2">
      <c r="A525" s="84"/>
      <c r="B525" s="188" t="s">
        <v>348</v>
      </c>
      <c r="C525" s="149"/>
      <c r="D525" s="149"/>
      <c r="E525" s="149"/>
      <c r="F525" s="149"/>
      <c r="G525" s="150"/>
      <c r="Q525" s="297"/>
      <c r="T525" s="297"/>
    </row>
    <row r="526" spans="1:21" x14ac:dyDescent="0.2">
      <c r="A526" s="208"/>
      <c r="B526" s="67" t="s">
        <v>345</v>
      </c>
      <c r="C526" s="173">
        <v>0</v>
      </c>
      <c r="D526" s="173">
        <v>0</v>
      </c>
      <c r="E526" s="173">
        <v>0</v>
      </c>
      <c r="F526" s="174">
        <v>843</v>
      </c>
      <c r="G526" s="175">
        <v>1600</v>
      </c>
      <c r="Q526" s="297"/>
      <c r="T526" s="297" t="s">
        <v>732</v>
      </c>
      <c r="U526" s="90" t="s">
        <v>735</v>
      </c>
    </row>
    <row r="527" spans="1:21" x14ac:dyDescent="0.2">
      <c r="A527" s="208"/>
      <c r="B527" s="67" t="s">
        <v>346</v>
      </c>
      <c r="C527" s="173">
        <v>0</v>
      </c>
      <c r="D527" s="173">
        <v>0</v>
      </c>
      <c r="E527" s="173">
        <v>0</v>
      </c>
      <c r="F527" s="174">
        <v>856</v>
      </c>
      <c r="G527" s="175">
        <v>1017.6</v>
      </c>
      <c r="Q527" s="297"/>
      <c r="T527" s="297" t="s">
        <v>732</v>
      </c>
      <c r="U527" s="90" t="s">
        <v>734</v>
      </c>
    </row>
    <row r="528" spans="1:21" x14ac:dyDescent="0.2">
      <c r="A528" s="208"/>
      <c r="B528" s="67" t="s">
        <v>347</v>
      </c>
      <c r="C528" s="187">
        <v>0</v>
      </c>
      <c r="D528" s="187">
        <v>0</v>
      </c>
      <c r="E528" s="187">
        <v>0</v>
      </c>
      <c r="F528" s="201">
        <v>835.8</v>
      </c>
      <c r="G528" s="202">
        <v>710.9</v>
      </c>
      <c r="Q528" s="297"/>
      <c r="T528" s="297" t="s">
        <v>732</v>
      </c>
      <c r="U528" s="90" t="s">
        <v>734</v>
      </c>
    </row>
    <row r="529" spans="1:21" x14ac:dyDescent="0.2">
      <c r="A529" s="208"/>
      <c r="B529" s="203"/>
      <c r="C529" s="204"/>
      <c r="D529" s="204"/>
      <c r="E529" s="204"/>
      <c r="F529" s="204"/>
      <c r="G529" s="205"/>
      <c r="Q529" s="297"/>
      <c r="T529" s="297"/>
    </row>
    <row r="530" spans="1:21" x14ac:dyDescent="0.2">
      <c r="A530" s="208"/>
      <c r="B530" s="179"/>
      <c r="C530" s="177"/>
      <c r="D530" s="177"/>
      <c r="E530" s="177"/>
      <c r="F530" s="177"/>
      <c r="G530" s="178"/>
      <c r="Q530" s="297"/>
      <c r="T530" s="297"/>
    </row>
    <row r="531" spans="1:21" x14ac:dyDescent="0.2">
      <c r="A531" s="208"/>
      <c r="B531" s="188" t="s">
        <v>706</v>
      </c>
      <c r="C531" s="149"/>
      <c r="D531" s="149"/>
      <c r="E531" s="149"/>
      <c r="F531" s="149"/>
      <c r="G531" s="150"/>
      <c r="Q531" s="297"/>
      <c r="T531" s="297"/>
    </row>
    <row r="532" spans="1:21" x14ac:dyDescent="0.2">
      <c r="A532" s="208"/>
      <c r="B532" s="67" t="s">
        <v>345</v>
      </c>
      <c r="C532" s="173">
        <v>0</v>
      </c>
      <c r="D532" s="173">
        <v>0</v>
      </c>
      <c r="E532" s="173">
        <v>0</v>
      </c>
      <c r="F532" s="174">
        <v>0</v>
      </c>
      <c r="G532" s="175">
        <v>0</v>
      </c>
      <c r="Q532" s="297"/>
      <c r="T532" s="297" t="s">
        <v>732</v>
      </c>
      <c r="U532" s="90" t="s">
        <v>735</v>
      </c>
    </row>
    <row r="533" spans="1:21" x14ac:dyDescent="0.2">
      <c r="A533" s="208"/>
      <c r="B533" s="67" t="s">
        <v>346</v>
      </c>
      <c r="C533" s="173">
        <v>0</v>
      </c>
      <c r="D533" s="173">
        <v>0</v>
      </c>
      <c r="E533" s="173">
        <v>0</v>
      </c>
      <c r="F533" s="174">
        <v>0</v>
      </c>
      <c r="G533" s="175">
        <v>0</v>
      </c>
      <c r="Q533" s="297"/>
      <c r="T533" s="297" t="s">
        <v>732</v>
      </c>
      <c r="U533" s="90" t="s">
        <v>734</v>
      </c>
    </row>
    <row r="534" spans="1:21" x14ac:dyDescent="0.2">
      <c r="A534" s="208"/>
      <c r="B534" s="67" t="s">
        <v>347</v>
      </c>
      <c r="C534" s="187">
        <v>0</v>
      </c>
      <c r="D534" s="187">
        <v>0</v>
      </c>
      <c r="E534" s="187">
        <v>0</v>
      </c>
      <c r="F534" s="201">
        <v>0</v>
      </c>
      <c r="G534" s="202">
        <v>0</v>
      </c>
      <c r="Q534" s="297"/>
      <c r="T534" s="297" t="s">
        <v>732</v>
      </c>
      <c r="U534" s="90" t="s">
        <v>734</v>
      </c>
    </row>
    <row r="535" spans="1:21" s="93" customFormat="1" x14ac:dyDescent="0.2">
      <c r="A535" s="208"/>
      <c r="B535" s="203"/>
      <c r="C535" s="204"/>
      <c r="D535" s="204"/>
      <c r="E535" s="204"/>
      <c r="F535" s="204"/>
      <c r="G535" s="205"/>
      <c r="Q535" s="300"/>
      <c r="T535" s="300"/>
    </row>
    <row r="536" spans="1:21" ht="15" x14ac:dyDescent="0.2">
      <c r="A536" s="169"/>
      <c r="B536" s="66" t="s">
        <v>349</v>
      </c>
      <c r="C536" s="49"/>
      <c r="D536" s="49"/>
      <c r="E536" s="49"/>
      <c r="F536" s="49"/>
      <c r="G536" s="50"/>
      <c r="Q536" s="297"/>
      <c r="T536" s="297"/>
    </row>
    <row r="537" spans="1:21" ht="15" x14ac:dyDescent="0.2">
      <c r="A537" s="169"/>
      <c r="B537" s="66"/>
      <c r="C537" s="49"/>
      <c r="D537" s="49"/>
      <c r="E537" s="49"/>
      <c r="F537" s="49"/>
      <c r="G537" s="50"/>
      <c r="Q537" s="297"/>
      <c r="T537" s="297"/>
    </row>
    <row r="538" spans="1:21" x14ac:dyDescent="0.2">
      <c r="A538" s="84"/>
      <c r="B538" s="188" t="s">
        <v>344</v>
      </c>
      <c r="C538" s="149"/>
      <c r="D538" s="149"/>
      <c r="E538" s="149"/>
      <c r="F538" s="149"/>
      <c r="G538" s="150"/>
      <c r="Q538" s="297"/>
      <c r="T538" s="297"/>
    </row>
    <row r="539" spans="1:21" x14ac:dyDescent="0.2">
      <c r="A539" s="84"/>
      <c r="B539" s="67" t="s">
        <v>345</v>
      </c>
      <c r="C539" s="173">
        <v>0</v>
      </c>
      <c r="D539" s="173">
        <v>0</v>
      </c>
      <c r="E539" s="173">
        <v>0</v>
      </c>
      <c r="F539" s="174">
        <v>16497</v>
      </c>
      <c r="G539" s="175">
        <v>21404</v>
      </c>
      <c r="Q539" s="297"/>
      <c r="T539" s="297" t="s">
        <v>732</v>
      </c>
      <c r="U539" s="90" t="s">
        <v>735</v>
      </c>
    </row>
    <row r="540" spans="1:21" x14ac:dyDescent="0.2">
      <c r="A540" s="84"/>
      <c r="B540" s="67" t="s">
        <v>346</v>
      </c>
      <c r="C540" s="173">
        <v>0</v>
      </c>
      <c r="D540" s="173">
        <v>0</v>
      </c>
      <c r="E540" s="173">
        <v>0</v>
      </c>
      <c r="F540" s="174">
        <v>7562</v>
      </c>
      <c r="G540" s="175">
        <v>8081.7</v>
      </c>
      <c r="Q540" s="297"/>
      <c r="T540" s="297" t="s">
        <v>732</v>
      </c>
      <c r="U540" s="90" t="s">
        <v>734</v>
      </c>
    </row>
    <row r="541" spans="1:21" x14ac:dyDescent="0.2">
      <c r="A541" s="84"/>
      <c r="B541" s="67" t="s">
        <v>347</v>
      </c>
      <c r="C541" s="187">
        <v>0</v>
      </c>
      <c r="D541" s="187">
        <v>0</v>
      </c>
      <c r="E541" s="187">
        <v>0</v>
      </c>
      <c r="F541" s="201">
        <v>2543.3000000000002</v>
      </c>
      <c r="G541" s="202">
        <v>3430</v>
      </c>
      <c r="Q541" s="297"/>
      <c r="T541" s="297" t="s">
        <v>732</v>
      </c>
      <c r="U541" s="90" t="s">
        <v>734</v>
      </c>
    </row>
    <row r="542" spans="1:21" x14ac:dyDescent="0.2">
      <c r="A542" s="84"/>
      <c r="B542" s="203"/>
      <c r="C542" s="204"/>
      <c r="D542" s="204"/>
      <c r="E542" s="204"/>
      <c r="F542" s="204"/>
      <c r="G542" s="205"/>
      <c r="Q542" s="297"/>
      <c r="T542" s="297"/>
    </row>
    <row r="543" spans="1:21" x14ac:dyDescent="0.2">
      <c r="A543" s="84"/>
      <c r="B543" s="179"/>
      <c r="C543" s="177"/>
      <c r="D543" s="177"/>
      <c r="E543" s="177"/>
      <c r="F543" s="177"/>
      <c r="G543" s="178"/>
      <c r="Q543" s="297"/>
      <c r="T543" s="297"/>
    </row>
    <row r="544" spans="1:21" x14ac:dyDescent="0.2">
      <c r="A544" s="84"/>
      <c r="B544" s="188" t="s">
        <v>348</v>
      </c>
      <c r="C544" s="149"/>
      <c r="D544" s="149"/>
      <c r="E544" s="149"/>
      <c r="F544" s="149"/>
      <c r="G544" s="150"/>
      <c r="Q544" s="297"/>
      <c r="T544" s="297"/>
    </row>
    <row r="545" spans="1:21" x14ac:dyDescent="0.2">
      <c r="A545" s="208"/>
      <c r="B545" s="67" t="s">
        <v>345</v>
      </c>
      <c r="C545" s="173">
        <v>0</v>
      </c>
      <c r="D545" s="173">
        <v>0</v>
      </c>
      <c r="E545" s="173">
        <v>0</v>
      </c>
      <c r="F545" s="174">
        <v>4765</v>
      </c>
      <c r="G545" s="175">
        <v>5013</v>
      </c>
      <c r="Q545" s="297"/>
      <c r="T545" s="297" t="s">
        <v>732</v>
      </c>
      <c r="U545" s="90" t="s">
        <v>735</v>
      </c>
    </row>
    <row r="546" spans="1:21" x14ac:dyDescent="0.2">
      <c r="A546" s="208"/>
      <c r="B546" s="67" t="s">
        <v>346</v>
      </c>
      <c r="C546" s="173">
        <v>0</v>
      </c>
      <c r="D546" s="173">
        <v>0</v>
      </c>
      <c r="E546" s="173">
        <v>0</v>
      </c>
      <c r="F546" s="174">
        <v>2489.6</v>
      </c>
      <c r="G546" s="175">
        <v>2078.6</v>
      </c>
      <c r="Q546" s="297"/>
      <c r="T546" s="297" t="s">
        <v>732</v>
      </c>
      <c r="U546" s="90" t="s">
        <v>734</v>
      </c>
    </row>
    <row r="547" spans="1:21" x14ac:dyDescent="0.2">
      <c r="A547" s="208"/>
      <c r="B547" s="67" t="s">
        <v>347</v>
      </c>
      <c r="C547" s="187">
        <v>0</v>
      </c>
      <c r="D547" s="187">
        <v>0</v>
      </c>
      <c r="E547" s="187">
        <v>0</v>
      </c>
      <c r="F547" s="201">
        <v>739.3</v>
      </c>
      <c r="G547" s="202">
        <v>436.00000000000011</v>
      </c>
      <c r="Q547" s="297"/>
      <c r="T547" s="297" t="s">
        <v>732</v>
      </c>
      <c r="U547" s="90" t="s">
        <v>734</v>
      </c>
    </row>
    <row r="548" spans="1:21" x14ac:dyDescent="0.2">
      <c r="A548" s="208"/>
      <c r="B548" s="203"/>
      <c r="C548" s="204"/>
      <c r="D548" s="204"/>
      <c r="E548" s="204"/>
      <c r="F548" s="204"/>
      <c r="G548" s="205"/>
      <c r="Q548" s="297"/>
      <c r="T548" s="297"/>
    </row>
    <row r="549" spans="1:21" x14ac:dyDescent="0.2">
      <c r="A549" s="208"/>
      <c r="B549" s="179"/>
      <c r="C549" s="177"/>
      <c r="D549" s="177"/>
      <c r="E549" s="177"/>
      <c r="F549" s="177"/>
      <c r="G549" s="178"/>
      <c r="Q549" s="297"/>
      <c r="T549" s="297"/>
    </row>
    <row r="550" spans="1:21" x14ac:dyDescent="0.2">
      <c r="A550" s="208"/>
      <c r="B550" s="188" t="s">
        <v>706</v>
      </c>
      <c r="C550" s="149"/>
      <c r="D550" s="149"/>
      <c r="E550" s="149"/>
      <c r="F550" s="149"/>
      <c r="G550" s="150"/>
      <c r="Q550" s="297"/>
      <c r="T550" s="297"/>
    </row>
    <row r="551" spans="1:21" x14ac:dyDescent="0.2">
      <c r="A551" s="208"/>
      <c r="B551" s="67" t="s">
        <v>345</v>
      </c>
      <c r="C551" s="173">
        <v>0</v>
      </c>
      <c r="D551" s="173">
        <v>0</v>
      </c>
      <c r="E551" s="173">
        <v>0</v>
      </c>
      <c r="F551" s="174">
        <v>0</v>
      </c>
      <c r="G551" s="175">
        <v>0</v>
      </c>
      <c r="Q551" s="297"/>
      <c r="T551" s="297" t="s">
        <v>732</v>
      </c>
      <c r="U551" s="90" t="s">
        <v>735</v>
      </c>
    </row>
    <row r="552" spans="1:21" x14ac:dyDescent="0.2">
      <c r="A552" s="208"/>
      <c r="B552" s="67" t="s">
        <v>346</v>
      </c>
      <c r="C552" s="173">
        <v>0</v>
      </c>
      <c r="D552" s="173">
        <v>0</v>
      </c>
      <c r="E552" s="173">
        <v>0</v>
      </c>
      <c r="F552" s="174">
        <v>0</v>
      </c>
      <c r="G552" s="175">
        <v>0</v>
      </c>
      <c r="Q552" s="297"/>
      <c r="T552" s="297" t="s">
        <v>732</v>
      </c>
      <c r="U552" s="90" t="s">
        <v>734</v>
      </c>
    </row>
    <row r="553" spans="1:21" x14ac:dyDescent="0.2">
      <c r="A553" s="208"/>
      <c r="B553" s="67" t="s">
        <v>347</v>
      </c>
      <c r="C553" s="187">
        <v>0</v>
      </c>
      <c r="D553" s="187">
        <v>0</v>
      </c>
      <c r="E553" s="187">
        <v>0</v>
      </c>
      <c r="F553" s="201">
        <v>0</v>
      </c>
      <c r="G553" s="202">
        <v>0</v>
      </c>
      <c r="Q553" s="297"/>
      <c r="T553" s="297" t="s">
        <v>732</v>
      </c>
      <c r="U553" s="90" t="s">
        <v>734</v>
      </c>
    </row>
    <row r="554" spans="1:21" s="93" customFormat="1" x14ac:dyDescent="0.2">
      <c r="A554" s="208"/>
      <c r="B554" s="203"/>
      <c r="C554" s="204"/>
      <c r="D554" s="204"/>
      <c r="E554" s="204"/>
      <c r="F554" s="204"/>
      <c r="G554" s="205"/>
      <c r="Q554" s="300"/>
      <c r="T554" s="300"/>
    </row>
    <row r="555" spans="1:21" ht="13.5" thickBot="1" x14ac:dyDescent="0.25">
      <c r="A555" s="87"/>
      <c r="B555" s="192"/>
      <c r="C555" s="153"/>
      <c r="D555" s="153"/>
      <c r="E555" s="153"/>
      <c r="F555" s="153"/>
      <c r="G555" s="154"/>
      <c r="Q555" s="297"/>
      <c r="T555" s="297"/>
    </row>
    <row r="556" spans="1:21" x14ac:dyDescent="0.2">
      <c r="A556" s="234"/>
      <c r="B556" s="234"/>
      <c r="C556" s="151"/>
      <c r="D556" s="151"/>
      <c r="E556" s="151"/>
      <c r="F556" s="151"/>
      <c r="G556" s="151"/>
      <c r="Q556" s="297"/>
      <c r="T556" s="297"/>
    </row>
    <row r="557" spans="1:21" ht="13.5" thickBot="1" x14ac:dyDescent="0.25">
      <c r="Q557" s="297"/>
      <c r="T557" s="297"/>
    </row>
    <row r="558" spans="1:21" ht="19.5" thickBot="1" x14ac:dyDescent="0.25">
      <c r="A558" s="41"/>
      <c r="B558" s="34" t="s">
        <v>744</v>
      </c>
      <c r="C558" s="223"/>
      <c r="D558" s="223"/>
      <c r="E558" s="223"/>
      <c r="F558" s="223"/>
      <c r="G558" s="223"/>
      <c r="Q558" s="297"/>
      <c r="T558" s="297"/>
    </row>
    <row r="559" spans="1:21" s="93" customFormat="1" x14ac:dyDescent="0.2">
      <c r="A559" s="42"/>
      <c r="B559" s="200"/>
      <c r="C559" s="225" t="s">
        <v>1039</v>
      </c>
      <c r="D559" s="225" t="s">
        <v>1040</v>
      </c>
      <c r="E559" s="225" t="s">
        <v>1041</v>
      </c>
      <c r="F559" s="225" t="s">
        <v>1042</v>
      </c>
      <c r="G559" s="226" t="s">
        <v>1043</v>
      </c>
      <c r="Q559" s="297"/>
      <c r="R559" s="90"/>
      <c r="T559" s="297" t="s">
        <v>733</v>
      </c>
      <c r="U559" s="90" t="s">
        <v>450</v>
      </c>
    </row>
    <row r="560" spans="1:21" x14ac:dyDescent="0.2">
      <c r="A560" s="42"/>
      <c r="B560" s="188" t="s">
        <v>745</v>
      </c>
      <c r="C560" s="149"/>
      <c r="D560" s="149"/>
      <c r="E560" s="149"/>
      <c r="F560" s="149"/>
      <c r="G560" s="150"/>
      <c r="Q560" s="297"/>
      <c r="T560" s="297"/>
    </row>
    <row r="561" spans="1:21" s="93" customFormat="1" x14ac:dyDescent="0.2">
      <c r="A561" s="42"/>
      <c r="B561" s="67" t="s">
        <v>746</v>
      </c>
      <c r="C561" s="173">
        <v>0</v>
      </c>
      <c r="D561" s="173">
        <v>0</v>
      </c>
      <c r="E561" s="173">
        <v>0</v>
      </c>
      <c r="F561" s="174">
        <v>0</v>
      </c>
      <c r="G561" s="175">
        <v>0</v>
      </c>
      <c r="Q561" s="297"/>
      <c r="R561" s="90"/>
      <c r="T561" s="297" t="s">
        <v>732</v>
      </c>
      <c r="U561" s="90" t="s">
        <v>735</v>
      </c>
    </row>
    <row r="562" spans="1:21" s="93" customFormat="1" x14ac:dyDescent="0.2">
      <c r="A562" s="42"/>
      <c r="B562" s="67" t="s">
        <v>747</v>
      </c>
      <c r="C562" s="187">
        <v>0</v>
      </c>
      <c r="D562" s="187">
        <v>0</v>
      </c>
      <c r="E562" s="187">
        <v>0</v>
      </c>
      <c r="F562" s="201">
        <v>0</v>
      </c>
      <c r="G562" s="202">
        <v>0</v>
      </c>
      <c r="Q562" s="297"/>
      <c r="R562" s="90"/>
      <c r="T562" s="297" t="s">
        <v>732</v>
      </c>
      <c r="U562" s="90" t="s">
        <v>735</v>
      </c>
    </row>
    <row r="563" spans="1:21" ht="25.5" x14ac:dyDescent="0.2">
      <c r="A563" s="42"/>
      <c r="B563" s="67" t="s">
        <v>748</v>
      </c>
      <c r="C563" s="204">
        <v>0</v>
      </c>
      <c r="D563" s="204">
        <v>0</v>
      </c>
      <c r="E563" s="204">
        <v>0</v>
      </c>
      <c r="F563" s="204">
        <v>0</v>
      </c>
      <c r="G563" s="205">
        <v>0</v>
      </c>
      <c r="Q563" s="297"/>
      <c r="T563" s="297" t="s">
        <v>733</v>
      </c>
      <c r="U563" s="90" t="s">
        <v>735</v>
      </c>
    </row>
    <row r="564" spans="1:21" x14ac:dyDescent="0.2">
      <c r="A564" s="42"/>
      <c r="B564" s="67" t="s">
        <v>749</v>
      </c>
      <c r="C564" s="173">
        <v>0</v>
      </c>
      <c r="D564" s="173">
        <v>0</v>
      </c>
      <c r="E564" s="173">
        <v>0</v>
      </c>
      <c r="F564" s="174">
        <v>0</v>
      </c>
      <c r="G564" s="175">
        <v>0</v>
      </c>
      <c r="Q564" s="297"/>
      <c r="T564" s="297" t="s">
        <v>732</v>
      </c>
      <c r="U564" s="90" t="s">
        <v>735</v>
      </c>
    </row>
    <row r="565" spans="1:21" x14ac:dyDescent="0.2">
      <c r="A565" s="42"/>
      <c r="B565" s="67" t="s">
        <v>750</v>
      </c>
      <c r="C565" s="187">
        <v>0</v>
      </c>
      <c r="D565" s="187">
        <v>0</v>
      </c>
      <c r="E565" s="187">
        <v>0</v>
      </c>
      <c r="F565" s="201">
        <v>0</v>
      </c>
      <c r="G565" s="202">
        <v>0</v>
      </c>
      <c r="Q565" s="297"/>
      <c r="T565" s="297" t="s">
        <v>732</v>
      </c>
      <c r="U565" s="90" t="s">
        <v>735</v>
      </c>
    </row>
    <row r="566" spans="1:21" x14ac:dyDescent="0.2">
      <c r="A566" s="42"/>
      <c r="B566" s="203"/>
      <c r="C566" s="204"/>
      <c r="D566" s="204"/>
      <c r="E566" s="204"/>
      <c r="F566" s="204"/>
      <c r="G566" s="205"/>
      <c r="H566" s="93"/>
      <c r="Q566" s="297"/>
      <c r="T566" s="297"/>
    </row>
    <row r="567" spans="1:21" x14ac:dyDescent="0.2">
      <c r="A567" s="42"/>
      <c r="B567" s="188" t="s">
        <v>751</v>
      </c>
      <c r="C567" s="149"/>
      <c r="D567" s="149"/>
      <c r="E567" s="149"/>
      <c r="F567" s="149"/>
      <c r="G567" s="150"/>
      <c r="Q567" s="297"/>
      <c r="T567" s="297"/>
    </row>
    <row r="568" spans="1:21" s="93" customFormat="1" ht="25.5" x14ac:dyDescent="0.2">
      <c r="A568" s="42"/>
      <c r="B568" s="67" t="s">
        <v>752</v>
      </c>
      <c r="C568" s="189">
        <v>0</v>
      </c>
      <c r="D568" s="189">
        <v>0</v>
      </c>
      <c r="E568" s="189">
        <v>0</v>
      </c>
      <c r="F568" s="190">
        <v>0</v>
      </c>
      <c r="G568" s="191">
        <v>0</v>
      </c>
      <c r="Q568" s="297"/>
      <c r="R568" s="90"/>
      <c r="T568" s="297" t="s">
        <v>732</v>
      </c>
      <c r="U568" s="90" t="s">
        <v>735</v>
      </c>
    </row>
    <row r="569" spans="1:21" x14ac:dyDescent="0.2">
      <c r="A569" s="42"/>
      <c r="B569" s="203"/>
      <c r="C569" s="204"/>
      <c r="D569" s="204"/>
      <c r="E569" s="204"/>
      <c r="F569" s="204"/>
      <c r="G569" s="205"/>
      <c r="Q569" s="297"/>
      <c r="T569" s="297"/>
    </row>
    <row r="570" spans="1:21" x14ac:dyDescent="0.2">
      <c r="A570" s="42"/>
      <c r="B570" s="203" t="s">
        <v>753</v>
      </c>
      <c r="C570" s="204">
        <v>0</v>
      </c>
      <c r="D570" s="204">
        <v>0</v>
      </c>
      <c r="E570" s="204">
        <v>0</v>
      </c>
      <c r="F570" s="204">
        <v>0</v>
      </c>
      <c r="G570" s="205">
        <v>0</v>
      </c>
      <c r="Q570" s="297"/>
      <c r="T570" s="297" t="s">
        <v>733</v>
      </c>
      <c r="U570" s="90" t="s">
        <v>735</v>
      </c>
    </row>
    <row r="571" spans="1:21" x14ac:dyDescent="0.2">
      <c r="A571" s="42"/>
      <c r="B571" s="203"/>
      <c r="C571" s="204"/>
      <c r="D571" s="204"/>
      <c r="E571" s="204"/>
      <c r="F571" s="204"/>
      <c r="G571" s="205"/>
      <c r="Q571" s="297"/>
      <c r="T571" s="297"/>
    </row>
    <row r="572" spans="1:21" ht="13.5" thickBot="1" x14ac:dyDescent="0.25">
      <c r="A572" s="87"/>
      <c r="B572" s="192"/>
      <c r="C572" s="153"/>
      <c r="D572" s="153"/>
      <c r="E572" s="153"/>
      <c r="F572" s="153"/>
      <c r="G572" s="154"/>
      <c r="Q572" s="297"/>
      <c r="T572" s="297"/>
    </row>
    <row r="574" spans="1:21" ht="13.5" thickBot="1" x14ac:dyDescent="0.25">
      <c r="Q574" s="297"/>
      <c r="T574" s="297"/>
    </row>
    <row r="575" spans="1:21" ht="19.5" thickBot="1" x14ac:dyDescent="0.25">
      <c r="A575" s="41"/>
      <c r="B575" s="34" t="s">
        <v>356</v>
      </c>
      <c r="C575" s="223"/>
      <c r="D575" s="223"/>
      <c r="E575" s="223"/>
      <c r="F575" s="223"/>
      <c r="G575" s="223"/>
      <c r="Q575" s="297"/>
      <c r="T575" s="297"/>
    </row>
    <row r="576" spans="1:21" s="93" customFormat="1" x14ac:dyDescent="0.2">
      <c r="A576" s="169"/>
      <c r="B576" s="200"/>
      <c r="C576" s="225" t="s">
        <v>1039</v>
      </c>
      <c r="D576" s="225" t="s">
        <v>1040</v>
      </c>
      <c r="E576" s="225" t="s">
        <v>1041</v>
      </c>
      <c r="F576" s="225" t="s">
        <v>1042</v>
      </c>
      <c r="G576" s="226" t="s">
        <v>1043</v>
      </c>
      <c r="Q576" s="297"/>
      <c r="R576" s="90"/>
      <c r="T576" s="297" t="s">
        <v>733</v>
      </c>
      <c r="U576" s="90" t="s">
        <v>450</v>
      </c>
    </row>
    <row r="577" spans="1:21" x14ac:dyDescent="0.2">
      <c r="A577" s="84"/>
      <c r="B577" s="188" t="s">
        <v>356</v>
      </c>
      <c r="C577" s="149"/>
      <c r="D577" s="149"/>
      <c r="E577" s="149"/>
      <c r="F577" s="149"/>
      <c r="G577" s="150"/>
      <c r="Q577" s="297"/>
      <c r="T577" s="297"/>
    </row>
    <row r="578" spans="1:21" s="93" customFormat="1" x14ac:dyDescent="0.2">
      <c r="A578" s="84"/>
      <c r="B578" s="67" t="s">
        <v>357</v>
      </c>
      <c r="C578" s="173">
        <v>0</v>
      </c>
      <c r="D578" s="173">
        <v>0</v>
      </c>
      <c r="E578" s="173">
        <v>0</v>
      </c>
      <c r="F578" s="174">
        <v>60</v>
      </c>
      <c r="G578" s="175">
        <v>28</v>
      </c>
      <c r="Q578" s="297"/>
      <c r="R578" s="90"/>
      <c r="T578" s="297" t="s">
        <v>732</v>
      </c>
      <c r="U578" s="90" t="s">
        <v>735</v>
      </c>
    </row>
    <row r="579" spans="1:21" s="93" customFormat="1" x14ac:dyDescent="0.2">
      <c r="A579" s="84"/>
      <c r="B579" s="67" t="s">
        <v>358</v>
      </c>
      <c r="C579" s="173">
        <v>0</v>
      </c>
      <c r="D579" s="173">
        <v>0</v>
      </c>
      <c r="E579" s="173">
        <v>0</v>
      </c>
      <c r="F579" s="174">
        <v>2007</v>
      </c>
      <c r="G579" s="175">
        <v>2469</v>
      </c>
      <c r="Q579" s="297"/>
      <c r="R579" s="90"/>
      <c r="T579" s="297" t="s">
        <v>732</v>
      </c>
      <c r="U579" s="90" t="s">
        <v>735</v>
      </c>
    </row>
    <row r="580" spans="1:21" x14ac:dyDescent="0.2">
      <c r="A580" s="84"/>
      <c r="B580" s="67" t="s">
        <v>359</v>
      </c>
      <c r="C580" s="187">
        <v>0</v>
      </c>
      <c r="D580" s="187">
        <v>0</v>
      </c>
      <c r="E580" s="187">
        <v>0</v>
      </c>
      <c r="F580" s="201">
        <v>2039</v>
      </c>
      <c r="G580" s="202">
        <v>2407</v>
      </c>
      <c r="Q580" s="297"/>
      <c r="T580" s="297" t="s">
        <v>732</v>
      </c>
      <c r="U580" s="90" t="s">
        <v>735</v>
      </c>
    </row>
    <row r="581" spans="1:21" x14ac:dyDescent="0.2">
      <c r="A581" s="84"/>
      <c r="B581" s="203" t="s">
        <v>360</v>
      </c>
      <c r="C581" s="204">
        <v>0</v>
      </c>
      <c r="D581" s="204">
        <v>0</v>
      </c>
      <c r="E581" s="204">
        <v>0</v>
      </c>
      <c r="F581" s="204">
        <v>28</v>
      </c>
      <c r="G581" s="205">
        <v>90</v>
      </c>
      <c r="H581" s="93" t="s">
        <v>1030</v>
      </c>
      <c r="Q581" s="297"/>
      <c r="T581" s="297" t="s">
        <v>733</v>
      </c>
      <c r="U581" s="90" t="s">
        <v>735</v>
      </c>
    </row>
    <row r="582" spans="1:21" x14ac:dyDescent="0.2">
      <c r="A582" s="84"/>
      <c r="B582" s="203"/>
      <c r="C582" s="204"/>
      <c r="D582" s="204"/>
      <c r="E582" s="204"/>
      <c r="F582" s="204"/>
      <c r="G582" s="205"/>
      <c r="Q582" s="297"/>
      <c r="T582" s="297"/>
    </row>
    <row r="583" spans="1:21" ht="13.5" thickBot="1" x14ac:dyDescent="0.25">
      <c r="A583" s="87"/>
      <c r="B583" s="192"/>
      <c r="C583" s="153"/>
      <c r="D583" s="153"/>
      <c r="E583" s="153"/>
      <c r="F583" s="153"/>
      <c r="G583" s="154"/>
      <c r="Q583" s="297"/>
      <c r="T583" s="297"/>
    </row>
    <row r="584" spans="1:21" ht="13.5" thickBot="1" x14ac:dyDescent="0.25"/>
    <row r="585" spans="1:21" s="97" customFormat="1" ht="19.5" thickBot="1" x14ac:dyDescent="0.25">
      <c r="A585" s="41"/>
      <c r="B585" s="34" t="s">
        <v>306</v>
      </c>
      <c r="C585" s="223"/>
      <c r="D585" s="223"/>
      <c r="E585" s="223"/>
      <c r="F585" s="223"/>
      <c r="G585" s="223"/>
      <c r="J585" s="289"/>
    </row>
    <row r="586" spans="1:21" s="97" customFormat="1" x14ac:dyDescent="0.2">
      <c r="A586" s="169"/>
      <c r="B586" s="170"/>
      <c r="C586" s="171"/>
      <c r="D586" s="171"/>
      <c r="E586" s="171"/>
      <c r="F586" s="171"/>
      <c r="G586" s="172"/>
    </row>
    <row r="587" spans="1:21" s="97" customFormat="1" x14ac:dyDescent="0.2">
      <c r="A587" s="169"/>
      <c r="B587" s="170" t="s">
        <v>285</v>
      </c>
      <c r="C587" s="193" t="str">
        <f t="shared" ref="C587:E587" si="2">C17</f>
        <v>31/03/2017</v>
      </c>
      <c r="D587" s="193" t="str">
        <f t="shared" si="2"/>
        <v>31/03/2018</v>
      </c>
      <c r="E587" s="193" t="str">
        <f t="shared" si="2"/>
        <v>31/03/2019</v>
      </c>
      <c r="F587" s="193" t="str">
        <f>F17</f>
        <v>31/03/2020</v>
      </c>
      <c r="G587" s="194" t="str">
        <f>G17</f>
        <v>31/03/2021</v>
      </c>
    </row>
    <row r="588" spans="1:21" s="97" customFormat="1" ht="15" x14ac:dyDescent="0.35">
      <c r="A588" s="84"/>
      <c r="B588" s="160"/>
      <c r="C588" s="193"/>
      <c r="D588" s="193"/>
      <c r="E588" s="193"/>
      <c r="F588" s="193"/>
      <c r="G588" s="194"/>
    </row>
    <row r="589" spans="1:21" s="97" customFormat="1" ht="15" x14ac:dyDescent="0.35">
      <c r="A589" s="84"/>
      <c r="B589" s="160" t="s">
        <v>307</v>
      </c>
      <c r="C589" s="193"/>
      <c r="D589" s="193"/>
      <c r="E589" s="193"/>
      <c r="F589" s="193"/>
      <c r="G589" s="194"/>
    </row>
    <row r="590" spans="1:21" s="97" customFormat="1" ht="15" x14ac:dyDescent="0.35">
      <c r="A590" s="84"/>
      <c r="B590" s="385" t="s">
        <v>324</v>
      </c>
      <c r="C590" s="271"/>
      <c r="D590" s="271"/>
      <c r="E590" s="271"/>
      <c r="F590" s="271"/>
      <c r="G590" s="270"/>
    </row>
    <row r="591" spans="1:21" s="97" customFormat="1" x14ac:dyDescent="0.2">
      <c r="A591" s="84"/>
      <c r="B591" s="383" t="s">
        <v>820</v>
      </c>
      <c r="C591" s="271"/>
      <c r="D591" s="271"/>
      <c r="E591" s="271"/>
      <c r="F591" s="271">
        <f>C453</f>
        <v>740998.9</v>
      </c>
      <c r="G591" s="270">
        <f>C431</f>
        <v>870649.7</v>
      </c>
      <c r="H591" s="390"/>
      <c r="I591" s="390"/>
      <c r="J591" s="390"/>
      <c r="K591" s="390"/>
      <c r="T591" s="97" t="s">
        <v>732</v>
      </c>
      <c r="U591" s="97" t="s">
        <v>734</v>
      </c>
    </row>
    <row r="592" spans="1:21" s="97" customFormat="1" x14ac:dyDescent="0.2">
      <c r="A592" s="84"/>
      <c r="B592" s="383" t="s">
        <v>821</v>
      </c>
      <c r="C592" s="271"/>
      <c r="D592" s="271"/>
      <c r="E592" s="271"/>
      <c r="F592" s="271">
        <f>D453</f>
        <v>195913.3</v>
      </c>
      <c r="G592" s="270">
        <f>D431</f>
        <v>122596.6</v>
      </c>
      <c r="H592" s="390"/>
      <c r="I592" s="390"/>
      <c r="J592" s="390"/>
      <c r="K592" s="390"/>
      <c r="T592" s="97" t="s">
        <v>732</v>
      </c>
      <c r="U592" s="97" t="s">
        <v>734</v>
      </c>
    </row>
    <row r="593" spans="1:21" s="97" customFormat="1" x14ac:dyDescent="0.2">
      <c r="A593" s="84"/>
      <c r="B593" s="383" t="s">
        <v>822</v>
      </c>
      <c r="C593" s="271"/>
      <c r="D593" s="271"/>
      <c r="E593" s="271"/>
      <c r="F593" s="271">
        <f>E453</f>
        <v>86162.7</v>
      </c>
      <c r="G593" s="270">
        <f>E431</f>
        <v>91770.8</v>
      </c>
      <c r="H593" s="390"/>
      <c r="I593" s="390"/>
      <c r="J593" s="390"/>
      <c r="K593" s="390"/>
      <c r="T593" s="97" t="s">
        <v>732</v>
      </c>
      <c r="U593" s="97" t="s">
        <v>734</v>
      </c>
    </row>
    <row r="594" spans="1:21" s="97" customFormat="1" x14ac:dyDescent="0.2">
      <c r="A594" s="84"/>
      <c r="B594" s="383" t="s">
        <v>823</v>
      </c>
      <c r="C594" s="271"/>
      <c r="D594" s="271"/>
      <c r="E594" s="271"/>
      <c r="F594" s="271">
        <f>G453</f>
        <v>14728</v>
      </c>
      <c r="G594" s="270">
        <f>G431</f>
        <v>21560.5</v>
      </c>
      <c r="H594" s="390"/>
      <c r="I594" s="390"/>
      <c r="J594" s="390"/>
      <c r="K594" s="390"/>
      <c r="T594" s="97" t="s">
        <v>732</v>
      </c>
      <c r="U594" s="97" t="s">
        <v>734</v>
      </c>
    </row>
    <row r="595" spans="1:21" s="97" customFormat="1" x14ac:dyDescent="0.2">
      <c r="A595" s="84"/>
      <c r="B595" s="383" t="s">
        <v>824</v>
      </c>
      <c r="C595" s="271"/>
      <c r="D595" s="271"/>
      <c r="E595" s="271"/>
      <c r="F595" s="271">
        <f>H453</f>
        <v>11134.6</v>
      </c>
      <c r="G595" s="270">
        <f>H431</f>
        <v>9280.7999999999993</v>
      </c>
      <c r="H595" s="390"/>
      <c r="I595" s="390"/>
      <c r="J595" s="390"/>
      <c r="K595" s="390"/>
      <c r="T595" s="97" t="s">
        <v>732</v>
      </c>
      <c r="U595" s="97" t="s">
        <v>734</v>
      </c>
    </row>
    <row r="596" spans="1:21" s="97" customFormat="1" x14ac:dyDescent="0.2">
      <c r="A596" s="84"/>
      <c r="B596" s="383" t="s">
        <v>825</v>
      </c>
      <c r="C596" s="271"/>
      <c r="D596" s="271"/>
      <c r="E596" s="271"/>
      <c r="F596" s="271">
        <f>I453</f>
        <v>29697.4</v>
      </c>
      <c r="G596" s="270">
        <f>I431</f>
        <v>31859.5</v>
      </c>
      <c r="H596" s="390"/>
      <c r="I596" s="390"/>
      <c r="J596" s="390"/>
      <c r="K596" s="390"/>
      <c r="T596" s="97" t="s">
        <v>732</v>
      </c>
      <c r="U596" s="97" t="s">
        <v>734</v>
      </c>
    </row>
    <row r="597" spans="1:21" s="97" customFormat="1" x14ac:dyDescent="0.2">
      <c r="A597" s="84"/>
      <c r="B597" s="383" t="s">
        <v>247</v>
      </c>
      <c r="C597" s="271"/>
      <c r="D597" s="271"/>
      <c r="E597" s="271"/>
      <c r="F597" s="271">
        <f>SUM(F594:F596)</f>
        <v>55560</v>
      </c>
      <c r="G597" s="270">
        <f>SUM(G594:G596)</f>
        <v>62700.800000000003</v>
      </c>
      <c r="H597" s="390"/>
      <c r="I597" s="390"/>
      <c r="J597" s="390"/>
      <c r="K597" s="390"/>
      <c r="T597" s="97" t="s">
        <v>733</v>
      </c>
      <c r="U597" s="97" t="s">
        <v>734</v>
      </c>
    </row>
    <row r="598" spans="1:21" s="97" customFormat="1" ht="30" x14ac:dyDescent="0.35">
      <c r="A598" s="84"/>
      <c r="B598" s="385" t="s">
        <v>312</v>
      </c>
      <c r="C598" s="180"/>
      <c r="D598" s="180"/>
      <c r="E598" s="180"/>
      <c r="F598" s="271"/>
      <c r="G598" s="270"/>
      <c r="H598" s="390"/>
      <c r="I598" s="390"/>
      <c r="J598" s="390"/>
      <c r="K598" s="390"/>
    </row>
    <row r="599" spans="1:21" s="97" customFormat="1" x14ac:dyDescent="0.2">
      <c r="A599" s="84"/>
      <c r="B599" s="383" t="s">
        <v>820</v>
      </c>
      <c r="C599" s="271"/>
      <c r="D599" s="271"/>
      <c r="E599" s="271"/>
      <c r="F599" s="271">
        <f>C454</f>
        <v>430058.2</v>
      </c>
      <c r="G599" s="270">
        <f>C432</f>
        <v>213</v>
      </c>
      <c r="H599" s="390"/>
      <c r="I599" s="390"/>
      <c r="J599" s="390"/>
      <c r="K599" s="390"/>
      <c r="T599" s="97" t="s">
        <v>732</v>
      </c>
      <c r="U599" s="97" t="s">
        <v>734</v>
      </c>
    </row>
    <row r="600" spans="1:21" s="97" customFormat="1" x14ac:dyDescent="0.2">
      <c r="A600" s="84"/>
      <c r="B600" s="383" t="s">
        <v>821</v>
      </c>
      <c r="C600" s="271"/>
      <c r="D600" s="271"/>
      <c r="E600" s="271"/>
      <c r="F600" s="271">
        <f>D454</f>
        <v>73565.8</v>
      </c>
      <c r="G600" s="270">
        <f>D432</f>
        <v>435</v>
      </c>
      <c r="H600" s="390"/>
      <c r="I600" s="390"/>
      <c r="J600" s="390"/>
      <c r="K600" s="390"/>
      <c r="T600" s="97" t="s">
        <v>732</v>
      </c>
      <c r="U600" s="97" t="s">
        <v>734</v>
      </c>
    </row>
    <row r="601" spans="1:21" s="97" customFormat="1" x14ac:dyDescent="0.2">
      <c r="A601" s="84"/>
      <c r="B601" s="383" t="s">
        <v>822</v>
      </c>
      <c r="C601" s="271"/>
      <c r="D601" s="271"/>
      <c r="E601" s="271"/>
      <c r="F601" s="271">
        <f>E454</f>
        <v>11134.7</v>
      </c>
      <c r="G601" s="270">
        <f>E432</f>
        <v>657</v>
      </c>
      <c r="H601" s="390"/>
      <c r="I601" s="390"/>
      <c r="J601" s="390"/>
      <c r="K601" s="390"/>
      <c r="T601" s="97" t="s">
        <v>732</v>
      </c>
      <c r="U601" s="97" t="s">
        <v>734</v>
      </c>
    </row>
    <row r="602" spans="1:21" s="97" customFormat="1" x14ac:dyDescent="0.2">
      <c r="A602" s="84"/>
      <c r="B602" s="383" t="s">
        <v>823</v>
      </c>
      <c r="C602" s="271"/>
      <c r="D602" s="271"/>
      <c r="E602" s="271"/>
      <c r="F602" s="271">
        <f>G454</f>
        <v>8878.2999999999993</v>
      </c>
      <c r="G602" s="270">
        <f>G432</f>
        <v>10101.299999999999</v>
      </c>
      <c r="H602" s="390"/>
      <c r="I602" s="390"/>
      <c r="J602" s="390"/>
      <c r="K602" s="390"/>
      <c r="T602" s="97" t="s">
        <v>732</v>
      </c>
      <c r="U602" s="97" t="s">
        <v>734</v>
      </c>
    </row>
    <row r="603" spans="1:21" s="97" customFormat="1" x14ac:dyDescent="0.2">
      <c r="A603" s="84"/>
      <c r="B603" s="383" t="s">
        <v>824</v>
      </c>
      <c r="C603" s="271"/>
      <c r="D603" s="271"/>
      <c r="E603" s="271"/>
      <c r="F603" s="271">
        <f>H454</f>
        <v>4895.5</v>
      </c>
      <c r="G603" s="270">
        <f>H432</f>
        <v>4022</v>
      </c>
      <c r="H603" s="390"/>
      <c r="I603" s="390"/>
      <c r="J603" s="390"/>
      <c r="K603" s="390"/>
      <c r="T603" s="97" t="s">
        <v>732</v>
      </c>
      <c r="U603" s="97" t="s">
        <v>734</v>
      </c>
    </row>
    <row r="604" spans="1:21" s="97" customFormat="1" x14ac:dyDescent="0.2">
      <c r="A604" s="84"/>
      <c r="B604" s="383" t="s">
        <v>825</v>
      </c>
      <c r="C604" s="271"/>
      <c r="D604" s="271"/>
      <c r="E604" s="271"/>
      <c r="F604" s="271">
        <f>I454</f>
        <v>3827.2</v>
      </c>
      <c r="G604" s="270">
        <f>I432</f>
        <v>5566.5</v>
      </c>
      <c r="H604" s="390"/>
      <c r="I604" s="390"/>
      <c r="J604" s="390"/>
      <c r="K604" s="390"/>
      <c r="T604" s="97" t="s">
        <v>732</v>
      </c>
      <c r="U604" s="97" t="s">
        <v>734</v>
      </c>
    </row>
    <row r="605" spans="1:21" s="97" customFormat="1" x14ac:dyDescent="0.2">
      <c r="A605" s="84"/>
      <c r="B605" s="383" t="s">
        <v>247</v>
      </c>
      <c r="C605" s="271"/>
      <c r="D605" s="271"/>
      <c r="E605" s="271"/>
      <c r="F605" s="271">
        <f>SUM(F602:F604)</f>
        <v>17601</v>
      </c>
      <c r="G605" s="270">
        <f>SUM(G602:G604)</f>
        <v>19689.8</v>
      </c>
      <c r="H605" s="390"/>
      <c r="I605" s="390"/>
      <c r="J605" s="390"/>
      <c r="K605" s="390"/>
      <c r="T605" s="97" t="s">
        <v>733</v>
      </c>
      <c r="U605" s="97" t="s">
        <v>734</v>
      </c>
    </row>
    <row r="606" spans="1:21" s="97" customFormat="1" ht="15" x14ac:dyDescent="0.35">
      <c r="A606" s="84"/>
      <c r="B606" s="385" t="s">
        <v>313</v>
      </c>
      <c r="C606" s="180"/>
      <c r="D606" s="180"/>
      <c r="E606" s="180"/>
      <c r="F606" s="271"/>
      <c r="G606" s="270"/>
      <c r="H606" s="390"/>
      <c r="I606" s="390"/>
      <c r="J606" s="390"/>
      <c r="K606" s="390"/>
    </row>
    <row r="607" spans="1:21" s="97" customFormat="1" x14ac:dyDescent="0.2">
      <c r="A607" s="84"/>
      <c r="B607" s="383" t="s">
        <v>820</v>
      </c>
      <c r="C607" s="271"/>
      <c r="D607" s="271"/>
      <c r="E607" s="271"/>
      <c r="F607" s="271">
        <f>C455</f>
        <v>-334638.5</v>
      </c>
      <c r="G607" s="270">
        <f>C433</f>
        <v>-225924.1</v>
      </c>
      <c r="H607" s="390"/>
      <c r="I607" s="390"/>
      <c r="J607" s="390"/>
      <c r="K607" s="390"/>
      <c r="T607" s="97" t="s">
        <v>732</v>
      </c>
      <c r="U607" s="97" t="s">
        <v>734</v>
      </c>
    </row>
    <row r="608" spans="1:21" s="97" customFormat="1" x14ac:dyDescent="0.2">
      <c r="A608" s="84"/>
      <c r="B608" s="383" t="s">
        <v>821</v>
      </c>
      <c r="C608" s="271"/>
      <c r="D608" s="271"/>
      <c r="E608" s="271"/>
      <c r="F608" s="271">
        <f>D455</f>
        <v>-63062.3</v>
      </c>
      <c r="G608" s="270">
        <f>D433</f>
        <v>-35316.5</v>
      </c>
      <c r="H608" s="390"/>
      <c r="I608" s="390"/>
      <c r="J608" s="390"/>
      <c r="K608" s="390"/>
      <c r="T608" s="97" t="s">
        <v>732</v>
      </c>
      <c r="U608" s="97" t="s">
        <v>734</v>
      </c>
    </row>
    <row r="609" spans="1:21" s="97" customFormat="1" x14ac:dyDescent="0.2">
      <c r="A609" s="84"/>
      <c r="B609" s="383" t="s">
        <v>822</v>
      </c>
      <c r="C609" s="271"/>
      <c r="D609" s="271"/>
      <c r="E609" s="271"/>
      <c r="F609" s="271">
        <f>E455</f>
        <v>-34762.199999999997</v>
      </c>
      <c r="G609" s="270">
        <f>E433</f>
        <v>-21578.400000000001</v>
      </c>
      <c r="H609" s="390"/>
      <c r="I609" s="390"/>
      <c r="J609" s="390"/>
      <c r="K609" s="390"/>
      <c r="T609" s="97" t="s">
        <v>732</v>
      </c>
      <c r="U609" s="97" t="s">
        <v>734</v>
      </c>
    </row>
    <row r="610" spans="1:21" s="97" customFormat="1" x14ac:dyDescent="0.2">
      <c r="A610" s="84"/>
      <c r="B610" s="383" t="s">
        <v>823</v>
      </c>
      <c r="C610" s="271"/>
      <c r="D610" s="271"/>
      <c r="E610" s="271"/>
      <c r="F610" s="271">
        <f>G455</f>
        <v>0</v>
      </c>
      <c r="G610" s="270">
        <f>G433</f>
        <v>0</v>
      </c>
      <c r="H610" s="390"/>
      <c r="I610" s="390"/>
      <c r="J610" s="390"/>
      <c r="K610" s="390"/>
      <c r="T610" s="97" t="s">
        <v>732</v>
      </c>
      <c r="U610" s="97" t="s">
        <v>734</v>
      </c>
    </row>
    <row r="611" spans="1:21" s="97" customFormat="1" x14ac:dyDescent="0.2">
      <c r="A611" s="84"/>
      <c r="B611" s="383" t="s">
        <v>824</v>
      </c>
      <c r="C611" s="271"/>
      <c r="D611" s="271"/>
      <c r="E611" s="271"/>
      <c r="F611" s="271">
        <f>H455</f>
        <v>0</v>
      </c>
      <c r="G611" s="270">
        <f>H433</f>
        <v>0</v>
      </c>
      <c r="H611" s="390"/>
      <c r="I611" s="390"/>
      <c r="J611" s="390"/>
      <c r="K611" s="390"/>
      <c r="T611" s="97" t="s">
        <v>732</v>
      </c>
      <c r="U611" s="97" t="s">
        <v>734</v>
      </c>
    </row>
    <row r="612" spans="1:21" s="97" customFormat="1" x14ac:dyDescent="0.2">
      <c r="A612" s="84"/>
      <c r="B612" s="383" t="s">
        <v>825</v>
      </c>
      <c r="C612" s="271"/>
      <c r="D612" s="271"/>
      <c r="E612" s="271"/>
      <c r="F612" s="271">
        <f>I455</f>
        <v>0</v>
      </c>
      <c r="G612" s="270">
        <f>I433</f>
        <v>0</v>
      </c>
      <c r="H612" s="390"/>
      <c r="I612" s="390"/>
      <c r="J612" s="390"/>
      <c r="K612" s="390"/>
      <c r="T612" s="97" t="s">
        <v>732</v>
      </c>
      <c r="U612" s="97" t="s">
        <v>734</v>
      </c>
    </row>
    <row r="613" spans="1:21" s="97" customFormat="1" x14ac:dyDescent="0.2">
      <c r="A613" s="84"/>
      <c r="B613" s="383" t="s">
        <v>247</v>
      </c>
      <c r="C613" s="271"/>
      <c r="D613" s="271"/>
      <c r="E613" s="271"/>
      <c r="F613" s="271">
        <f>SUM(F610:F612)</f>
        <v>0</v>
      </c>
      <c r="G613" s="270">
        <f>SUM(G610:G612)</f>
        <v>0</v>
      </c>
      <c r="H613" s="390"/>
      <c r="I613" s="390"/>
      <c r="J613" s="390"/>
      <c r="K613" s="390"/>
      <c r="T613" s="97" t="s">
        <v>733</v>
      </c>
      <c r="U613" s="97" t="s">
        <v>734</v>
      </c>
    </row>
    <row r="614" spans="1:21" s="97" customFormat="1" ht="15" x14ac:dyDescent="0.35">
      <c r="A614" s="84"/>
      <c r="B614" s="385" t="s">
        <v>314</v>
      </c>
      <c r="C614" s="180"/>
      <c r="D614" s="180"/>
      <c r="E614" s="180"/>
      <c r="F614" s="271"/>
      <c r="G614" s="270"/>
      <c r="H614" s="390"/>
      <c r="I614" s="390"/>
      <c r="J614" s="390"/>
      <c r="K614" s="390"/>
    </row>
    <row r="615" spans="1:21" s="97" customFormat="1" x14ac:dyDescent="0.2">
      <c r="A615" s="84"/>
      <c r="B615" s="383" t="s">
        <v>820</v>
      </c>
      <c r="C615" s="271"/>
      <c r="D615" s="271"/>
      <c r="E615" s="271"/>
      <c r="F615" s="271">
        <f>C456</f>
        <v>0</v>
      </c>
      <c r="G615" s="270">
        <f>C434</f>
        <v>0</v>
      </c>
      <c r="H615" s="390"/>
      <c r="I615" s="390"/>
      <c r="J615" s="390"/>
      <c r="K615" s="390"/>
      <c r="T615" s="97" t="s">
        <v>732</v>
      </c>
      <c r="U615" s="97" t="s">
        <v>734</v>
      </c>
    </row>
    <row r="616" spans="1:21" s="97" customFormat="1" x14ac:dyDescent="0.2">
      <c r="A616" s="84"/>
      <c r="B616" s="383" t="s">
        <v>821</v>
      </c>
      <c r="C616" s="271"/>
      <c r="D616" s="271"/>
      <c r="E616" s="271"/>
      <c r="F616" s="271">
        <f>D456</f>
        <v>0</v>
      </c>
      <c r="G616" s="270">
        <f>D434</f>
        <v>0</v>
      </c>
      <c r="H616" s="390"/>
      <c r="I616" s="390"/>
      <c r="J616" s="390"/>
      <c r="K616" s="390"/>
      <c r="T616" s="97" t="s">
        <v>732</v>
      </c>
      <c r="U616" s="97" t="s">
        <v>734</v>
      </c>
    </row>
    <row r="617" spans="1:21" s="97" customFormat="1" x14ac:dyDescent="0.2">
      <c r="A617" s="84"/>
      <c r="B617" s="383" t="s">
        <v>822</v>
      </c>
      <c r="C617" s="271"/>
      <c r="D617" s="271"/>
      <c r="E617" s="271"/>
      <c r="F617" s="271">
        <f>E456</f>
        <v>0</v>
      </c>
      <c r="G617" s="270">
        <f>E434</f>
        <v>0</v>
      </c>
      <c r="H617" s="390"/>
      <c r="I617" s="390"/>
      <c r="J617" s="390"/>
      <c r="K617" s="390"/>
      <c r="T617" s="97" t="s">
        <v>732</v>
      </c>
      <c r="U617" s="97" t="s">
        <v>734</v>
      </c>
    </row>
    <row r="618" spans="1:21" s="97" customFormat="1" x14ac:dyDescent="0.2">
      <c r="A618" s="84"/>
      <c r="B618" s="383" t="s">
        <v>823</v>
      </c>
      <c r="C618" s="271"/>
      <c r="D618" s="271"/>
      <c r="E618" s="271"/>
      <c r="F618" s="271">
        <f>G456</f>
        <v>0</v>
      </c>
      <c r="G618" s="270">
        <f>G434</f>
        <v>0</v>
      </c>
      <c r="H618" s="390"/>
      <c r="I618" s="390"/>
      <c r="J618" s="390"/>
      <c r="K618" s="390"/>
      <c r="T618" s="97" t="s">
        <v>732</v>
      </c>
      <c r="U618" s="97" t="s">
        <v>734</v>
      </c>
    </row>
    <row r="619" spans="1:21" s="97" customFormat="1" x14ac:dyDescent="0.2">
      <c r="A619" s="84"/>
      <c r="B619" s="383" t="s">
        <v>824</v>
      </c>
      <c r="C619" s="271"/>
      <c r="D619" s="271"/>
      <c r="E619" s="271"/>
      <c r="F619" s="271">
        <f>H456</f>
        <v>0</v>
      </c>
      <c r="G619" s="270">
        <f>H434</f>
        <v>0</v>
      </c>
      <c r="H619" s="390"/>
      <c r="I619" s="390"/>
      <c r="J619" s="390"/>
      <c r="K619" s="390"/>
      <c r="T619" s="97" t="s">
        <v>732</v>
      </c>
      <c r="U619" s="97" t="s">
        <v>734</v>
      </c>
    </row>
    <row r="620" spans="1:21" s="97" customFormat="1" x14ac:dyDescent="0.2">
      <c r="A620" s="84"/>
      <c r="B620" s="383" t="s">
        <v>825</v>
      </c>
      <c r="C620" s="271"/>
      <c r="D620" s="271"/>
      <c r="E620" s="271"/>
      <c r="F620" s="271">
        <f>I456</f>
        <v>0</v>
      </c>
      <c r="G620" s="270">
        <f>I434</f>
        <v>0</v>
      </c>
      <c r="H620" s="390"/>
      <c r="I620" s="390"/>
      <c r="J620" s="390"/>
      <c r="K620" s="390"/>
      <c r="T620" s="97" t="s">
        <v>732</v>
      </c>
      <c r="U620" s="97" t="s">
        <v>734</v>
      </c>
    </row>
    <row r="621" spans="1:21" s="97" customFormat="1" x14ac:dyDescent="0.2">
      <c r="A621" s="84"/>
      <c r="B621" s="383" t="s">
        <v>247</v>
      </c>
      <c r="C621" s="271"/>
      <c r="D621" s="271"/>
      <c r="E621" s="271"/>
      <c r="F621" s="271">
        <f>SUM(F618:F620)</f>
        <v>0</v>
      </c>
      <c r="G621" s="270">
        <f>SUM(G618:G620)</f>
        <v>0</v>
      </c>
      <c r="H621" s="390"/>
      <c r="I621" s="390"/>
      <c r="J621" s="390"/>
      <c r="K621" s="390"/>
      <c r="T621" s="97" t="s">
        <v>733</v>
      </c>
      <c r="U621" s="97" t="s">
        <v>734</v>
      </c>
    </row>
    <row r="622" spans="1:21" s="97" customFormat="1" ht="15" x14ac:dyDescent="0.35">
      <c r="A622" s="84"/>
      <c r="B622" s="385" t="s">
        <v>315</v>
      </c>
      <c r="C622" s="180"/>
      <c r="D622" s="180"/>
      <c r="E622" s="180"/>
      <c r="F622" s="271"/>
      <c r="G622" s="270"/>
      <c r="H622" s="390"/>
      <c r="I622" s="390"/>
      <c r="J622" s="390"/>
      <c r="K622" s="390"/>
    </row>
    <row r="623" spans="1:21" s="97" customFormat="1" x14ac:dyDescent="0.2">
      <c r="A623" s="84"/>
      <c r="B623" s="383" t="s">
        <v>820</v>
      </c>
      <c r="C623" s="271"/>
      <c r="D623" s="271"/>
      <c r="E623" s="271"/>
      <c r="F623" s="271">
        <f>C457</f>
        <v>153783.5</v>
      </c>
      <c r="G623" s="270">
        <f>C435</f>
        <v>99586.5</v>
      </c>
      <c r="H623" s="390"/>
      <c r="I623" s="390"/>
      <c r="J623" s="390"/>
      <c r="K623" s="390"/>
      <c r="T623" s="97" t="s">
        <v>732</v>
      </c>
      <c r="U623" s="97" t="s">
        <v>734</v>
      </c>
    </row>
    <row r="624" spans="1:21" s="97" customFormat="1" x14ac:dyDescent="0.2">
      <c r="A624" s="84"/>
      <c r="B624" s="383" t="s">
        <v>821</v>
      </c>
      <c r="C624" s="271"/>
      <c r="D624" s="271"/>
      <c r="E624" s="271"/>
      <c r="F624" s="271">
        <f>D457</f>
        <v>-136549.9</v>
      </c>
      <c r="G624" s="270">
        <f>D435</f>
        <v>-77267</v>
      </c>
      <c r="H624" s="390"/>
      <c r="I624" s="390"/>
      <c r="J624" s="390"/>
      <c r="K624" s="390"/>
      <c r="T624" s="97" t="s">
        <v>732</v>
      </c>
      <c r="U624" s="97" t="s">
        <v>734</v>
      </c>
    </row>
    <row r="625" spans="1:21" s="97" customFormat="1" x14ac:dyDescent="0.2">
      <c r="A625" s="84"/>
      <c r="B625" s="383" t="s">
        <v>822</v>
      </c>
      <c r="C625" s="271"/>
      <c r="D625" s="271"/>
      <c r="E625" s="271"/>
      <c r="F625" s="271">
        <f>E457</f>
        <v>-17233.599999999999</v>
      </c>
      <c r="G625" s="270">
        <f>E435</f>
        <v>-22319.5</v>
      </c>
      <c r="H625" s="390"/>
      <c r="I625" s="390"/>
      <c r="J625" s="390"/>
      <c r="K625" s="390"/>
      <c r="T625" s="97" t="s">
        <v>732</v>
      </c>
      <c r="U625" s="97" t="s">
        <v>734</v>
      </c>
    </row>
    <row r="626" spans="1:21" s="97" customFormat="1" x14ac:dyDescent="0.2">
      <c r="A626" s="84"/>
      <c r="B626" s="383" t="s">
        <v>823</v>
      </c>
      <c r="C626" s="271"/>
      <c r="D626" s="271"/>
      <c r="E626" s="271"/>
      <c r="F626" s="271">
        <f>G457</f>
        <v>14083.2</v>
      </c>
      <c r="G626" s="270">
        <f>G435</f>
        <v>13811.3</v>
      </c>
      <c r="H626" s="390"/>
      <c r="I626" s="390"/>
      <c r="J626" s="390"/>
      <c r="K626" s="390"/>
      <c r="T626" s="97" t="s">
        <v>732</v>
      </c>
      <c r="U626" s="97" t="s">
        <v>734</v>
      </c>
    </row>
    <row r="627" spans="1:21" s="97" customFormat="1" x14ac:dyDescent="0.2">
      <c r="A627" s="84"/>
      <c r="B627" s="383" t="s">
        <v>824</v>
      </c>
      <c r="C627" s="271"/>
      <c r="D627" s="271"/>
      <c r="E627" s="271"/>
      <c r="F627" s="271">
        <f>H457</f>
        <v>-8290.7999999999993</v>
      </c>
      <c r="G627" s="270">
        <f>H435</f>
        <v>-6025.4</v>
      </c>
      <c r="H627" s="390"/>
      <c r="I627" s="390"/>
      <c r="J627" s="390"/>
      <c r="K627" s="390"/>
      <c r="T627" s="97" t="s">
        <v>732</v>
      </c>
      <c r="U627" s="97" t="s">
        <v>734</v>
      </c>
    </row>
    <row r="628" spans="1:21" s="97" customFormat="1" x14ac:dyDescent="0.2">
      <c r="A628" s="84"/>
      <c r="B628" s="383" t="s">
        <v>825</v>
      </c>
      <c r="C628" s="271"/>
      <c r="D628" s="271"/>
      <c r="E628" s="271"/>
      <c r="F628" s="271">
        <f>I457</f>
        <v>-5792.4</v>
      </c>
      <c r="G628" s="270">
        <f>I435</f>
        <v>-7785.9</v>
      </c>
      <c r="H628" s="390"/>
      <c r="I628" s="390"/>
      <c r="J628" s="390"/>
      <c r="K628" s="390"/>
      <c r="T628" s="97" t="s">
        <v>732</v>
      </c>
      <c r="U628" s="97" t="s">
        <v>734</v>
      </c>
    </row>
    <row r="629" spans="1:21" s="97" customFormat="1" x14ac:dyDescent="0.2">
      <c r="A629" s="84"/>
      <c r="B629" s="383" t="s">
        <v>247</v>
      </c>
      <c r="C629" s="271"/>
      <c r="D629" s="271"/>
      <c r="E629" s="271"/>
      <c r="F629" s="271">
        <f>SUM(F626:F628)</f>
        <v>0</v>
      </c>
      <c r="G629" s="270">
        <f>SUM(G626:G628)</f>
        <v>0</v>
      </c>
      <c r="H629" s="390"/>
      <c r="I629" s="390"/>
      <c r="J629" s="390"/>
      <c r="K629" s="390"/>
      <c r="T629" s="97" t="s">
        <v>733</v>
      </c>
      <c r="U629" s="97" t="s">
        <v>734</v>
      </c>
    </row>
    <row r="630" spans="1:21" s="97" customFormat="1" ht="15" x14ac:dyDescent="0.35">
      <c r="A630" s="84"/>
      <c r="B630" s="385" t="s">
        <v>316</v>
      </c>
      <c r="C630" s="180"/>
      <c r="D630" s="180"/>
      <c r="E630" s="180"/>
      <c r="F630" s="271"/>
      <c r="G630" s="270"/>
      <c r="H630" s="390"/>
      <c r="I630" s="390"/>
      <c r="J630" s="390"/>
      <c r="K630" s="390"/>
    </row>
    <row r="631" spans="1:21" s="97" customFormat="1" x14ac:dyDescent="0.2">
      <c r="A631" s="84"/>
      <c r="B631" s="383" t="s">
        <v>820</v>
      </c>
      <c r="C631" s="271"/>
      <c r="D631" s="271"/>
      <c r="E631" s="271"/>
      <c r="F631" s="271">
        <f>C458</f>
        <v>-77128.800000000003</v>
      </c>
      <c r="G631" s="270">
        <f>C436</f>
        <v>-97663.5</v>
      </c>
      <c r="H631" s="390"/>
      <c r="I631" s="390"/>
      <c r="J631" s="390"/>
      <c r="K631" s="390"/>
      <c r="T631" s="97" t="s">
        <v>732</v>
      </c>
      <c r="U631" s="97" t="s">
        <v>734</v>
      </c>
    </row>
    <row r="632" spans="1:21" s="97" customFormat="1" x14ac:dyDescent="0.2">
      <c r="A632" s="84"/>
      <c r="B632" s="383" t="s">
        <v>821</v>
      </c>
      <c r="C632" s="271"/>
      <c r="D632" s="271"/>
      <c r="E632" s="271"/>
      <c r="F632" s="271">
        <f>D458</f>
        <v>86834.5</v>
      </c>
      <c r="G632" s="270">
        <f>D436</f>
        <v>107229.3</v>
      </c>
      <c r="H632" s="390"/>
      <c r="I632" s="390"/>
      <c r="J632" s="390"/>
      <c r="K632" s="390"/>
      <c r="T632" s="97" t="s">
        <v>732</v>
      </c>
      <c r="U632" s="97" t="s">
        <v>734</v>
      </c>
    </row>
    <row r="633" spans="1:21" s="97" customFormat="1" x14ac:dyDescent="0.2">
      <c r="A633" s="84"/>
      <c r="B633" s="383" t="s">
        <v>822</v>
      </c>
      <c r="C633" s="271"/>
      <c r="D633" s="271"/>
      <c r="E633" s="271"/>
      <c r="F633" s="271">
        <f>E458</f>
        <v>-9705.7000000000007</v>
      </c>
      <c r="G633" s="270">
        <f>E436</f>
        <v>-9565.7999999999993</v>
      </c>
      <c r="H633" s="390"/>
      <c r="I633" s="390"/>
      <c r="J633" s="390"/>
      <c r="K633" s="390"/>
      <c r="T633" s="97" t="s">
        <v>732</v>
      </c>
      <c r="U633" s="97" t="s">
        <v>734</v>
      </c>
    </row>
    <row r="634" spans="1:21" s="97" customFormat="1" x14ac:dyDescent="0.2">
      <c r="A634" s="84"/>
      <c r="B634" s="383" t="s">
        <v>823</v>
      </c>
      <c r="C634" s="271"/>
      <c r="D634" s="271"/>
      <c r="E634" s="271"/>
      <c r="F634" s="271">
        <f>G458</f>
        <v>-1597.3</v>
      </c>
      <c r="G634" s="270">
        <f>G436</f>
        <v>-2607.5</v>
      </c>
      <c r="H634" s="390"/>
      <c r="I634" s="390"/>
      <c r="J634" s="390"/>
      <c r="K634" s="390"/>
      <c r="T634" s="97" t="s">
        <v>732</v>
      </c>
      <c r="U634" s="97" t="s">
        <v>734</v>
      </c>
    </row>
    <row r="635" spans="1:21" s="97" customFormat="1" x14ac:dyDescent="0.2">
      <c r="A635" s="84"/>
      <c r="B635" s="383" t="s">
        <v>824</v>
      </c>
      <c r="C635" s="271"/>
      <c r="D635" s="271"/>
      <c r="E635" s="271"/>
      <c r="F635" s="271">
        <f>H458</f>
        <v>4776.5</v>
      </c>
      <c r="G635" s="270">
        <f>H436</f>
        <v>5989.6</v>
      </c>
      <c r="H635" s="390"/>
      <c r="I635" s="390"/>
      <c r="J635" s="390"/>
      <c r="K635" s="390"/>
      <c r="T635" s="97" t="s">
        <v>732</v>
      </c>
      <c r="U635" s="97" t="s">
        <v>734</v>
      </c>
    </row>
    <row r="636" spans="1:21" s="97" customFormat="1" x14ac:dyDescent="0.2">
      <c r="A636" s="84"/>
      <c r="B636" s="383" t="s">
        <v>825</v>
      </c>
      <c r="C636" s="271"/>
      <c r="D636" s="271"/>
      <c r="E636" s="271"/>
      <c r="F636" s="271">
        <f>I458</f>
        <v>-3179.2</v>
      </c>
      <c r="G636" s="270">
        <f>I436</f>
        <v>-3382.1</v>
      </c>
      <c r="H636" s="390"/>
      <c r="I636" s="390"/>
      <c r="J636" s="390"/>
      <c r="K636" s="390"/>
      <c r="T636" s="97" t="s">
        <v>732</v>
      </c>
      <c r="U636" s="97" t="s">
        <v>734</v>
      </c>
    </row>
    <row r="637" spans="1:21" s="97" customFormat="1" x14ac:dyDescent="0.2">
      <c r="A637" s="84"/>
      <c r="B637" s="383" t="s">
        <v>247</v>
      </c>
      <c r="C637" s="271"/>
      <c r="D637" s="271"/>
      <c r="E637" s="271"/>
      <c r="F637" s="271">
        <f>SUM(F634:F636)</f>
        <v>0</v>
      </c>
      <c r="G637" s="270">
        <f>SUM(G634:G636)</f>
        <v>0</v>
      </c>
      <c r="H637" s="390"/>
      <c r="I637" s="390"/>
      <c r="J637" s="390"/>
      <c r="K637" s="390"/>
      <c r="T637" s="97" t="s">
        <v>733</v>
      </c>
      <c r="U637" s="97" t="s">
        <v>734</v>
      </c>
    </row>
    <row r="638" spans="1:21" s="97" customFormat="1" ht="15" x14ac:dyDescent="0.35">
      <c r="A638" s="84"/>
      <c r="B638" s="385" t="s">
        <v>317</v>
      </c>
      <c r="C638" s="180"/>
      <c r="D638" s="180"/>
      <c r="E638" s="180"/>
      <c r="F638" s="271"/>
      <c r="G638" s="270"/>
      <c r="H638" s="390"/>
      <c r="I638" s="390"/>
      <c r="J638" s="390"/>
      <c r="K638" s="390"/>
    </row>
    <row r="639" spans="1:21" s="97" customFormat="1" x14ac:dyDescent="0.2">
      <c r="A639" s="84"/>
      <c r="B639" s="383" t="s">
        <v>820</v>
      </c>
      <c r="C639" s="271"/>
      <c r="D639" s="271"/>
      <c r="E639" s="271"/>
      <c r="F639" s="271">
        <f>C459</f>
        <v>-36724.800000000003</v>
      </c>
      <c r="G639" s="270">
        <f>C437</f>
        <v>-24490.799999999999</v>
      </c>
      <c r="H639" s="390"/>
      <c r="I639" s="390"/>
      <c r="J639" s="390"/>
      <c r="K639" s="390"/>
      <c r="T639" s="97" t="s">
        <v>732</v>
      </c>
      <c r="U639" s="97" t="s">
        <v>734</v>
      </c>
    </row>
    <row r="640" spans="1:21" s="97" customFormat="1" x14ac:dyDescent="0.2">
      <c r="A640" s="84"/>
      <c r="B640" s="383" t="s">
        <v>821</v>
      </c>
      <c r="C640" s="271"/>
      <c r="D640" s="271"/>
      <c r="E640" s="271"/>
      <c r="F640" s="271">
        <f>D459</f>
        <v>-31573</v>
      </c>
      <c r="G640" s="270">
        <f>D437</f>
        <v>-16931.2</v>
      </c>
      <c r="H640" s="390"/>
      <c r="I640" s="390"/>
      <c r="J640" s="390"/>
      <c r="K640" s="390"/>
      <c r="T640" s="97" t="s">
        <v>732</v>
      </c>
      <c r="U640" s="97" t="s">
        <v>734</v>
      </c>
    </row>
    <row r="641" spans="1:21" s="97" customFormat="1" x14ac:dyDescent="0.2">
      <c r="A641" s="84"/>
      <c r="B641" s="383" t="s">
        <v>822</v>
      </c>
      <c r="C641" s="271"/>
      <c r="D641" s="271"/>
      <c r="E641" s="271"/>
      <c r="F641" s="271">
        <f>E459</f>
        <v>68297.8</v>
      </c>
      <c r="G641" s="270">
        <f>E437</f>
        <v>41422</v>
      </c>
      <c r="H641" s="390"/>
      <c r="I641" s="390"/>
      <c r="J641" s="390"/>
      <c r="K641" s="390"/>
      <c r="T641" s="97" t="s">
        <v>732</v>
      </c>
      <c r="U641" s="97" t="s">
        <v>734</v>
      </c>
    </row>
    <row r="642" spans="1:21" s="97" customFormat="1" x14ac:dyDescent="0.2">
      <c r="A642" s="84"/>
      <c r="B642" s="383" t="s">
        <v>823</v>
      </c>
      <c r="C642" s="271"/>
      <c r="D642" s="271"/>
      <c r="E642" s="271"/>
      <c r="F642" s="271">
        <f>G459</f>
        <v>-789.4</v>
      </c>
      <c r="G642" s="270">
        <f>G437</f>
        <v>-654.20000000000005</v>
      </c>
      <c r="H642" s="390"/>
      <c r="I642" s="390"/>
      <c r="J642" s="390"/>
      <c r="K642" s="390"/>
      <c r="T642" s="97" t="s">
        <v>732</v>
      </c>
      <c r="U642" s="97" t="s">
        <v>734</v>
      </c>
    </row>
    <row r="643" spans="1:21" s="97" customFormat="1" x14ac:dyDescent="0.2">
      <c r="A643" s="84"/>
      <c r="B643" s="383" t="s">
        <v>824</v>
      </c>
      <c r="C643" s="271"/>
      <c r="D643" s="271"/>
      <c r="E643" s="271"/>
      <c r="F643" s="271">
        <f>H459</f>
        <v>-2009.3</v>
      </c>
      <c r="G643" s="270">
        <f>H437</f>
        <v>-1452.9</v>
      </c>
      <c r="H643" s="390"/>
      <c r="I643" s="390"/>
      <c r="J643" s="390"/>
      <c r="K643" s="390"/>
      <c r="T643" s="97" t="s">
        <v>732</v>
      </c>
      <c r="U643" s="97" t="s">
        <v>734</v>
      </c>
    </row>
    <row r="644" spans="1:21" s="97" customFormat="1" x14ac:dyDescent="0.2">
      <c r="A644" s="84"/>
      <c r="B644" s="383" t="s">
        <v>825</v>
      </c>
      <c r="C644" s="271"/>
      <c r="D644" s="271"/>
      <c r="E644" s="271"/>
      <c r="F644" s="271">
        <f>I459</f>
        <v>2978.7</v>
      </c>
      <c r="G644" s="270">
        <f>I437</f>
        <v>2107.1</v>
      </c>
      <c r="H644" s="390"/>
      <c r="I644" s="390"/>
      <c r="J644" s="390"/>
      <c r="K644" s="390"/>
      <c r="T644" s="97" t="s">
        <v>732</v>
      </c>
      <c r="U644" s="97" t="s">
        <v>734</v>
      </c>
    </row>
    <row r="645" spans="1:21" s="97" customFormat="1" x14ac:dyDescent="0.2">
      <c r="A645" s="84"/>
      <c r="B645" s="383" t="s">
        <v>247</v>
      </c>
      <c r="C645" s="271"/>
      <c r="D645" s="271"/>
      <c r="E645" s="271"/>
      <c r="F645" s="271">
        <f>SUM(F642:F644)</f>
        <v>180</v>
      </c>
      <c r="G645" s="270">
        <f>SUM(G642:G644)</f>
        <v>0</v>
      </c>
      <c r="H645" s="390"/>
      <c r="I645" s="390"/>
      <c r="J645" s="390"/>
      <c r="K645" s="390"/>
      <c r="T645" s="97" t="s">
        <v>733</v>
      </c>
      <c r="U645" s="97" t="s">
        <v>734</v>
      </c>
    </row>
    <row r="646" spans="1:21" s="97" customFormat="1" ht="15" x14ac:dyDescent="0.35">
      <c r="A646" s="182"/>
      <c r="B646" s="385" t="s">
        <v>318</v>
      </c>
      <c r="C646" s="180"/>
      <c r="D646" s="180"/>
      <c r="E646" s="180"/>
      <c r="F646" s="271"/>
      <c r="G646" s="270"/>
      <c r="H646" s="390"/>
      <c r="I646" s="390"/>
      <c r="J646" s="390"/>
      <c r="K646" s="390"/>
    </row>
    <row r="647" spans="1:21" s="97" customFormat="1" x14ac:dyDescent="0.2">
      <c r="A647" s="84"/>
      <c r="B647" s="383" t="s">
        <v>820</v>
      </c>
      <c r="C647" s="271"/>
      <c r="D647" s="271"/>
      <c r="E647" s="271"/>
      <c r="F647" s="271">
        <f>C460</f>
        <v>-5698.8</v>
      </c>
      <c r="G647" s="270">
        <f>C438</f>
        <v>-4005.4</v>
      </c>
      <c r="H647" s="390"/>
      <c r="I647" s="390"/>
      <c r="J647" s="390"/>
      <c r="K647" s="390"/>
      <c r="T647" s="97" t="s">
        <v>732</v>
      </c>
      <c r="U647" s="97" t="s">
        <v>734</v>
      </c>
    </row>
    <row r="648" spans="1:21" s="97" customFormat="1" x14ac:dyDescent="0.2">
      <c r="A648" s="84"/>
      <c r="B648" s="383" t="s">
        <v>821</v>
      </c>
      <c r="C648" s="271"/>
      <c r="D648" s="271"/>
      <c r="E648" s="271"/>
      <c r="F648" s="271">
        <f>D460</f>
        <v>-2531.8000000000002</v>
      </c>
      <c r="G648" s="270">
        <f>D438</f>
        <v>-1104.7</v>
      </c>
      <c r="H648" s="390"/>
      <c r="I648" s="390"/>
      <c r="J648" s="390"/>
      <c r="K648" s="390"/>
      <c r="T648" s="97" t="s">
        <v>732</v>
      </c>
      <c r="U648" s="97" t="s">
        <v>734</v>
      </c>
    </row>
    <row r="649" spans="1:21" s="97" customFormat="1" x14ac:dyDescent="0.2">
      <c r="A649" s="84"/>
      <c r="B649" s="383" t="s">
        <v>822</v>
      </c>
      <c r="C649" s="271"/>
      <c r="D649" s="271"/>
      <c r="E649" s="271"/>
      <c r="F649" s="271">
        <f>E460</f>
        <v>-12122.9</v>
      </c>
      <c r="G649" s="270">
        <f>E438</f>
        <v>-9986</v>
      </c>
      <c r="H649" s="390"/>
      <c r="I649" s="390"/>
      <c r="J649" s="390"/>
      <c r="K649" s="390"/>
      <c r="T649" s="97" t="s">
        <v>732</v>
      </c>
      <c r="U649" s="97" t="s">
        <v>734</v>
      </c>
    </row>
    <row r="650" spans="1:21" s="97" customFormat="1" x14ac:dyDescent="0.2">
      <c r="A650" s="84"/>
      <c r="B650" s="383" t="s">
        <v>823</v>
      </c>
      <c r="C650" s="271"/>
      <c r="D650" s="271"/>
      <c r="E650" s="271"/>
      <c r="F650" s="271">
        <f>G460</f>
        <v>-5698.8</v>
      </c>
      <c r="G650" s="270">
        <f>G438</f>
        <v>-4005.4</v>
      </c>
      <c r="H650" s="390"/>
      <c r="I650" s="390"/>
      <c r="J650" s="390"/>
      <c r="K650" s="390"/>
      <c r="T650" s="97" t="s">
        <v>732</v>
      </c>
      <c r="U650" s="97" t="s">
        <v>734</v>
      </c>
    </row>
    <row r="651" spans="1:21" s="97" customFormat="1" x14ac:dyDescent="0.2">
      <c r="A651" s="84"/>
      <c r="B651" s="383" t="s">
        <v>824</v>
      </c>
      <c r="C651" s="271"/>
      <c r="D651" s="271"/>
      <c r="E651" s="271"/>
      <c r="F651" s="271">
        <f>H460</f>
        <v>-2531.8000000000002</v>
      </c>
      <c r="G651" s="270">
        <f>H438</f>
        <v>-1104.7</v>
      </c>
      <c r="H651" s="390"/>
      <c r="I651" s="390"/>
      <c r="J651" s="390"/>
      <c r="K651" s="390"/>
      <c r="T651" s="97" t="s">
        <v>732</v>
      </c>
      <c r="U651" s="97" t="s">
        <v>734</v>
      </c>
    </row>
    <row r="652" spans="1:21" s="97" customFormat="1" x14ac:dyDescent="0.2">
      <c r="A652" s="84"/>
      <c r="B652" s="383" t="s">
        <v>825</v>
      </c>
      <c r="C652" s="271"/>
      <c r="D652" s="271"/>
      <c r="E652" s="271"/>
      <c r="F652" s="271">
        <f>I460</f>
        <v>-12122.9</v>
      </c>
      <c r="G652" s="270">
        <f>I438</f>
        <v>-9986.4</v>
      </c>
      <c r="H652" s="390"/>
      <c r="I652" s="390"/>
      <c r="J652" s="390"/>
      <c r="K652" s="390"/>
      <c r="T652" s="97" t="s">
        <v>732</v>
      </c>
      <c r="U652" s="97" t="s">
        <v>734</v>
      </c>
    </row>
    <row r="653" spans="1:21" s="97" customFormat="1" x14ac:dyDescent="0.2">
      <c r="A653" s="84"/>
      <c r="B653" s="383" t="s">
        <v>247</v>
      </c>
      <c r="C653" s="271"/>
      <c r="D653" s="271"/>
      <c r="E653" s="271"/>
      <c r="F653" s="271">
        <f>SUM(F650:F652)</f>
        <v>-20353.5</v>
      </c>
      <c r="G653" s="270">
        <f>SUM(G650:G652)</f>
        <v>-15096.5</v>
      </c>
      <c r="H653" s="390"/>
      <c r="I653" s="390"/>
      <c r="J653" s="390"/>
      <c r="K653" s="390"/>
      <c r="T653" s="97" t="s">
        <v>733</v>
      </c>
      <c r="U653" s="97" t="s">
        <v>734</v>
      </c>
    </row>
    <row r="654" spans="1:21" s="97" customFormat="1" ht="30" x14ac:dyDescent="0.35">
      <c r="A654" s="182"/>
      <c r="B654" s="385" t="s">
        <v>319</v>
      </c>
      <c r="C654" s="180"/>
      <c r="D654" s="180"/>
      <c r="E654" s="180"/>
      <c r="F654" s="271"/>
      <c r="G654" s="270"/>
      <c r="H654" s="390"/>
      <c r="I654" s="390"/>
      <c r="J654" s="390"/>
      <c r="K654" s="390"/>
    </row>
    <row r="655" spans="1:21" s="97" customFormat="1" x14ac:dyDescent="0.2">
      <c r="A655" s="84"/>
      <c r="B655" s="383" t="s">
        <v>820</v>
      </c>
      <c r="C655" s="271"/>
      <c r="D655" s="271"/>
      <c r="E655" s="271"/>
      <c r="F655" s="271">
        <f>C461</f>
        <v>0</v>
      </c>
      <c r="G655" s="270">
        <f>C439</f>
        <v>0</v>
      </c>
      <c r="H655" s="390"/>
      <c r="I655" s="390"/>
      <c r="J655" s="390"/>
      <c r="K655" s="390"/>
      <c r="T655" s="97" t="s">
        <v>732</v>
      </c>
      <c r="U655" s="97" t="s">
        <v>734</v>
      </c>
    </row>
    <row r="656" spans="1:21" s="97" customFormat="1" x14ac:dyDescent="0.2">
      <c r="A656" s="84"/>
      <c r="B656" s="383" t="s">
        <v>821</v>
      </c>
      <c r="C656" s="271"/>
      <c r="D656" s="271"/>
      <c r="E656" s="271"/>
      <c r="F656" s="271">
        <f>D461</f>
        <v>0</v>
      </c>
      <c r="G656" s="270">
        <f>D439</f>
        <v>0</v>
      </c>
      <c r="H656" s="390"/>
      <c r="I656" s="390"/>
      <c r="J656" s="390"/>
      <c r="K656" s="390"/>
      <c r="T656" s="97" t="s">
        <v>732</v>
      </c>
      <c r="U656" s="97" t="s">
        <v>734</v>
      </c>
    </row>
    <row r="657" spans="1:21" s="97" customFormat="1" x14ac:dyDescent="0.2">
      <c r="A657" s="84"/>
      <c r="B657" s="383" t="s">
        <v>822</v>
      </c>
      <c r="C657" s="271"/>
      <c r="D657" s="271"/>
      <c r="E657" s="271"/>
      <c r="F657" s="271">
        <f>E461</f>
        <v>0</v>
      </c>
      <c r="G657" s="270">
        <f>E439</f>
        <v>0</v>
      </c>
      <c r="H657" s="390"/>
      <c r="I657" s="390"/>
      <c r="J657" s="390"/>
      <c r="K657" s="390"/>
      <c r="T657" s="97" t="s">
        <v>732</v>
      </c>
      <c r="U657" s="97" t="s">
        <v>734</v>
      </c>
    </row>
    <row r="658" spans="1:21" s="97" customFormat="1" x14ac:dyDescent="0.2">
      <c r="A658" s="84"/>
      <c r="B658" s="383" t="s">
        <v>823</v>
      </c>
      <c r="C658" s="271"/>
      <c r="D658" s="271"/>
      <c r="E658" s="271"/>
      <c r="F658" s="271">
        <f>G461</f>
        <v>-8043.5</v>
      </c>
      <c r="G658" s="270">
        <f>G439</f>
        <v>-7742.5</v>
      </c>
      <c r="H658" s="390"/>
      <c r="I658" s="390"/>
      <c r="J658" s="390"/>
      <c r="K658" s="390"/>
      <c r="T658" s="97" t="s">
        <v>732</v>
      </c>
      <c r="U658" s="97" t="s">
        <v>734</v>
      </c>
    </row>
    <row r="659" spans="1:21" s="97" customFormat="1" x14ac:dyDescent="0.2">
      <c r="A659" s="84"/>
      <c r="B659" s="383" t="s">
        <v>824</v>
      </c>
      <c r="C659" s="271"/>
      <c r="D659" s="271"/>
      <c r="E659" s="271"/>
      <c r="F659" s="271">
        <f>H461</f>
        <v>1306.0999999999999</v>
      </c>
      <c r="G659" s="270">
        <f>H439</f>
        <v>2851.3</v>
      </c>
      <c r="H659" s="390"/>
      <c r="I659" s="390"/>
      <c r="J659" s="390"/>
      <c r="K659" s="390"/>
      <c r="T659" s="97" t="s">
        <v>732</v>
      </c>
      <c r="U659" s="97" t="s">
        <v>734</v>
      </c>
    </row>
    <row r="660" spans="1:21" s="97" customFormat="1" x14ac:dyDescent="0.2">
      <c r="A660" s="84"/>
      <c r="B660" s="383" t="s">
        <v>825</v>
      </c>
      <c r="C660" s="271"/>
      <c r="D660" s="271"/>
      <c r="E660" s="271"/>
      <c r="F660" s="271">
        <f>I461</f>
        <v>16630.7</v>
      </c>
      <c r="G660" s="270">
        <f>I439</f>
        <v>16482.2</v>
      </c>
      <c r="H660" s="390"/>
      <c r="I660" s="390"/>
      <c r="J660" s="390"/>
      <c r="K660" s="390"/>
      <c r="T660" s="97" t="s">
        <v>732</v>
      </c>
      <c r="U660" s="97" t="s">
        <v>734</v>
      </c>
    </row>
    <row r="661" spans="1:21" s="97" customFormat="1" x14ac:dyDescent="0.2">
      <c r="A661" s="84"/>
      <c r="B661" s="383" t="s">
        <v>247</v>
      </c>
      <c r="C661" s="271"/>
      <c r="D661" s="271"/>
      <c r="E661" s="271"/>
      <c r="F661" s="271">
        <f>SUM(F658:F660)</f>
        <v>9893.3000000000011</v>
      </c>
      <c r="G661" s="270">
        <f>SUM(G658:G660)</f>
        <v>11591</v>
      </c>
      <c r="H661" s="390"/>
      <c r="I661" s="390"/>
      <c r="J661" s="390"/>
      <c r="K661" s="390"/>
      <c r="T661" s="97" t="s">
        <v>733</v>
      </c>
      <c r="U661" s="97" t="s">
        <v>734</v>
      </c>
    </row>
    <row r="662" spans="1:21" s="97" customFormat="1" ht="15" x14ac:dyDescent="0.35">
      <c r="A662" s="182"/>
      <c r="B662" s="385" t="s">
        <v>320</v>
      </c>
      <c r="C662" s="180"/>
      <c r="D662" s="180"/>
      <c r="E662" s="180"/>
      <c r="F662" s="271"/>
      <c r="G662" s="270"/>
      <c r="H662" s="390"/>
      <c r="I662" s="390"/>
      <c r="J662" s="390"/>
      <c r="K662" s="390"/>
    </row>
    <row r="663" spans="1:21" s="97" customFormat="1" x14ac:dyDescent="0.2">
      <c r="A663" s="84"/>
      <c r="B663" s="383" t="s">
        <v>820</v>
      </c>
      <c r="C663" s="271"/>
      <c r="D663" s="271"/>
      <c r="E663" s="271"/>
      <c r="F663" s="271">
        <f>C462</f>
        <v>0</v>
      </c>
      <c r="G663" s="270">
        <f>C440</f>
        <v>0</v>
      </c>
      <c r="H663" s="390"/>
      <c r="I663" s="390"/>
      <c r="J663" s="390"/>
      <c r="K663" s="390"/>
      <c r="T663" s="97" t="s">
        <v>732</v>
      </c>
      <c r="U663" s="97" t="s">
        <v>734</v>
      </c>
    </row>
    <row r="664" spans="1:21" s="97" customFormat="1" x14ac:dyDescent="0.2">
      <c r="A664" s="84"/>
      <c r="B664" s="383" t="s">
        <v>821</v>
      </c>
      <c r="C664" s="271"/>
      <c r="D664" s="271"/>
      <c r="E664" s="271"/>
      <c r="F664" s="271">
        <f>D462</f>
        <v>0</v>
      </c>
      <c r="G664" s="270">
        <f>D440</f>
        <v>0</v>
      </c>
      <c r="H664" s="390"/>
      <c r="I664" s="390"/>
      <c r="J664" s="390"/>
      <c r="K664" s="390"/>
      <c r="T664" s="97" t="s">
        <v>732</v>
      </c>
      <c r="U664" s="97" t="s">
        <v>734</v>
      </c>
    </row>
    <row r="665" spans="1:21" s="97" customFormat="1" x14ac:dyDescent="0.2">
      <c r="A665" s="84"/>
      <c r="B665" s="383" t="s">
        <v>822</v>
      </c>
      <c r="C665" s="271"/>
      <c r="D665" s="271"/>
      <c r="E665" s="271"/>
      <c r="F665" s="271">
        <f>E462</f>
        <v>0</v>
      </c>
      <c r="G665" s="270">
        <f>E440</f>
        <v>0</v>
      </c>
      <c r="H665" s="390"/>
      <c r="I665" s="390"/>
      <c r="J665" s="390"/>
      <c r="K665" s="390"/>
      <c r="T665" s="97" t="s">
        <v>732</v>
      </c>
      <c r="U665" s="97" t="s">
        <v>734</v>
      </c>
    </row>
    <row r="666" spans="1:21" s="97" customFormat="1" x14ac:dyDescent="0.2">
      <c r="A666" s="84"/>
      <c r="B666" s="383" t="s">
        <v>823</v>
      </c>
      <c r="C666" s="271"/>
      <c r="D666" s="271"/>
      <c r="E666" s="271"/>
      <c r="F666" s="271">
        <f>G462</f>
        <v>0</v>
      </c>
      <c r="G666" s="270">
        <f>G440</f>
        <v>0</v>
      </c>
      <c r="H666" s="390"/>
      <c r="I666" s="390"/>
      <c r="J666" s="390"/>
      <c r="K666" s="390"/>
      <c r="T666" s="97" t="s">
        <v>732</v>
      </c>
      <c r="U666" s="97" t="s">
        <v>734</v>
      </c>
    </row>
    <row r="667" spans="1:21" s="97" customFormat="1" x14ac:dyDescent="0.2">
      <c r="A667" s="84"/>
      <c r="B667" s="383" t="s">
        <v>824</v>
      </c>
      <c r="C667" s="271"/>
      <c r="D667" s="271"/>
      <c r="E667" s="271"/>
      <c r="F667" s="271">
        <f>H462</f>
        <v>0</v>
      </c>
      <c r="G667" s="270">
        <f>H440</f>
        <v>0</v>
      </c>
      <c r="H667" s="390"/>
      <c r="I667" s="390"/>
      <c r="J667" s="390"/>
      <c r="K667" s="390"/>
      <c r="T667" s="97" t="s">
        <v>732</v>
      </c>
      <c r="U667" s="97" t="s">
        <v>734</v>
      </c>
    </row>
    <row r="668" spans="1:21" s="97" customFormat="1" x14ac:dyDescent="0.2">
      <c r="A668" s="84"/>
      <c r="B668" s="383" t="s">
        <v>825</v>
      </c>
      <c r="C668" s="271"/>
      <c r="D668" s="271"/>
      <c r="E668" s="271"/>
      <c r="F668" s="271">
        <f>I462</f>
        <v>0</v>
      </c>
      <c r="G668" s="270">
        <f>I440</f>
        <v>0</v>
      </c>
      <c r="H668" s="390"/>
      <c r="I668" s="390"/>
      <c r="J668" s="390"/>
      <c r="K668" s="390"/>
      <c r="T668" s="97" t="s">
        <v>732</v>
      </c>
      <c r="U668" s="97" t="s">
        <v>734</v>
      </c>
    </row>
    <row r="669" spans="1:21" s="97" customFormat="1" x14ac:dyDescent="0.2">
      <c r="A669" s="84"/>
      <c r="B669" s="383" t="s">
        <v>247</v>
      </c>
      <c r="C669" s="271"/>
      <c r="D669" s="271"/>
      <c r="E669" s="271"/>
      <c r="F669" s="271">
        <f>SUM(F666:F668)</f>
        <v>0</v>
      </c>
      <c r="G669" s="270">
        <f>SUM(G666:G668)</f>
        <v>0</v>
      </c>
      <c r="H669" s="390"/>
      <c r="I669" s="390"/>
      <c r="J669" s="390"/>
      <c r="K669" s="390"/>
      <c r="T669" s="97" t="s">
        <v>733</v>
      </c>
      <c r="U669" s="97" t="s">
        <v>734</v>
      </c>
    </row>
    <row r="670" spans="1:21" s="97" customFormat="1" ht="15" x14ac:dyDescent="0.35">
      <c r="A670" s="182"/>
      <c r="B670" s="385" t="s">
        <v>321</v>
      </c>
      <c r="C670" s="180"/>
      <c r="D670" s="180"/>
      <c r="E670" s="180"/>
      <c r="F670" s="271"/>
      <c r="G670" s="270"/>
      <c r="H670" s="390"/>
      <c r="I670" s="390"/>
      <c r="J670" s="390"/>
      <c r="K670" s="390"/>
    </row>
    <row r="671" spans="1:21" s="97" customFormat="1" x14ac:dyDescent="0.2">
      <c r="A671" s="84"/>
      <c r="B671" s="383" t="s">
        <v>820</v>
      </c>
      <c r="C671" s="271"/>
      <c r="D671" s="271"/>
      <c r="E671" s="271"/>
      <c r="F671" s="271">
        <f>C463</f>
        <v>0</v>
      </c>
      <c r="G671" s="270">
        <f>C441</f>
        <v>0</v>
      </c>
      <c r="H671" s="390"/>
      <c r="I671" s="390"/>
      <c r="J671" s="390"/>
      <c r="K671" s="390"/>
      <c r="T671" s="97" t="s">
        <v>732</v>
      </c>
      <c r="U671" s="97" t="s">
        <v>734</v>
      </c>
    </row>
    <row r="672" spans="1:21" s="97" customFormat="1" x14ac:dyDescent="0.2">
      <c r="A672" s="84"/>
      <c r="B672" s="383" t="s">
        <v>821</v>
      </c>
      <c r="C672" s="271"/>
      <c r="D672" s="271"/>
      <c r="E672" s="271"/>
      <c r="F672" s="271">
        <f>D463</f>
        <v>0</v>
      </c>
      <c r="G672" s="270">
        <f>D441</f>
        <v>0</v>
      </c>
      <c r="H672" s="390"/>
      <c r="I672" s="390"/>
      <c r="J672" s="390"/>
      <c r="K672" s="390"/>
      <c r="T672" s="97" t="s">
        <v>732</v>
      </c>
      <c r="U672" s="97" t="s">
        <v>734</v>
      </c>
    </row>
    <row r="673" spans="1:21" s="97" customFormat="1" x14ac:dyDescent="0.2">
      <c r="A673" s="84"/>
      <c r="B673" s="383" t="s">
        <v>822</v>
      </c>
      <c r="C673" s="271"/>
      <c r="D673" s="271"/>
      <c r="E673" s="271"/>
      <c r="F673" s="271">
        <f>E463</f>
        <v>0</v>
      </c>
      <c r="G673" s="270">
        <f>E441</f>
        <v>0</v>
      </c>
      <c r="H673" s="390"/>
      <c r="I673" s="390"/>
      <c r="J673" s="390"/>
      <c r="K673" s="390"/>
      <c r="T673" s="97" t="s">
        <v>732</v>
      </c>
      <c r="U673" s="97" t="s">
        <v>734</v>
      </c>
    </row>
    <row r="674" spans="1:21" s="97" customFormat="1" x14ac:dyDescent="0.2">
      <c r="A674" s="84"/>
      <c r="B674" s="383" t="s">
        <v>823</v>
      </c>
      <c r="C674" s="271"/>
      <c r="D674" s="271"/>
      <c r="E674" s="271"/>
      <c r="F674" s="271">
        <f>G463</f>
        <v>0</v>
      </c>
      <c r="G674" s="270">
        <f>G441</f>
        <v>0</v>
      </c>
      <c r="H674" s="390"/>
      <c r="I674" s="390"/>
      <c r="J674" s="390"/>
      <c r="K674" s="390"/>
      <c r="T674" s="97" t="s">
        <v>732</v>
      </c>
      <c r="U674" s="97" t="s">
        <v>734</v>
      </c>
    </row>
    <row r="675" spans="1:21" s="97" customFormat="1" x14ac:dyDescent="0.2">
      <c r="A675" s="84"/>
      <c r="B675" s="383" t="s">
        <v>824</v>
      </c>
      <c r="C675" s="271"/>
      <c r="D675" s="271"/>
      <c r="E675" s="271"/>
      <c r="F675" s="271">
        <f>H463</f>
        <v>0</v>
      </c>
      <c r="G675" s="270">
        <f>H441</f>
        <v>0</v>
      </c>
      <c r="H675" s="390"/>
      <c r="I675" s="390"/>
      <c r="J675" s="390"/>
      <c r="K675" s="390"/>
      <c r="T675" s="97" t="s">
        <v>732</v>
      </c>
      <c r="U675" s="97" t="s">
        <v>734</v>
      </c>
    </row>
    <row r="676" spans="1:21" s="97" customFormat="1" x14ac:dyDescent="0.2">
      <c r="A676" s="84"/>
      <c r="B676" s="383" t="s">
        <v>825</v>
      </c>
      <c r="C676" s="271"/>
      <c r="D676" s="271"/>
      <c r="E676" s="271"/>
      <c r="F676" s="271">
        <f>I463</f>
        <v>0</v>
      </c>
      <c r="G676" s="270">
        <f>I441</f>
        <v>0</v>
      </c>
      <c r="H676" s="390"/>
      <c r="I676" s="390"/>
      <c r="J676" s="390"/>
      <c r="K676" s="390"/>
      <c r="T676" s="97" t="s">
        <v>732</v>
      </c>
      <c r="U676" s="97" t="s">
        <v>734</v>
      </c>
    </row>
    <row r="677" spans="1:21" s="97" customFormat="1" x14ac:dyDescent="0.2">
      <c r="A677" s="84"/>
      <c r="B677" s="383" t="s">
        <v>247</v>
      </c>
      <c r="C677" s="271"/>
      <c r="D677" s="271"/>
      <c r="E677" s="271"/>
      <c r="F677" s="271">
        <f>SUM(F674:F676)</f>
        <v>0</v>
      </c>
      <c r="G677" s="270">
        <f>SUM(G674:G676)</f>
        <v>0</v>
      </c>
      <c r="H677" s="390"/>
      <c r="I677" s="390"/>
      <c r="J677" s="390"/>
      <c r="K677" s="390"/>
      <c r="T677" s="97" t="s">
        <v>733</v>
      </c>
      <c r="U677" s="97" t="s">
        <v>734</v>
      </c>
    </row>
    <row r="678" spans="1:21" s="97" customFormat="1" ht="15" x14ac:dyDescent="0.35">
      <c r="A678" s="182"/>
      <c r="B678" s="385" t="s">
        <v>322</v>
      </c>
      <c r="C678" s="180"/>
      <c r="D678" s="180"/>
      <c r="E678" s="180"/>
      <c r="F678" s="271"/>
      <c r="G678" s="270"/>
      <c r="H678" s="390"/>
      <c r="I678" s="390"/>
      <c r="J678" s="390"/>
      <c r="K678" s="390"/>
    </row>
    <row r="679" spans="1:21" s="97" customFormat="1" x14ac:dyDescent="0.2">
      <c r="A679" s="84"/>
      <c r="B679" s="383" t="s">
        <v>820</v>
      </c>
      <c r="C679" s="271"/>
      <c r="D679" s="271"/>
      <c r="E679" s="271"/>
      <c r="F679" s="271">
        <f>C464</f>
        <v>0</v>
      </c>
      <c r="G679" s="270">
        <f>C442</f>
        <v>0</v>
      </c>
      <c r="H679" s="390"/>
      <c r="I679" s="390"/>
      <c r="J679" s="390"/>
      <c r="K679" s="390"/>
      <c r="T679" s="97" t="s">
        <v>732</v>
      </c>
      <c r="U679" s="97" t="s">
        <v>734</v>
      </c>
    </row>
    <row r="680" spans="1:21" s="97" customFormat="1" x14ac:dyDescent="0.2">
      <c r="A680" s="84"/>
      <c r="B680" s="383" t="s">
        <v>821</v>
      </c>
      <c r="C680" s="271"/>
      <c r="D680" s="271"/>
      <c r="E680" s="271"/>
      <c r="F680" s="271">
        <f>D464</f>
        <v>0</v>
      </c>
      <c r="G680" s="270">
        <f>D442</f>
        <v>0</v>
      </c>
      <c r="H680" s="390"/>
      <c r="I680" s="390"/>
      <c r="J680" s="390"/>
      <c r="K680" s="390"/>
      <c r="T680" s="97" t="s">
        <v>732</v>
      </c>
      <c r="U680" s="97" t="s">
        <v>734</v>
      </c>
    </row>
    <row r="681" spans="1:21" s="97" customFormat="1" x14ac:dyDescent="0.2">
      <c r="A681" s="84"/>
      <c r="B681" s="383" t="s">
        <v>822</v>
      </c>
      <c r="C681" s="271"/>
      <c r="D681" s="271"/>
      <c r="E681" s="271"/>
      <c r="F681" s="271">
        <f>E464</f>
        <v>0</v>
      </c>
      <c r="G681" s="270">
        <f>E442</f>
        <v>0</v>
      </c>
      <c r="H681" s="390"/>
      <c r="I681" s="390"/>
      <c r="J681" s="390"/>
      <c r="K681" s="390"/>
      <c r="T681" s="97" t="s">
        <v>732</v>
      </c>
      <c r="U681" s="97" t="s">
        <v>734</v>
      </c>
    </row>
    <row r="682" spans="1:21" s="97" customFormat="1" x14ac:dyDescent="0.2">
      <c r="A682" s="84"/>
      <c r="B682" s="383" t="s">
        <v>823</v>
      </c>
      <c r="C682" s="271"/>
      <c r="D682" s="271"/>
      <c r="E682" s="271"/>
      <c r="F682" s="271">
        <f>G464</f>
        <v>0</v>
      </c>
      <c r="G682" s="270">
        <f>G442</f>
        <v>0</v>
      </c>
      <c r="H682" s="390"/>
      <c r="I682" s="390"/>
      <c r="J682" s="390"/>
      <c r="K682" s="390"/>
      <c r="T682" s="97" t="s">
        <v>732</v>
      </c>
      <c r="U682" s="97" t="s">
        <v>734</v>
      </c>
    </row>
    <row r="683" spans="1:21" s="97" customFormat="1" x14ac:dyDescent="0.2">
      <c r="A683" s="84"/>
      <c r="B683" s="383" t="s">
        <v>824</v>
      </c>
      <c r="C683" s="271"/>
      <c r="D683" s="271"/>
      <c r="E683" s="271"/>
      <c r="F683" s="271">
        <f>H464</f>
        <v>0</v>
      </c>
      <c r="G683" s="270">
        <f>H442</f>
        <v>0</v>
      </c>
      <c r="H683" s="390"/>
      <c r="I683" s="390"/>
      <c r="J683" s="390"/>
      <c r="K683" s="390"/>
      <c r="T683" s="97" t="s">
        <v>732</v>
      </c>
      <c r="U683" s="97" t="s">
        <v>734</v>
      </c>
    </row>
    <row r="684" spans="1:21" s="97" customFormat="1" x14ac:dyDescent="0.2">
      <c r="A684" s="84"/>
      <c r="B684" s="383" t="s">
        <v>825</v>
      </c>
      <c r="C684" s="271"/>
      <c r="D684" s="271"/>
      <c r="E684" s="271"/>
      <c r="F684" s="271">
        <f>I464</f>
        <v>0</v>
      </c>
      <c r="G684" s="270">
        <f>I442</f>
        <v>0</v>
      </c>
      <c r="H684" s="390"/>
      <c r="I684" s="390"/>
      <c r="J684" s="390"/>
      <c r="K684" s="390"/>
      <c r="T684" s="97" t="s">
        <v>732</v>
      </c>
      <c r="U684" s="97" t="s">
        <v>734</v>
      </c>
    </row>
    <row r="685" spans="1:21" s="97" customFormat="1" x14ac:dyDescent="0.2">
      <c r="A685" s="84"/>
      <c r="B685" s="383" t="s">
        <v>247</v>
      </c>
      <c r="C685" s="271"/>
      <c r="D685" s="271"/>
      <c r="E685" s="271"/>
      <c r="F685" s="271">
        <f>SUM(F682:F684)</f>
        <v>0</v>
      </c>
      <c r="G685" s="270">
        <f>SUM(G682:G684)</f>
        <v>0</v>
      </c>
      <c r="H685" s="390"/>
      <c r="I685" s="390"/>
      <c r="J685" s="390"/>
      <c r="K685" s="390"/>
      <c r="T685" s="97" t="s">
        <v>733</v>
      </c>
      <c r="U685" s="97" t="s">
        <v>734</v>
      </c>
    </row>
    <row r="686" spans="1:21" s="97" customFormat="1" ht="30" x14ac:dyDescent="0.35">
      <c r="A686" s="182"/>
      <c r="B686" s="385" t="s">
        <v>323</v>
      </c>
      <c r="C686" s="180"/>
      <c r="D686" s="180"/>
      <c r="E686" s="180"/>
      <c r="F686" s="271"/>
      <c r="G686" s="270"/>
      <c r="H686" s="390"/>
      <c r="I686" s="390"/>
      <c r="J686" s="390"/>
      <c r="K686" s="390"/>
    </row>
    <row r="687" spans="1:21" s="97" customFormat="1" x14ac:dyDescent="0.2">
      <c r="A687" s="84"/>
      <c r="B687" s="383" t="s">
        <v>820</v>
      </c>
      <c r="C687" s="271"/>
      <c r="D687" s="271"/>
      <c r="E687" s="271"/>
      <c r="F687" s="271">
        <f>C465</f>
        <v>0</v>
      </c>
      <c r="G687" s="270">
        <f>C443</f>
        <v>0</v>
      </c>
      <c r="H687" s="390"/>
      <c r="I687" s="390"/>
      <c r="J687" s="390"/>
      <c r="K687" s="390"/>
      <c r="T687" s="97" t="s">
        <v>732</v>
      </c>
      <c r="U687" s="97" t="s">
        <v>734</v>
      </c>
    </row>
    <row r="688" spans="1:21" s="97" customFormat="1" x14ac:dyDescent="0.2">
      <c r="A688" s="84"/>
      <c r="B688" s="383" t="s">
        <v>821</v>
      </c>
      <c r="C688" s="271"/>
      <c r="D688" s="271"/>
      <c r="E688" s="271"/>
      <c r="F688" s="271">
        <f>D465</f>
        <v>0</v>
      </c>
      <c r="G688" s="270">
        <f>D443</f>
        <v>0</v>
      </c>
      <c r="H688" s="390"/>
      <c r="I688" s="390"/>
      <c r="J688" s="390"/>
      <c r="K688" s="390"/>
      <c r="T688" s="97" t="s">
        <v>732</v>
      </c>
      <c r="U688" s="97" t="s">
        <v>734</v>
      </c>
    </row>
    <row r="689" spans="1:21" s="97" customFormat="1" x14ac:dyDescent="0.2">
      <c r="A689" s="84"/>
      <c r="B689" s="383" t="s">
        <v>822</v>
      </c>
      <c r="C689" s="271"/>
      <c r="D689" s="271"/>
      <c r="E689" s="271"/>
      <c r="F689" s="271">
        <f>E465</f>
        <v>0</v>
      </c>
      <c r="G689" s="270">
        <f>E443</f>
        <v>0</v>
      </c>
      <c r="H689" s="390"/>
      <c r="I689" s="390"/>
      <c r="J689" s="390"/>
      <c r="K689" s="390"/>
      <c r="T689" s="97" t="s">
        <v>732</v>
      </c>
      <c r="U689" s="97" t="s">
        <v>734</v>
      </c>
    </row>
    <row r="690" spans="1:21" s="97" customFormat="1" x14ac:dyDescent="0.2">
      <c r="A690" s="84"/>
      <c r="B690" s="383" t="s">
        <v>823</v>
      </c>
      <c r="C690" s="271"/>
      <c r="D690" s="271"/>
      <c r="E690" s="271"/>
      <c r="F690" s="271">
        <f>G465</f>
        <v>0</v>
      </c>
      <c r="G690" s="270">
        <f>G443</f>
        <v>0</v>
      </c>
      <c r="H690" s="390"/>
      <c r="I690" s="390"/>
      <c r="J690" s="390"/>
      <c r="K690" s="390"/>
      <c r="T690" s="97" t="s">
        <v>732</v>
      </c>
      <c r="U690" s="97" t="s">
        <v>734</v>
      </c>
    </row>
    <row r="691" spans="1:21" s="97" customFormat="1" x14ac:dyDescent="0.2">
      <c r="A691" s="84"/>
      <c r="B691" s="383" t="s">
        <v>824</v>
      </c>
      <c r="C691" s="271"/>
      <c r="D691" s="271"/>
      <c r="E691" s="271"/>
      <c r="F691" s="271">
        <f>H465</f>
        <v>0</v>
      </c>
      <c r="G691" s="270">
        <f>H443</f>
        <v>0</v>
      </c>
      <c r="H691" s="390"/>
      <c r="I691" s="390"/>
      <c r="J691" s="390"/>
      <c r="K691" s="390"/>
      <c r="T691" s="97" t="s">
        <v>732</v>
      </c>
      <c r="U691" s="97" t="s">
        <v>734</v>
      </c>
    </row>
    <row r="692" spans="1:21" s="97" customFormat="1" x14ac:dyDescent="0.2">
      <c r="A692" s="84"/>
      <c r="B692" s="383" t="s">
        <v>825</v>
      </c>
      <c r="C692" s="271"/>
      <c r="D692" s="271"/>
      <c r="E692" s="271"/>
      <c r="F692" s="271">
        <f>I465</f>
        <v>0</v>
      </c>
      <c r="G692" s="270">
        <f>I443</f>
        <v>0</v>
      </c>
      <c r="H692" s="390"/>
      <c r="I692" s="390"/>
      <c r="J692" s="390"/>
      <c r="K692" s="390"/>
      <c r="T692" s="97" t="s">
        <v>732</v>
      </c>
      <c r="U692" s="97" t="s">
        <v>734</v>
      </c>
    </row>
    <row r="693" spans="1:21" s="97" customFormat="1" x14ac:dyDescent="0.2">
      <c r="A693" s="84"/>
      <c r="B693" s="383" t="s">
        <v>247</v>
      </c>
      <c r="C693" s="271"/>
      <c r="D693" s="271"/>
      <c r="E693" s="271"/>
      <c r="F693" s="271">
        <f>SUM(F690:F692)</f>
        <v>0</v>
      </c>
      <c r="G693" s="270">
        <f>SUM(G690:G692)</f>
        <v>0</v>
      </c>
      <c r="H693" s="390"/>
      <c r="I693" s="390"/>
      <c r="J693" s="390"/>
      <c r="K693" s="390"/>
      <c r="T693" s="97" t="s">
        <v>733</v>
      </c>
      <c r="U693" s="97" t="s">
        <v>734</v>
      </c>
    </row>
    <row r="694" spans="1:21" s="97" customFormat="1" ht="15" x14ac:dyDescent="0.35">
      <c r="A694" s="182"/>
      <c r="B694" s="385" t="s">
        <v>325</v>
      </c>
      <c r="C694" s="271"/>
      <c r="D694" s="271"/>
      <c r="E694" s="271"/>
      <c r="F694" s="271"/>
      <c r="G694" s="270"/>
      <c r="H694" s="390"/>
      <c r="I694" s="390"/>
      <c r="J694" s="390"/>
      <c r="K694" s="390"/>
    </row>
    <row r="695" spans="1:21" s="97" customFormat="1" x14ac:dyDescent="0.2">
      <c r="A695" s="84"/>
      <c r="B695" s="383" t="s">
        <v>820</v>
      </c>
      <c r="C695" s="271"/>
      <c r="D695" s="271"/>
      <c r="E695" s="271"/>
      <c r="F695" s="271">
        <f>C466</f>
        <v>870649.7</v>
      </c>
      <c r="G695" s="270">
        <f>C444</f>
        <v>618365.39999999991</v>
      </c>
      <c r="H695" s="390"/>
      <c r="I695" s="390"/>
      <c r="J695" s="390"/>
      <c r="K695" s="390"/>
      <c r="T695" s="97" t="s">
        <v>732</v>
      </c>
      <c r="U695" s="97" t="s">
        <v>734</v>
      </c>
    </row>
    <row r="696" spans="1:21" s="97" customFormat="1" x14ac:dyDescent="0.2">
      <c r="A696" s="84"/>
      <c r="B696" s="383" t="s">
        <v>821</v>
      </c>
      <c r="C696" s="271"/>
      <c r="D696" s="271"/>
      <c r="E696" s="271"/>
      <c r="F696" s="271">
        <f>D466</f>
        <v>122596.59999999999</v>
      </c>
      <c r="G696" s="270">
        <f>D444</f>
        <v>99641.500000000015</v>
      </c>
      <c r="H696" s="390"/>
      <c r="I696" s="390"/>
      <c r="J696" s="390"/>
      <c r="K696" s="390"/>
      <c r="T696" s="97" t="s">
        <v>732</v>
      </c>
      <c r="U696" s="97" t="s">
        <v>734</v>
      </c>
    </row>
    <row r="697" spans="1:21" s="97" customFormat="1" x14ac:dyDescent="0.2">
      <c r="A697" s="84"/>
      <c r="B697" s="383" t="s">
        <v>822</v>
      </c>
      <c r="C697" s="271"/>
      <c r="D697" s="271"/>
      <c r="E697" s="271"/>
      <c r="F697" s="271">
        <f>E466</f>
        <v>91770.8</v>
      </c>
      <c r="G697" s="270">
        <f>E444</f>
        <v>70400.099999999991</v>
      </c>
      <c r="H697" s="390"/>
      <c r="I697" s="390"/>
      <c r="J697" s="390"/>
      <c r="K697" s="390"/>
      <c r="T697" s="97" t="s">
        <v>732</v>
      </c>
      <c r="U697" s="97" t="s">
        <v>734</v>
      </c>
    </row>
    <row r="698" spans="1:21" s="97" customFormat="1" x14ac:dyDescent="0.2">
      <c r="A698" s="84"/>
      <c r="B698" s="383" t="s">
        <v>823</v>
      </c>
      <c r="C698" s="271"/>
      <c r="D698" s="271"/>
      <c r="E698" s="271"/>
      <c r="F698" s="271">
        <f>G466</f>
        <v>21560.499999999996</v>
      </c>
      <c r="G698" s="270">
        <f>G444</f>
        <v>30463.5</v>
      </c>
      <c r="H698" s="390"/>
      <c r="I698" s="390"/>
      <c r="J698" s="390"/>
      <c r="K698" s="390"/>
      <c r="T698" s="97" t="s">
        <v>732</v>
      </c>
      <c r="U698" s="97" t="s">
        <v>734</v>
      </c>
    </row>
    <row r="699" spans="1:21" s="97" customFormat="1" x14ac:dyDescent="0.2">
      <c r="A699" s="84"/>
      <c r="B699" s="383" t="s">
        <v>824</v>
      </c>
      <c r="C699" s="271"/>
      <c r="D699" s="271"/>
      <c r="E699" s="271"/>
      <c r="F699" s="271">
        <f>H466</f>
        <v>9280.8000000000011</v>
      </c>
      <c r="G699" s="270">
        <f>H444</f>
        <v>13560.7</v>
      </c>
      <c r="H699" s="390"/>
      <c r="I699" s="390"/>
      <c r="J699" s="390"/>
      <c r="K699" s="390"/>
      <c r="T699" s="97" t="s">
        <v>732</v>
      </c>
      <c r="U699" s="97" t="s">
        <v>734</v>
      </c>
    </row>
    <row r="700" spans="1:21" s="97" customFormat="1" x14ac:dyDescent="0.2">
      <c r="A700" s="84"/>
      <c r="B700" s="383" t="s">
        <v>825</v>
      </c>
      <c r="C700" s="271"/>
      <c r="D700" s="271"/>
      <c r="E700" s="271"/>
      <c r="F700" s="271">
        <f>I466</f>
        <v>32039.5</v>
      </c>
      <c r="G700" s="270">
        <f>I444</f>
        <v>34860.899999999994</v>
      </c>
      <c r="H700" s="390"/>
      <c r="I700" s="390"/>
      <c r="J700" s="390"/>
      <c r="K700" s="390"/>
      <c r="T700" s="97" t="s">
        <v>732</v>
      </c>
      <c r="U700" s="97" t="s">
        <v>734</v>
      </c>
    </row>
    <row r="701" spans="1:21" s="97" customFormat="1" x14ac:dyDescent="0.2">
      <c r="A701" s="84"/>
      <c r="B701" s="383" t="s">
        <v>247</v>
      </c>
      <c r="C701" s="271"/>
      <c r="D701" s="271"/>
      <c r="E701" s="271"/>
      <c r="F701" s="271">
        <f>SUM(F698:F700)</f>
        <v>62880.799999999996</v>
      </c>
      <c r="G701" s="270">
        <f>SUM(G698:G700)</f>
        <v>78885.099999999991</v>
      </c>
      <c r="H701" s="390"/>
      <c r="I701" s="390"/>
      <c r="J701" s="390"/>
      <c r="K701" s="390"/>
      <c r="T701" s="97" t="s">
        <v>733</v>
      </c>
      <c r="U701" s="97" t="s">
        <v>734</v>
      </c>
    </row>
    <row r="702" spans="1:21" x14ac:dyDescent="0.2">
      <c r="A702" s="84"/>
      <c r="B702" s="179"/>
      <c r="C702" s="151"/>
      <c r="D702" s="151"/>
      <c r="E702" s="151"/>
      <c r="F702" s="151"/>
      <c r="G702" s="152"/>
      <c r="H702" s="391"/>
      <c r="I702" s="392"/>
      <c r="J702" s="392"/>
      <c r="K702" s="393"/>
      <c r="T702" s="97"/>
      <c r="U702" s="97"/>
    </row>
    <row r="703" spans="1:21" ht="13.5" thickBot="1" x14ac:dyDescent="0.25">
      <c r="A703" s="87"/>
      <c r="B703" s="192"/>
      <c r="C703" s="153"/>
      <c r="D703" s="153"/>
      <c r="E703" s="153"/>
      <c r="F703" s="153"/>
      <c r="G703" s="153"/>
      <c r="H703" s="391"/>
      <c r="I703" s="392"/>
      <c r="J703" s="392"/>
      <c r="K703" s="393"/>
    </row>
    <row r="704" spans="1:21" ht="13.5" thickBot="1" x14ac:dyDescent="0.25">
      <c r="H704" s="394"/>
      <c r="I704" s="394"/>
      <c r="J704" s="395"/>
      <c r="K704" s="393"/>
    </row>
    <row r="705" spans="1:21" s="97" customFormat="1" ht="19.5" thickBot="1" x14ac:dyDescent="0.25">
      <c r="A705" s="7"/>
      <c r="B705" s="8" t="s">
        <v>235</v>
      </c>
      <c r="C705" s="218"/>
      <c r="D705" s="218"/>
      <c r="E705" s="218"/>
      <c r="F705" s="218"/>
      <c r="G705" s="218"/>
      <c r="H705" s="396"/>
      <c r="I705" s="390"/>
      <c r="J705" s="397"/>
      <c r="K705" s="390"/>
    </row>
    <row r="706" spans="1:21" s="97" customFormat="1" x14ac:dyDescent="0.2">
      <c r="A706" s="4"/>
      <c r="B706" s="157" t="s">
        <v>285</v>
      </c>
      <c r="C706" s="229"/>
      <c r="D706" s="213"/>
      <c r="E706" s="213"/>
      <c r="F706" s="213"/>
      <c r="G706" s="214" t="str">
        <f>G17</f>
        <v>31/03/2021</v>
      </c>
      <c r="H706" s="390"/>
      <c r="I706" s="390"/>
      <c r="J706" s="390"/>
      <c r="K706" s="390"/>
    </row>
    <row r="707" spans="1:21" s="97" customFormat="1" ht="15" x14ac:dyDescent="0.35">
      <c r="A707" s="2"/>
      <c r="B707" s="160" t="s">
        <v>701</v>
      </c>
      <c r="C707" s="161"/>
      <c r="D707" s="161"/>
      <c r="E707" s="161"/>
      <c r="F707" s="161"/>
      <c r="G707" s="162"/>
      <c r="H707" s="390"/>
      <c r="I707" s="390"/>
      <c r="J707" s="390"/>
      <c r="K707" s="390"/>
    </row>
    <row r="708" spans="1:21" s="97" customFormat="1" ht="15" x14ac:dyDescent="0.35">
      <c r="A708" s="2"/>
      <c r="B708" s="160"/>
      <c r="C708" s="158"/>
      <c r="D708" s="158"/>
      <c r="E708" s="158"/>
      <c r="F708" s="158"/>
      <c r="G708" s="159"/>
      <c r="H708" s="390"/>
      <c r="I708" s="390"/>
      <c r="J708" s="390"/>
      <c r="K708" s="390"/>
    </row>
    <row r="709" spans="1:21" s="97" customFormat="1" ht="15" x14ac:dyDescent="0.35">
      <c r="A709" s="2"/>
      <c r="B709" s="160" t="s">
        <v>248</v>
      </c>
      <c r="C709" s="158"/>
      <c r="D709" s="158"/>
      <c r="E709" s="158"/>
      <c r="F709" s="158"/>
      <c r="G709" s="159"/>
      <c r="H709" s="390"/>
      <c r="I709" s="390"/>
      <c r="J709" s="390"/>
      <c r="K709" s="390"/>
    </row>
    <row r="710" spans="1:21" s="97" customFormat="1" x14ac:dyDescent="0.2">
      <c r="A710" s="2"/>
      <c r="B710" s="381" t="s">
        <v>702</v>
      </c>
      <c r="C710" s="180"/>
      <c r="D710" s="180"/>
      <c r="E710" s="180"/>
      <c r="F710" s="180"/>
      <c r="G710" s="181"/>
      <c r="H710" s="390"/>
      <c r="I710" s="390"/>
      <c r="J710" s="390"/>
      <c r="K710" s="390"/>
    </row>
    <row r="711" spans="1:21" s="97" customFormat="1" x14ac:dyDescent="0.2">
      <c r="A711" s="2"/>
      <c r="B711" s="382" t="s">
        <v>237</v>
      </c>
      <c r="C711" s="180"/>
      <c r="D711" s="180"/>
      <c r="E711" s="180"/>
      <c r="F711" s="180"/>
      <c r="G711" s="181">
        <f>C385</f>
        <v>31686.9</v>
      </c>
      <c r="H711" s="390"/>
      <c r="I711" s="398"/>
      <c r="J711" s="390"/>
      <c r="K711" s="390"/>
      <c r="T711" s="97" t="s">
        <v>732</v>
      </c>
      <c r="U711" s="97" t="s">
        <v>734</v>
      </c>
    </row>
    <row r="712" spans="1:21" s="97" customFormat="1" x14ac:dyDescent="0.2">
      <c r="A712" s="2"/>
      <c r="B712" s="382" t="s">
        <v>238</v>
      </c>
      <c r="C712" s="180"/>
      <c r="D712" s="180"/>
      <c r="E712" s="180"/>
      <c r="F712" s="180"/>
      <c r="G712" s="181">
        <f>D385</f>
        <v>23563.7</v>
      </c>
      <c r="H712" s="390"/>
      <c r="I712" s="390"/>
      <c r="J712" s="390"/>
      <c r="K712" s="390"/>
      <c r="T712" s="97" t="s">
        <v>732</v>
      </c>
      <c r="U712" s="97" t="s">
        <v>734</v>
      </c>
    </row>
    <row r="713" spans="1:21" s="97" customFormat="1" x14ac:dyDescent="0.2">
      <c r="A713" s="2"/>
      <c r="B713" s="382" t="s">
        <v>239</v>
      </c>
      <c r="C713" s="180"/>
      <c r="D713" s="180"/>
      <c r="E713" s="180"/>
      <c r="F713" s="180"/>
      <c r="G713" s="181">
        <f>E385</f>
        <v>29633.200000000001</v>
      </c>
      <c r="H713" s="390"/>
      <c r="I713" s="390"/>
      <c r="J713" s="390"/>
      <c r="K713" s="390"/>
      <c r="T713" s="97" t="s">
        <v>732</v>
      </c>
      <c r="U713" s="97" t="s">
        <v>734</v>
      </c>
    </row>
    <row r="714" spans="1:21" s="97" customFormat="1" x14ac:dyDescent="0.2">
      <c r="A714" s="2"/>
      <c r="B714" s="382" t="s">
        <v>240</v>
      </c>
      <c r="C714" s="180"/>
      <c r="D714" s="180"/>
      <c r="E714" s="180"/>
      <c r="F714" s="180"/>
      <c r="G714" s="181">
        <f>F385</f>
        <v>88943.6</v>
      </c>
      <c r="H714" s="390"/>
      <c r="I714" s="390"/>
      <c r="J714" s="390"/>
      <c r="K714" s="390"/>
      <c r="T714" s="97" t="s">
        <v>732</v>
      </c>
      <c r="U714" s="97" t="s">
        <v>734</v>
      </c>
    </row>
    <row r="715" spans="1:21" s="97" customFormat="1" x14ac:dyDescent="0.2">
      <c r="A715" s="2"/>
      <c r="B715" s="382" t="s">
        <v>241</v>
      </c>
      <c r="C715" s="180"/>
      <c r="D715" s="180"/>
      <c r="E715" s="180"/>
      <c r="F715" s="180"/>
      <c r="G715" s="181">
        <f>G385</f>
        <v>120044.4</v>
      </c>
      <c r="H715" s="390"/>
      <c r="I715" s="390"/>
      <c r="J715" s="390"/>
      <c r="K715" s="390"/>
      <c r="T715" s="97" t="s">
        <v>732</v>
      </c>
      <c r="U715" s="97" t="s">
        <v>734</v>
      </c>
    </row>
    <row r="716" spans="1:21" s="97" customFormat="1" x14ac:dyDescent="0.2">
      <c r="A716" s="2"/>
      <c r="B716" s="382" t="s">
        <v>242</v>
      </c>
      <c r="C716" s="180"/>
      <c r="D716" s="180"/>
      <c r="E716" s="180"/>
      <c r="F716" s="180"/>
      <c r="G716" s="181">
        <f>H385</f>
        <v>243240.8</v>
      </c>
      <c r="H716" s="390"/>
      <c r="I716" s="390"/>
      <c r="J716" s="390"/>
      <c r="K716" s="390"/>
      <c r="T716" s="97" t="s">
        <v>732</v>
      </c>
      <c r="U716" s="97" t="s">
        <v>734</v>
      </c>
    </row>
    <row r="717" spans="1:21" s="97" customFormat="1" x14ac:dyDescent="0.2">
      <c r="A717" s="2"/>
      <c r="B717" s="382" t="s">
        <v>243</v>
      </c>
      <c r="C717" s="180"/>
      <c r="D717" s="180"/>
      <c r="E717" s="180"/>
      <c r="F717" s="180"/>
      <c r="G717" s="181">
        <f>I385</f>
        <v>84845.4</v>
      </c>
      <c r="H717" s="390"/>
      <c r="I717" s="390"/>
      <c r="J717" s="390"/>
      <c r="K717" s="390"/>
      <c r="T717" s="97" t="s">
        <v>732</v>
      </c>
      <c r="U717" s="97" t="s">
        <v>734</v>
      </c>
    </row>
    <row r="718" spans="1:21" s="97" customFormat="1" x14ac:dyDescent="0.2">
      <c r="A718" s="2"/>
      <c r="B718" s="382" t="s">
        <v>244</v>
      </c>
      <c r="C718" s="180"/>
      <c r="D718" s="180"/>
      <c r="E718" s="180"/>
      <c r="F718" s="180"/>
      <c r="G718" s="181">
        <f>J385</f>
        <v>59157.8</v>
      </c>
      <c r="H718" s="390"/>
      <c r="I718" s="390"/>
      <c r="J718" s="390"/>
      <c r="K718" s="390"/>
      <c r="T718" s="97" t="s">
        <v>732</v>
      </c>
      <c r="U718" s="97" t="s">
        <v>734</v>
      </c>
    </row>
    <row r="719" spans="1:21" s="97" customFormat="1" x14ac:dyDescent="0.2">
      <c r="A719" s="2"/>
      <c r="B719" s="382" t="s">
        <v>245</v>
      </c>
      <c r="C719" s="180"/>
      <c r="D719" s="180"/>
      <c r="E719" s="180"/>
      <c r="F719" s="180"/>
      <c r="G719" s="181">
        <f>K385</f>
        <v>0</v>
      </c>
      <c r="H719" s="390"/>
      <c r="I719" s="390"/>
      <c r="J719" s="390"/>
      <c r="K719" s="390"/>
      <c r="T719" s="97" t="s">
        <v>732</v>
      </c>
      <c r="U719" s="97" t="s">
        <v>734</v>
      </c>
    </row>
    <row r="720" spans="1:21" s="97" customFormat="1" x14ac:dyDescent="0.2">
      <c r="A720" s="2"/>
      <c r="B720" s="382" t="s">
        <v>246</v>
      </c>
      <c r="C720" s="180"/>
      <c r="D720" s="180"/>
      <c r="E720" s="180"/>
      <c r="F720" s="180"/>
      <c r="G720" s="181">
        <f>L385</f>
        <v>0</v>
      </c>
      <c r="H720" s="390"/>
      <c r="I720" s="390"/>
      <c r="J720" s="390"/>
      <c r="K720" s="390"/>
      <c r="T720" s="97" t="s">
        <v>732</v>
      </c>
      <c r="U720" s="97" t="s">
        <v>734</v>
      </c>
    </row>
    <row r="721" spans="1:21" s="97" customFormat="1" x14ac:dyDescent="0.2">
      <c r="A721" s="2"/>
      <c r="B721" s="382" t="s">
        <v>247</v>
      </c>
      <c r="C721" s="180"/>
      <c r="D721" s="180"/>
      <c r="E721" s="180"/>
      <c r="F721" s="180"/>
      <c r="G721" s="181">
        <f>M385</f>
        <v>681115.80000000016</v>
      </c>
      <c r="H721" s="390"/>
      <c r="I721" s="390"/>
      <c r="J721" s="390"/>
      <c r="K721" s="390"/>
      <c r="T721" s="97" t="s">
        <v>732</v>
      </c>
      <c r="U721" s="97" t="s">
        <v>734</v>
      </c>
    </row>
    <row r="722" spans="1:21" s="97" customFormat="1" x14ac:dyDescent="0.2">
      <c r="A722" s="2"/>
      <c r="B722" s="381" t="s">
        <v>249</v>
      </c>
      <c r="C722" s="180"/>
      <c r="D722" s="180"/>
      <c r="E722" s="180"/>
      <c r="F722" s="180"/>
      <c r="G722" s="181"/>
      <c r="H722" s="390"/>
      <c r="I722" s="390"/>
      <c r="J722" s="390"/>
      <c r="K722" s="390"/>
    </row>
    <row r="723" spans="1:21" s="97" customFormat="1" x14ac:dyDescent="0.2">
      <c r="A723" s="2"/>
      <c r="B723" s="382" t="s">
        <v>237</v>
      </c>
      <c r="C723" s="180"/>
      <c r="D723" s="180"/>
      <c r="E723" s="180"/>
      <c r="F723" s="180"/>
      <c r="G723" s="181">
        <f>C386</f>
        <v>0</v>
      </c>
      <c r="H723" s="390"/>
      <c r="I723" s="398"/>
      <c r="J723" s="390"/>
      <c r="K723" s="390"/>
      <c r="T723" s="97" t="s">
        <v>732</v>
      </c>
      <c r="U723" s="97" t="s">
        <v>734</v>
      </c>
    </row>
    <row r="724" spans="1:21" s="97" customFormat="1" x14ac:dyDescent="0.2">
      <c r="A724" s="2"/>
      <c r="B724" s="382" t="s">
        <v>238</v>
      </c>
      <c r="C724" s="180"/>
      <c r="D724" s="180"/>
      <c r="E724" s="180"/>
      <c r="F724" s="180"/>
      <c r="G724" s="181">
        <f>D386</f>
        <v>0</v>
      </c>
      <c r="H724" s="390"/>
      <c r="I724" s="398"/>
      <c r="J724" s="390"/>
      <c r="K724" s="390"/>
      <c r="T724" s="97" t="s">
        <v>732</v>
      </c>
      <c r="U724" s="97" t="s">
        <v>734</v>
      </c>
    </row>
    <row r="725" spans="1:21" s="97" customFormat="1" x14ac:dyDescent="0.2">
      <c r="A725" s="2"/>
      <c r="B725" s="382" t="s">
        <v>239</v>
      </c>
      <c r="C725" s="180"/>
      <c r="D725" s="180"/>
      <c r="E725" s="180"/>
      <c r="F725" s="180"/>
      <c r="G725" s="181">
        <f>E386</f>
        <v>0</v>
      </c>
      <c r="H725" s="390"/>
      <c r="I725" s="398"/>
      <c r="J725" s="390"/>
      <c r="K725" s="390"/>
      <c r="T725" s="97" t="s">
        <v>732</v>
      </c>
      <c r="U725" s="97" t="s">
        <v>734</v>
      </c>
    </row>
    <row r="726" spans="1:21" s="97" customFormat="1" x14ac:dyDescent="0.2">
      <c r="A726" s="2"/>
      <c r="B726" s="382" t="s">
        <v>240</v>
      </c>
      <c r="C726" s="180"/>
      <c r="D726" s="180"/>
      <c r="E726" s="180"/>
      <c r="F726" s="180"/>
      <c r="G726" s="181">
        <f>F386</f>
        <v>0</v>
      </c>
      <c r="H726" s="390"/>
      <c r="I726" s="398"/>
      <c r="J726" s="390"/>
      <c r="K726" s="390"/>
      <c r="T726" s="97" t="s">
        <v>732</v>
      </c>
      <c r="U726" s="97" t="s">
        <v>734</v>
      </c>
    </row>
    <row r="727" spans="1:21" s="97" customFormat="1" x14ac:dyDescent="0.2">
      <c r="A727" s="2"/>
      <c r="B727" s="382" t="s">
        <v>241</v>
      </c>
      <c r="C727" s="180"/>
      <c r="D727" s="180"/>
      <c r="E727" s="180"/>
      <c r="F727" s="180"/>
      <c r="G727" s="181">
        <f>G386</f>
        <v>0</v>
      </c>
      <c r="H727" s="390"/>
      <c r="I727" s="398"/>
      <c r="J727" s="390"/>
      <c r="K727" s="390"/>
      <c r="T727" s="97" t="s">
        <v>732</v>
      </c>
      <c r="U727" s="97" t="s">
        <v>734</v>
      </c>
    </row>
    <row r="728" spans="1:21" s="97" customFormat="1" x14ac:dyDescent="0.2">
      <c r="A728" s="2"/>
      <c r="B728" s="382" t="s">
        <v>242</v>
      </c>
      <c r="C728" s="180"/>
      <c r="D728" s="180"/>
      <c r="E728" s="180"/>
      <c r="F728" s="180"/>
      <c r="G728" s="181">
        <f>H386</f>
        <v>0</v>
      </c>
      <c r="H728" s="390"/>
      <c r="I728" s="398"/>
      <c r="J728" s="390"/>
      <c r="K728" s="390"/>
      <c r="T728" s="97" t="s">
        <v>732</v>
      </c>
      <c r="U728" s="97" t="s">
        <v>734</v>
      </c>
    </row>
    <row r="729" spans="1:21" s="97" customFormat="1" x14ac:dyDescent="0.2">
      <c r="A729" s="2"/>
      <c r="B729" s="382" t="s">
        <v>243</v>
      </c>
      <c r="C729" s="180"/>
      <c r="D729" s="180"/>
      <c r="E729" s="180"/>
      <c r="F729" s="180"/>
      <c r="G729" s="181">
        <f>I386</f>
        <v>0</v>
      </c>
      <c r="H729" s="390"/>
      <c r="I729" s="398"/>
      <c r="J729" s="390"/>
      <c r="K729" s="390"/>
      <c r="T729" s="97" t="s">
        <v>732</v>
      </c>
      <c r="U729" s="97" t="s">
        <v>734</v>
      </c>
    </row>
    <row r="730" spans="1:21" s="97" customFormat="1" x14ac:dyDescent="0.2">
      <c r="A730" s="2"/>
      <c r="B730" s="382" t="s">
        <v>244</v>
      </c>
      <c r="C730" s="180"/>
      <c r="D730" s="180"/>
      <c r="E730" s="180"/>
      <c r="F730" s="180"/>
      <c r="G730" s="181">
        <f>J386</f>
        <v>0</v>
      </c>
      <c r="H730" s="390"/>
      <c r="I730" s="398"/>
      <c r="J730" s="390"/>
      <c r="K730" s="390"/>
      <c r="T730" s="97" t="s">
        <v>732</v>
      </c>
      <c r="U730" s="97" t="s">
        <v>734</v>
      </c>
    </row>
    <row r="731" spans="1:21" s="97" customFormat="1" x14ac:dyDescent="0.2">
      <c r="A731" s="2"/>
      <c r="B731" s="382" t="s">
        <v>245</v>
      </c>
      <c r="C731" s="180"/>
      <c r="D731" s="180"/>
      <c r="E731" s="180"/>
      <c r="F731" s="180"/>
      <c r="G731" s="181">
        <f>K386</f>
        <v>0</v>
      </c>
      <c r="H731" s="390"/>
      <c r="I731" s="398"/>
      <c r="J731" s="390"/>
      <c r="K731" s="390"/>
      <c r="T731" s="97" t="s">
        <v>732</v>
      </c>
      <c r="U731" s="97" t="s">
        <v>734</v>
      </c>
    </row>
    <row r="732" spans="1:21" s="97" customFormat="1" x14ac:dyDescent="0.2">
      <c r="A732" s="2"/>
      <c r="B732" s="382" t="s">
        <v>246</v>
      </c>
      <c r="C732" s="180"/>
      <c r="D732" s="180"/>
      <c r="E732" s="180"/>
      <c r="F732" s="180"/>
      <c r="G732" s="181">
        <f>L386</f>
        <v>0</v>
      </c>
      <c r="H732" s="390"/>
      <c r="I732" s="398"/>
      <c r="J732" s="390"/>
      <c r="K732" s="390"/>
      <c r="T732" s="97" t="s">
        <v>732</v>
      </c>
      <c r="U732" s="97" t="s">
        <v>734</v>
      </c>
    </row>
    <row r="733" spans="1:21" s="97" customFormat="1" x14ac:dyDescent="0.2">
      <c r="A733" s="2"/>
      <c r="B733" s="382" t="s">
        <v>247</v>
      </c>
      <c r="C733" s="180"/>
      <c r="D733" s="180"/>
      <c r="E733" s="180"/>
      <c r="F733" s="180"/>
      <c r="G733" s="181">
        <f>M386</f>
        <v>0</v>
      </c>
      <c r="H733" s="390"/>
      <c r="I733" s="398"/>
      <c r="J733" s="390"/>
      <c r="K733" s="390"/>
      <c r="T733" s="97" t="s">
        <v>732</v>
      </c>
      <c r="U733" s="97" t="s">
        <v>734</v>
      </c>
    </row>
    <row r="734" spans="1:21" s="97" customFormat="1" x14ac:dyDescent="0.2">
      <c r="A734" s="2"/>
      <c r="B734" s="381" t="s">
        <v>250</v>
      </c>
      <c r="C734" s="180"/>
      <c r="D734" s="180"/>
      <c r="E734" s="180"/>
      <c r="F734" s="180"/>
      <c r="G734" s="181"/>
      <c r="H734" s="390"/>
      <c r="I734" s="390"/>
      <c r="J734" s="390"/>
      <c r="K734" s="390"/>
    </row>
    <row r="735" spans="1:21" s="97" customFormat="1" x14ac:dyDescent="0.2">
      <c r="A735" s="2"/>
      <c r="B735" s="382" t="s">
        <v>237</v>
      </c>
      <c r="C735" s="180"/>
      <c r="D735" s="180"/>
      <c r="E735" s="180"/>
      <c r="F735" s="180"/>
      <c r="G735" s="181">
        <f>C387</f>
        <v>3605.3999999999996</v>
      </c>
      <c r="H735" s="390"/>
      <c r="I735" s="398"/>
      <c r="J735" s="390"/>
      <c r="K735" s="390"/>
      <c r="T735" s="97" t="s">
        <v>732</v>
      </c>
      <c r="U735" s="97" t="s">
        <v>734</v>
      </c>
    </row>
    <row r="736" spans="1:21" s="97" customFormat="1" x14ac:dyDescent="0.2">
      <c r="A736" s="2"/>
      <c r="B736" s="382" t="s">
        <v>238</v>
      </c>
      <c r="C736" s="180"/>
      <c r="D736" s="180"/>
      <c r="E736" s="180"/>
      <c r="F736" s="180"/>
      <c r="G736" s="181">
        <f>D387</f>
        <v>2050.6</v>
      </c>
      <c r="H736" s="390"/>
      <c r="I736" s="398"/>
      <c r="J736" s="390"/>
      <c r="K736" s="390"/>
      <c r="T736" s="97" t="s">
        <v>732</v>
      </c>
      <c r="U736" s="97" t="s">
        <v>734</v>
      </c>
    </row>
    <row r="737" spans="1:21" s="97" customFormat="1" x14ac:dyDescent="0.2">
      <c r="A737" s="2"/>
      <c r="B737" s="382" t="s">
        <v>239</v>
      </c>
      <c r="C737" s="180"/>
      <c r="D737" s="180"/>
      <c r="E737" s="180"/>
      <c r="F737" s="180"/>
      <c r="G737" s="181">
        <f>E387</f>
        <v>3114.9</v>
      </c>
      <c r="H737" s="390"/>
      <c r="I737" s="398"/>
      <c r="J737" s="390"/>
      <c r="K737" s="390"/>
      <c r="T737" s="97" t="s">
        <v>732</v>
      </c>
      <c r="U737" s="97" t="s">
        <v>734</v>
      </c>
    </row>
    <row r="738" spans="1:21" s="97" customFormat="1" x14ac:dyDescent="0.2">
      <c r="A738" s="2"/>
      <c r="B738" s="382" t="s">
        <v>240</v>
      </c>
      <c r="C738" s="180"/>
      <c r="D738" s="180"/>
      <c r="E738" s="180"/>
      <c r="F738" s="180"/>
      <c r="G738" s="181">
        <f>F387</f>
        <v>13577.4</v>
      </c>
      <c r="H738" s="390"/>
      <c r="I738" s="398"/>
      <c r="J738" s="390"/>
      <c r="K738" s="390"/>
      <c r="T738" s="97" t="s">
        <v>732</v>
      </c>
      <c r="U738" s="97" t="s">
        <v>734</v>
      </c>
    </row>
    <row r="739" spans="1:21" s="97" customFormat="1" x14ac:dyDescent="0.2">
      <c r="A739" s="2"/>
      <c r="B739" s="382" t="s">
        <v>241</v>
      </c>
      <c r="C739" s="180"/>
      <c r="D739" s="180"/>
      <c r="E739" s="180"/>
      <c r="F739" s="180"/>
      <c r="G739" s="181">
        <f>G387</f>
        <v>33172.400000000001</v>
      </c>
      <c r="H739" s="390"/>
      <c r="I739" s="398"/>
      <c r="J739" s="390"/>
      <c r="K739" s="390"/>
      <c r="T739" s="97" t="s">
        <v>732</v>
      </c>
      <c r="U739" s="97" t="s">
        <v>734</v>
      </c>
    </row>
    <row r="740" spans="1:21" s="97" customFormat="1" x14ac:dyDescent="0.2">
      <c r="A740" s="2"/>
      <c r="B740" s="382" t="s">
        <v>242</v>
      </c>
      <c r="C740" s="180"/>
      <c r="D740" s="180"/>
      <c r="E740" s="180"/>
      <c r="F740" s="180"/>
      <c r="G740" s="181">
        <f>H387</f>
        <v>76898.399999999994</v>
      </c>
      <c r="H740" s="390"/>
      <c r="I740" s="398"/>
      <c r="J740" s="390"/>
      <c r="K740" s="390"/>
      <c r="T740" s="97" t="s">
        <v>732</v>
      </c>
      <c r="U740" s="97" t="s">
        <v>734</v>
      </c>
    </row>
    <row r="741" spans="1:21" s="97" customFormat="1" x14ac:dyDescent="0.2">
      <c r="A741" s="2"/>
      <c r="B741" s="382" t="s">
        <v>243</v>
      </c>
      <c r="C741" s="180"/>
      <c r="D741" s="180"/>
      <c r="E741" s="180"/>
      <c r="F741" s="180"/>
      <c r="G741" s="181">
        <f>I387</f>
        <v>30476.5</v>
      </c>
      <c r="H741" s="390"/>
      <c r="I741" s="398"/>
      <c r="J741" s="390"/>
      <c r="K741" s="390"/>
      <c r="T741" s="97" t="s">
        <v>732</v>
      </c>
      <c r="U741" s="97" t="s">
        <v>734</v>
      </c>
    </row>
    <row r="742" spans="1:21" s="97" customFormat="1" x14ac:dyDescent="0.2">
      <c r="A742" s="2"/>
      <c r="B742" s="382" t="s">
        <v>244</v>
      </c>
      <c r="C742" s="180"/>
      <c r="D742" s="180"/>
      <c r="E742" s="180"/>
      <c r="F742" s="180"/>
      <c r="G742" s="181">
        <f>J387</f>
        <v>0</v>
      </c>
      <c r="H742" s="390"/>
      <c r="I742" s="398"/>
      <c r="J742" s="390"/>
      <c r="K742" s="390"/>
      <c r="T742" s="97" t="s">
        <v>732</v>
      </c>
      <c r="U742" s="97" t="s">
        <v>734</v>
      </c>
    </row>
    <row r="743" spans="1:21" s="97" customFormat="1" x14ac:dyDescent="0.2">
      <c r="A743" s="2"/>
      <c r="B743" s="382" t="s">
        <v>245</v>
      </c>
      <c r="C743" s="180"/>
      <c r="D743" s="180"/>
      <c r="E743" s="180"/>
      <c r="F743" s="180"/>
      <c r="G743" s="181">
        <f>K387</f>
        <v>0</v>
      </c>
      <c r="H743" s="390"/>
      <c r="I743" s="398"/>
      <c r="J743" s="390"/>
      <c r="K743" s="390"/>
      <c r="T743" s="97" t="s">
        <v>732</v>
      </c>
      <c r="U743" s="97" t="s">
        <v>734</v>
      </c>
    </row>
    <row r="744" spans="1:21" s="97" customFormat="1" x14ac:dyDescent="0.2">
      <c r="A744" s="2"/>
      <c r="B744" s="382" t="s">
        <v>246</v>
      </c>
      <c r="C744" s="180"/>
      <c r="D744" s="180"/>
      <c r="E744" s="180"/>
      <c r="F744" s="180"/>
      <c r="G744" s="181">
        <f>L387</f>
        <v>0</v>
      </c>
      <c r="H744" s="390"/>
      <c r="I744" s="398"/>
      <c r="J744" s="390"/>
      <c r="K744" s="390"/>
      <c r="T744" s="97" t="s">
        <v>732</v>
      </c>
      <c r="U744" s="97" t="s">
        <v>734</v>
      </c>
    </row>
    <row r="745" spans="1:21" s="97" customFormat="1" x14ac:dyDescent="0.2">
      <c r="A745" s="2"/>
      <c r="B745" s="382" t="s">
        <v>247</v>
      </c>
      <c r="C745" s="180"/>
      <c r="D745" s="180"/>
      <c r="E745" s="180"/>
      <c r="F745" s="180"/>
      <c r="G745" s="181">
        <f>M387</f>
        <v>162895.59999999998</v>
      </c>
      <c r="H745" s="390"/>
      <c r="I745" s="398"/>
      <c r="J745" s="390"/>
      <c r="K745" s="390"/>
      <c r="T745" s="97" t="s">
        <v>732</v>
      </c>
      <c r="U745" s="97" t="s">
        <v>734</v>
      </c>
    </row>
    <row r="746" spans="1:21" s="97" customFormat="1" x14ac:dyDescent="0.2">
      <c r="A746" s="2"/>
      <c r="B746" s="381" t="s">
        <v>251</v>
      </c>
      <c r="C746" s="180"/>
      <c r="D746" s="180"/>
      <c r="E746" s="180"/>
      <c r="F746" s="180"/>
      <c r="G746" s="181"/>
      <c r="H746" s="390"/>
      <c r="I746" s="390"/>
      <c r="J746" s="390"/>
      <c r="K746" s="390"/>
    </row>
    <row r="747" spans="1:21" s="97" customFormat="1" x14ac:dyDescent="0.2">
      <c r="A747" s="2"/>
      <c r="B747" s="382" t="s">
        <v>237</v>
      </c>
      <c r="C747" s="180"/>
      <c r="D747" s="180"/>
      <c r="E747" s="180"/>
      <c r="F747" s="180"/>
      <c r="G747" s="181">
        <f>C388</f>
        <v>2466.6999999999998</v>
      </c>
      <c r="H747" s="390"/>
      <c r="I747" s="398"/>
      <c r="J747" s="390"/>
      <c r="K747" s="390"/>
      <c r="T747" s="97" t="s">
        <v>732</v>
      </c>
      <c r="U747" s="97" t="s">
        <v>734</v>
      </c>
    </row>
    <row r="748" spans="1:21" s="97" customFormat="1" x14ac:dyDescent="0.2">
      <c r="A748" s="2"/>
      <c r="B748" s="382" t="s">
        <v>238</v>
      </c>
      <c r="C748" s="180"/>
      <c r="D748" s="180"/>
      <c r="E748" s="180"/>
      <c r="F748" s="180"/>
      <c r="G748" s="181">
        <f>D388</f>
        <v>0</v>
      </c>
      <c r="H748" s="390"/>
      <c r="I748" s="398"/>
      <c r="J748" s="390"/>
      <c r="K748" s="390"/>
      <c r="T748" s="97" t="s">
        <v>732</v>
      </c>
      <c r="U748" s="97" t="s">
        <v>734</v>
      </c>
    </row>
    <row r="749" spans="1:21" s="97" customFormat="1" x14ac:dyDescent="0.2">
      <c r="A749" s="2"/>
      <c r="B749" s="382" t="s">
        <v>239</v>
      </c>
      <c r="C749" s="180"/>
      <c r="D749" s="180"/>
      <c r="E749" s="180"/>
      <c r="F749" s="180"/>
      <c r="G749" s="181">
        <f>E388</f>
        <v>220.9</v>
      </c>
      <c r="H749" s="390"/>
      <c r="I749" s="398"/>
      <c r="J749" s="390"/>
      <c r="K749" s="390"/>
      <c r="T749" s="97" t="s">
        <v>732</v>
      </c>
      <c r="U749" s="97" t="s">
        <v>734</v>
      </c>
    </row>
    <row r="750" spans="1:21" s="97" customFormat="1" x14ac:dyDescent="0.2">
      <c r="A750" s="2"/>
      <c r="B750" s="382" t="s">
        <v>240</v>
      </c>
      <c r="C750" s="180"/>
      <c r="D750" s="180"/>
      <c r="E750" s="180"/>
      <c r="F750" s="180"/>
      <c r="G750" s="181">
        <f>F388</f>
        <v>2287.6</v>
      </c>
      <c r="H750" s="390"/>
      <c r="I750" s="398"/>
      <c r="J750" s="390"/>
      <c r="K750" s="390"/>
      <c r="T750" s="97" t="s">
        <v>732</v>
      </c>
      <c r="U750" s="97" t="s">
        <v>734</v>
      </c>
    </row>
    <row r="751" spans="1:21" s="97" customFormat="1" x14ac:dyDescent="0.2">
      <c r="A751" s="2"/>
      <c r="B751" s="382" t="s">
        <v>241</v>
      </c>
      <c r="C751" s="180"/>
      <c r="D751" s="180"/>
      <c r="E751" s="180"/>
      <c r="F751" s="180"/>
      <c r="G751" s="181">
        <f>G388</f>
        <v>29915.5</v>
      </c>
      <c r="H751" s="390"/>
      <c r="I751" s="398"/>
      <c r="J751" s="390"/>
      <c r="K751" s="390"/>
      <c r="T751" s="97" t="s">
        <v>732</v>
      </c>
      <c r="U751" s="97" t="s">
        <v>734</v>
      </c>
    </row>
    <row r="752" spans="1:21" s="97" customFormat="1" x14ac:dyDescent="0.2">
      <c r="A752" s="2"/>
      <c r="B752" s="382" t="s">
        <v>242</v>
      </c>
      <c r="C752" s="180"/>
      <c r="D752" s="180"/>
      <c r="E752" s="180"/>
      <c r="F752" s="180"/>
      <c r="G752" s="181">
        <f>H388</f>
        <v>175623.2</v>
      </c>
      <c r="H752" s="390"/>
      <c r="I752" s="398"/>
      <c r="J752" s="390"/>
      <c r="K752" s="390"/>
      <c r="T752" s="97" t="s">
        <v>732</v>
      </c>
      <c r="U752" s="97" t="s">
        <v>734</v>
      </c>
    </row>
    <row r="753" spans="1:21" s="97" customFormat="1" x14ac:dyDescent="0.2">
      <c r="A753" s="2"/>
      <c r="B753" s="382" t="s">
        <v>243</v>
      </c>
      <c r="C753" s="180"/>
      <c r="D753" s="180"/>
      <c r="E753" s="180"/>
      <c r="F753" s="180"/>
      <c r="G753" s="181">
        <f>I388</f>
        <v>5350.3</v>
      </c>
      <c r="H753" s="390"/>
      <c r="I753" s="398"/>
      <c r="J753" s="390"/>
      <c r="K753" s="390"/>
      <c r="T753" s="97" t="s">
        <v>732</v>
      </c>
      <c r="U753" s="97" t="s">
        <v>734</v>
      </c>
    </row>
    <row r="754" spans="1:21" s="97" customFormat="1" x14ac:dyDescent="0.2">
      <c r="A754" s="2"/>
      <c r="B754" s="382" t="s">
        <v>244</v>
      </c>
      <c r="C754" s="180"/>
      <c r="D754" s="180"/>
      <c r="E754" s="180"/>
      <c r="F754" s="180"/>
      <c r="G754" s="181">
        <f>J388</f>
        <v>3156.2</v>
      </c>
      <c r="H754" s="390"/>
      <c r="I754" s="398"/>
      <c r="J754" s="390"/>
      <c r="K754" s="390"/>
      <c r="T754" s="97" t="s">
        <v>732</v>
      </c>
      <c r="U754" s="97" t="s">
        <v>734</v>
      </c>
    </row>
    <row r="755" spans="1:21" s="97" customFormat="1" x14ac:dyDescent="0.2">
      <c r="A755" s="2"/>
      <c r="B755" s="382" t="s">
        <v>245</v>
      </c>
      <c r="C755" s="180"/>
      <c r="D755" s="180"/>
      <c r="E755" s="180"/>
      <c r="F755" s="180"/>
      <c r="G755" s="181">
        <f>K388</f>
        <v>0</v>
      </c>
      <c r="H755" s="390"/>
      <c r="I755" s="398"/>
      <c r="J755" s="390"/>
      <c r="K755" s="390"/>
      <c r="T755" s="97" t="s">
        <v>732</v>
      </c>
      <c r="U755" s="97" t="s">
        <v>734</v>
      </c>
    </row>
    <row r="756" spans="1:21" s="97" customFormat="1" x14ac:dyDescent="0.2">
      <c r="A756" s="2"/>
      <c r="B756" s="382" t="s">
        <v>246</v>
      </c>
      <c r="C756" s="180"/>
      <c r="D756" s="180"/>
      <c r="E756" s="180"/>
      <c r="F756" s="180"/>
      <c r="G756" s="181">
        <f>L388</f>
        <v>0</v>
      </c>
      <c r="H756" s="390"/>
      <c r="I756" s="398"/>
      <c r="J756" s="390"/>
      <c r="K756" s="390"/>
      <c r="T756" s="97" t="s">
        <v>732</v>
      </c>
      <c r="U756" s="97" t="s">
        <v>734</v>
      </c>
    </row>
    <row r="757" spans="1:21" s="97" customFormat="1" x14ac:dyDescent="0.2">
      <c r="A757" s="2"/>
      <c r="B757" s="382" t="s">
        <v>247</v>
      </c>
      <c r="C757" s="180"/>
      <c r="D757" s="180"/>
      <c r="E757" s="180"/>
      <c r="F757" s="180"/>
      <c r="G757" s="181">
        <f>M388</f>
        <v>219020.40000000002</v>
      </c>
      <c r="H757" s="390"/>
      <c r="I757" s="398"/>
      <c r="J757" s="390"/>
      <c r="K757" s="390"/>
      <c r="T757" s="97" t="s">
        <v>732</v>
      </c>
      <c r="U757" s="97" t="s">
        <v>734</v>
      </c>
    </row>
    <row r="758" spans="1:21" s="97" customFormat="1" x14ac:dyDescent="0.2">
      <c r="A758" s="2"/>
      <c r="B758" s="381" t="s">
        <v>283</v>
      </c>
      <c r="C758" s="180"/>
      <c r="D758" s="180"/>
      <c r="E758" s="180"/>
      <c r="F758" s="180"/>
      <c r="G758" s="181"/>
      <c r="H758" s="390"/>
      <c r="I758" s="390"/>
      <c r="J758" s="390"/>
      <c r="K758" s="390"/>
    </row>
    <row r="759" spans="1:21" s="97" customFormat="1" x14ac:dyDescent="0.2">
      <c r="A759" s="2"/>
      <c r="B759" s="382" t="s">
        <v>237</v>
      </c>
      <c r="C759" s="180"/>
      <c r="D759" s="180"/>
      <c r="E759" s="180"/>
      <c r="F759" s="180"/>
      <c r="G759" s="181">
        <f>C389</f>
        <v>0</v>
      </c>
      <c r="H759" s="390"/>
      <c r="I759" s="398"/>
      <c r="J759" s="390"/>
      <c r="K759" s="390"/>
      <c r="T759" s="97" t="s">
        <v>732</v>
      </c>
      <c r="U759" s="97" t="s">
        <v>734</v>
      </c>
    </row>
    <row r="760" spans="1:21" s="97" customFormat="1" x14ac:dyDescent="0.2">
      <c r="A760" s="2"/>
      <c r="B760" s="382" t="s">
        <v>238</v>
      </c>
      <c r="C760" s="180"/>
      <c r="D760" s="180"/>
      <c r="E760" s="180"/>
      <c r="F760" s="180"/>
      <c r="G760" s="181">
        <f>D389</f>
        <v>0</v>
      </c>
      <c r="H760" s="390"/>
      <c r="I760" s="398"/>
      <c r="J760" s="390"/>
      <c r="K760" s="390"/>
      <c r="T760" s="97" t="s">
        <v>732</v>
      </c>
      <c r="U760" s="97" t="s">
        <v>734</v>
      </c>
    </row>
    <row r="761" spans="1:21" s="97" customFormat="1" x14ac:dyDescent="0.2">
      <c r="A761" s="2"/>
      <c r="B761" s="382" t="s">
        <v>239</v>
      </c>
      <c r="C761" s="180"/>
      <c r="D761" s="180"/>
      <c r="E761" s="180"/>
      <c r="F761" s="180"/>
      <c r="G761" s="181">
        <f>E389</f>
        <v>0</v>
      </c>
      <c r="H761" s="390"/>
      <c r="I761" s="398"/>
      <c r="J761" s="390"/>
      <c r="K761" s="390"/>
      <c r="T761" s="97" t="s">
        <v>732</v>
      </c>
      <c r="U761" s="97" t="s">
        <v>734</v>
      </c>
    </row>
    <row r="762" spans="1:21" s="97" customFormat="1" x14ac:dyDescent="0.2">
      <c r="A762" s="2"/>
      <c r="B762" s="382" t="s">
        <v>240</v>
      </c>
      <c r="C762" s="180"/>
      <c r="D762" s="180"/>
      <c r="E762" s="180"/>
      <c r="F762" s="180"/>
      <c r="G762" s="181">
        <f>F389</f>
        <v>0</v>
      </c>
      <c r="H762" s="390"/>
      <c r="I762" s="398"/>
      <c r="J762" s="390"/>
      <c r="K762" s="390"/>
      <c r="T762" s="97" t="s">
        <v>732</v>
      </c>
      <c r="U762" s="97" t="s">
        <v>734</v>
      </c>
    </row>
    <row r="763" spans="1:21" s="97" customFormat="1" x14ac:dyDescent="0.2">
      <c r="A763" s="2"/>
      <c r="B763" s="382" t="s">
        <v>241</v>
      </c>
      <c r="C763" s="180"/>
      <c r="D763" s="180"/>
      <c r="E763" s="180"/>
      <c r="F763" s="180"/>
      <c r="G763" s="181">
        <f>G389</f>
        <v>0</v>
      </c>
      <c r="H763" s="390"/>
      <c r="I763" s="398"/>
      <c r="J763" s="390"/>
      <c r="K763" s="390"/>
      <c r="T763" s="97" t="s">
        <v>732</v>
      </c>
      <c r="U763" s="97" t="s">
        <v>734</v>
      </c>
    </row>
    <row r="764" spans="1:21" s="97" customFormat="1" x14ac:dyDescent="0.2">
      <c r="A764" s="2"/>
      <c r="B764" s="382" t="s">
        <v>242</v>
      </c>
      <c r="C764" s="180"/>
      <c r="D764" s="180"/>
      <c r="E764" s="180"/>
      <c r="F764" s="180"/>
      <c r="G764" s="181">
        <f>H389</f>
        <v>0</v>
      </c>
      <c r="H764" s="390"/>
      <c r="I764" s="398"/>
      <c r="J764" s="390"/>
      <c r="K764" s="390"/>
      <c r="T764" s="97" t="s">
        <v>732</v>
      </c>
      <c r="U764" s="97" t="s">
        <v>734</v>
      </c>
    </row>
    <row r="765" spans="1:21" s="97" customFormat="1" x14ac:dyDescent="0.2">
      <c r="A765" s="2"/>
      <c r="B765" s="382" t="s">
        <v>243</v>
      </c>
      <c r="C765" s="180"/>
      <c r="D765" s="180"/>
      <c r="E765" s="180"/>
      <c r="F765" s="180"/>
      <c r="G765" s="181">
        <f>I389</f>
        <v>0</v>
      </c>
      <c r="H765" s="390"/>
      <c r="I765" s="398"/>
      <c r="J765" s="390"/>
      <c r="K765" s="390"/>
      <c r="T765" s="97" t="s">
        <v>732</v>
      </c>
      <c r="U765" s="97" t="s">
        <v>734</v>
      </c>
    </row>
    <row r="766" spans="1:21" s="97" customFormat="1" x14ac:dyDescent="0.2">
      <c r="A766" s="2"/>
      <c r="B766" s="382" t="s">
        <v>244</v>
      </c>
      <c r="C766" s="180"/>
      <c r="D766" s="180"/>
      <c r="E766" s="180"/>
      <c r="F766" s="180"/>
      <c r="G766" s="181">
        <f>J389</f>
        <v>0</v>
      </c>
      <c r="H766" s="390"/>
      <c r="I766" s="398"/>
      <c r="J766" s="390"/>
      <c r="K766" s="390"/>
      <c r="T766" s="97" t="s">
        <v>732</v>
      </c>
      <c r="U766" s="97" t="s">
        <v>734</v>
      </c>
    </row>
    <row r="767" spans="1:21" s="97" customFormat="1" x14ac:dyDescent="0.2">
      <c r="A767" s="2"/>
      <c r="B767" s="382" t="s">
        <v>245</v>
      </c>
      <c r="C767" s="180"/>
      <c r="D767" s="180"/>
      <c r="E767" s="180"/>
      <c r="F767" s="180"/>
      <c r="G767" s="181">
        <f>K389</f>
        <v>0</v>
      </c>
      <c r="H767" s="390"/>
      <c r="I767" s="398"/>
      <c r="J767" s="390"/>
      <c r="K767" s="390"/>
      <c r="T767" s="97" t="s">
        <v>732</v>
      </c>
      <c r="U767" s="97" t="s">
        <v>734</v>
      </c>
    </row>
    <row r="768" spans="1:21" s="97" customFormat="1" x14ac:dyDescent="0.2">
      <c r="A768" s="2"/>
      <c r="B768" s="382" t="s">
        <v>246</v>
      </c>
      <c r="C768" s="180"/>
      <c r="D768" s="180"/>
      <c r="E768" s="180"/>
      <c r="F768" s="180"/>
      <c r="G768" s="181">
        <f>L389</f>
        <v>0</v>
      </c>
      <c r="H768" s="390"/>
      <c r="I768" s="398"/>
      <c r="J768" s="390"/>
      <c r="K768" s="390"/>
      <c r="T768" s="97" t="s">
        <v>732</v>
      </c>
      <c r="U768" s="97" t="s">
        <v>734</v>
      </c>
    </row>
    <row r="769" spans="1:21" s="97" customFormat="1" x14ac:dyDescent="0.2">
      <c r="A769" s="2"/>
      <c r="B769" s="382" t="s">
        <v>247</v>
      </c>
      <c r="C769" s="180"/>
      <c r="D769" s="180"/>
      <c r="E769" s="180"/>
      <c r="F769" s="180"/>
      <c r="G769" s="181">
        <f>M389</f>
        <v>0</v>
      </c>
      <c r="H769" s="390"/>
      <c r="I769" s="398"/>
      <c r="J769" s="390"/>
      <c r="K769" s="390"/>
      <c r="T769" s="97" t="s">
        <v>732</v>
      </c>
      <c r="U769" s="97" t="s">
        <v>734</v>
      </c>
    </row>
    <row r="770" spans="1:21" s="97" customFormat="1" x14ac:dyDescent="0.2">
      <c r="A770" s="2"/>
      <c r="B770" s="381" t="s">
        <v>703</v>
      </c>
      <c r="C770" s="180"/>
      <c r="D770" s="180"/>
      <c r="E770" s="180"/>
      <c r="F770" s="180"/>
      <c r="G770" s="181"/>
      <c r="H770" s="390"/>
      <c r="I770" s="390"/>
      <c r="J770" s="390"/>
      <c r="K770" s="390"/>
    </row>
    <row r="771" spans="1:21" s="97" customFormat="1" x14ac:dyDescent="0.2">
      <c r="A771" s="2"/>
      <c r="B771" s="382" t="s">
        <v>237</v>
      </c>
      <c r="C771" s="180"/>
      <c r="D771" s="180"/>
      <c r="E771" s="180"/>
      <c r="F771" s="180"/>
      <c r="G771" s="181">
        <f>C390</f>
        <v>0</v>
      </c>
      <c r="H771" s="390"/>
      <c r="I771" s="398"/>
      <c r="J771" s="390"/>
      <c r="K771" s="390"/>
      <c r="T771" s="97" t="s">
        <v>732</v>
      </c>
      <c r="U771" s="97" t="s">
        <v>734</v>
      </c>
    </row>
    <row r="772" spans="1:21" s="97" customFormat="1" x14ac:dyDescent="0.2">
      <c r="A772" s="2"/>
      <c r="B772" s="382" t="s">
        <v>238</v>
      </c>
      <c r="C772" s="180"/>
      <c r="D772" s="180"/>
      <c r="E772" s="180"/>
      <c r="F772" s="180"/>
      <c r="G772" s="181">
        <f>D390</f>
        <v>0</v>
      </c>
      <c r="H772" s="390"/>
      <c r="I772" s="398"/>
      <c r="J772" s="390"/>
      <c r="K772" s="390"/>
      <c r="T772" s="97" t="s">
        <v>732</v>
      </c>
      <c r="U772" s="97" t="s">
        <v>734</v>
      </c>
    </row>
    <row r="773" spans="1:21" s="97" customFormat="1" x14ac:dyDescent="0.2">
      <c r="A773" s="2"/>
      <c r="B773" s="382" t="s">
        <v>239</v>
      </c>
      <c r="C773" s="180"/>
      <c r="D773" s="180"/>
      <c r="E773" s="180"/>
      <c r="F773" s="180"/>
      <c r="G773" s="181">
        <f>E390</f>
        <v>0</v>
      </c>
      <c r="H773" s="390"/>
      <c r="I773" s="398"/>
      <c r="J773" s="390"/>
      <c r="K773" s="390"/>
      <c r="T773" s="97" t="s">
        <v>732</v>
      </c>
      <c r="U773" s="97" t="s">
        <v>734</v>
      </c>
    </row>
    <row r="774" spans="1:21" s="97" customFormat="1" x14ac:dyDescent="0.2">
      <c r="A774" s="2"/>
      <c r="B774" s="382" t="s">
        <v>240</v>
      </c>
      <c r="C774" s="180"/>
      <c r="D774" s="180"/>
      <c r="E774" s="180"/>
      <c r="F774" s="180"/>
      <c r="G774" s="181">
        <f>F390</f>
        <v>0</v>
      </c>
      <c r="H774" s="390"/>
      <c r="I774" s="398"/>
      <c r="J774" s="390"/>
      <c r="K774" s="390"/>
      <c r="T774" s="97" t="s">
        <v>732</v>
      </c>
      <c r="U774" s="97" t="s">
        <v>734</v>
      </c>
    </row>
    <row r="775" spans="1:21" s="97" customFormat="1" x14ac:dyDescent="0.2">
      <c r="A775" s="2"/>
      <c r="B775" s="382" t="s">
        <v>241</v>
      </c>
      <c r="C775" s="180"/>
      <c r="D775" s="180"/>
      <c r="E775" s="180"/>
      <c r="F775" s="180"/>
      <c r="G775" s="181">
        <f>G390</f>
        <v>0</v>
      </c>
      <c r="H775" s="390"/>
      <c r="I775" s="398"/>
      <c r="J775" s="390"/>
      <c r="K775" s="390"/>
      <c r="T775" s="97" t="s">
        <v>732</v>
      </c>
      <c r="U775" s="97" t="s">
        <v>734</v>
      </c>
    </row>
    <row r="776" spans="1:21" s="97" customFormat="1" x14ac:dyDescent="0.2">
      <c r="A776" s="2"/>
      <c r="B776" s="382" t="s">
        <v>242</v>
      </c>
      <c r="C776" s="180"/>
      <c r="D776" s="180"/>
      <c r="E776" s="180"/>
      <c r="F776" s="180"/>
      <c r="G776" s="181">
        <f>H390</f>
        <v>0</v>
      </c>
      <c r="H776" s="390"/>
      <c r="I776" s="398"/>
      <c r="J776" s="390"/>
      <c r="K776" s="390"/>
      <c r="T776" s="97" t="s">
        <v>732</v>
      </c>
      <c r="U776" s="97" t="s">
        <v>734</v>
      </c>
    </row>
    <row r="777" spans="1:21" s="97" customFormat="1" x14ac:dyDescent="0.2">
      <c r="A777" s="2"/>
      <c r="B777" s="382" t="s">
        <v>243</v>
      </c>
      <c r="C777" s="180"/>
      <c r="D777" s="180"/>
      <c r="E777" s="180"/>
      <c r="F777" s="180"/>
      <c r="G777" s="181">
        <f>I390</f>
        <v>0</v>
      </c>
      <c r="H777" s="390"/>
      <c r="I777" s="398"/>
      <c r="J777" s="390"/>
      <c r="K777" s="390"/>
      <c r="T777" s="97" t="s">
        <v>732</v>
      </c>
      <c r="U777" s="97" t="s">
        <v>734</v>
      </c>
    </row>
    <row r="778" spans="1:21" s="97" customFormat="1" x14ac:dyDescent="0.2">
      <c r="A778" s="2"/>
      <c r="B778" s="382" t="s">
        <v>244</v>
      </c>
      <c r="C778" s="180"/>
      <c r="D778" s="180"/>
      <c r="E778" s="180"/>
      <c r="F778" s="180"/>
      <c r="G778" s="181">
        <f>J390</f>
        <v>0</v>
      </c>
      <c r="H778" s="390"/>
      <c r="I778" s="398"/>
      <c r="J778" s="390"/>
      <c r="K778" s="390"/>
      <c r="T778" s="97" t="s">
        <v>732</v>
      </c>
      <c r="U778" s="97" t="s">
        <v>734</v>
      </c>
    </row>
    <row r="779" spans="1:21" s="97" customFormat="1" x14ac:dyDescent="0.2">
      <c r="A779" s="2"/>
      <c r="B779" s="382" t="s">
        <v>245</v>
      </c>
      <c r="C779" s="180"/>
      <c r="D779" s="180"/>
      <c r="E779" s="180"/>
      <c r="F779" s="180"/>
      <c r="G779" s="181">
        <f>K390</f>
        <v>0</v>
      </c>
      <c r="H779" s="390"/>
      <c r="I779" s="398"/>
      <c r="J779" s="390"/>
      <c r="K779" s="390"/>
      <c r="T779" s="97" t="s">
        <v>732</v>
      </c>
      <c r="U779" s="97" t="s">
        <v>734</v>
      </c>
    </row>
    <row r="780" spans="1:21" s="97" customFormat="1" x14ac:dyDescent="0.2">
      <c r="A780" s="2"/>
      <c r="B780" s="382" t="s">
        <v>246</v>
      </c>
      <c r="C780" s="180"/>
      <c r="D780" s="180"/>
      <c r="E780" s="180"/>
      <c r="F780" s="180"/>
      <c r="G780" s="181">
        <f>L390</f>
        <v>0</v>
      </c>
      <c r="H780" s="390"/>
      <c r="I780" s="398"/>
      <c r="J780" s="390"/>
      <c r="K780" s="390"/>
      <c r="T780" s="97" t="s">
        <v>732</v>
      </c>
      <c r="U780" s="97" t="s">
        <v>734</v>
      </c>
    </row>
    <row r="781" spans="1:21" s="97" customFormat="1" x14ac:dyDescent="0.2">
      <c r="A781" s="2"/>
      <c r="B781" s="382" t="s">
        <v>247</v>
      </c>
      <c r="C781" s="180"/>
      <c r="D781" s="180"/>
      <c r="E781" s="180"/>
      <c r="F781" s="180"/>
      <c r="G781" s="181">
        <f>M390</f>
        <v>0</v>
      </c>
      <c r="H781" s="390"/>
      <c r="I781" s="398"/>
      <c r="J781" s="390"/>
      <c r="K781" s="390"/>
      <c r="T781" s="97" t="s">
        <v>732</v>
      </c>
      <c r="U781" s="97" t="s">
        <v>734</v>
      </c>
    </row>
    <row r="782" spans="1:21" s="97" customFormat="1" x14ac:dyDescent="0.2">
      <c r="A782" s="2"/>
      <c r="B782" s="381" t="s">
        <v>2</v>
      </c>
      <c r="C782" s="180"/>
      <c r="D782" s="180"/>
      <c r="E782" s="180"/>
      <c r="F782" s="180"/>
      <c r="G782" s="181"/>
      <c r="H782" s="390"/>
      <c r="I782" s="390"/>
      <c r="J782" s="390"/>
      <c r="K782" s="390"/>
    </row>
    <row r="783" spans="1:21" s="97" customFormat="1" x14ac:dyDescent="0.2">
      <c r="A783" s="2"/>
      <c r="B783" s="382" t="s">
        <v>237</v>
      </c>
      <c r="C783" s="180"/>
      <c r="D783" s="180"/>
      <c r="E783" s="180"/>
      <c r="F783" s="180"/>
      <c r="G783" s="181">
        <f>C391</f>
        <v>0</v>
      </c>
      <c r="H783" s="390"/>
      <c r="I783" s="398"/>
      <c r="J783" s="390"/>
      <c r="K783" s="390"/>
      <c r="T783" s="97" t="s">
        <v>732</v>
      </c>
      <c r="U783" s="97" t="s">
        <v>734</v>
      </c>
    </row>
    <row r="784" spans="1:21" s="97" customFormat="1" x14ac:dyDescent="0.2">
      <c r="A784" s="2"/>
      <c r="B784" s="382" t="s">
        <v>238</v>
      </c>
      <c r="C784" s="180"/>
      <c r="D784" s="180"/>
      <c r="E784" s="180"/>
      <c r="F784" s="180"/>
      <c r="G784" s="181">
        <f>D391</f>
        <v>0</v>
      </c>
      <c r="H784" s="390"/>
      <c r="I784" s="398"/>
      <c r="J784" s="390"/>
      <c r="K784" s="390"/>
      <c r="T784" s="97" t="s">
        <v>732</v>
      </c>
      <c r="U784" s="97" t="s">
        <v>734</v>
      </c>
    </row>
    <row r="785" spans="1:21" s="97" customFormat="1" x14ac:dyDescent="0.2">
      <c r="A785" s="2"/>
      <c r="B785" s="382" t="s">
        <v>239</v>
      </c>
      <c r="C785" s="180"/>
      <c r="D785" s="180"/>
      <c r="E785" s="180"/>
      <c r="F785" s="180"/>
      <c r="G785" s="181">
        <f>E391</f>
        <v>0</v>
      </c>
      <c r="H785" s="390"/>
      <c r="I785" s="398"/>
      <c r="J785" s="390"/>
      <c r="K785" s="390"/>
      <c r="T785" s="97" t="s">
        <v>732</v>
      </c>
      <c r="U785" s="97" t="s">
        <v>734</v>
      </c>
    </row>
    <row r="786" spans="1:21" s="97" customFormat="1" x14ac:dyDescent="0.2">
      <c r="A786" s="2"/>
      <c r="B786" s="382" t="s">
        <v>240</v>
      </c>
      <c r="C786" s="180"/>
      <c r="D786" s="180"/>
      <c r="E786" s="180"/>
      <c r="F786" s="180"/>
      <c r="G786" s="181">
        <f>F391</f>
        <v>0</v>
      </c>
      <c r="H786" s="390"/>
      <c r="I786" s="398"/>
      <c r="J786" s="390"/>
      <c r="K786" s="390"/>
      <c r="T786" s="97" t="s">
        <v>732</v>
      </c>
      <c r="U786" s="97" t="s">
        <v>734</v>
      </c>
    </row>
    <row r="787" spans="1:21" s="97" customFormat="1" x14ac:dyDescent="0.2">
      <c r="A787" s="2"/>
      <c r="B787" s="382" t="s">
        <v>241</v>
      </c>
      <c r="C787" s="180"/>
      <c r="D787" s="180"/>
      <c r="E787" s="180"/>
      <c r="F787" s="180"/>
      <c r="G787" s="181">
        <f>G391</f>
        <v>0</v>
      </c>
      <c r="H787" s="390"/>
      <c r="I787" s="398"/>
      <c r="J787" s="390"/>
      <c r="K787" s="390"/>
      <c r="T787" s="97" t="s">
        <v>732</v>
      </c>
      <c r="U787" s="97" t="s">
        <v>734</v>
      </c>
    </row>
    <row r="788" spans="1:21" s="97" customFormat="1" x14ac:dyDescent="0.2">
      <c r="A788" s="2"/>
      <c r="B788" s="382" t="s">
        <v>242</v>
      </c>
      <c r="C788" s="180"/>
      <c r="D788" s="180"/>
      <c r="E788" s="180"/>
      <c r="F788" s="180"/>
      <c r="G788" s="181">
        <f>H391</f>
        <v>0</v>
      </c>
      <c r="H788" s="390"/>
      <c r="I788" s="398"/>
      <c r="J788" s="390"/>
      <c r="K788" s="390"/>
      <c r="T788" s="97" t="s">
        <v>732</v>
      </c>
      <c r="U788" s="97" t="s">
        <v>734</v>
      </c>
    </row>
    <row r="789" spans="1:21" s="97" customFormat="1" x14ac:dyDescent="0.2">
      <c r="A789" s="2"/>
      <c r="B789" s="382" t="s">
        <v>243</v>
      </c>
      <c r="C789" s="180"/>
      <c r="D789" s="180"/>
      <c r="E789" s="180"/>
      <c r="F789" s="180"/>
      <c r="G789" s="181">
        <f>I391</f>
        <v>0</v>
      </c>
      <c r="H789" s="390"/>
      <c r="I789" s="398"/>
      <c r="J789" s="390"/>
      <c r="K789" s="390"/>
      <c r="T789" s="97" t="s">
        <v>732</v>
      </c>
      <c r="U789" s="97" t="s">
        <v>734</v>
      </c>
    </row>
    <row r="790" spans="1:21" s="97" customFormat="1" x14ac:dyDescent="0.2">
      <c r="A790" s="2"/>
      <c r="B790" s="382" t="s">
        <v>244</v>
      </c>
      <c r="C790" s="180"/>
      <c r="D790" s="180"/>
      <c r="E790" s="180"/>
      <c r="F790" s="180"/>
      <c r="G790" s="181">
        <f>J391</f>
        <v>0</v>
      </c>
      <c r="H790" s="390"/>
      <c r="I790" s="398"/>
      <c r="J790" s="390"/>
      <c r="K790" s="390"/>
      <c r="T790" s="97" t="s">
        <v>732</v>
      </c>
      <c r="U790" s="97" t="s">
        <v>734</v>
      </c>
    </row>
    <row r="791" spans="1:21" s="97" customFormat="1" x14ac:dyDescent="0.2">
      <c r="A791" s="2"/>
      <c r="B791" s="382" t="s">
        <v>245</v>
      </c>
      <c r="C791" s="180"/>
      <c r="D791" s="180"/>
      <c r="E791" s="180"/>
      <c r="F791" s="180"/>
      <c r="G791" s="181">
        <f>K391</f>
        <v>0</v>
      </c>
      <c r="H791" s="390"/>
      <c r="I791" s="398"/>
      <c r="J791" s="390"/>
      <c r="K791" s="390"/>
      <c r="T791" s="97" t="s">
        <v>732</v>
      </c>
      <c r="U791" s="97" t="s">
        <v>734</v>
      </c>
    </row>
    <row r="792" spans="1:21" s="97" customFormat="1" x14ac:dyDescent="0.2">
      <c r="A792" s="2"/>
      <c r="B792" s="382" t="s">
        <v>246</v>
      </c>
      <c r="C792" s="180"/>
      <c r="D792" s="180"/>
      <c r="E792" s="180"/>
      <c r="F792" s="180"/>
      <c r="G792" s="181">
        <f>L391</f>
        <v>0</v>
      </c>
      <c r="H792" s="390"/>
      <c r="I792" s="398"/>
      <c r="J792" s="390"/>
      <c r="K792" s="390"/>
      <c r="T792" s="97" t="s">
        <v>732</v>
      </c>
      <c r="U792" s="97" t="s">
        <v>734</v>
      </c>
    </row>
    <row r="793" spans="1:21" s="97" customFormat="1" x14ac:dyDescent="0.2">
      <c r="A793" s="2"/>
      <c r="B793" s="382" t="s">
        <v>247</v>
      </c>
      <c r="C793" s="180"/>
      <c r="D793" s="180"/>
      <c r="E793" s="180"/>
      <c r="F793" s="180"/>
      <c r="G793" s="181">
        <f>M391</f>
        <v>0</v>
      </c>
      <c r="H793" s="390"/>
      <c r="I793" s="398"/>
      <c r="J793" s="390"/>
      <c r="K793" s="390"/>
      <c r="T793" s="97" t="s">
        <v>732</v>
      </c>
      <c r="U793" s="97" t="s">
        <v>734</v>
      </c>
    </row>
    <row r="794" spans="1:21" s="97" customFormat="1" x14ac:dyDescent="0.2">
      <c r="A794" s="2"/>
      <c r="B794" s="383"/>
      <c r="C794" s="30"/>
      <c r="D794" s="30"/>
      <c r="E794" s="30"/>
      <c r="F794" s="30"/>
      <c r="G794" s="31"/>
      <c r="H794" s="390"/>
      <c r="I794" s="390"/>
      <c r="J794" s="390"/>
      <c r="K794" s="390"/>
    </row>
    <row r="795" spans="1:21" s="97" customFormat="1" x14ac:dyDescent="0.2">
      <c r="A795" s="2"/>
      <c r="B795" s="384" t="s">
        <v>247</v>
      </c>
      <c r="C795" s="54"/>
      <c r="D795" s="54"/>
      <c r="E795" s="54"/>
      <c r="F795" s="54"/>
      <c r="G795" s="55"/>
      <c r="H795" s="390"/>
      <c r="I795" s="390"/>
      <c r="J795" s="390"/>
      <c r="K795" s="390"/>
    </row>
    <row r="796" spans="1:21" s="97" customFormat="1" x14ac:dyDescent="0.2">
      <c r="A796" s="2"/>
      <c r="B796" s="382" t="s">
        <v>237</v>
      </c>
      <c r="C796" s="180"/>
      <c r="D796" s="180"/>
      <c r="E796" s="180"/>
      <c r="F796" s="180"/>
      <c r="G796" s="181">
        <f>C393</f>
        <v>37759</v>
      </c>
      <c r="H796" s="390"/>
      <c r="I796" s="398"/>
      <c r="J796" s="390"/>
      <c r="K796" s="390"/>
      <c r="T796" s="97" t="s">
        <v>732</v>
      </c>
      <c r="U796" s="97" t="s">
        <v>734</v>
      </c>
    </row>
    <row r="797" spans="1:21" s="97" customFormat="1" x14ac:dyDescent="0.2">
      <c r="A797" s="2"/>
      <c r="B797" s="382" t="s">
        <v>238</v>
      </c>
      <c r="C797" s="180"/>
      <c r="D797" s="180"/>
      <c r="E797" s="180"/>
      <c r="F797" s="180"/>
      <c r="G797" s="181">
        <f>D393</f>
        <v>25614.3</v>
      </c>
      <c r="H797" s="390"/>
      <c r="I797" s="398"/>
      <c r="J797" s="390"/>
      <c r="K797" s="390"/>
      <c r="T797" s="97" t="s">
        <v>732</v>
      </c>
      <c r="U797" s="97" t="s">
        <v>734</v>
      </c>
    </row>
    <row r="798" spans="1:21" s="97" customFormat="1" x14ac:dyDescent="0.2">
      <c r="A798" s="2"/>
      <c r="B798" s="382" t="s">
        <v>239</v>
      </c>
      <c r="C798" s="180"/>
      <c r="D798" s="180"/>
      <c r="E798" s="180"/>
      <c r="F798" s="180"/>
      <c r="G798" s="181">
        <f>E393</f>
        <v>32969</v>
      </c>
      <c r="H798" s="390"/>
      <c r="I798" s="398"/>
      <c r="J798" s="390"/>
      <c r="K798" s="390"/>
      <c r="T798" s="97" t="s">
        <v>732</v>
      </c>
      <c r="U798" s="97" t="s">
        <v>734</v>
      </c>
    </row>
    <row r="799" spans="1:21" s="97" customFormat="1" x14ac:dyDescent="0.2">
      <c r="A799" s="2"/>
      <c r="B799" s="382" t="s">
        <v>240</v>
      </c>
      <c r="C799" s="180"/>
      <c r="D799" s="180"/>
      <c r="E799" s="180"/>
      <c r="F799" s="180"/>
      <c r="G799" s="181">
        <f>F393</f>
        <v>104808.6</v>
      </c>
      <c r="H799" s="390"/>
      <c r="I799" s="398"/>
      <c r="J799" s="390"/>
      <c r="K799" s="390"/>
      <c r="T799" s="97" t="s">
        <v>732</v>
      </c>
      <c r="U799" s="97" t="s">
        <v>734</v>
      </c>
    </row>
    <row r="800" spans="1:21" s="97" customFormat="1" x14ac:dyDescent="0.2">
      <c r="A800" s="2"/>
      <c r="B800" s="382" t="s">
        <v>241</v>
      </c>
      <c r="C800" s="180"/>
      <c r="D800" s="180"/>
      <c r="E800" s="180"/>
      <c r="F800" s="180"/>
      <c r="G800" s="181">
        <f>G393</f>
        <v>183132.3</v>
      </c>
      <c r="H800" s="390"/>
      <c r="I800" s="398"/>
      <c r="J800" s="390"/>
      <c r="K800" s="390"/>
      <c r="T800" s="97" t="s">
        <v>732</v>
      </c>
      <c r="U800" s="97" t="s">
        <v>734</v>
      </c>
    </row>
    <row r="801" spans="1:21" s="97" customFormat="1" x14ac:dyDescent="0.2">
      <c r="A801" s="2"/>
      <c r="B801" s="382" t="s">
        <v>242</v>
      </c>
      <c r="C801" s="180"/>
      <c r="D801" s="180"/>
      <c r="E801" s="180"/>
      <c r="F801" s="180"/>
      <c r="G801" s="181">
        <f>H393</f>
        <v>495762.39999999997</v>
      </c>
      <c r="H801" s="390"/>
      <c r="I801" s="398"/>
      <c r="J801" s="390"/>
      <c r="K801" s="390"/>
      <c r="T801" s="97" t="s">
        <v>732</v>
      </c>
      <c r="U801" s="97" t="s">
        <v>734</v>
      </c>
    </row>
    <row r="802" spans="1:21" s="97" customFormat="1" x14ac:dyDescent="0.2">
      <c r="A802" s="2"/>
      <c r="B802" s="382" t="s">
        <v>243</v>
      </c>
      <c r="C802" s="180"/>
      <c r="D802" s="180"/>
      <c r="E802" s="180"/>
      <c r="F802" s="180"/>
      <c r="G802" s="181">
        <f>I393</f>
        <v>120672.2</v>
      </c>
      <c r="H802" s="390"/>
      <c r="I802" s="398"/>
      <c r="J802" s="390"/>
      <c r="K802" s="390"/>
      <c r="T802" s="97" t="s">
        <v>732</v>
      </c>
      <c r="U802" s="97" t="s">
        <v>734</v>
      </c>
    </row>
    <row r="803" spans="1:21" s="97" customFormat="1" x14ac:dyDescent="0.2">
      <c r="A803" s="2"/>
      <c r="B803" s="382" t="s">
        <v>244</v>
      </c>
      <c r="C803" s="180"/>
      <c r="D803" s="180"/>
      <c r="E803" s="180"/>
      <c r="F803" s="180"/>
      <c r="G803" s="181">
        <f>J393</f>
        <v>62314</v>
      </c>
      <c r="H803" s="390"/>
      <c r="I803" s="398"/>
      <c r="J803" s="390"/>
      <c r="K803" s="390"/>
      <c r="T803" s="97" t="s">
        <v>732</v>
      </c>
      <c r="U803" s="97" t="s">
        <v>734</v>
      </c>
    </row>
    <row r="804" spans="1:21" s="97" customFormat="1" x14ac:dyDescent="0.2">
      <c r="A804" s="2"/>
      <c r="B804" s="382" t="s">
        <v>245</v>
      </c>
      <c r="C804" s="180"/>
      <c r="D804" s="180"/>
      <c r="E804" s="180"/>
      <c r="F804" s="180"/>
      <c r="G804" s="181">
        <f>K393</f>
        <v>0</v>
      </c>
      <c r="H804" s="390"/>
      <c r="I804" s="398"/>
      <c r="J804" s="390"/>
      <c r="K804" s="390"/>
      <c r="T804" s="97" t="s">
        <v>732</v>
      </c>
      <c r="U804" s="97" t="s">
        <v>734</v>
      </c>
    </row>
    <row r="805" spans="1:21" s="97" customFormat="1" x14ac:dyDescent="0.2">
      <c r="A805" s="2"/>
      <c r="B805" s="382" t="s">
        <v>246</v>
      </c>
      <c r="C805" s="180"/>
      <c r="D805" s="180"/>
      <c r="E805" s="180"/>
      <c r="F805" s="180"/>
      <c r="G805" s="181">
        <f>L393</f>
        <v>0</v>
      </c>
      <c r="H805" s="390"/>
      <c r="I805" s="398"/>
      <c r="J805" s="390"/>
      <c r="K805" s="390"/>
      <c r="T805" s="97" t="s">
        <v>732</v>
      </c>
      <c r="U805" s="97" t="s">
        <v>734</v>
      </c>
    </row>
    <row r="806" spans="1:21" s="97" customFormat="1" x14ac:dyDescent="0.2">
      <c r="A806" s="2"/>
      <c r="B806" s="382" t="s">
        <v>247</v>
      </c>
      <c r="C806" s="180"/>
      <c r="D806" s="180"/>
      <c r="E806" s="180"/>
      <c r="F806" s="180"/>
      <c r="G806" s="181">
        <f>M393</f>
        <v>1063031.8000000003</v>
      </c>
      <c r="H806" s="390"/>
      <c r="I806" s="398"/>
      <c r="J806" s="390"/>
      <c r="K806" s="390"/>
      <c r="T806" s="97" t="s">
        <v>732</v>
      </c>
      <c r="U806" s="97" t="s">
        <v>734</v>
      </c>
    </row>
    <row r="807" spans="1:21" s="97" customFormat="1" x14ac:dyDescent="0.2">
      <c r="A807" s="2"/>
      <c r="B807" s="383"/>
      <c r="C807" s="30"/>
      <c r="D807" s="30"/>
      <c r="E807" s="30"/>
      <c r="F807" s="30"/>
      <c r="G807" s="31"/>
      <c r="H807" s="390"/>
      <c r="I807" s="390"/>
      <c r="J807" s="390"/>
      <c r="K807" s="390"/>
    </row>
    <row r="808" spans="1:21" s="97" customFormat="1" ht="15" x14ac:dyDescent="0.35">
      <c r="A808" s="2"/>
      <c r="B808" s="385" t="s">
        <v>252</v>
      </c>
      <c r="C808" s="30"/>
      <c r="D808" s="30"/>
      <c r="E808" s="30"/>
      <c r="F808" s="30"/>
      <c r="G808" s="31"/>
      <c r="H808" s="390"/>
      <c r="I808" s="390"/>
      <c r="J808" s="390"/>
      <c r="K808" s="390"/>
    </row>
    <row r="809" spans="1:21" s="97" customFormat="1" x14ac:dyDescent="0.2">
      <c r="A809" s="2"/>
      <c r="B809" s="381" t="s">
        <v>253</v>
      </c>
      <c r="C809" s="180"/>
      <c r="D809" s="180"/>
      <c r="E809" s="180"/>
      <c r="F809" s="180"/>
      <c r="G809" s="181"/>
      <c r="H809" s="390"/>
      <c r="I809" s="390"/>
      <c r="J809" s="390"/>
      <c r="K809" s="390"/>
    </row>
    <row r="810" spans="1:21" s="97" customFormat="1" x14ac:dyDescent="0.2">
      <c r="A810" s="2"/>
      <c r="B810" s="382" t="s">
        <v>237</v>
      </c>
      <c r="C810" s="180"/>
      <c r="D810" s="180"/>
      <c r="E810" s="180"/>
      <c r="F810" s="180"/>
      <c r="G810" s="181">
        <f>C396</f>
        <v>0</v>
      </c>
      <c r="H810" s="390"/>
      <c r="I810" s="398"/>
      <c r="J810" s="390"/>
      <c r="K810" s="390"/>
      <c r="T810" s="97" t="s">
        <v>732</v>
      </c>
      <c r="U810" s="97" t="s">
        <v>734</v>
      </c>
    </row>
    <row r="811" spans="1:21" s="97" customFormat="1" x14ac:dyDescent="0.2">
      <c r="A811" s="2"/>
      <c r="B811" s="382" t="s">
        <v>238</v>
      </c>
      <c r="C811" s="180"/>
      <c r="D811" s="180"/>
      <c r="E811" s="180"/>
      <c r="F811" s="180"/>
      <c r="G811" s="181">
        <f>D396</f>
        <v>32068.400000000001</v>
      </c>
      <c r="H811" s="390"/>
      <c r="I811" s="398"/>
      <c r="J811" s="390"/>
      <c r="K811" s="390"/>
      <c r="T811" s="97" t="s">
        <v>732</v>
      </c>
      <c r="U811" s="97" t="s">
        <v>734</v>
      </c>
    </row>
    <row r="812" spans="1:21" s="97" customFormat="1" x14ac:dyDescent="0.2">
      <c r="A812" s="2"/>
      <c r="B812" s="382" t="s">
        <v>239</v>
      </c>
      <c r="C812" s="180"/>
      <c r="D812" s="180"/>
      <c r="E812" s="180"/>
      <c r="F812" s="180"/>
      <c r="G812" s="181">
        <f>E396</f>
        <v>31657.3</v>
      </c>
      <c r="H812" s="390"/>
      <c r="I812" s="398"/>
      <c r="J812" s="390"/>
      <c r="K812" s="390"/>
      <c r="T812" s="97" t="s">
        <v>732</v>
      </c>
      <c r="U812" s="97" t="s">
        <v>734</v>
      </c>
    </row>
    <row r="813" spans="1:21" s="97" customFormat="1" x14ac:dyDescent="0.2">
      <c r="A813" s="2"/>
      <c r="B813" s="382" t="s">
        <v>240</v>
      </c>
      <c r="C813" s="180"/>
      <c r="D813" s="180"/>
      <c r="E813" s="180"/>
      <c r="F813" s="180"/>
      <c r="G813" s="181">
        <f>F396</f>
        <v>96769.2</v>
      </c>
      <c r="H813" s="390"/>
      <c r="I813" s="398"/>
      <c r="J813" s="390"/>
      <c r="K813" s="390"/>
      <c r="T813" s="97" t="s">
        <v>732</v>
      </c>
      <c r="U813" s="97" t="s">
        <v>734</v>
      </c>
    </row>
    <row r="814" spans="1:21" s="97" customFormat="1" x14ac:dyDescent="0.2">
      <c r="A814" s="2"/>
      <c r="B814" s="382" t="s">
        <v>241</v>
      </c>
      <c r="C814" s="180"/>
      <c r="D814" s="180"/>
      <c r="E814" s="180"/>
      <c r="F814" s="180"/>
      <c r="G814" s="181">
        <f>G396</f>
        <v>1787.5</v>
      </c>
      <c r="H814" s="390"/>
      <c r="I814" s="398"/>
      <c r="J814" s="390"/>
      <c r="K814" s="390"/>
      <c r="T814" s="97" t="s">
        <v>732</v>
      </c>
      <c r="U814" s="97" t="s">
        <v>734</v>
      </c>
    </row>
    <row r="815" spans="1:21" s="97" customFormat="1" x14ac:dyDescent="0.2">
      <c r="A815" s="2"/>
      <c r="B815" s="382" t="s">
        <v>242</v>
      </c>
      <c r="C815" s="180"/>
      <c r="D815" s="180"/>
      <c r="E815" s="180"/>
      <c r="F815" s="180"/>
      <c r="G815" s="181">
        <f>H396</f>
        <v>513974.9</v>
      </c>
      <c r="H815" s="390"/>
      <c r="I815" s="398"/>
      <c r="J815" s="390"/>
      <c r="K815" s="390"/>
      <c r="T815" s="97" t="s">
        <v>732</v>
      </c>
      <c r="U815" s="97" t="s">
        <v>734</v>
      </c>
    </row>
    <row r="816" spans="1:21" s="97" customFormat="1" x14ac:dyDescent="0.2">
      <c r="A816" s="2"/>
      <c r="B816" s="382" t="s">
        <v>243</v>
      </c>
      <c r="C816" s="180"/>
      <c r="D816" s="180"/>
      <c r="E816" s="180"/>
      <c r="F816" s="180"/>
      <c r="G816" s="181">
        <f>I396</f>
        <v>159383.29999999999</v>
      </c>
      <c r="H816" s="390"/>
      <c r="I816" s="398"/>
      <c r="J816" s="390"/>
      <c r="K816" s="390"/>
      <c r="T816" s="97" t="s">
        <v>732</v>
      </c>
      <c r="U816" s="97" t="s">
        <v>734</v>
      </c>
    </row>
    <row r="817" spans="1:21" s="97" customFormat="1" x14ac:dyDescent="0.2">
      <c r="A817" s="2"/>
      <c r="B817" s="382" t="s">
        <v>244</v>
      </c>
      <c r="C817" s="180"/>
      <c r="D817" s="180"/>
      <c r="E817" s="180"/>
      <c r="F817" s="180"/>
      <c r="G817" s="181">
        <f>J396</f>
        <v>30370.3</v>
      </c>
      <c r="H817" s="390"/>
      <c r="I817" s="398"/>
      <c r="J817" s="390"/>
      <c r="K817" s="390"/>
      <c r="T817" s="97" t="s">
        <v>732</v>
      </c>
      <c r="U817" s="97" t="s">
        <v>734</v>
      </c>
    </row>
    <row r="818" spans="1:21" s="97" customFormat="1" x14ac:dyDescent="0.2">
      <c r="A818" s="2"/>
      <c r="B818" s="382" t="s">
        <v>245</v>
      </c>
      <c r="C818" s="180"/>
      <c r="D818" s="180"/>
      <c r="E818" s="180"/>
      <c r="F818" s="180"/>
      <c r="G818" s="181">
        <f>K396</f>
        <v>0</v>
      </c>
      <c r="H818" s="390"/>
      <c r="I818" s="398"/>
      <c r="J818" s="390"/>
      <c r="K818" s="390"/>
      <c r="T818" s="97" t="s">
        <v>732</v>
      </c>
      <c r="U818" s="97" t="s">
        <v>734</v>
      </c>
    </row>
    <row r="819" spans="1:21" s="97" customFormat="1" x14ac:dyDescent="0.2">
      <c r="A819" s="2"/>
      <c r="B819" s="382" t="s">
        <v>246</v>
      </c>
      <c r="C819" s="180"/>
      <c r="D819" s="180"/>
      <c r="E819" s="180"/>
      <c r="F819" s="180"/>
      <c r="G819" s="181">
        <f>L396</f>
        <v>0</v>
      </c>
      <c r="H819" s="390"/>
      <c r="I819" s="398"/>
      <c r="J819" s="390"/>
      <c r="K819" s="390"/>
      <c r="T819" s="97" t="s">
        <v>732</v>
      </c>
      <c r="U819" s="97" t="s">
        <v>734</v>
      </c>
    </row>
    <row r="820" spans="1:21" s="97" customFormat="1" x14ac:dyDescent="0.2">
      <c r="A820" s="2"/>
      <c r="B820" s="382" t="s">
        <v>247</v>
      </c>
      <c r="C820" s="180"/>
      <c r="D820" s="180"/>
      <c r="E820" s="180"/>
      <c r="F820" s="180"/>
      <c r="G820" s="181">
        <f>M396</f>
        <v>866010.90000000014</v>
      </c>
      <c r="H820" s="390"/>
      <c r="I820" s="398"/>
      <c r="J820" s="390"/>
      <c r="K820" s="390"/>
      <c r="T820" s="97" t="s">
        <v>732</v>
      </c>
      <c r="U820" s="97" t="s">
        <v>734</v>
      </c>
    </row>
    <row r="821" spans="1:21" s="97" customFormat="1" x14ac:dyDescent="0.2">
      <c r="A821" s="2"/>
      <c r="B821" s="381" t="s">
        <v>75</v>
      </c>
      <c r="C821" s="180"/>
      <c r="D821" s="180"/>
      <c r="E821" s="180"/>
      <c r="F821" s="180"/>
      <c r="G821" s="181"/>
      <c r="H821" s="390"/>
      <c r="I821" s="390"/>
      <c r="J821" s="390"/>
      <c r="K821" s="390"/>
    </row>
    <row r="822" spans="1:21" s="97" customFormat="1" x14ac:dyDescent="0.2">
      <c r="A822" s="2"/>
      <c r="B822" s="382" t="s">
        <v>237</v>
      </c>
      <c r="C822" s="180"/>
      <c r="D822" s="180"/>
      <c r="E822" s="180"/>
      <c r="F822" s="180"/>
      <c r="G822" s="181">
        <f>C397</f>
        <v>0</v>
      </c>
      <c r="H822" s="390"/>
      <c r="I822" s="398"/>
      <c r="J822" s="390"/>
      <c r="K822" s="390"/>
      <c r="T822" s="97" t="s">
        <v>732</v>
      </c>
      <c r="U822" s="97" t="s">
        <v>734</v>
      </c>
    </row>
    <row r="823" spans="1:21" s="97" customFormat="1" x14ac:dyDescent="0.2">
      <c r="A823" s="2"/>
      <c r="B823" s="382" t="s">
        <v>238</v>
      </c>
      <c r="C823" s="180"/>
      <c r="D823" s="180"/>
      <c r="E823" s="180"/>
      <c r="F823" s="180"/>
      <c r="G823" s="181">
        <f>D397</f>
        <v>587.79999999999995</v>
      </c>
      <c r="H823" s="390"/>
      <c r="I823" s="398"/>
      <c r="J823" s="390"/>
      <c r="K823" s="390"/>
      <c r="T823" s="97" t="s">
        <v>732</v>
      </c>
      <c r="U823" s="97" t="s">
        <v>734</v>
      </c>
    </row>
    <row r="824" spans="1:21" s="97" customFormat="1" x14ac:dyDescent="0.2">
      <c r="A824" s="2"/>
      <c r="B824" s="382" t="s">
        <v>239</v>
      </c>
      <c r="C824" s="180"/>
      <c r="D824" s="180"/>
      <c r="E824" s="180"/>
      <c r="F824" s="180"/>
      <c r="G824" s="181">
        <f>E397</f>
        <v>496.9</v>
      </c>
      <c r="H824" s="390"/>
      <c r="I824" s="398"/>
      <c r="J824" s="390"/>
      <c r="K824" s="390"/>
      <c r="T824" s="97" t="s">
        <v>732</v>
      </c>
      <c r="U824" s="97" t="s">
        <v>734</v>
      </c>
    </row>
    <row r="825" spans="1:21" s="97" customFormat="1" x14ac:dyDescent="0.2">
      <c r="A825" s="2"/>
      <c r="B825" s="382" t="s">
        <v>240</v>
      </c>
      <c r="C825" s="180"/>
      <c r="D825" s="180"/>
      <c r="E825" s="180"/>
      <c r="F825" s="180"/>
      <c r="G825" s="181">
        <f>F397</f>
        <v>1342.6</v>
      </c>
      <c r="H825" s="390"/>
      <c r="I825" s="398"/>
      <c r="J825" s="390"/>
      <c r="K825" s="390"/>
      <c r="T825" s="97" t="s">
        <v>732</v>
      </c>
      <c r="U825" s="97" t="s">
        <v>734</v>
      </c>
    </row>
    <row r="826" spans="1:21" s="97" customFormat="1" x14ac:dyDescent="0.2">
      <c r="A826" s="2"/>
      <c r="B826" s="382" t="s">
        <v>241</v>
      </c>
      <c r="C826" s="180"/>
      <c r="D826" s="180"/>
      <c r="E826" s="180"/>
      <c r="F826" s="180"/>
      <c r="G826" s="181">
        <f>G397</f>
        <v>2357.6</v>
      </c>
      <c r="H826" s="390"/>
      <c r="I826" s="398"/>
      <c r="J826" s="390"/>
      <c r="K826" s="390"/>
      <c r="T826" s="97" t="s">
        <v>732</v>
      </c>
      <c r="U826" s="97" t="s">
        <v>734</v>
      </c>
    </row>
    <row r="827" spans="1:21" s="97" customFormat="1" x14ac:dyDescent="0.2">
      <c r="A827" s="2"/>
      <c r="B827" s="382" t="s">
        <v>242</v>
      </c>
      <c r="C827" s="180"/>
      <c r="D827" s="180"/>
      <c r="E827" s="180"/>
      <c r="F827" s="180"/>
      <c r="G827" s="181">
        <f>H397</f>
        <v>7940.4</v>
      </c>
      <c r="H827" s="390"/>
      <c r="I827" s="398"/>
      <c r="J827" s="390"/>
      <c r="K827" s="390"/>
      <c r="T827" s="97" t="s">
        <v>732</v>
      </c>
      <c r="U827" s="97" t="s">
        <v>734</v>
      </c>
    </row>
    <row r="828" spans="1:21" s="97" customFormat="1" x14ac:dyDescent="0.2">
      <c r="A828" s="2"/>
      <c r="B828" s="382" t="s">
        <v>243</v>
      </c>
      <c r="C828" s="180"/>
      <c r="D828" s="180"/>
      <c r="E828" s="180"/>
      <c r="F828" s="180"/>
      <c r="G828" s="181">
        <f>I397</f>
        <v>1691.5</v>
      </c>
      <c r="H828" s="390"/>
      <c r="I828" s="398"/>
      <c r="J828" s="390"/>
      <c r="K828" s="390"/>
      <c r="T828" s="97" t="s">
        <v>732</v>
      </c>
      <c r="U828" s="97" t="s">
        <v>734</v>
      </c>
    </row>
    <row r="829" spans="1:21" s="97" customFormat="1" x14ac:dyDescent="0.2">
      <c r="A829" s="2"/>
      <c r="B829" s="382" t="s">
        <v>244</v>
      </c>
      <c r="C829" s="180"/>
      <c r="D829" s="180"/>
      <c r="E829" s="180"/>
      <c r="F829" s="180"/>
      <c r="G829" s="181">
        <f>J397</f>
        <v>17114.599999999999</v>
      </c>
      <c r="H829" s="390"/>
      <c r="I829" s="398"/>
      <c r="J829" s="390"/>
      <c r="K829" s="390"/>
      <c r="T829" s="97" t="s">
        <v>732</v>
      </c>
      <c r="U829" s="97" t="s">
        <v>734</v>
      </c>
    </row>
    <row r="830" spans="1:21" s="97" customFormat="1" x14ac:dyDescent="0.2">
      <c r="A830" s="2"/>
      <c r="B830" s="382" t="s">
        <v>245</v>
      </c>
      <c r="C830" s="180"/>
      <c r="D830" s="180"/>
      <c r="E830" s="180"/>
      <c r="F830" s="180"/>
      <c r="G830" s="181">
        <f>K397</f>
        <v>0</v>
      </c>
      <c r="H830" s="390"/>
      <c r="I830" s="398"/>
      <c r="J830" s="390"/>
      <c r="K830" s="390"/>
      <c r="T830" s="97" t="s">
        <v>732</v>
      </c>
      <c r="U830" s="97" t="s">
        <v>734</v>
      </c>
    </row>
    <row r="831" spans="1:21" s="97" customFormat="1" x14ac:dyDescent="0.2">
      <c r="A831" s="2"/>
      <c r="B831" s="382" t="s">
        <v>246</v>
      </c>
      <c r="C831" s="180"/>
      <c r="D831" s="180"/>
      <c r="E831" s="180"/>
      <c r="F831" s="180"/>
      <c r="G831" s="181">
        <f>L397</f>
        <v>0</v>
      </c>
      <c r="H831" s="390"/>
      <c r="I831" s="398"/>
      <c r="J831" s="390"/>
      <c r="K831" s="390"/>
      <c r="T831" s="97" t="s">
        <v>732</v>
      </c>
      <c r="U831" s="97" t="s">
        <v>734</v>
      </c>
    </row>
    <row r="832" spans="1:21" s="97" customFormat="1" x14ac:dyDescent="0.2">
      <c r="A832" s="2"/>
      <c r="B832" s="382" t="s">
        <v>247</v>
      </c>
      <c r="C832" s="180"/>
      <c r="D832" s="180"/>
      <c r="E832" s="180"/>
      <c r="F832" s="180"/>
      <c r="G832" s="181">
        <f>M397</f>
        <v>31531.399999999998</v>
      </c>
      <c r="H832" s="390"/>
      <c r="I832" s="398"/>
      <c r="J832" s="390"/>
      <c r="K832" s="390"/>
      <c r="T832" s="97" t="s">
        <v>732</v>
      </c>
      <c r="U832" s="97" t="s">
        <v>734</v>
      </c>
    </row>
    <row r="833" spans="1:21" s="97" customFormat="1" x14ac:dyDescent="0.2">
      <c r="A833" s="2"/>
      <c r="B833" s="381" t="s">
        <v>250</v>
      </c>
      <c r="C833" s="180"/>
      <c r="D833" s="180"/>
      <c r="E833" s="180"/>
      <c r="F833" s="180"/>
      <c r="G833" s="181"/>
      <c r="H833" s="390"/>
      <c r="I833" s="390"/>
      <c r="J833" s="390"/>
      <c r="K833" s="390"/>
    </row>
    <row r="834" spans="1:21" s="97" customFormat="1" x14ac:dyDescent="0.2">
      <c r="A834" s="2"/>
      <c r="B834" s="382" t="s">
        <v>237</v>
      </c>
      <c r="C834" s="180"/>
      <c r="D834" s="180"/>
      <c r="E834" s="180"/>
      <c r="F834" s="180"/>
      <c r="G834" s="181">
        <f>C398</f>
        <v>0</v>
      </c>
      <c r="H834" s="390"/>
      <c r="I834" s="398"/>
      <c r="J834" s="390"/>
      <c r="K834" s="390"/>
      <c r="T834" s="97" t="s">
        <v>732</v>
      </c>
      <c r="U834" s="97" t="s">
        <v>734</v>
      </c>
    </row>
    <row r="835" spans="1:21" s="97" customFormat="1" x14ac:dyDescent="0.2">
      <c r="A835" s="2"/>
      <c r="B835" s="382" t="s">
        <v>238</v>
      </c>
      <c r="C835" s="180"/>
      <c r="D835" s="180"/>
      <c r="E835" s="180"/>
      <c r="F835" s="180"/>
      <c r="G835" s="181">
        <f>D398</f>
        <v>0</v>
      </c>
      <c r="H835" s="390"/>
      <c r="I835" s="398"/>
      <c r="J835" s="390"/>
      <c r="K835" s="390"/>
      <c r="T835" s="97" t="s">
        <v>732</v>
      </c>
      <c r="U835" s="97" t="s">
        <v>734</v>
      </c>
    </row>
    <row r="836" spans="1:21" s="97" customFormat="1" x14ac:dyDescent="0.2">
      <c r="A836" s="2"/>
      <c r="B836" s="382" t="s">
        <v>239</v>
      </c>
      <c r="C836" s="180"/>
      <c r="D836" s="180"/>
      <c r="E836" s="180"/>
      <c r="F836" s="180"/>
      <c r="G836" s="181">
        <f>E398</f>
        <v>0</v>
      </c>
      <c r="H836" s="390"/>
      <c r="I836" s="398"/>
      <c r="J836" s="390"/>
      <c r="K836" s="390"/>
      <c r="T836" s="97" t="s">
        <v>732</v>
      </c>
      <c r="U836" s="97" t="s">
        <v>734</v>
      </c>
    </row>
    <row r="837" spans="1:21" s="97" customFormat="1" x14ac:dyDescent="0.2">
      <c r="A837" s="2"/>
      <c r="B837" s="382" t="s">
        <v>240</v>
      </c>
      <c r="C837" s="180"/>
      <c r="D837" s="180"/>
      <c r="E837" s="180"/>
      <c r="F837" s="180"/>
      <c r="G837" s="181">
        <f>F398</f>
        <v>0</v>
      </c>
      <c r="H837" s="390"/>
      <c r="I837" s="398"/>
      <c r="J837" s="390"/>
      <c r="K837" s="390"/>
      <c r="T837" s="97" t="s">
        <v>732</v>
      </c>
      <c r="U837" s="97" t="s">
        <v>734</v>
      </c>
    </row>
    <row r="838" spans="1:21" s="97" customFormat="1" x14ac:dyDescent="0.2">
      <c r="A838" s="2"/>
      <c r="B838" s="382" t="s">
        <v>241</v>
      </c>
      <c r="C838" s="180"/>
      <c r="D838" s="180"/>
      <c r="E838" s="180"/>
      <c r="F838" s="180"/>
      <c r="G838" s="181">
        <f>G398</f>
        <v>0</v>
      </c>
      <c r="H838" s="390"/>
      <c r="I838" s="398"/>
      <c r="J838" s="390"/>
      <c r="K838" s="390"/>
      <c r="T838" s="97" t="s">
        <v>732</v>
      </c>
      <c r="U838" s="97" t="s">
        <v>734</v>
      </c>
    </row>
    <row r="839" spans="1:21" s="97" customFormat="1" x14ac:dyDescent="0.2">
      <c r="A839" s="2"/>
      <c r="B839" s="382" t="s">
        <v>242</v>
      </c>
      <c r="C839" s="180"/>
      <c r="D839" s="180"/>
      <c r="E839" s="180"/>
      <c r="F839" s="180"/>
      <c r="G839" s="181">
        <f>H398</f>
        <v>0</v>
      </c>
      <c r="H839" s="390"/>
      <c r="I839" s="398"/>
      <c r="J839" s="390"/>
      <c r="K839" s="390"/>
      <c r="T839" s="97" t="s">
        <v>732</v>
      </c>
      <c r="U839" s="97" t="s">
        <v>734</v>
      </c>
    </row>
    <row r="840" spans="1:21" s="97" customFormat="1" x14ac:dyDescent="0.2">
      <c r="A840" s="2"/>
      <c r="B840" s="382" t="s">
        <v>243</v>
      </c>
      <c r="C840" s="180"/>
      <c r="D840" s="180"/>
      <c r="E840" s="180"/>
      <c r="F840" s="180"/>
      <c r="G840" s="181">
        <f>I398</f>
        <v>0</v>
      </c>
      <c r="H840" s="390"/>
      <c r="I840" s="398"/>
      <c r="J840" s="390"/>
      <c r="K840" s="390"/>
      <c r="T840" s="97" t="s">
        <v>732</v>
      </c>
      <c r="U840" s="97" t="s">
        <v>734</v>
      </c>
    </row>
    <row r="841" spans="1:21" s="97" customFormat="1" x14ac:dyDescent="0.2">
      <c r="A841" s="2"/>
      <c r="B841" s="382" t="s">
        <v>244</v>
      </c>
      <c r="C841" s="180"/>
      <c r="D841" s="180"/>
      <c r="E841" s="180"/>
      <c r="F841" s="180"/>
      <c r="G841" s="181">
        <f>J398</f>
        <v>0</v>
      </c>
      <c r="H841" s="390"/>
      <c r="I841" s="398"/>
      <c r="J841" s="390"/>
      <c r="K841" s="390"/>
      <c r="T841" s="97" t="s">
        <v>732</v>
      </c>
      <c r="U841" s="97" t="s">
        <v>734</v>
      </c>
    </row>
    <row r="842" spans="1:21" s="97" customFormat="1" x14ac:dyDescent="0.2">
      <c r="A842" s="2"/>
      <c r="B842" s="382" t="s">
        <v>245</v>
      </c>
      <c r="C842" s="180"/>
      <c r="D842" s="180"/>
      <c r="E842" s="180"/>
      <c r="F842" s="180"/>
      <c r="G842" s="181">
        <f>K398</f>
        <v>0</v>
      </c>
      <c r="H842" s="390"/>
      <c r="I842" s="398"/>
      <c r="J842" s="390"/>
      <c r="K842" s="390"/>
      <c r="T842" s="97" t="s">
        <v>732</v>
      </c>
      <c r="U842" s="97" t="s">
        <v>734</v>
      </c>
    </row>
    <row r="843" spans="1:21" s="97" customFormat="1" x14ac:dyDescent="0.2">
      <c r="A843" s="2"/>
      <c r="B843" s="382" t="s">
        <v>246</v>
      </c>
      <c r="C843" s="180"/>
      <c r="D843" s="180"/>
      <c r="E843" s="180"/>
      <c r="F843" s="180"/>
      <c r="G843" s="181">
        <f>L398</f>
        <v>0</v>
      </c>
      <c r="H843" s="390"/>
      <c r="I843" s="398"/>
      <c r="J843" s="390"/>
      <c r="K843" s="390"/>
      <c r="T843" s="97" t="s">
        <v>732</v>
      </c>
      <c r="U843" s="97" t="s">
        <v>734</v>
      </c>
    </row>
    <row r="844" spans="1:21" s="97" customFormat="1" x14ac:dyDescent="0.2">
      <c r="A844" s="2"/>
      <c r="B844" s="382" t="s">
        <v>247</v>
      </c>
      <c r="C844" s="180"/>
      <c r="D844" s="180"/>
      <c r="E844" s="180"/>
      <c r="F844" s="180"/>
      <c r="G844" s="181">
        <f>M398</f>
        <v>0</v>
      </c>
      <c r="H844" s="390"/>
      <c r="I844" s="398"/>
      <c r="J844" s="390"/>
      <c r="K844" s="390"/>
      <c r="T844" s="97" t="s">
        <v>732</v>
      </c>
      <c r="U844" s="97" t="s">
        <v>734</v>
      </c>
    </row>
    <row r="845" spans="1:21" s="97" customFormat="1" x14ac:dyDescent="0.2">
      <c r="A845" s="2"/>
      <c r="B845" s="381" t="s">
        <v>254</v>
      </c>
      <c r="C845" s="180"/>
      <c r="D845" s="180"/>
      <c r="E845" s="180"/>
      <c r="F845" s="180"/>
      <c r="G845" s="181"/>
      <c r="H845" s="390"/>
      <c r="I845" s="390"/>
      <c r="J845" s="390"/>
      <c r="K845" s="390"/>
    </row>
    <row r="846" spans="1:21" s="97" customFormat="1" x14ac:dyDescent="0.2">
      <c r="A846" s="2"/>
      <c r="B846" s="382" t="s">
        <v>237</v>
      </c>
      <c r="C846" s="180"/>
      <c r="D846" s="180"/>
      <c r="E846" s="180"/>
      <c r="F846" s="180"/>
      <c r="G846" s="181">
        <f>C399</f>
        <v>0</v>
      </c>
      <c r="H846" s="390"/>
      <c r="I846" s="398"/>
      <c r="J846" s="390"/>
      <c r="K846" s="390"/>
      <c r="T846" s="97" t="s">
        <v>732</v>
      </c>
      <c r="U846" s="97" t="s">
        <v>734</v>
      </c>
    </row>
    <row r="847" spans="1:21" s="97" customFormat="1" x14ac:dyDescent="0.2">
      <c r="A847" s="2"/>
      <c r="B847" s="382" t="s">
        <v>238</v>
      </c>
      <c r="C847" s="180"/>
      <c r="D847" s="180"/>
      <c r="E847" s="180"/>
      <c r="F847" s="180"/>
      <c r="G847" s="181">
        <f>D399</f>
        <v>0</v>
      </c>
      <c r="H847" s="390"/>
      <c r="I847" s="398"/>
      <c r="J847" s="390"/>
      <c r="K847" s="390"/>
      <c r="T847" s="97" t="s">
        <v>732</v>
      </c>
      <c r="U847" s="97" t="s">
        <v>734</v>
      </c>
    </row>
    <row r="848" spans="1:21" s="97" customFormat="1" x14ac:dyDescent="0.2">
      <c r="A848" s="2"/>
      <c r="B848" s="382" t="s">
        <v>239</v>
      </c>
      <c r="C848" s="180"/>
      <c r="D848" s="180"/>
      <c r="E848" s="180"/>
      <c r="F848" s="180"/>
      <c r="G848" s="181">
        <f>E399</f>
        <v>0</v>
      </c>
      <c r="H848" s="390"/>
      <c r="I848" s="398"/>
      <c r="J848" s="390"/>
      <c r="K848" s="390"/>
      <c r="T848" s="97" t="s">
        <v>732</v>
      </c>
      <c r="U848" s="97" t="s">
        <v>734</v>
      </c>
    </row>
    <row r="849" spans="1:21" s="97" customFormat="1" x14ac:dyDescent="0.2">
      <c r="A849" s="2"/>
      <c r="B849" s="382" t="s">
        <v>240</v>
      </c>
      <c r="C849" s="180"/>
      <c r="D849" s="180"/>
      <c r="E849" s="180"/>
      <c r="F849" s="180"/>
      <c r="G849" s="181">
        <f>F399</f>
        <v>0</v>
      </c>
      <c r="H849" s="390"/>
      <c r="I849" s="398"/>
      <c r="J849" s="390"/>
      <c r="K849" s="390"/>
      <c r="T849" s="97" t="s">
        <v>732</v>
      </c>
      <c r="U849" s="97" t="s">
        <v>734</v>
      </c>
    </row>
    <row r="850" spans="1:21" s="97" customFormat="1" x14ac:dyDescent="0.2">
      <c r="A850" s="2"/>
      <c r="B850" s="382" t="s">
        <v>241</v>
      </c>
      <c r="C850" s="180"/>
      <c r="D850" s="180"/>
      <c r="E850" s="180"/>
      <c r="F850" s="180"/>
      <c r="G850" s="181">
        <f>G399</f>
        <v>0</v>
      </c>
      <c r="H850" s="390"/>
      <c r="I850" s="398"/>
      <c r="J850" s="390"/>
      <c r="K850" s="390"/>
      <c r="T850" s="97" t="s">
        <v>732</v>
      </c>
      <c r="U850" s="97" t="s">
        <v>734</v>
      </c>
    </row>
    <row r="851" spans="1:21" s="97" customFormat="1" x14ac:dyDescent="0.2">
      <c r="A851" s="2"/>
      <c r="B851" s="382" t="s">
        <v>242</v>
      </c>
      <c r="C851" s="180"/>
      <c r="D851" s="180"/>
      <c r="E851" s="180"/>
      <c r="F851" s="180"/>
      <c r="G851" s="181">
        <f>H399</f>
        <v>0</v>
      </c>
      <c r="H851" s="390"/>
      <c r="I851" s="398"/>
      <c r="J851" s="390"/>
      <c r="K851" s="390"/>
      <c r="T851" s="97" t="s">
        <v>732</v>
      </c>
      <c r="U851" s="97" t="s">
        <v>734</v>
      </c>
    </row>
    <row r="852" spans="1:21" s="97" customFormat="1" x14ac:dyDescent="0.2">
      <c r="A852" s="2"/>
      <c r="B852" s="382" t="s">
        <v>243</v>
      </c>
      <c r="C852" s="180"/>
      <c r="D852" s="180"/>
      <c r="E852" s="180"/>
      <c r="F852" s="180"/>
      <c r="G852" s="181">
        <f>I399</f>
        <v>0</v>
      </c>
      <c r="H852" s="390"/>
      <c r="I852" s="398"/>
      <c r="J852" s="390"/>
      <c r="K852" s="390"/>
      <c r="T852" s="97" t="s">
        <v>732</v>
      </c>
      <c r="U852" s="97" t="s">
        <v>734</v>
      </c>
    </row>
    <row r="853" spans="1:21" s="97" customFormat="1" x14ac:dyDescent="0.2">
      <c r="A853" s="2"/>
      <c r="B853" s="382" t="s">
        <v>244</v>
      </c>
      <c r="C853" s="180"/>
      <c r="D853" s="180"/>
      <c r="E853" s="180"/>
      <c r="F853" s="180"/>
      <c r="G853" s="181">
        <f>J399</f>
        <v>0</v>
      </c>
      <c r="H853" s="390"/>
      <c r="I853" s="398"/>
      <c r="J853" s="390"/>
      <c r="K853" s="390"/>
      <c r="T853" s="97" t="s">
        <v>732</v>
      </c>
      <c r="U853" s="97" t="s">
        <v>734</v>
      </c>
    </row>
    <row r="854" spans="1:21" s="97" customFormat="1" x14ac:dyDescent="0.2">
      <c r="A854" s="2"/>
      <c r="B854" s="382" t="s">
        <v>245</v>
      </c>
      <c r="C854" s="180"/>
      <c r="D854" s="180"/>
      <c r="E854" s="180"/>
      <c r="F854" s="180"/>
      <c r="G854" s="181">
        <f>K399</f>
        <v>0</v>
      </c>
      <c r="H854" s="390"/>
      <c r="I854" s="398"/>
      <c r="J854" s="390"/>
      <c r="K854" s="390"/>
      <c r="T854" s="97" t="s">
        <v>732</v>
      </c>
      <c r="U854" s="97" t="s">
        <v>734</v>
      </c>
    </row>
    <row r="855" spans="1:21" s="97" customFormat="1" x14ac:dyDescent="0.2">
      <c r="A855" s="2"/>
      <c r="B855" s="382" t="s">
        <v>246</v>
      </c>
      <c r="C855" s="180"/>
      <c r="D855" s="180"/>
      <c r="E855" s="180"/>
      <c r="F855" s="180"/>
      <c r="G855" s="181">
        <f>L399</f>
        <v>0</v>
      </c>
      <c r="H855" s="390"/>
      <c r="I855" s="398"/>
      <c r="J855" s="390"/>
      <c r="K855" s="390"/>
      <c r="T855" s="97" t="s">
        <v>732</v>
      </c>
      <c r="U855" s="97" t="s">
        <v>734</v>
      </c>
    </row>
    <row r="856" spans="1:21" s="97" customFormat="1" x14ac:dyDescent="0.2">
      <c r="A856" s="2"/>
      <c r="B856" s="382" t="s">
        <v>247</v>
      </c>
      <c r="C856" s="180"/>
      <c r="D856" s="180"/>
      <c r="E856" s="180"/>
      <c r="F856" s="180"/>
      <c r="G856" s="181">
        <f>M399</f>
        <v>0</v>
      </c>
      <c r="H856" s="390"/>
      <c r="I856" s="398"/>
      <c r="J856" s="390"/>
      <c r="K856" s="390"/>
      <c r="T856" s="97" t="s">
        <v>732</v>
      </c>
      <c r="U856" s="97" t="s">
        <v>734</v>
      </c>
    </row>
    <row r="857" spans="1:21" s="97" customFormat="1" x14ac:dyDescent="0.2">
      <c r="A857" s="2"/>
      <c r="B857" s="381" t="s">
        <v>704</v>
      </c>
      <c r="C857" s="180"/>
      <c r="D857" s="180"/>
      <c r="E857" s="180"/>
      <c r="F857" s="180"/>
      <c r="G857" s="181"/>
      <c r="H857" s="390"/>
      <c r="I857" s="390"/>
      <c r="J857" s="390"/>
      <c r="K857" s="390"/>
    </row>
    <row r="858" spans="1:21" s="97" customFormat="1" x14ac:dyDescent="0.2">
      <c r="A858" s="2"/>
      <c r="B858" s="382" t="s">
        <v>237</v>
      </c>
      <c r="C858" s="180"/>
      <c r="D858" s="180"/>
      <c r="E858" s="180"/>
      <c r="F858" s="180"/>
      <c r="G858" s="181">
        <f>C400</f>
        <v>0</v>
      </c>
      <c r="H858" s="390"/>
      <c r="I858" s="398"/>
      <c r="J858" s="390"/>
      <c r="K858" s="390"/>
      <c r="T858" s="97" t="s">
        <v>732</v>
      </c>
      <c r="U858" s="97" t="s">
        <v>734</v>
      </c>
    </row>
    <row r="859" spans="1:21" s="97" customFormat="1" x14ac:dyDescent="0.2">
      <c r="A859" s="2"/>
      <c r="B859" s="382" t="s">
        <v>238</v>
      </c>
      <c r="C859" s="180"/>
      <c r="D859" s="180"/>
      <c r="E859" s="180"/>
      <c r="F859" s="180"/>
      <c r="G859" s="181">
        <f>D400</f>
        <v>0</v>
      </c>
      <c r="H859" s="390"/>
      <c r="I859" s="398"/>
      <c r="J859" s="390"/>
      <c r="K859" s="390"/>
      <c r="T859" s="97" t="s">
        <v>732</v>
      </c>
      <c r="U859" s="97" t="s">
        <v>734</v>
      </c>
    </row>
    <row r="860" spans="1:21" s="97" customFormat="1" x14ac:dyDescent="0.2">
      <c r="A860" s="2"/>
      <c r="B860" s="382" t="s">
        <v>239</v>
      </c>
      <c r="C860" s="180"/>
      <c r="D860" s="180"/>
      <c r="E860" s="180"/>
      <c r="F860" s="180"/>
      <c r="G860" s="181">
        <f>E400</f>
        <v>0</v>
      </c>
      <c r="H860" s="390"/>
      <c r="I860" s="398"/>
      <c r="J860" s="390"/>
      <c r="K860" s="390"/>
      <c r="T860" s="97" t="s">
        <v>732</v>
      </c>
      <c r="U860" s="97" t="s">
        <v>734</v>
      </c>
    </row>
    <row r="861" spans="1:21" s="97" customFormat="1" x14ac:dyDescent="0.2">
      <c r="A861" s="2"/>
      <c r="B861" s="382" t="s">
        <v>240</v>
      </c>
      <c r="C861" s="180"/>
      <c r="D861" s="180"/>
      <c r="E861" s="180"/>
      <c r="F861" s="180"/>
      <c r="G861" s="181">
        <f>F400</f>
        <v>0</v>
      </c>
      <c r="H861" s="390"/>
      <c r="I861" s="398"/>
      <c r="J861" s="390"/>
      <c r="K861" s="390"/>
      <c r="T861" s="97" t="s">
        <v>732</v>
      </c>
      <c r="U861" s="97" t="s">
        <v>734</v>
      </c>
    </row>
    <row r="862" spans="1:21" s="97" customFormat="1" x14ac:dyDescent="0.2">
      <c r="A862" s="2"/>
      <c r="B862" s="382" t="s">
        <v>241</v>
      </c>
      <c r="C862" s="180"/>
      <c r="D862" s="180"/>
      <c r="E862" s="180"/>
      <c r="F862" s="180"/>
      <c r="G862" s="181">
        <f>G400</f>
        <v>0</v>
      </c>
      <c r="H862" s="390"/>
      <c r="I862" s="398"/>
      <c r="J862" s="390"/>
      <c r="K862" s="390"/>
      <c r="T862" s="97" t="s">
        <v>732</v>
      </c>
      <c r="U862" s="97" t="s">
        <v>734</v>
      </c>
    </row>
    <row r="863" spans="1:21" s="97" customFormat="1" x14ac:dyDescent="0.2">
      <c r="A863" s="2"/>
      <c r="B863" s="382" t="s">
        <v>242</v>
      </c>
      <c r="C863" s="180"/>
      <c r="D863" s="180"/>
      <c r="E863" s="180"/>
      <c r="F863" s="180"/>
      <c r="G863" s="181">
        <f>H400</f>
        <v>0</v>
      </c>
      <c r="H863" s="390"/>
      <c r="I863" s="398"/>
      <c r="J863" s="390"/>
      <c r="K863" s="390"/>
      <c r="T863" s="97" t="s">
        <v>732</v>
      </c>
      <c r="U863" s="97" t="s">
        <v>734</v>
      </c>
    </row>
    <row r="864" spans="1:21" s="97" customFormat="1" x14ac:dyDescent="0.2">
      <c r="A864" s="2"/>
      <c r="B864" s="382" t="s">
        <v>243</v>
      </c>
      <c r="C864" s="180"/>
      <c r="D864" s="180"/>
      <c r="E864" s="180"/>
      <c r="F864" s="180"/>
      <c r="G864" s="181">
        <f>I400</f>
        <v>0</v>
      </c>
      <c r="H864" s="390"/>
      <c r="I864" s="398"/>
      <c r="J864" s="390"/>
      <c r="K864" s="390"/>
      <c r="T864" s="97" t="s">
        <v>732</v>
      </c>
      <c r="U864" s="97" t="s">
        <v>734</v>
      </c>
    </row>
    <row r="865" spans="1:21" s="97" customFormat="1" x14ac:dyDescent="0.2">
      <c r="A865" s="2"/>
      <c r="B865" s="382" t="s">
        <v>244</v>
      </c>
      <c r="C865" s="180"/>
      <c r="D865" s="180"/>
      <c r="E865" s="180"/>
      <c r="F865" s="180"/>
      <c r="G865" s="181">
        <f>J400</f>
        <v>0</v>
      </c>
      <c r="H865" s="390"/>
      <c r="I865" s="398"/>
      <c r="J865" s="390"/>
      <c r="K865" s="390"/>
      <c r="T865" s="97" t="s">
        <v>732</v>
      </c>
      <c r="U865" s="97" t="s">
        <v>734</v>
      </c>
    </row>
    <row r="866" spans="1:21" s="97" customFormat="1" x14ac:dyDescent="0.2">
      <c r="A866" s="2"/>
      <c r="B866" s="382" t="s">
        <v>245</v>
      </c>
      <c r="C866" s="180"/>
      <c r="D866" s="180"/>
      <c r="E866" s="180"/>
      <c r="F866" s="180"/>
      <c r="G866" s="181">
        <f>K400</f>
        <v>0</v>
      </c>
      <c r="H866" s="390"/>
      <c r="I866" s="398"/>
      <c r="J866" s="390"/>
      <c r="K866" s="390"/>
      <c r="T866" s="97" t="s">
        <v>732</v>
      </c>
      <c r="U866" s="97" t="s">
        <v>734</v>
      </c>
    </row>
    <row r="867" spans="1:21" s="97" customFormat="1" x14ac:dyDescent="0.2">
      <c r="A867" s="2"/>
      <c r="B867" s="382" t="s">
        <v>246</v>
      </c>
      <c r="C867" s="180"/>
      <c r="D867" s="180"/>
      <c r="E867" s="180"/>
      <c r="F867" s="180"/>
      <c r="G867" s="181">
        <f>L400</f>
        <v>0</v>
      </c>
      <c r="H867" s="390"/>
      <c r="I867" s="398"/>
      <c r="J867" s="390"/>
      <c r="K867" s="390"/>
      <c r="T867" s="97" t="s">
        <v>732</v>
      </c>
      <c r="U867" s="97" t="s">
        <v>734</v>
      </c>
    </row>
    <row r="868" spans="1:21" s="97" customFormat="1" x14ac:dyDescent="0.2">
      <c r="A868" s="2"/>
      <c r="B868" s="382" t="s">
        <v>247</v>
      </c>
      <c r="C868" s="180"/>
      <c r="D868" s="180"/>
      <c r="E868" s="180"/>
      <c r="F868" s="180"/>
      <c r="G868" s="181">
        <f>M400</f>
        <v>0</v>
      </c>
      <c r="H868" s="390"/>
      <c r="I868" s="398"/>
      <c r="J868" s="390"/>
      <c r="K868" s="390"/>
      <c r="T868" s="97" t="s">
        <v>732</v>
      </c>
      <c r="U868" s="97" t="s">
        <v>734</v>
      </c>
    </row>
    <row r="869" spans="1:21" s="97" customFormat="1" x14ac:dyDescent="0.2">
      <c r="A869" s="2"/>
      <c r="B869" s="381" t="s">
        <v>2</v>
      </c>
      <c r="C869" s="180"/>
      <c r="D869" s="180"/>
      <c r="E869" s="180"/>
      <c r="F869" s="180"/>
      <c r="G869" s="181"/>
      <c r="H869" s="390"/>
      <c r="I869" s="390"/>
      <c r="J869" s="390"/>
      <c r="K869" s="390"/>
    </row>
    <row r="870" spans="1:21" s="97" customFormat="1" x14ac:dyDescent="0.2">
      <c r="A870" s="2"/>
      <c r="B870" s="382" t="s">
        <v>237</v>
      </c>
      <c r="C870" s="180"/>
      <c r="D870" s="180"/>
      <c r="E870" s="180"/>
      <c r="F870" s="180"/>
      <c r="G870" s="181">
        <f>C401</f>
        <v>0</v>
      </c>
      <c r="H870" s="390"/>
      <c r="I870" s="398"/>
      <c r="J870" s="390"/>
      <c r="K870" s="390"/>
      <c r="T870" s="97" t="s">
        <v>732</v>
      </c>
      <c r="U870" s="97" t="s">
        <v>734</v>
      </c>
    </row>
    <row r="871" spans="1:21" s="97" customFormat="1" x14ac:dyDescent="0.2">
      <c r="A871" s="2"/>
      <c r="B871" s="382" t="s">
        <v>238</v>
      </c>
      <c r="C871" s="180"/>
      <c r="D871" s="180"/>
      <c r="E871" s="180"/>
      <c r="F871" s="180"/>
      <c r="G871" s="181">
        <f>D401</f>
        <v>0</v>
      </c>
      <c r="H871" s="390"/>
      <c r="I871" s="398"/>
      <c r="J871" s="390"/>
      <c r="K871" s="390"/>
      <c r="T871" s="97" t="s">
        <v>732</v>
      </c>
      <c r="U871" s="97" t="s">
        <v>734</v>
      </c>
    </row>
    <row r="872" spans="1:21" s="97" customFormat="1" x14ac:dyDescent="0.2">
      <c r="A872" s="2"/>
      <c r="B872" s="382" t="s">
        <v>239</v>
      </c>
      <c r="C872" s="180"/>
      <c r="D872" s="180"/>
      <c r="E872" s="180"/>
      <c r="F872" s="180"/>
      <c r="G872" s="181">
        <f>E401</f>
        <v>0</v>
      </c>
      <c r="H872" s="390"/>
      <c r="I872" s="398"/>
      <c r="J872" s="390"/>
      <c r="K872" s="390"/>
      <c r="T872" s="97" t="s">
        <v>732</v>
      </c>
      <c r="U872" s="97" t="s">
        <v>734</v>
      </c>
    </row>
    <row r="873" spans="1:21" s="97" customFormat="1" x14ac:dyDescent="0.2">
      <c r="A873" s="2"/>
      <c r="B873" s="382" t="s">
        <v>240</v>
      </c>
      <c r="C873" s="180"/>
      <c r="D873" s="180"/>
      <c r="E873" s="180"/>
      <c r="F873" s="180"/>
      <c r="G873" s="181">
        <f>F401</f>
        <v>0</v>
      </c>
      <c r="H873" s="390"/>
      <c r="I873" s="398"/>
      <c r="J873" s="390"/>
      <c r="K873" s="390"/>
      <c r="T873" s="97" t="s">
        <v>732</v>
      </c>
      <c r="U873" s="97" t="s">
        <v>734</v>
      </c>
    </row>
    <row r="874" spans="1:21" s="97" customFormat="1" x14ac:dyDescent="0.2">
      <c r="A874" s="2"/>
      <c r="B874" s="382" t="s">
        <v>241</v>
      </c>
      <c r="C874" s="180"/>
      <c r="D874" s="180"/>
      <c r="E874" s="180"/>
      <c r="F874" s="180"/>
      <c r="G874" s="181">
        <f>G401</f>
        <v>0</v>
      </c>
      <c r="H874" s="390"/>
      <c r="I874" s="398"/>
      <c r="J874" s="390"/>
      <c r="K874" s="390"/>
      <c r="T874" s="97" t="s">
        <v>732</v>
      </c>
      <c r="U874" s="97" t="s">
        <v>734</v>
      </c>
    </row>
    <row r="875" spans="1:21" s="97" customFormat="1" x14ac:dyDescent="0.2">
      <c r="A875" s="2"/>
      <c r="B875" s="382" t="s">
        <v>242</v>
      </c>
      <c r="C875" s="180"/>
      <c r="D875" s="180"/>
      <c r="E875" s="180"/>
      <c r="F875" s="180"/>
      <c r="G875" s="181">
        <f>H401</f>
        <v>0</v>
      </c>
      <c r="H875" s="390"/>
      <c r="I875" s="398"/>
      <c r="J875" s="390"/>
      <c r="K875" s="390"/>
      <c r="T875" s="97" t="s">
        <v>732</v>
      </c>
      <c r="U875" s="97" t="s">
        <v>734</v>
      </c>
    </row>
    <row r="876" spans="1:21" s="97" customFormat="1" x14ac:dyDescent="0.2">
      <c r="A876" s="2"/>
      <c r="B876" s="382" t="s">
        <v>243</v>
      </c>
      <c r="C876" s="180"/>
      <c r="D876" s="180"/>
      <c r="E876" s="180"/>
      <c r="F876" s="180"/>
      <c r="G876" s="181">
        <f>I401</f>
        <v>0</v>
      </c>
      <c r="H876" s="390"/>
      <c r="I876" s="398"/>
      <c r="J876" s="390"/>
      <c r="K876" s="390"/>
      <c r="T876" s="97" t="s">
        <v>732</v>
      </c>
      <c r="U876" s="97" t="s">
        <v>734</v>
      </c>
    </row>
    <row r="877" spans="1:21" s="97" customFormat="1" x14ac:dyDescent="0.2">
      <c r="A877" s="2"/>
      <c r="B877" s="382" t="s">
        <v>244</v>
      </c>
      <c r="C877" s="180"/>
      <c r="D877" s="180"/>
      <c r="E877" s="180"/>
      <c r="F877" s="180"/>
      <c r="G877" s="181">
        <f>J401</f>
        <v>0</v>
      </c>
      <c r="H877" s="390"/>
      <c r="I877" s="398"/>
      <c r="J877" s="390"/>
      <c r="K877" s="390"/>
      <c r="T877" s="97" t="s">
        <v>732</v>
      </c>
      <c r="U877" s="97" t="s">
        <v>734</v>
      </c>
    </row>
    <row r="878" spans="1:21" s="97" customFormat="1" x14ac:dyDescent="0.2">
      <c r="A878" s="2"/>
      <c r="B878" s="382" t="s">
        <v>245</v>
      </c>
      <c r="C878" s="180"/>
      <c r="D878" s="180"/>
      <c r="E878" s="180"/>
      <c r="F878" s="180"/>
      <c r="G878" s="181">
        <f>K401</f>
        <v>0</v>
      </c>
      <c r="H878" s="390"/>
      <c r="I878" s="398"/>
      <c r="J878" s="390"/>
      <c r="K878" s="390"/>
      <c r="T878" s="97" t="s">
        <v>732</v>
      </c>
      <c r="U878" s="97" t="s">
        <v>734</v>
      </c>
    </row>
    <row r="879" spans="1:21" s="97" customFormat="1" x14ac:dyDescent="0.2">
      <c r="A879" s="2"/>
      <c r="B879" s="382" t="s">
        <v>246</v>
      </c>
      <c r="C879" s="180"/>
      <c r="D879" s="180"/>
      <c r="E879" s="180"/>
      <c r="F879" s="180"/>
      <c r="G879" s="181">
        <f>L401</f>
        <v>0</v>
      </c>
      <c r="H879" s="390"/>
      <c r="I879" s="398"/>
      <c r="J879" s="390"/>
      <c r="K879" s="390"/>
      <c r="T879" s="97" t="s">
        <v>732</v>
      </c>
      <c r="U879" s="97" t="s">
        <v>734</v>
      </c>
    </row>
    <row r="880" spans="1:21" s="97" customFormat="1" x14ac:dyDescent="0.2">
      <c r="A880" s="2"/>
      <c r="B880" s="382" t="s">
        <v>247</v>
      </c>
      <c r="C880" s="180"/>
      <c r="D880" s="180"/>
      <c r="E880" s="180"/>
      <c r="F880" s="180"/>
      <c r="G880" s="181">
        <f>M401</f>
        <v>0</v>
      </c>
      <c r="H880" s="390"/>
      <c r="I880" s="398"/>
      <c r="J880" s="390"/>
      <c r="K880" s="390"/>
      <c r="T880" s="97" t="s">
        <v>732</v>
      </c>
      <c r="U880" s="97" t="s">
        <v>734</v>
      </c>
    </row>
    <row r="881" spans="1:21" s="97" customFormat="1" x14ac:dyDescent="0.2">
      <c r="A881" s="2"/>
      <c r="B881" s="383"/>
      <c r="C881" s="30"/>
      <c r="D881" s="30"/>
      <c r="E881" s="30"/>
      <c r="F881" s="30"/>
      <c r="G881" s="31"/>
      <c r="H881" s="390"/>
      <c r="I881" s="390"/>
      <c r="J881" s="390"/>
      <c r="K881" s="390"/>
    </row>
    <row r="882" spans="1:21" s="97" customFormat="1" x14ac:dyDescent="0.2">
      <c r="A882" s="2"/>
      <c r="B882" s="383"/>
      <c r="C882" s="30"/>
      <c r="D882" s="30"/>
      <c r="E882" s="30"/>
      <c r="F882" s="30"/>
      <c r="G882" s="31"/>
      <c r="H882" s="390"/>
      <c r="I882" s="390"/>
      <c r="J882" s="390"/>
      <c r="K882" s="390"/>
    </row>
    <row r="883" spans="1:21" s="97" customFormat="1" x14ac:dyDescent="0.2">
      <c r="A883" s="2"/>
      <c r="B883" s="384" t="s">
        <v>247</v>
      </c>
      <c r="C883" s="54"/>
      <c r="D883" s="54"/>
      <c r="E883" s="54"/>
      <c r="F883" s="54"/>
      <c r="G883" s="55"/>
      <c r="H883" s="390"/>
      <c r="I883" s="390"/>
      <c r="J883" s="390"/>
      <c r="K883" s="390"/>
    </row>
    <row r="884" spans="1:21" s="97" customFormat="1" x14ac:dyDescent="0.2">
      <c r="A884" s="2"/>
      <c r="B884" s="382" t="s">
        <v>237</v>
      </c>
      <c r="C884" s="180"/>
      <c r="D884" s="180"/>
      <c r="E884" s="180"/>
      <c r="F884" s="180"/>
      <c r="G884" s="181">
        <f>C404</f>
        <v>0</v>
      </c>
      <c r="H884" s="390"/>
      <c r="I884" s="398"/>
      <c r="J884" s="390"/>
      <c r="K884" s="390"/>
      <c r="T884" s="97" t="s">
        <v>732</v>
      </c>
      <c r="U884" s="97" t="s">
        <v>734</v>
      </c>
    </row>
    <row r="885" spans="1:21" s="97" customFormat="1" x14ac:dyDescent="0.2">
      <c r="A885" s="2"/>
      <c r="B885" s="382" t="s">
        <v>238</v>
      </c>
      <c r="C885" s="180"/>
      <c r="D885" s="180"/>
      <c r="E885" s="180"/>
      <c r="F885" s="180"/>
      <c r="G885" s="181">
        <f>D404</f>
        <v>32656.2</v>
      </c>
      <c r="H885" s="390"/>
      <c r="I885" s="398"/>
      <c r="J885" s="390"/>
      <c r="K885" s="390"/>
      <c r="T885" s="97" t="s">
        <v>732</v>
      </c>
      <c r="U885" s="97" t="s">
        <v>734</v>
      </c>
    </row>
    <row r="886" spans="1:21" s="97" customFormat="1" x14ac:dyDescent="0.2">
      <c r="A886" s="2"/>
      <c r="B886" s="382" t="s">
        <v>239</v>
      </c>
      <c r="C886" s="180"/>
      <c r="D886" s="180"/>
      <c r="E886" s="180"/>
      <c r="F886" s="180"/>
      <c r="G886" s="181">
        <f>E404</f>
        <v>32154.2</v>
      </c>
      <c r="H886" s="390"/>
      <c r="I886" s="398"/>
      <c r="J886" s="390"/>
      <c r="K886" s="390"/>
      <c r="T886" s="97" t="s">
        <v>732</v>
      </c>
      <c r="U886" s="97" t="s">
        <v>734</v>
      </c>
    </row>
    <row r="887" spans="1:21" s="97" customFormat="1" x14ac:dyDescent="0.2">
      <c r="A887" s="2"/>
      <c r="B887" s="382" t="s">
        <v>240</v>
      </c>
      <c r="C887" s="180"/>
      <c r="D887" s="180"/>
      <c r="E887" s="180"/>
      <c r="F887" s="180"/>
      <c r="G887" s="181">
        <f>F404</f>
        <v>98111.8</v>
      </c>
      <c r="H887" s="390"/>
      <c r="I887" s="398"/>
      <c r="J887" s="390"/>
      <c r="K887" s="390"/>
      <c r="T887" s="97" t="s">
        <v>732</v>
      </c>
      <c r="U887" s="97" t="s">
        <v>734</v>
      </c>
    </row>
    <row r="888" spans="1:21" s="97" customFormat="1" x14ac:dyDescent="0.2">
      <c r="A888" s="2"/>
      <c r="B888" s="382" t="s">
        <v>241</v>
      </c>
      <c r="C888" s="180"/>
      <c r="D888" s="180"/>
      <c r="E888" s="180"/>
      <c r="F888" s="180"/>
      <c r="G888" s="181">
        <f>G404</f>
        <v>4145.1000000000004</v>
      </c>
      <c r="H888" s="390"/>
      <c r="I888" s="398"/>
      <c r="J888" s="390"/>
      <c r="K888" s="390"/>
      <c r="T888" s="97" t="s">
        <v>732</v>
      </c>
      <c r="U888" s="97" t="s">
        <v>734</v>
      </c>
    </row>
    <row r="889" spans="1:21" s="97" customFormat="1" x14ac:dyDescent="0.2">
      <c r="A889" s="2"/>
      <c r="B889" s="382" t="s">
        <v>242</v>
      </c>
      <c r="C889" s="180"/>
      <c r="D889" s="180"/>
      <c r="E889" s="180"/>
      <c r="F889" s="180"/>
      <c r="G889" s="181">
        <f>H404</f>
        <v>521915.30000000005</v>
      </c>
      <c r="H889" s="390"/>
      <c r="I889" s="398"/>
      <c r="J889" s="390"/>
      <c r="K889" s="390"/>
      <c r="T889" s="97" t="s">
        <v>732</v>
      </c>
      <c r="U889" s="97" t="s">
        <v>734</v>
      </c>
    </row>
    <row r="890" spans="1:21" s="97" customFormat="1" x14ac:dyDescent="0.2">
      <c r="A890" s="2"/>
      <c r="B890" s="382" t="s">
        <v>243</v>
      </c>
      <c r="C890" s="180"/>
      <c r="D890" s="180"/>
      <c r="E890" s="180"/>
      <c r="F890" s="180"/>
      <c r="G890" s="181">
        <f>I404</f>
        <v>161074.79999999999</v>
      </c>
      <c r="H890" s="390"/>
      <c r="I890" s="398"/>
      <c r="J890" s="390"/>
      <c r="K890" s="390"/>
      <c r="T890" s="97" t="s">
        <v>732</v>
      </c>
      <c r="U890" s="97" t="s">
        <v>734</v>
      </c>
    </row>
    <row r="891" spans="1:21" s="97" customFormat="1" x14ac:dyDescent="0.2">
      <c r="A891" s="2"/>
      <c r="B891" s="382" t="s">
        <v>244</v>
      </c>
      <c r="C891" s="180"/>
      <c r="D891" s="180"/>
      <c r="E891" s="180"/>
      <c r="F891" s="180"/>
      <c r="G891" s="181">
        <f>J404</f>
        <v>47484.899999999994</v>
      </c>
      <c r="H891" s="390"/>
      <c r="I891" s="398"/>
      <c r="J891" s="390"/>
      <c r="K891" s="390"/>
      <c r="T891" s="97" t="s">
        <v>732</v>
      </c>
      <c r="U891" s="97" t="s">
        <v>734</v>
      </c>
    </row>
    <row r="892" spans="1:21" s="97" customFormat="1" x14ac:dyDescent="0.2">
      <c r="A892" s="2"/>
      <c r="B892" s="382" t="s">
        <v>245</v>
      </c>
      <c r="C892" s="180"/>
      <c r="D892" s="180"/>
      <c r="E892" s="180"/>
      <c r="F892" s="180"/>
      <c r="G892" s="181">
        <f>K404</f>
        <v>0</v>
      </c>
      <c r="H892" s="390"/>
      <c r="I892" s="398"/>
      <c r="J892" s="390"/>
      <c r="K892" s="390"/>
      <c r="T892" s="97" t="s">
        <v>732</v>
      </c>
      <c r="U892" s="97" t="s">
        <v>734</v>
      </c>
    </row>
    <row r="893" spans="1:21" s="97" customFormat="1" x14ac:dyDescent="0.2">
      <c r="A893" s="2"/>
      <c r="B893" s="382" t="s">
        <v>246</v>
      </c>
      <c r="C893" s="180"/>
      <c r="D893" s="180"/>
      <c r="E893" s="180"/>
      <c r="F893" s="180"/>
      <c r="G893" s="181">
        <f>L404</f>
        <v>0</v>
      </c>
      <c r="H893" s="390"/>
      <c r="I893" s="398"/>
      <c r="J893" s="390"/>
      <c r="K893" s="390"/>
      <c r="T893" s="97" t="s">
        <v>732</v>
      </c>
      <c r="U893" s="97" t="s">
        <v>734</v>
      </c>
    </row>
    <row r="894" spans="1:21" s="97" customFormat="1" x14ac:dyDescent="0.2">
      <c r="A894" s="2"/>
      <c r="B894" s="382" t="s">
        <v>247</v>
      </c>
      <c r="C894" s="180"/>
      <c r="D894" s="180"/>
      <c r="E894" s="180"/>
      <c r="F894" s="180"/>
      <c r="G894" s="181">
        <f>M404</f>
        <v>897542.30000000016</v>
      </c>
      <c r="H894" s="390"/>
      <c r="I894" s="398"/>
      <c r="J894" s="390"/>
      <c r="K894" s="390"/>
      <c r="T894" s="97" t="s">
        <v>732</v>
      </c>
      <c r="U894" s="97" t="s">
        <v>734</v>
      </c>
    </row>
    <row r="895" spans="1:21" s="97" customFormat="1" ht="15.75" thickBot="1" x14ac:dyDescent="0.25">
      <c r="A895" s="100"/>
      <c r="B895" s="386"/>
      <c r="C895" s="80"/>
      <c r="D895" s="80"/>
      <c r="E895" s="80"/>
      <c r="F895" s="80"/>
      <c r="G895" s="81"/>
    </row>
    <row r="896" spans="1:21" x14ac:dyDescent="0.2">
      <c r="G896" s="387"/>
    </row>
    <row r="897" spans="3:10" x14ac:dyDescent="0.2">
      <c r="G897" s="388"/>
    </row>
    <row r="898" spans="3:10" x14ac:dyDescent="0.2">
      <c r="G898" s="388"/>
    </row>
    <row r="899" spans="3:10" x14ac:dyDescent="0.2">
      <c r="G899" s="388"/>
    </row>
    <row r="900" spans="3:10" x14ac:dyDescent="0.2">
      <c r="G900" s="388"/>
    </row>
    <row r="901" spans="3:10" x14ac:dyDescent="0.2">
      <c r="G901" s="388"/>
    </row>
    <row r="902" spans="3:10" x14ac:dyDescent="0.2">
      <c r="G902" s="388"/>
    </row>
    <row r="903" spans="3:10" x14ac:dyDescent="0.2">
      <c r="G903" s="388"/>
    </row>
    <row r="904" spans="3:10" x14ac:dyDescent="0.2">
      <c r="G904" s="388"/>
    </row>
    <row r="905" spans="3:10" s="93" customFormat="1" x14ac:dyDescent="0.2">
      <c r="C905" s="224"/>
      <c r="D905" s="224"/>
      <c r="E905" s="224"/>
      <c r="F905" s="224"/>
      <c r="G905" s="389"/>
      <c r="J905" s="300"/>
    </row>
    <row r="906" spans="3:10" x14ac:dyDescent="0.2">
      <c r="G906" s="388"/>
    </row>
    <row r="907" spans="3:10" s="93" customFormat="1" x14ac:dyDescent="0.2">
      <c r="C907" s="224"/>
      <c r="D907" s="224"/>
      <c r="E907" s="224"/>
      <c r="F907" s="224"/>
      <c r="G907" s="389"/>
      <c r="J907" s="300"/>
    </row>
    <row r="920" spans="3:10" s="93" customFormat="1" x14ac:dyDescent="0.2">
      <c r="C920" s="224"/>
      <c r="D920" s="224"/>
      <c r="E920" s="224"/>
      <c r="F920" s="224"/>
      <c r="G920" s="224"/>
      <c r="J920" s="300"/>
    </row>
    <row r="923" spans="3:10" s="93" customFormat="1" x14ac:dyDescent="0.2">
      <c r="C923" s="224"/>
      <c r="D923" s="224"/>
      <c r="E923" s="224"/>
      <c r="F923" s="224"/>
      <c r="G923" s="224"/>
      <c r="J923" s="300"/>
    </row>
    <row r="932" spans="3:10" s="93" customFormat="1" x14ac:dyDescent="0.2">
      <c r="C932" s="224"/>
      <c r="D932" s="224"/>
      <c r="E932" s="224"/>
      <c r="F932" s="224"/>
      <c r="G932" s="224"/>
      <c r="J932" s="300"/>
    </row>
    <row r="941" spans="3:10" s="93" customFormat="1" x14ac:dyDescent="0.2">
      <c r="C941" s="224"/>
      <c r="D941" s="224"/>
      <c r="E941" s="224"/>
      <c r="F941" s="224"/>
      <c r="G941" s="224"/>
      <c r="J941" s="300"/>
    </row>
    <row r="943" spans="3:10" s="93" customFormat="1" x14ac:dyDescent="0.2">
      <c r="C943" s="224"/>
      <c r="D943" s="224"/>
      <c r="E943" s="224"/>
      <c r="F943" s="224"/>
      <c r="G943" s="224"/>
      <c r="J943" s="300"/>
    </row>
    <row r="944" spans="3:10" s="93" customFormat="1" x14ac:dyDescent="0.2">
      <c r="C944" s="224"/>
      <c r="D944" s="224"/>
      <c r="E944" s="224"/>
      <c r="F944" s="224"/>
      <c r="G944" s="224"/>
      <c r="J944" s="300"/>
    </row>
    <row r="945" spans="3:10" s="93" customFormat="1" x14ac:dyDescent="0.2">
      <c r="C945" s="224"/>
      <c r="D945" s="224"/>
      <c r="E945" s="224"/>
      <c r="F945" s="224"/>
      <c r="G945" s="224"/>
      <c r="J945" s="300"/>
    </row>
    <row r="964" spans="3:10" s="93" customFormat="1" x14ac:dyDescent="0.2">
      <c r="C964" s="224"/>
      <c r="D964" s="224"/>
      <c r="E964" s="224"/>
      <c r="F964" s="224"/>
      <c r="G964" s="224"/>
      <c r="J964" s="300"/>
    </row>
    <row r="975" spans="3:10" s="93" customFormat="1" x14ac:dyDescent="0.2">
      <c r="C975" s="224"/>
      <c r="D975" s="224"/>
      <c r="E975" s="224"/>
      <c r="F975" s="224"/>
      <c r="G975" s="224"/>
      <c r="J975" s="300"/>
    </row>
    <row r="977" spans="3:10" s="93" customFormat="1" x14ac:dyDescent="0.2">
      <c r="C977" s="224"/>
      <c r="D977" s="224"/>
      <c r="E977" s="224"/>
      <c r="F977" s="224"/>
      <c r="G977" s="224"/>
      <c r="J977" s="300"/>
    </row>
    <row r="2544" spans="3:7" x14ac:dyDescent="0.2">
      <c r="C2544" s="99">
        <v>0</v>
      </c>
      <c r="F2544" s="99">
        <v>0</v>
      </c>
      <c r="G2544" s="99">
        <v>0</v>
      </c>
    </row>
    <row r="2545" spans="3:7" x14ac:dyDescent="0.2">
      <c r="C2545" s="99">
        <v>0</v>
      </c>
      <c r="F2545" s="99">
        <v>0</v>
      </c>
      <c r="G2545" s="99">
        <v>0</v>
      </c>
    </row>
    <row r="2546" spans="3:7" x14ac:dyDescent="0.2">
      <c r="C2546" s="99">
        <v>0</v>
      </c>
      <c r="F2546" s="99">
        <v>0</v>
      </c>
      <c r="G2546" s="99">
        <v>0</v>
      </c>
    </row>
    <row r="2547" spans="3:7" x14ac:dyDescent="0.2">
      <c r="C2547" s="99">
        <v>0</v>
      </c>
      <c r="F2547" s="99">
        <v>0</v>
      </c>
      <c r="G2547" s="99">
        <v>0</v>
      </c>
    </row>
    <row r="2548" spans="3:7" x14ac:dyDescent="0.2">
      <c r="C2548" s="99">
        <v>0</v>
      </c>
      <c r="F2548" s="99">
        <v>0</v>
      </c>
      <c r="G2548" s="99">
        <v>0</v>
      </c>
    </row>
    <row r="2549" spans="3:7" x14ac:dyDescent="0.2">
      <c r="C2549" s="99">
        <v>0</v>
      </c>
      <c r="F2549" s="99">
        <v>0</v>
      </c>
      <c r="G2549" s="99">
        <v>0</v>
      </c>
    </row>
    <row r="2550" spans="3:7" x14ac:dyDescent="0.2">
      <c r="C2550" s="99">
        <v>0</v>
      </c>
      <c r="F2550" s="99">
        <v>0</v>
      </c>
      <c r="G2550" s="99">
        <v>0</v>
      </c>
    </row>
    <row r="2551" spans="3:7" x14ac:dyDescent="0.2">
      <c r="C2551" s="99">
        <v>0</v>
      </c>
      <c r="F2551" s="99">
        <v>0</v>
      </c>
      <c r="G2551" s="99">
        <v>0</v>
      </c>
    </row>
    <row r="2554" spans="3:7" x14ac:dyDescent="0.2">
      <c r="C2554" s="99">
        <v>0</v>
      </c>
      <c r="F2554" s="99">
        <v>0</v>
      </c>
      <c r="G2554" s="99">
        <v>0</v>
      </c>
    </row>
    <row r="2555" spans="3:7" x14ac:dyDescent="0.2">
      <c r="C2555" s="99">
        <v>0</v>
      </c>
      <c r="F2555" s="99">
        <v>0</v>
      </c>
      <c r="G2555" s="99">
        <v>0</v>
      </c>
    </row>
    <row r="2556" spans="3:7" x14ac:dyDescent="0.2">
      <c r="C2556" s="99">
        <v>0</v>
      </c>
      <c r="F2556" s="99">
        <v>0</v>
      </c>
      <c r="G2556" s="99">
        <v>0</v>
      </c>
    </row>
    <row r="2557" spans="3:7" x14ac:dyDescent="0.2">
      <c r="C2557" s="99">
        <v>0</v>
      </c>
      <c r="F2557" s="99">
        <v>0</v>
      </c>
      <c r="G2557" s="99">
        <v>0</v>
      </c>
    </row>
    <row r="2558" spans="3:7" x14ac:dyDescent="0.2">
      <c r="C2558" s="99">
        <v>0</v>
      </c>
      <c r="F2558" s="99">
        <v>0</v>
      </c>
      <c r="G2558" s="99">
        <v>0</v>
      </c>
    </row>
    <row r="2559" spans="3:7" x14ac:dyDescent="0.2">
      <c r="C2559" s="99">
        <v>0</v>
      </c>
      <c r="F2559" s="99">
        <v>0</v>
      </c>
      <c r="G2559" s="99">
        <v>0</v>
      </c>
    </row>
    <row r="2571" spans="3:7" x14ac:dyDescent="0.2">
      <c r="C2571" s="99">
        <v>0</v>
      </c>
      <c r="F2571" s="99">
        <v>0</v>
      </c>
      <c r="G2571" s="99">
        <v>0</v>
      </c>
    </row>
    <row r="2572" spans="3:7" x14ac:dyDescent="0.2">
      <c r="C2572" s="99">
        <v>0</v>
      </c>
      <c r="F2572" s="99">
        <v>0</v>
      </c>
      <c r="G2572" s="99">
        <v>0</v>
      </c>
    </row>
    <row r="2573" spans="3:7" x14ac:dyDescent="0.2">
      <c r="C2573" s="99">
        <v>0</v>
      </c>
      <c r="F2573" s="99">
        <v>0</v>
      </c>
      <c r="G2573" s="99">
        <v>0</v>
      </c>
    </row>
    <row r="2579" spans="3:7" x14ac:dyDescent="0.2">
      <c r="C2579" s="99">
        <v>0</v>
      </c>
      <c r="F2579" s="99">
        <v>0</v>
      </c>
      <c r="G2579" s="99">
        <v>0</v>
      </c>
    </row>
    <row r="2580" spans="3:7" x14ac:dyDescent="0.2">
      <c r="C2580" s="99">
        <v>0</v>
      </c>
      <c r="F2580" s="99">
        <v>0</v>
      </c>
      <c r="G2580" s="99">
        <v>0</v>
      </c>
    </row>
    <row r="2581" spans="3:7" x14ac:dyDescent="0.2">
      <c r="C2581" s="99">
        <v>0</v>
      </c>
      <c r="F2581" s="99">
        <v>0</v>
      </c>
      <c r="G2581" s="99">
        <v>0</v>
      </c>
    </row>
    <row r="2582" spans="3:7" x14ac:dyDescent="0.2">
      <c r="C2582" s="99">
        <v>0</v>
      </c>
      <c r="F2582" s="99">
        <v>0</v>
      </c>
      <c r="G2582" s="99">
        <v>0</v>
      </c>
    </row>
    <row r="2583" spans="3:7" x14ac:dyDescent="0.2">
      <c r="C2583" s="99">
        <v>0</v>
      </c>
      <c r="F2583" s="99">
        <v>0</v>
      </c>
      <c r="G2583" s="99">
        <v>0</v>
      </c>
    </row>
    <row r="2584" spans="3:7" x14ac:dyDescent="0.2">
      <c r="C2584" s="99">
        <v>0</v>
      </c>
      <c r="F2584" s="99">
        <v>0</v>
      </c>
      <c r="G2584" s="99">
        <v>0</v>
      </c>
    </row>
    <row r="2585" spans="3:7" x14ac:dyDescent="0.2">
      <c r="C2585" s="99">
        <v>0</v>
      </c>
      <c r="F2585" s="99">
        <v>0</v>
      </c>
      <c r="G2585" s="99">
        <v>0</v>
      </c>
    </row>
    <row r="2586" spans="3:7" x14ac:dyDescent="0.2">
      <c r="C2586" s="99">
        <v>0</v>
      </c>
      <c r="F2586" s="99">
        <v>0</v>
      </c>
      <c r="G2586" s="99">
        <v>0</v>
      </c>
    </row>
    <row r="2589" spans="3:7" x14ac:dyDescent="0.2">
      <c r="C2589" s="99">
        <v>0</v>
      </c>
      <c r="F2589" s="99">
        <v>0</v>
      </c>
      <c r="G2589" s="99">
        <v>0</v>
      </c>
    </row>
    <row r="2591" spans="3:7" x14ac:dyDescent="0.2">
      <c r="C2591" s="99">
        <v>0</v>
      </c>
      <c r="F2591" s="99">
        <v>0</v>
      </c>
      <c r="G2591" s="99">
        <v>0</v>
      </c>
    </row>
    <row r="2592" spans="3:7" x14ac:dyDescent="0.2">
      <c r="C2592" s="99">
        <v>0</v>
      </c>
      <c r="F2592" s="99">
        <v>0</v>
      </c>
      <c r="G2592" s="99">
        <v>0</v>
      </c>
    </row>
    <row r="2594" spans="3:7" x14ac:dyDescent="0.2">
      <c r="C2594" s="99">
        <v>0</v>
      </c>
      <c r="F2594" s="99">
        <v>0</v>
      </c>
      <c r="G2594" s="99">
        <v>0</v>
      </c>
    </row>
    <row r="2595" spans="3:7" x14ac:dyDescent="0.2">
      <c r="C2595" s="99">
        <v>0</v>
      </c>
      <c r="F2595" s="99">
        <v>0</v>
      </c>
      <c r="G2595" s="99">
        <v>0</v>
      </c>
    </row>
    <row r="2596" spans="3:7" x14ac:dyDescent="0.2">
      <c r="C2596" s="99">
        <v>0</v>
      </c>
      <c r="F2596" s="99">
        <v>0</v>
      </c>
      <c r="G2596" s="99">
        <v>0</v>
      </c>
    </row>
    <row r="2600" spans="3:7" x14ac:dyDescent="0.2">
      <c r="C2600" s="99">
        <v>0</v>
      </c>
      <c r="F2600" s="99">
        <v>0</v>
      </c>
      <c r="G2600" s="99">
        <v>0</v>
      </c>
    </row>
    <row r="2601" spans="3:7" x14ac:dyDescent="0.2">
      <c r="C2601" s="99">
        <v>0</v>
      </c>
      <c r="F2601" s="99">
        <v>0</v>
      </c>
      <c r="G2601" s="99">
        <v>0</v>
      </c>
    </row>
    <row r="2602" spans="3:7" x14ac:dyDescent="0.2">
      <c r="C2602" s="99">
        <v>0</v>
      </c>
      <c r="F2602" s="99">
        <v>0</v>
      </c>
      <c r="G2602" s="99">
        <v>0</v>
      </c>
    </row>
    <row r="2605" spans="3:7" x14ac:dyDescent="0.2">
      <c r="C2605" s="99">
        <v>0</v>
      </c>
      <c r="F2605" s="99">
        <v>0</v>
      </c>
      <c r="G2605" s="99">
        <v>0</v>
      </c>
    </row>
    <row r="2606" spans="3:7" x14ac:dyDescent="0.2">
      <c r="C2606" s="99">
        <v>0</v>
      </c>
      <c r="F2606" s="99">
        <v>0</v>
      </c>
      <c r="G2606" s="99">
        <v>0</v>
      </c>
    </row>
    <row r="2607" spans="3:7" x14ac:dyDescent="0.2">
      <c r="C2607" s="99">
        <v>0</v>
      </c>
      <c r="F2607" s="99">
        <v>0</v>
      </c>
      <c r="G2607" s="99">
        <v>0</v>
      </c>
    </row>
    <row r="2608" spans="3:7" x14ac:dyDescent="0.2">
      <c r="C2608" s="99">
        <v>0</v>
      </c>
      <c r="F2608" s="99">
        <v>0</v>
      </c>
      <c r="G2608" s="99">
        <v>0</v>
      </c>
    </row>
    <row r="2611" spans="3:7" x14ac:dyDescent="0.2">
      <c r="C2611" s="99">
        <v>0</v>
      </c>
      <c r="F2611" s="99">
        <v>0</v>
      </c>
      <c r="G2611" s="99">
        <v>0</v>
      </c>
    </row>
    <row r="2612" spans="3:7" x14ac:dyDescent="0.2">
      <c r="C2612" s="99">
        <v>0</v>
      </c>
      <c r="F2612" s="99">
        <v>0</v>
      </c>
      <c r="G2612" s="99">
        <v>0</v>
      </c>
    </row>
    <row r="2613" spans="3:7" x14ac:dyDescent="0.2">
      <c r="C2613" s="99">
        <v>0</v>
      </c>
      <c r="F2613" s="99">
        <v>0</v>
      </c>
      <c r="G2613" s="99">
        <v>0</v>
      </c>
    </row>
    <row r="2614" spans="3:7" x14ac:dyDescent="0.2">
      <c r="C2614" s="99">
        <v>0</v>
      </c>
      <c r="F2614" s="99">
        <v>0</v>
      </c>
      <c r="G2614" s="99">
        <v>0</v>
      </c>
    </row>
    <row r="2619" spans="3:7" x14ac:dyDescent="0.2">
      <c r="C2619" s="99">
        <v>0</v>
      </c>
      <c r="F2619" s="99">
        <v>0</v>
      </c>
      <c r="G2619" s="99">
        <v>0</v>
      </c>
    </row>
    <row r="2620" spans="3:7" x14ac:dyDescent="0.2">
      <c r="C2620" s="99">
        <v>0</v>
      </c>
      <c r="F2620" s="99">
        <v>0</v>
      </c>
      <c r="G2620" s="99">
        <v>0</v>
      </c>
    </row>
    <row r="2623" spans="3:7" x14ac:dyDescent="0.2">
      <c r="C2623" s="99">
        <v>0</v>
      </c>
      <c r="F2623" s="99">
        <v>0</v>
      </c>
      <c r="G2623" s="99">
        <v>0</v>
      </c>
    </row>
    <row r="2625" spans="3:7" x14ac:dyDescent="0.2">
      <c r="C2625" s="99">
        <v>0</v>
      </c>
      <c r="F2625" s="99">
        <v>0</v>
      </c>
      <c r="G2625" s="99">
        <v>0</v>
      </c>
    </row>
    <row r="2626" spans="3:7" x14ac:dyDescent="0.2">
      <c r="C2626" s="99">
        <v>0</v>
      </c>
      <c r="F2626" s="99">
        <v>0</v>
      </c>
      <c r="G2626" s="99">
        <v>0</v>
      </c>
    </row>
    <row r="2627" spans="3:7" x14ac:dyDescent="0.2">
      <c r="C2627" s="99">
        <v>0</v>
      </c>
      <c r="F2627" s="99">
        <v>0</v>
      </c>
      <c r="G2627" s="99">
        <v>0</v>
      </c>
    </row>
    <row r="2628" spans="3:7" x14ac:dyDescent="0.2">
      <c r="C2628" s="99">
        <v>0</v>
      </c>
      <c r="F2628" s="99">
        <v>0</v>
      </c>
      <c r="G2628" s="99">
        <v>0</v>
      </c>
    </row>
    <row r="2629" spans="3:7" x14ac:dyDescent="0.2">
      <c r="C2629" s="99">
        <v>0</v>
      </c>
      <c r="F2629" s="99">
        <v>0</v>
      </c>
      <c r="G2629" s="99">
        <v>0</v>
      </c>
    </row>
    <row r="2631" spans="3:7" x14ac:dyDescent="0.2">
      <c r="C2631" s="99">
        <v>0</v>
      </c>
      <c r="F2631" s="99">
        <v>0</v>
      </c>
      <c r="G2631" s="99">
        <v>0</v>
      </c>
    </row>
    <row r="2632" spans="3:7" x14ac:dyDescent="0.2">
      <c r="C2632" s="99">
        <v>0</v>
      </c>
      <c r="F2632" s="99">
        <v>0</v>
      </c>
      <c r="G2632" s="99">
        <v>0</v>
      </c>
    </row>
    <row r="2633" spans="3:7" x14ac:dyDescent="0.2">
      <c r="C2633" s="99">
        <v>0</v>
      </c>
      <c r="F2633" s="99">
        <v>0</v>
      </c>
      <c r="G2633" s="99">
        <v>0</v>
      </c>
    </row>
    <row r="2634" spans="3:7" x14ac:dyDescent="0.2">
      <c r="C2634" s="99">
        <v>0</v>
      </c>
      <c r="F2634" s="99">
        <v>0</v>
      </c>
      <c r="G2634" s="99">
        <v>0</v>
      </c>
    </row>
    <row r="2636" spans="3:7" x14ac:dyDescent="0.2">
      <c r="C2636" s="99">
        <v>0</v>
      </c>
      <c r="F2636" s="99">
        <v>0</v>
      </c>
      <c r="G2636" s="99">
        <v>0</v>
      </c>
    </row>
    <row r="2637" spans="3:7" x14ac:dyDescent="0.2">
      <c r="C2637" s="99">
        <v>0</v>
      </c>
      <c r="F2637" s="99">
        <v>0</v>
      </c>
      <c r="G2637" s="99">
        <v>0</v>
      </c>
    </row>
    <row r="2639" spans="3:7" x14ac:dyDescent="0.2">
      <c r="C2639" s="99">
        <v>0</v>
      </c>
      <c r="F2639" s="99">
        <v>0</v>
      </c>
      <c r="G2639" s="99">
        <v>0</v>
      </c>
    </row>
    <row r="2641" spans="3:7" x14ac:dyDescent="0.2">
      <c r="C2641" s="99">
        <v>0</v>
      </c>
      <c r="F2641" s="99">
        <v>0</v>
      </c>
      <c r="G2641" s="99">
        <v>0</v>
      </c>
    </row>
    <row r="2642" spans="3:7" x14ac:dyDescent="0.2">
      <c r="C2642" s="99">
        <v>0</v>
      </c>
      <c r="F2642" s="99">
        <v>0</v>
      </c>
      <c r="G2642" s="99">
        <v>0</v>
      </c>
    </row>
    <row r="2643" spans="3:7" x14ac:dyDescent="0.2">
      <c r="C2643" s="99">
        <v>0</v>
      </c>
      <c r="F2643" s="99">
        <v>0</v>
      </c>
      <c r="G2643" s="99">
        <v>0</v>
      </c>
    </row>
    <row r="2644" spans="3:7" x14ac:dyDescent="0.2">
      <c r="C2644" s="99">
        <v>0</v>
      </c>
      <c r="F2644" s="99">
        <v>0</v>
      </c>
      <c r="G2644" s="99">
        <v>0</v>
      </c>
    </row>
    <row r="2646" spans="3:7" x14ac:dyDescent="0.2">
      <c r="C2646" s="99">
        <v>0</v>
      </c>
      <c r="F2646" s="99">
        <v>0</v>
      </c>
      <c r="G2646" s="99">
        <v>0</v>
      </c>
    </row>
    <row r="2647" spans="3:7" x14ac:dyDescent="0.2">
      <c r="C2647" s="99">
        <v>0</v>
      </c>
      <c r="F2647" s="99">
        <v>0</v>
      </c>
      <c r="G2647" s="99">
        <v>0</v>
      </c>
    </row>
    <row r="2648" spans="3:7" x14ac:dyDescent="0.2">
      <c r="C2648" s="99">
        <v>0</v>
      </c>
      <c r="F2648" s="99">
        <v>0</v>
      </c>
      <c r="G2648" s="99">
        <v>0</v>
      </c>
    </row>
    <row r="2650" spans="3:7" x14ac:dyDescent="0.2">
      <c r="C2650" s="99">
        <v>0</v>
      </c>
      <c r="F2650" s="99">
        <v>0</v>
      </c>
      <c r="G2650" s="99">
        <v>0</v>
      </c>
    </row>
    <row r="2652" spans="3:7" x14ac:dyDescent="0.2">
      <c r="C2652" s="99">
        <v>0</v>
      </c>
      <c r="F2652" s="99">
        <v>0</v>
      </c>
      <c r="G2652" s="99">
        <v>0</v>
      </c>
    </row>
    <row r="2654" spans="3:7" x14ac:dyDescent="0.2">
      <c r="C2654" s="99">
        <v>0</v>
      </c>
      <c r="F2654" s="99">
        <v>0</v>
      </c>
      <c r="G2654" s="99">
        <v>0</v>
      </c>
    </row>
    <row r="2655" spans="3:7" x14ac:dyDescent="0.2">
      <c r="C2655" s="99">
        <v>0</v>
      </c>
      <c r="F2655" s="99">
        <v>0</v>
      </c>
      <c r="G2655" s="99">
        <v>0</v>
      </c>
    </row>
    <row r="2656" spans="3:7" x14ac:dyDescent="0.2">
      <c r="C2656" s="99">
        <v>0</v>
      </c>
      <c r="F2656" s="99">
        <v>0</v>
      </c>
      <c r="G2656" s="99">
        <v>0</v>
      </c>
    </row>
    <row r="2658" spans="3:7" x14ac:dyDescent="0.2">
      <c r="C2658" s="99">
        <v>0</v>
      </c>
      <c r="F2658" s="99">
        <v>0</v>
      </c>
      <c r="G2658" s="99">
        <v>0</v>
      </c>
    </row>
    <row r="2660" spans="3:7" x14ac:dyDescent="0.2">
      <c r="C2660" s="99">
        <v>0</v>
      </c>
      <c r="F2660" s="99">
        <v>0</v>
      </c>
      <c r="G2660" s="99">
        <v>0</v>
      </c>
    </row>
    <row r="2662" spans="3:7" x14ac:dyDescent="0.2">
      <c r="C2662" s="99">
        <v>0</v>
      </c>
      <c r="F2662" s="99">
        <v>0</v>
      </c>
      <c r="G2662" s="99">
        <v>0</v>
      </c>
    </row>
    <row r="2667" spans="3:7" x14ac:dyDescent="0.2">
      <c r="C2667" s="99">
        <v>0</v>
      </c>
      <c r="F2667" s="99">
        <v>0</v>
      </c>
      <c r="G2667" s="99">
        <v>0</v>
      </c>
    </row>
    <row r="2668" spans="3:7" x14ac:dyDescent="0.2">
      <c r="C2668" s="99">
        <v>0</v>
      </c>
      <c r="F2668" s="99">
        <v>0</v>
      </c>
      <c r="G2668" s="99">
        <v>0</v>
      </c>
    </row>
    <row r="2669" spans="3:7" x14ac:dyDescent="0.2">
      <c r="C2669" s="99">
        <v>0</v>
      </c>
      <c r="F2669" s="99">
        <v>0</v>
      </c>
      <c r="G2669" s="99">
        <v>0</v>
      </c>
    </row>
    <row r="2670" spans="3:7" x14ac:dyDescent="0.2">
      <c r="C2670" s="99">
        <v>0</v>
      </c>
      <c r="F2670" s="99">
        <v>0</v>
      </c>
      <c r="G2670" s="99">
        <v>0</v>
      </c>
    </row>
    <row r="2671" spans="3:7" x14ac:dyDescent="0.2">
      <c r="C2671" s="99">
        <v>0</v>
      </c>
      <c r="F2671" s="99">
        <v>0</v>
      </c>
      <c r="G2671" s="99">
        <v>0</v>
      </c>
    </row>
    <row r="2672" spans="3:7" x14ac:dyDescent="0.2">
      <c r="C2672" s="99">
        <v>0</v>
      </c>
      <c r="F2672" s="99">
        <v>0</v>
      </c>
      <c r="G2672" s="99">
        <v>0</v>
      </c>
    </row>
    <row r="2673" spans="3:7" x14ac:dyDescent="0.2">
      <c r="C2673" s="99">
        <v>0</v>
      </c>
      <c r="F2673" s="99">
        <v>0</v>
      </c>
      <c r="G2673" s="99">
        <v>0</v>
      </c>
    </row>
    <row r="2676" spans="3:7" x14ac:dyDescent="0.2">
      <c r="C2676" s="99">
        <v>0</v>
      </c>
      <c r="F2676" s="99">
        <v>0</v>
      </c>
      <c r="G2676" s="99">
        <v>0</v>
      </c>
    </row>
    <row r="2677" spans="3:7" x14ac:dyDescent="0.2">
      <c r="C2677" s="99">
        <v>0</v>
      </c>
      <c r="F2677" s="99">
        <v>0</v>
      </c>
      <c r="G2677" s="99">
        <v>0</v>
      </c>
    </row>
    <row r="2678" spans="3:7" x14ac:dyDescent="0.2">
      <c r="C2678" s="99">
        <v>0</v>
      </c>
      <c r="F2678" s="99">
        <v>0</v>
      </c>
      <c r="G2678" s="99">
        <v>0</v>
      </c>
    </row>
    <row r="2679" spans="3:7" x14ac:dyDescent="0.2">
      <c r="C2679" s="99">
        <v>0</v>
      </c>
      <c r="F2679" s="99">
        <v>0</v>
      </c>
      <c r="G2679" s="99">
        <v>0</v>
      </c>
    </row>
    <row r="2680" spans="3:7" x14ac:dyDescent="0.2">
      <c r="C2680" s="99">
        <v>0</v>
      </c>
      <c r="F2680" s="99">
        <v>0</v>
      </c>
      <c r="G2680" s="99">
        <v>0</v>
      </c>
    </row>
    <row r="2681" spans="3:7" x14ac:dyDescent="0.2">
      <c r="C2681" s="99">
        <v>0</v>
      </c>
      <c r="F2681" s="99">
        <v>0</v>
      </c>
      <c r="G2681" s="99">
        <v>0</v>
      </c>
    </row>
    <row r="2682" spans="3:7" x14ac:dyDescent="0.2">
      <c r="C2682" s="99">
        <v>0</v>
      </c>
      <c r="F2682" s="99">
        <v>0</v>
      </c>
      <c r="G2682" s="99">
        <v>0</v>
      </c>
    </row>
    <row r="2685" spans="3:7" x14ac:dyDescent="0.2">
      <c r="C2685" s="99">
        <v>0</v>
      </c>
      <c r="F2685" s="99">
        <v>0</v>
      </c>
      <c r="G2685" s="99">
        <v>0</v>
      </c>
    </row>
    <row r="2689" spans="3:7" x14ac:dyDescent="0.2">
      <c r="C2689" s="99">
        <v>0</v>
      </c>
      <c r="F2689" s="99">
        <v>0</v>
      </c>
      <c r="G2689" s="99">
        <v>0</v>
      </c>
    </row>
    <row r="2690" spans="3:7" x14ac:dyDescent="0.2">
      <c r="C2690" s="99">
        <v>0</v>
      </c>
      <c r="F2690" s="99">
        <v>0</v>
      </c>
      <c r="G2690" s="99">
        <v>0</v>
      </c>
    </row>
    <row r="2691" spans="3:7" x14ac:dyDescent="0.2">
      <c r="C2691" s="99">
        <v>0</v>
      </c>
      <c r="F2691" s="99">
        <v>0</v>
      </c>
      <c r="G2691" s="99">
        <v>0</v>
      </c>
    </row>
    <row r="2692" spans="3:7" x14ac:dyDescent="0.2">
      <c r="C2692" s="99">
        <v>0</v>
      </c>
      <c r="F2692" s="99">
        <v>0</v>
      </c>
      <c r="G2692" s="99">
        <v>0</v>
      </c>
    </row>
    <row r="2693" spans="3:7" x14ac:dyDescent="0.2">
      <c r="C2693" s="99">
        <v>0</v>
      </c>
      <c r="F2693" s="99">
        <v>0</v>
      </c>
      <c r="G2693" s="99">
        <v>0</v>
      </c>
    </row>
    <row r="2694" spans="3:7" x14ac:dyDescent="0.2">
      <c r="C2694" s="99">
        <v>0</v>
      </c>
      <c r="F2694" s="99">
        <v>0</v>
      </c>
      <c r="G2694" s="99">
        <v>0</v>
      </c>
    </row>
    <row r="2695" spans="3:7" x14ac:dyDescent="0.2">
      <c r="C2695" s="99">
        <v>0</v>
      </c>
      <c r="F2695" s="99">
        <v>0</v>
      </c>
      <c r="G2695" s="99">
        <v>0</v>
      </c>
    </row>
    <row r="2696" spans="3:7" x14ac:dyDescent="0.2">
      <c r="C2696" s="99">
        <v>0</v>
      </c>
      <c r="F2696" s="99">
        <v>0</v>
      </c>
      <c r="G2696" s="99">
        <v>0</v>
      </c>
    </row>
    <row r="2697" spans="3:7" x14ac:dyDescent="0.2">
      <c r="C2697" s="99">
        <v>0</v>
      </c>
      <c r="F2697" s="99">
        <v>0</v>
      </c>
      <c r="G2697" s="99">
        <v>0</v>
      </c>
    </row>
    <row r="2699" spans="3:7" x14ac:dyDescent="0.2">
      <c r="C2699" s="99">
        <v>0</v>
      </c>
      <c r="F2699" s="99">
        <v>0</v>
      </c>
      <c r="G2699" s="99">
        <v>0</v>
      </c>
    </row>
    <row r="2701" spans="3:7" x14ac:dyDescent="0.2">
      <c r="C2701" s="99">
        <v>0</v>
      </c>
      <c r="F2701" s="99">
        <v>0</v>
      </c>
      <c r="G2701" s="99">
        <v>0</v>
      </c>
    </row>
    <row r="2703" spans="3:7" x14ac:dyDescent="0.2">
      <c r="C2703" s="99">
        <v>0</v>
      </c>
      <c r="F2703" s="99">
        <v>0</v>
      </c>
      <c r="G2703" s="99">
        <v>0</v>
      </c>
    </row>
    <row r="2704" spans="3:7" x14ac:dyDescent="0.2">
      <c r="C2704" s="99">
        <v>0</v>
      </c>
      <c r="F2704" s="99">
        <v>0</v>
      </c>
      <c r="G2704" s="99">
        <v>0</v>
      </c>
    </row>
    <row r="2705" spans="3:7" x14ac:dyDescent="0.2">
      <c r="C2705" s="99">
        <v>0</v>
      </c>
      <c r="F2705" s="99">
        <v>0</v>
      </c>
      <c r="G2705" s="99">
        <v>0</v>
      </c>
    </row>
    <row r="2707" spans="3:7" x14ac:dyDescent="0.2">
      <c r="C2707" s="99">
        <v>0</v>
      </c>
      <c r="F2707" s="99">
        <v>0</v>
      </c>
      <c r="G2707" s="99">
        <v>0</v>
      </c>
    </row>
    <row r="2709" spans="3:7" x14ac:dyDescent="0.2">
      <c r="C2709" s="99">
        <v>0</v>
      </c>
      <c r="F2709" s="99">
        <v>0</v>
      </c>
      <c r="G2709" s="99">
        <v>0</v>
      </c>
    </row>
    <row r="2711" spans="3:7" x14ac:dyDescent="0.2">
      <c r="C2711" s="99">
        <v>0</v>
      </c>
      <c r="F2711" s="99">
        <v>0</v>
      </c>
      <c r="G2711" s="99">
        <v>0</v>
      </c>
    </row>
    <row r="2720" spans="3:7" x14ac:dyDescent="0.2">
      <c r="C2720" s="99">
        <v>0</v>
      </c>
      <c r="F2720" s="99">
        <v>0</v>
      </c>
      <c r="G2720" s="99">
        <v>0</v>
      </c>
    </row>
    <row r="2721" spans="3:7" x14ac:dyDescent="0.2">
      <c r="C2721" s="99">
        <v>0</v>
      </c>
      <c r="F2721" s="99">
        <v>0</v>
      </c>
      <c r="G2721" s="99">
        <v>0</v>
      </c>
    </row>
    <row r="2722" spans="3:7" x14ac:dyDescent="0.2">
      <c r="C2722" s="99">
        <v>0</v>
      </c>
      <c r="F2722" s="99">
        <v>0</v>
      </c>
      <c r="G2722" s="99">
        <v>0</v>
      </c>
    </row>
    <row r="2723" spans="3:7" x14ac:dyDescent="0.2">
      <c r="C2723" s="99">
        <v>0</v>
      </c>
      <c r="F2723" s="99">
        <v>0</v>
      </c>
      <c r="G2723" s="99">
        <v>0</v>
      </c>
    </row>
    <row r="2724" spans="3:7" x14ac:dyDescent="0.2">
      <c r="C2724" s="99">
        <v>25</v>
      </c>
      <c r="F2724" s="99">
        <v>25</v>
      </c>
      <c r="G2724" s="99">
        <v>25</v>
      </c>
    </row>
    <row r="2725" spans="3:7" x14ac:dyDescent="0.2">
      <c r="C2725" s="99">
        <v>0</v>
      </c>
      <c r="F2725" s="99">
        <v>0</v>
      </c>
      <c r="G2725" s="99">
        <v>0</v>
      </c>
    </row>
  </sheetData>
  <mergeCells count="6">
    <mergeCell ref="C13:G13"/>
    <mergeCell ref="B2:G2"/>
    <mergeCell ref="C8:G8"/>
    <mergeCell ref="C9:G9"/>
    <mergeCell ref="C10:G10"/>
    <mergeCell ref="C11:G11"/>
  </mergeCells>
  <phoneticPr fontId="0" type="noConversion"/>
  <dataValidations disablePrompts="1" count="1">
    <dataValidation type="whole" allowBlank="1" showInputMessage="1" showErrorMessage="1" sqref="C19:G19">
      <formula1>1</formula1>
      <formula2>18</formula2>
    </dataValidation>
  </dataValidations>
  <pageMargins left="0.75" right="0.75" top="1" bottom="1" header="0.5" footer="0.5"/>
  <pageSetup paperSize="9" scale="65" orientation="portrait" r:id="rId1"/>
  <headerFooter alignWithMargins="0">
    <oddHeader>&amp;C&amp;"Calibri"&amp;11&amp;K000000 Classification - Restricted&amp;1#_x000D_NBFC Input Sheet</oddHeader>
    <oddFooter>&amp;C_x000D_&amp;1#&amp;"Calibri"&amp;11&amp;K000000 Classification - Restricted</oddFooter>
  </headerFooter>
  <rowBreaks count="4" manualBreakCount="4">
    <brk id="105" min="1" max="6" man="1"/>
    <brk id="152" min="1" max="6" man="1"/>
    <brk id="233" min="1" max="6" man="1"/>
    <brk id="315" min="1" max="6" man="1"/>
  </rowBreaks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Lookup!$A$17:$A$19</xm:f>
          </x14:formula1>
          <xm:sqref>C18:G18</xm:sqref>
        </x14:dataValidation>
        <x14:dataValidation type="list" allowBlank="1" showInputMessage="1" showErrorMessage="1">
          <x14:formula1>
            <xm:f>Lookup!$A$11:$A$14</xm:f>
          </x14:formula1>
          <xm:sqref>C11:G11</xm:sqref>
        </x14:dataValidation>
        <x14:dataValidation type="list" allowBlank="1" showInputMessage="1" showErrorMessage="1">
          <x14:formula1>
            <xm:f>Lookup!$L$2:$L$3</xm:f>
          </x14:formula1>
          <xm:sqref>C20:G20</xm:sqref>
        </x14:dataValidation>
        <x14:dataValidation type="list" allowBlank="1" showInputMessage="1" showErrorMessage="1">
          <x14:formula1>
            <xm:f>Lookup!$A$1:$A$8</xm:f>
          </x14:formula1>
          <xm:sqref>C16:G16</xm:sqref>
        </x14:dataValidation>
        <x14:dataValidation type="list" allowBlank="1" showInputMessage="1" showErrorMessage="1">
          <x14:formula1>
            <xm:f>Lookup!$A$23:$A$57</xm:f>
          </x14:formula1>
          <xm:sqref>C13:G13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showGridLines="0" topLeftCell="A35" workbookViewId="0">
      <selection activeCell="A56" sqref="A56"/>
    </sheetView>
  </sheetViews>
  <sheetFormatPr defaultColWidth="9.28515625" defaultRowHeight="15" x14ac:dyDescent="0.25"/>
  <cols>
    <col min="1" max="1" customWidth="true" style="116" width="19.0" collapsed="true"/>
    <col min="2" max="11" bestFit="true" customWidth="true" style="116" width="9.42578125" collapsed="true"/>
    <col min="12" max="12" bestFit="true" customWidth="true" style="119" width="23.0" collapsed="true"/>
    <col min="13" max="13" style="116" width="9.28515625" collapsed="true"/>
    <col min="14" max="15" style="119" width="9.28515625" collapsed="true"/>
    <col min="16" max="16384" style="116" width="9.28515625" collapsed="true"/>
  </cols>
  <sheetData>
    <row r="1" spans="1:15" x14ac:dyDescent="0.25">
      <c r="A1" s="114" t="s">
        <v>113</v>
      </c>
      <c r="B1" s="115">
        <v>0</v>
      </c>
      <c r="C1" s="115">
        <f>HLOOKUP(A1,$C$10:$J$14,VLOOKUP(Sheet1!$C$11,Lookup!$A$11:$B$14,2,FALSE),FALSE)</f>
        <v>31</v>
      </c>
      <c r="D1" s="115">
        <v>12</v>
      </c>
      <c r="F1" s="114" t="s">
        <v>113</v>
      </c>
      <c r="G1" s="115">
        <v>3</v>
      </c>
      <c r="L1" s="117" t="s">
        <v>114</v>
      </c>
      <c r="N1" s="117" t="s">
        <v>115</v>
      </c>
      <c r="O1" s="117"/>
    </row>
    <row r="2" spans="1:15" x14ac:dyDescent="0.25">
      <c r="A2" s="114" t="s">
        <v>116</v>
      </c>
      <c r="B2" s="115">
        <v>0</v>
      </c>
      <c r="C2" s="115">
        <f>HLOOKUP(A2,$C$10:$J$14,VLOOKUP(Sheet1!$C$11,Lookup!$A$11:$B$14,2,FALSE),FALSE)</f>
        <v>31</v>
      </c>
      <c r="D2" s="115">
        <v>6</v>
      </c>
      <c r="F2" s="114" t="s">
        <v>116</v>
      </c>
      <c r="G2" s="115">
        <v>4</v>
      </c>
      <c r="L2" s="118" t="s">
        <v>117</v>
      </c>
      <c r="N2" s="118">
        <v>2010</v>
      </c>
      <c r="O2" s="118">
        <v>2</v>
      </c>
    </row>
    <row r="3" spans="1:15" x14ac:dyDescent="0.25">
      <c r="A3" s="114" t="s">
        <v>118</v>
      </c>
      <c r="B3" s="115">
        <v>6</v>
      </c>
      <c r="C3" s="115">
        <f>HLOOKUP(A3,$C$10:$J$14,VLOOKUP(Sheet1!$C$11,Lookup!$A$11:$B$14,2,FALSE),FALSE)</f>
        <v>30</v>
      </c>
      <c r="D3" s="115">
        <v>6</v>
      </c>
      <c r="F3" s="114" t="s">
        <v>118</v>
      </c>
      <c r="G3" s="115">
        <v>5</v>
      </c>
      <c r="L3" s="118" t="s">
        <v>112</v>
      </c>
      <c r="N3" s="118">
        <v>2011</v>
      </c>
      <c r="O3" s="118">
        <v>3</v>
      </c>
    </row>
    <row r="4" spans="1:15" x14ac:dyDescent="0.25">
      <c r="A4" s="114" t="s">
        <v>119</v>
      </c>
      <c r="B4" s="115">
        <v>3</v>
      </c>
      <c r="C4" s="115">
        <f>HLOOKUP(A4,$C$10:$J$14,VLOOKUP(Sheet1!$C$11,Lookup!$A$11:$B$14,2,FALSE),FALSE)</f>
        <v>31</v>
      </c>
      <c r="D4" s="115">
        <v>9</v>
      </c>
      <c r="F4" s="114" t="s">
        <v>119</v>
      </c>
      <c r="G4" s="115">
        <v>6</v>
      </c>
      <c r="N4" s="118">
        <v>2012</v>
      </c>
      <c r="O4" s="118">
        <v>4</v>
      </c>
    </row>
    <row r="5" spans="1:15" x14ac:dyDescent="0.25">
      <c r="A5" s="114" t="s">
        <v>120</v>
      </c>
      <c r="B5" s="115">
        <v>9</v>
      </c>
      <c r="C5" s="115">
        <f>HLOOKUP(A5,$C$10:$J$14,VLOOKUP(Sheet1!$C$11,Lookup!$A$11:$B$14,2,FALSE),FALSE)</f>
        <v>30</v>
      </c>
      <c r="D5" s="115">
        <v>3</v>
      </c>
      <c r="F5" s="114" t="s">
        <v>120</v>
      </c>
      <c r="G5" s="115">
        <v>7</v>
      </c>
      <c r="N5" s="118">
        <v>2013</v>
      </c>
      <c r="O5" s="118">
        <v>5</v>
      </c>
    </row>
    <row r="6" spans="1:15" x14ac:dyDescent="0.25">
      <c r="A6" s="114" t="s">
        <v>121</v>
      </c>
      <c r="B6" s="115">
        <v>6</v>
      </c>
      <c r="C6" s="115">
        <f>HLOOKUP(A6,$C$10:$J$14,VLOOKUP(Sheet1!$C$11,Lookup!$A$11:$B$14,2,FALSE),FALSE)</f>
        <v>30</v>
      </c>
      <c r="D6" s="115">
        <v>3</v>
      </c>
      <c r="F6" s="114" t="s">
        <v>121</v>
      </c>
      <c r="G6" s="115">
        <v>8</v>
      </c>
      <c r="N6" s="118">
        <v>2014</v>
      </c>
      <c r="O6" s="118">
        <v>6</v>
      </c>
    </row>
    <row r="7" spans="1:15" x14ac:dyDescent="0.25">
      <c r="A7" s="114" t="s">
        <v>122</v>
      </c>
      <c r="B7" s="115">
        <v>3</v>
      </c>
      <c r="C7" s="115">
        <f>HLOOKUP(A7,$C$10:$J$14,VLOOKUP(Sheet1!$C$11,Lookup!$A$11:$B$14,2,FALSE),FALSE)</f>
        <v>31</v>
      </c>
      <c r="D7" s="115">
        <v>3</v>
      </c>
      <c r="F7" s="114" t="s">
        <v>122</v>
      </c>
      <c r="G7" s="115">
        <v>9</v>
      </c>
      <c r="N7" s="118">
        <v>2015</v>
      </c>
      <c r="O7" s="118">
        <v>7</v>
      </c>
    </row>
    <row r="8" spans="1:15" x14ac:dyDescent="0.25">
      <c r="A8" s="114" t="s">
        <v>123</v>
      </c>
      <c r="B8" s="115">
        <v>0</v>
      </c>
      <c r="C8" s="115">
        <f>HLOOKUP(A8,$C$10:$J$14,VLOOKUP(Sheet1!$C$11,Lookup!$A$11:$B$14,2,FALSE),FALSE)</f>
        <v>31</v>
      </c>
      <c r="D8" s="115">
        <v>3</v>
      </c>
      <c r="F8" s="114" t="s">
        <v>123</v>
      </c>
      <c r="G8" s="115">
        <v>10</v>
      </c>
      <c r="N8" s="118">
        <v>2016</v>
      </c>
      <c r="O8" s="118">
        <v>8</v>
      </c>
    </row>
    <row r="9" spans="1:15" x14ac:dyDescent="0.25">
      <c r="N9" s="118">
        <v>2017</v>
      </c>
      <c r="O9" s="118">
        <v>9</v>
      </c>
    </row>
    <row r="10" spans="1:15" x14ac:dyDescent="0.25">
      <c r="A10" s="114"/>
      <c r="B10" s="117"/>
      <c r="C10" s="117" t="s">
        <v>113</v>
      </c>
      <c r="D10" s="117" t="s">
        <v>116</v>
      </c>
      <c r="E10" s="117" t="s">
        <v>118</v>
      </c>
      <c r="F10" s="117" t="s">
        <v>119</v>
      </c>
      <c r="G10" s="117" t="s">
        <v>120</v>
      </c>
      <c r="H10" s="117" t="s">
        <v>121</v>
      </c>
      <c r="I10" s="117" t="s">
        <v>122</v>
      </c>
      <c r="J10" s="117" t="s">
        <v>123</v>
      </c>
      <c r="N10" s="118">
        <v>2018</v>
      </c>
      <c r="O10" s="118">
        <v>10</v>
      </c>
    </row>
    <row r="11" spans="1:15" x14ac:dyDescent="0.25">
      <c r="A11" s="114" t="s">
        <v>124</v>
      </c>
      <c r="B11" s="120">
        <v>2</v>
      </c>
      <c r="C11" s="120">
        <v>31</v>
      </c>
      <c r="D11" s="120">
        <f>C11</f>
        <v>31</v>
      </c>
      <c r="E11" s="120">
        <v>30</v>
      </c>
      <c r="F11" s="120">
        <v>31</v>
      </c>
      <c r="G11" s="120">
        <v>30</v>
      </c>
      <c r="H11" s="120">
        <v>30</v>
      </c>
      <c r="I11" s="120">
        <v>31</v>
      </c>
      <c r="J11" s="120">
        <v>31</v>
      </c>
      <c r="N11" s="118">
        <v>2019</v>
      </c>
      <c r="O11" s="118">
        <v>11</v>
      </c>
    </row>
    <row r="12" spans="1:15" x14ac:dyDescent="0.25">
      <c r="A12" s="114" t="s">
        <v>125</v>
      </c>
      <c r="B12" s="120">
        <v>3</v>
      </c>
      <c r="C12" s="120">
        <v>31</v>
      </c>
      <c r="D12" s="120">
        <f t="shared" ref="D12:D14" si="0">C12</f>
        <v>31</v>
      </c>
      <c r="E12" s="120">
        <v>30</v>
      </c>
      <c r="F12" s="120">
        <v>30</v>
      </c>
      <c r="G12" s="120">
        <v>31</v>
      </c>
      <c r="H12" s="120">
        <v>30</v>
      </c>
      <c r="I12" s="120">
        <v>30</v>
      </c>
      <c r="J12" s="120">
        <v>31</v>
      </c>
    </row>
    <row r="13" spans="1:15" x14ac:dyDescent="0.25">
      <c r="A13" s="114" t="s">
        <v>126</v>
      </c>
      <c r="B13" s="120">
        <v>4</v>
      </c>
      <c r="C13" s="120">
        <v>30</v>
      </c>
      <c r="D13" s="120">
        <f t="shared" si="0"/>
        <v>30</v>
      </c>
      <c r="E13" s="120">
        <v>31</v>
      </c>
      <c r="F13" s="120">
        <v>30</v>
      </c>
      <c r="G13" s="120">
        <v>31</v>
      </c>
      <c r="H13" s="120">
        <v>31</v>
      </c>
      <c r="I13" s="120">
        <v>30</v>
      </c>
      <c r="J13" s="120">
        <v>30</v>
      </c>
    </row>
    <row r="14" spans="1:15" x14ac:dyDescent="0.25">
      <c r="A14" s="114" t="s">
        <v>127</v>
      </c>
      <c r="B14" s="120">
        <v>5</v>
      </c>
      <c r="C14" s="120">
        <v>30</v>
      </c>
      <c r="D14" s="120">
        <f t="shared" si="0"/>
        <v>30</v>
      </c>
      <c r="E14" s="120">
        <v>31</v>
      </c>
      <c r="F14" s="120">
        <v>31</v>
      </c>
      <c r="G14" s="120">
        <v>30</v>
      </c>
      <c r="H14" s="120">
        <v>31</v>
      </c>
      <c r="I14" s="120">
        <v>31</v>
      </c>
      <c r="J14" s="120">
        <v>30</v>
      </c>
    </row>
    <row r="16" spans="1:15" x14ac:dyDescent="0.25">
      <c r="A16" s="121" t="s">
        <v>128</v>
      </c>
    </row>
    <row r="17" spans="1:1" x14ac:dyDescent="0.25">
      <c r="A17" s="115" t="s">
        <v>5</v>
      </c>
    </row>
    <row r="18" spans="1:1" x14ac:dyDescent="0.25">
      <c r="A18" s="115" t="s">
        <v>129</v>
      </c>
    </row>
    <row r="19" spans="1:1" x14ac:dyDescent="0.25">
      <c r="A19" s="115" t="s">
        <v>130</v>
      </c>
    </row>
    <row r="21" spans="1:1" x14ac:dyDescent="0.25">
      <c r="A21" s="137" t="s">
        <v>131</v>
      </c>
    </row>
    <row r="22" spans="1:1" x14ac:dyDescent="0.25">
      <c r="A22" s="138" t="s">
        <v>132</v>
      </c>
    </row>
    <row r="23" spans="1:1" x14ac:dyDescent="0.25">
      <c r="A23" s="139" t="s">
        <v>9</v>
      </c>
    </row>
    <row r="24" spans="1:1" x14ac:dyDescent="0.25">
      <c r="A24" s="140" t="s">
        <v>133</v>
      </c>
    </row>
    <row r="25" spans="1:1" x14ac:dyDescent="0.25">
      <c r="A25" s="140" t="s">
        <v>134</v>
      </c>
    </row>
    <row r="26" spans="1:1" x14ac:dyDescent="0.25">
      <c r="A26" s="140" t="s">
        <v>135</v>
      </c>
    </row>
    <row r="27" spans="1:1" x14ac:dyDescent="0.25">
      <c r="A27" s="140" t="s">
        <v>136</v>
      </c>
    </row>
    <row r="28" spans="1:1" x14ac:dyDescent="0.25">
      <c r="A28" s="140" t="s">
        <v>137</v>
      </c>
    </row>
    <row r="29" spans="1:1" x14ac:dyDescent="0.25">
      <c r="A29" s="140" t="s">
        <v>138</v>
      </c>
    </row>
    <row r="30" spans="1:1" x14ac:dyDescent="0.25">
      <c r="A30" s="140" t="s">
        <v>139</v>
      </c>
    </row>
    <row r="31" spans="1:1" x14ac:dyDescent="0.25">
      <c r="A31" s="140" t="s">
        <v>140</v>
      </c>
    </row>
    <row r="32" spans="1:1" x14ac:dyDescent="0.25">
      <c r="A32" s="140" t="s">
        <v>176</v>
      </c>
    </row>
    <row r="33" spans="1:3" x14ac:dyDescent="0.25">
      <c r="A33" s="140" t="s">
        <v>141</v>
      </c>
    </row>
    <row r="34" spans="1:3" x14ac:dyDescent="0.25">
      <c r="A34" s="140" t="s">
        <v>142</v>
      </c>
    </row>
    <row r="35" spans="1:3" x14ac:dyDescent="0.25">
      <c r="A35" s="140" t="s">
        <v>143</v>
      </c>
    </row>
    <row r="36" spans="1:3" x14ac:dyDescent="0.25">
      <c r="A36" s="141" t="s">
        <v>144</v>
      </c>
    </row>
    <row r="37" spans="1:3" x14ac:dyDescent="0.25">
      <c r="A37" s="140" t="s">
        <v>145</v>
      </c>
    </row>
    <row r="38" spans="1:3" x14ac:dyDescent="0.25">
      <c r="A38" s="140" t="s">
        <v>146</v>
      </c>
      <c r="C38" s="142"/>
    </row>
    <row r="39" spans="1:3" x14ac:dyDescent="0.25">
      <c r="A39" s="140" t="s">
        <v>147</v>
      </c>
    </row>
    <row r="40" spans="1:3" x14ac:dyDescent="0.25">
      <c r="A40" s="140" t="s">
        <v>148</v>
      </c>
    </row>
    <row r="41" spans="1:3" x14ac:dyDescent="0.25">
      <c r="A41" s="140" t="s">
        <v>149</v>
      </c>
    </row>
    <row r="42" spans="1:3" x14ac:dyDescent="0.25">
      <c r="A42" s="140" t="s">
        <v>150</v>
      </c>
    </row>
    <row r="43" spans="1:3" x14ac:dyDescent="0.25">
      <c r="A43" s="140" t="s">
        <v>151</v>
      </c>
    </row>
    <row r="44" spans="1:3" x14ac:dyDescent="0.25">
      <c r="A44" s="140" t="s">
        <v>152</v>
      </c>
    </row>
    <row r="45" spans="1:3" x14ac:dyDescent="0.25">
      <c r="A45" s="140" t="s">
        <v>153</v>
      </c>
    </row>
    <row r="46" spans="1:3" x14ac:dyDescent="0.25">
      <c r="A46" s="140" t="s">
        <v>154</v>
      </c>
    </row>
    <row r="47" spans="1:3" x14ac:dyDescent="0.25">
      <c r="A47" s="140" t="s">
        <v>155</v>
      </c>
    </row>
    <row r="48" spans="1:3" x14ac:dyDescent="0.25">
      <c r="A48" s="140" t="s">
        <v>156</v>
      </c>
    </row>
    <row r="49" spans="1:1" x14ac:dyDescent="0.25">
      <c r="A49" s="140" t="s">
        <v>157</v>
      </c>
    </row>
    <row r="50" spans="1:1" x14ac:dyDescent="0.25">
      <c r="A50" s="140" t="s">
        <v>158</v>
      </c>
    </row>
    <row r="51" spans="1:1" x14ac:dyDescent="0.25">
      <c r="A51" s="140" t="s">
        <v>159</v>
      </c>
    </row>
    <row r="52" spans="1:1" x14ac:dyDescent="0.25">
      <c r="A52" s="140" t="s">
        <v>160</v>
      </c>
    </row>
    <row r="53" spans="1:1" x14ac:dyDescent="0.25">
      <c r="A53" s="140" t="s">
        <v>161</v>
      </c>
    </row>
    <row r="54" spans="1:1" x14ac:dyDescent="0.25">
      <c r="A54" s="140" t="s">
        <v>162</v>
      </c>
    </row>
    <row r="55" spans="1:1" x14ac:dyDescent="0.25">
      <c r="A55" s="140" t="s">
        <v>163</v>
      </c>
    </row>
    <row r="56" spans="1:1" x14ac:dyDescent="0.25">
      <c r="A56" s="140" t="s">
        <v>177</v>
      </c>
    </row>
    <row r="57" spans="1:1" x14ac:dyDescent="0.25">
      <c r="A57" s="140" t="s">
        <v>164</v>
      </c>
    </row>
  </sheetData>
  <sheetProtection algorithmName="SHA-512" hashValue="uCTDSIpiKjYreS9FSQAnK4XstNmAIHEXhWp9HmRLcAhWiLvSQNv281zFW5Ipp9JTM6BRW7yYomQv5F/miVjKWg==" saltValue="0rAEV+DJ3h+X3CHuUp/9RA==" spinCount="100000" sheet="1" objects="1" scenarios="1"/>
  <pageMargins left="0.7" right="0.7" top="0.75" bottom="0.75" header="0.3" footer="0.3"/>
  <pageSetup orientation="portrait" r:id="rId1"/>
  <headerFooter>
    <oddHeader>&amp;C&amp;"Calibri"&amp;11&amp;K000000 Classification - Restricted&amp;1#_x000D_</oddHeader>
    <oddFooter>&amp;C_x000D_&amp;1#&amp;"Calibri"&amp;11&amp;K000000 Classification -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8"/>
  <sheetViews>
    <sheetView showGridLines="0" topLeftCell="C272" zoomScaleNormal="100" workbookViewId="0">
      <selection activeCell="M286" sqref="M286"/>
    </sheetView>
  </sheetViews>
  <sheetFormatPr defaultColWidth="9.28515625" defaultRowHeight="12.75" x14ac:dyDescent="0.2"/>
  <cols>
    <col min="1" max="1" customWidth="true" style="291" width="5.5703125" collapsed="true"/>
    <col min="2" max="2" customWidth="true" style="316" width="56.42578125" collapsed="true"/>
    <col min="3" max="7" customWidth="true" style="291" width="15.7109375" collapsed="true"/>
    <col min="8" max="8" customWidth="true" style="315" width="15.7109375" collapsed="true"/>
    <col min="9" max="14" customWidth="true" style="291" width="15.7109375" collapsed="true"/>
    <col min="15" max="16" customWidth="true" style="285" width="15.7109375" collapsed="true"/>
    <col min="17" max="19" customWidth="true" style="291" width="15.7109375" collapsed="true"/>
    <col min="20" max="21" customWidth="true" style="318" width="15.7109375" collapsed="true"/>
    <col min="22" max="26" customWidth="true" style="291" width="15.7109375" collapsed="true"/>
    <col min="27" max="16384" style="291" width="9.28515625" collapsed="true"/>
  </cols>
  <sheetData>
    <row r="1" spans="1:24" s="295" customFormat="1" ht="19.5" thickBot="1" x14ac:dyDescent="0.25">
      <c r="A1" s="414"/>
      <c r="B1" s="415" t="s">
        <v>109</v>
      </c>
      <c r="C1" s="416"/>
      <c r="D1" s="417"/>
      <c r="E1" s="417"/>
      <c r="F1" s="417"/>
      <c r="G1" s="417"/>
      <c r="H1" s="418"/>
      <c r="I1" s="418"/>
      <c r="J1" s="418"/>
      <c r="K1" s="418"/>
      <c r="L1" s="419"/>
      <c r="M1" s="419"/>
      <c r="N1" s="419"/>
      <c r="O1" s="420"/>
      <c r="P1" s="421"/>
      <c r="Q1" s="343"/>
      <c r="R1" s="344" t="s">
        <v>553</v>
      </c>
      <c r="S1" s="343"/>
      <c r="T1" s="422"/>
      <c r="U1" s="422"/>
      <c r="V1" s="343"/>
      <c r="W1" s="343"/>
      <c r="X1" s="343"/>
    </row>
    <row r="2" spans="1:24" s="295" customFormat="1" x14ac:dyDescent="0.2">
      <c r="A2" s="423"/>
      <c r="B2" s="424"/>
      <c r="C2" s="425"/>
      <c r="D2" s="425"/>
      <c r="E2" s="425"/>
      <c r="F2" s="425"/>
      <c r="G2" s="426"/>
      <c r="H2" s="427"/>
      <c r="I2" s="428"/>
      <c r="J2" s="428"/>
      <c r="K2" s="428"/>
      <c r="L2" s="429"/>
      <c r="M2" s="429"/>
      <c r="N2" s="345" t="s">
        <v>554</v>
      </c>
      <c r="O2" s="347"/>
      <c r="P2" s="421"/>
      <c r="Q2" s="343"/>
      <c r="R2" s="333" t="s">
        <v>555</v>
      </c>
      <c r="S2" s="343"/>
      <c r="T2" s="422"/>
      <c r="U2" s="422"/>
      <c r="V2" s="343"/>
      <c r="W2" s="343"/>
      <c r="X2" s="343"/>
    </row>
    <row r="3" spans="1:24" s="295" customFormat="1" x14ac:dyDescent="0.2">
      <c r="A3" s="423"/>
      <c r="B3" s="430" t="s">
        <v>110</v>
      </c>
      <c r="C3" s="399">
        <f>Sheet1!C8</f>
        <v>332111</v>
      </c>
      <c r="D3" s="400"/>
      <c r="E3" s="400"/>
      <c r="F3" s="400"/>
      <c r="G3" s="401"/>
      <c r="H3" s="346"/>
      <c r="I3" s="428"/>
      <c r="J3" s="428"/>
      <c r="K3" s="428"/>
      <c r="L3" s="429"/>
      <c r="M3" s="429"/>
      <c r="N3" s="345" t="s">
        <v>556</v>
      </c>
      <c r="O3" s="347"/>
      <c r="P3" s="421"/>
      <c r="Q3" s="343"/>
      <c r="R3" s="333" t="s">
        <v>557</v>
      </c>
      <c r="S3" s="343"/>
      <c r="T3" s="422"/>
      <c r="U3" s="422"/>
      <c r="V3" s="343"/>
      <c r="W3" s="343"/>
      <c r="X3" s="343"/>
    </row>
    <row r="4" spans="1:24" s="295" customFormat="1" x14ac:dyDescent="0.2">
      <c r="A4" s="423"/>
      <c r="B4" s="430" t="s">
        <v>7</v>
      </c>
      <c r="C4" s="332" t="str">
        <f>Sheet1!C9</f>
        <v>asdas</v>
      </c>
      <c r="D4" s="400"/>
      <c r="E4" s="400"/>
      <c r="F4" s="400"/>
      <c r="G4" s="401"/>
      <c r="H4" s="346"/>
      <c r="I4" s="428"/>
      <c r="J4" s="428"/>
      <c r="K4" s="428"/>
      <c r="L4" s="429"/>
      <c r="M4" s="429"/>
      <c r="N4" s="345" t="s">
        <v>558</v>
      </c>
      <c r="O4" s="335">
        <v>0</v>
      </c>
      <c r="P4" s="421"/>
      <c r="Q4" s="343"/>
      <c r="R4" s="333" t="s">
        <v>559</v>
      </c>
      <c r="S4" s="343"/>
      <c r="T4" s="422"/>
      <c r="U4" s="422"/>
      <c r="V4" s="343"/>
      <c r="W4" s="343"/>
      <c r="X4" s="343"/>
    </row>
    <row r="5" spans="1:24" s="295" customFormat="1" x14ac:dyDescent="0.2">
      <c r="A5" s="423"/>
      <c r="B5" s="430" t="s">
        <v>6</v>
      </c>
      <c r="C5" s="399">
        <f>Sheet1!C10</f>
        <v>2021</v>
      </c>
      <c r="D5" s="400"/>
      <c r="E5" s="400"/>
      <c r="F5" s="400"/>
      <c r="G5" s="401"/>
      <c r="H5" s="346"/>
      <c r="I5" s="428"/>
      <c r="J5" s="428"/>
      <c r="K5" s="428"/>
      <c r="L5" s="429"/>
      <c r="M5" s="429"/>
      <c r="N5" s="345" t="s">
        <v>560</v>
      </c>
      <c r="O5" s="335">
        <v>-0.1</v>
      </c>
      <c r="P5" s="421"/>
      <c r="Q5" s="343"/>
      <c r="R5" s="333" t="s">
        <v>561</v>
      </c>
      <c r="S5" s="343"/>
      <c r="T5" s="422"/>
      <c r="U5" s="422"/>
      <c r="V5" s="343"/>
      <c r="W5" s="343"/>
      <c r="X5" s="343"/>
    </row>
    <row r="6" spans="1:24" s="295" customFormat="1" x14ac:dyDescent="0.2">
      <c r="A6" s="423"/>
      <c r="B6" s="430" t="s">
        <v>168</v>
      </c>
      <c r="C6" s="399" t="str">
        <f>Sheet1!C11</f>
        <v>March</v>
      </c>
      <c r="D6" s="400"/>
      <c r="E6" s="400"/>
      <c r="F6" s="400"/>
      <c r="G6" s="401"/>
      <c r="H6" s="346"/>
      <c r="I6" s="428"/>
      <c r="J6" s="428"/>
      <c r="K6" s="428"/>
      <c r="L6" s="429"/>
      <c r="M6" s="429"/>
      <c r="N6" s="345" t="s">
        <v>562</v>
      </c>
      <c r="O6" s="335">
        <v>0</v>
      </c>
      <c r="P6" s="334"/>
      <c r="Q6" s="343"/>
      <c r="R6" s="343"/>
      <c r="S6" s="343"/>
      <c r="T6" s="422"/>
      <c r="U6" s="422"/>
      <c r="V6" s="343"/>
      <c r="W6" s="343"/>
      <c r="X6" s="343"/>
    </row>
    <row r="7" spans="1:24" s="295" customFormat="1" x14ac:dyDescent="0.2">
      <c r="A7" s="423"/>
      <c r="B7" s="430" t="s">
        <v>170</v>
      </c>
      <c r="C7" s="431">
        <f>Sheet1!C12</f>
        <v>44286</v>
      </c>
      <c r="D7" s="432"/>
      <c r="E7" s="432"/>
      <c r="F7" s="432"/>
      <c r="G7" s="433"/>
      <c r="H7" s="434"/>
      <c r="I7" s="428"/>
      <c r="J7" s="428"/>
      <c r="K7" s="428"/>
      <c r="L7" s="429"/>
      <c r="M7" s="429"/>
      <c r="N7" s="345" t="s">
        <v>563</v>
      </c>
      <c r="O7" s="335">
        <v>-0.1</v>
      </c>
      <c r="P7" s="435"/>
      <c r="Q7" s="343"/>
      <c r="R7" s="343"/>
      <c r="S7" s="343"/>
      <c r="T7" s="422"/>
      <c r="U7" s="422"/>
      <c r="V7" s="343"/>
      <c r="W7" s="343"/>
      <c r="X7" s="343"/>
    </row>
    <row r="8" spans="1:24" s="295" customFormat="1" x14ac:dyDescent="0.2">
      <c r="A8" s="423"/>
      <c r="B8" s="430" t="s">
        <v>8</v>
      </c>
      <c r="C8" s="399" t="str">
        <f>Sheet1!C13</f>
        <v>INR</v>
      </c>
      <c r="D8" s="400"/>
      <c r="E8" s="400"/>
      <c r="F8" s="400"/>
      <c r="G8" s="401"/>
      <c r="H8" s="346"/>
      <c r="I8" s="428"/>
      <c r="J8" s="428"/>
      <c r="K8" s="428"/>
      <c r="L8" s="429"/>
      <c r="M8" s="429"/>
      <c r="N8" s="345" t="s">
        <v>564</v>
      </c>
      <c r="O8" s="335">
        <v>0</v>
      </c>
      <c r="P8" s="336" t="s">
        <v>565</v>
      </c>
      <c r="Q8" s="343"/>
      <c r="R8" s="343"/>
      <c r="S8" s="343"/>
      <c r="T8" s="422"/>
      <c r="U8" s="422"/>
      <c r="V8" s="343"/>
      <c r="W8" s="343"/>
      <c r="X8" s="343"/>
    </row>
    <row r="9" spans="1:24" s="295" customFormat="1" x14ac:dyDescent="0.2">
      <c r="A9" s="436"/>
      <c r="B9" s="430" t="s">
        <v>132</v>
      </c>
      <c r="C9" s="437">
        <f>Sheet1!C14</f>
        <v>2017</v>
      </c>
      <c r="D9" s="437">
        <f>Sheet1!D14</f>
        <v>2018</v>
      </c>
      <c r="E9" s="437">
        <f>Sheet1!E14</f>
        <v>2019</v>
      </c>
      <c r="F9" s="437">
        <f>Sheet1!F14</f>
        <v>2020</v>
      </c>
      <c r="G9" s="433">
        <f>Sheet1!G14</f>
        <v>2021</v>
      </c>
      <c r="H9" s="434"/>
      <c r="I9" s="428"/>
      <c r="J9" s="428"/>
      <c r="K9" s="428"/>
      <c r="L9" s="429"/>
      <c r="M9" s="429"/>
      <c r="N9" s="345" t="s">
        <v>566</v>
      </c>
      <c r="O9" s="438">
        <v>-0.05</v>
      </c>
      <c r="P9" s="336" t="s">
        <v>565</v>
      </c>
      <c r="Q9" s="343"/>
      <c r="R9" s="343"/>
      <c r="S9" s="343"/>
      <c r="T9" s="422"/>
      <c r="U9" s="422"/>
      <c r="V9" s="343"/>
      <c r="W9" s="343"/>
      <c r="X9" s="343"/>
    </row>
    <row r="10" spans="1:24" s="295" customFormat="1" x14ac:dyDescent="0.2">
      <c r="A10" s="436"/>
      <c r="B10" s="430" t="s">
        <v>370</v>
      </c>
      <c r="C10" s="439"/>
      <c r="D10" s="439"/>
      <c r="E10" s="439"/>
      <c r="F10" s="439"/>
      <c r="G10" s="440"/>
      <c r="H10" s="434"/>
      <c r="I10" s="428"/>
      <c r="J10" s="428"/>
      <c r="K10" s="428"/>
      <c r="L10" s="429"/>
      <c r="M10" s="429"/>
      <c r="N10" s="345" t="s">
        <v>567</v>
      </c>
      <c r="O10" s="335">
        <v>0</v>
      </c>
      <c r="P10" s="336" t="s">
        <v>565</v>
      </c>
      <c r="Q10" s="343"/>
      <c r="R10" s="343"/>
      <c r="S10" s="343"/>
      <c r="T10" s="422"/>
      <c r="U10" s="422"/>
      <c r="V10" s="343"/>
      <c r="W10" s="343"/>
      <c r="X10" s="343"/>
    </row>
    <row r="11" spans="1:24" s="295" customFormat="1" x14ac:dyDescent="0.2">
      <c r="A11" s="436"/>
      <c r="B11" s="430" t="s">
        <v>371</v>
      </c>
      <c r="C11" s="439"/>
      <c r="D11" s="439"/>
      <c r="E11" s="439"/>
      <c r="F11" s="439"/>
      <c r="G11" s="440"/>
      <c r="H11" s="434"/>
      <c r="I11" s="428"/>
      <c r="J11" s="428"/>
      <c r="K11" s="428"/>
      <c r="L11" s="429"/>
      <c r="M11" s="429"/>
      <c r="N11" s="345" t="s">
        <v>568</v>
      </c>
      <c r="O11" s="438">
        <v>0.05</v>
      </c>
      <c r="P11" s="336" t="s">
        <v>565</v>
      </c>
      <c r="Q11" s="343"/>
      <c r="R11" s="343"/>
      <c r="S11" s="343"/>
      <c r="T11" s="422"/>
      <c r="U11" s="422"/>
      <c r="V11" s="343"/>
      <c r="W11" s="343"/>
      <c r="X11" s="343"/>
    </row>
    <row r="12" spans="1:24" s="295" customFormat="1" x14ac:dyDescent="0.2">
      <c r="A12" s="436"/>
      <c r="B12" s="430" t="s">
        <v>372</v>
      </c>
      <c r="C12" s="441" t="s">
        <v>373</v>
      </c>
      <c r="D12" s="441" t="s">
        <v>374</v>
      </c>
      <c r="E12" s="441" t="s">
        <v>375</v>
      </c>
      <c r="F12" s="441" t="s">
        <v>376</v>
      </c>
      <c r="G12" s="442" t="s">
        <v>377</v>
      </c>
      <c r="H12" s="434"/>
      <c r="I12" s="428"/>
      <c r="J12" s="428"/>
      <c r="K12" s="428"/>
      <c r="L12" s="429"/>
      <c r="M12" s="429"/>
      <c r="N12" s="345" t="s">
        <v>569</v>
      </c>
      <c r="O12" s="443" t="s">
        <v>570</v>
      </c>
      <c r="P12" s="435"/>
      <c r="Q12" s="343"/>
      <c r="R12" s="343"/>
      <c r="S12" s="343"/>
      <c r="T12" s="422"/>
      <c r="U12" s="422"/>
      <c r="V12" s="343"/>
      <c r="W12" s="343"/>
      <c r="X12" s="343"/>
    </row>
    <row r="13" spans="1:24" s="295" customFormat="1" x14ac:dyDescent="0.2">
      <c r="A13" s="436"/>
      <c r="B13" s="430" t="s">
        <v>378</v>
      </c>
      <c r="C13" s="444"/>
      <c r="D13" s="444"/>
      <c r="E13" s="444"/>
      <c r="F13" s="444"/>
      <c r="G13" s="445"/>
      <c r="H13" s="446"/>
      <c r="I13" s="428"/>
      <c r="J13" s="428"/>
      <c r="K13" s="428"/>
      <c r="L13" s="429"/>
      <c r="M13" s="429"/>
      <c r="N13" s="345" t="s">
        <v>571</v>
      </c>
      <c r="O13" s="438">
        <v>-0.1</v>
      </c>
      <c r="P13" s="336" t="s">
        <v>565</v>
      </c>
      <c r="Q13" s="343"/>
      <c r="R13" s="343"/>
      <c r="S13" s="343"/>
      <c r="T13" s="422"/>
      <c r="U13" s="422"/>
      <c r="V13" s="343"/>
      <c r="W13" s="343"/>
      <c r="X13" s="343"/>
    </row>
    <row r="14" spans="1:24" s="295" customFormat="1" x14ac:dyDescent="0.2">
      <c r="A14" s="436"/>
      <c r="B14" s="430" t="s">
        <v>380</v>
      </c>
      <c r="C14" s="444"/>
      <c r="D14" s="444"/>
      <c r="E14" s="444"/>
      <c r="F14" s="444"/>
      <c r="G14" s="445"/>
      <c r="H14" s="446"/>
      <c r="I14" s="428"/>
      <c r="J14" s="428"/>
      <c r="K14" s="428"/>
      <c r="L14" s="429"/>
      <c r="M14" s="429"/>
      <c r="N14" s="345" t="s">
        <v>572</v>
      </c>
      <c r="O14" s="443" t="s">
        <v>573</v>
      </c>
      <c r="P14" s="334"/>
      <c r="Q14" s="343"/>
      <c r="R14" s="343"/>
      <c r="S14" s="343"/>
      <c r="T14" s="422"/>
      <c r="U14" s="422"/>
      <c r="V14" s="343"/>
      <c r="W14" s="343"/>
      <c r="X14" s="343"/>
    </row>
    <row r="15" spans="1:24" s="295" customFormat="1" x14ac:dyDescent="0.2">
      <c r="A15" s="436"/>
      <c r="B15" s="430" t="s">
        <v>381</v>
      </c>
      <c r="C15" s="444"/>
      <c r="D15" s="444"/>
      <c r="E15" s="444"/>
      <c r="F15" s="444"/>
      <c r="G15" s="447"/>
      <c r="H15" s="448"/>
      <c r="I15" s="428"/>
      <c r="J15" s="428"/>
      <c r="K15" s="428"/>
      <c r="L15" s="429"/>
      <c r="M15" s="429"/>
      <c r="N15" s="345" t="s">
        <v>574</v>
      </c>
      <c r="O15" s="438">
        <v>0.25</v>
      </c>
      <c r="P15" s="336" t="s">
        <v>575</v>
      </c>
      <c r="Q15" s="343"/>
      <c r="R15" s="343"/>
      <c r="S15" s="343"/>
      <c r="T15" s="422"/>
      <c r="U15" s="422"/>
      <c r="V15" s="343"/>
      <c r="W15" s="343"/>
      <c r="X15" s="343"/>
    </row>
    <row r="16" spans="1:24" s="295" customFormat="1" x14ac:dyDescent="0.2">
      <c r="A16" s="436"/>
      <c r="B16" s="430" t="s">
        <v>383</v>
      </c>
      <c r="C16" s="449"/>
      <c r="D16" s="449"/>
      <c r="E16" s="449"/>
      <c r="F16" s="449"/>
      <c r="G16" s="447"/>
      <c r="H16" s="448"/>
      <c r="I16" s="428"/>
      <c r="J16" s="428"/>
      <c r="K16" s="428"/>
      <c r="L16" s="429"/>
      <c r="M16" s="429"/>
      <c r="N16" s="345" t="s">
        <v>576</v>
      </c>
      <c r="O16" s="438">
        <v>1</v>
      </c>
      <c r="P16" s="336" t="s">
        <v>575</v>
      </c>
      <c r="Q16" s="343"/>
      <c r="R16" s="343"/>
      <c r="S16" s="343"/>
      <c r="T16" s="422"/>
      <c r="U16" s="422"/>
      <c r="V16" s="343"/>
      <c r="W16" s="343"/>
      <c r="X16" s="343"/>
    </row>
    <row r="17" spans="1:26" s="295" customFormat="1" ht="13.5" thickBot="1" x14ac:dyDescent="0.25">
      <c r="A17" s="450"/>
      <c r="B17" s="451" t="s">
        <v>384</v>
      </c>
      <c r="C17" s="452"/>
      <c r="D17" s="452"/>
      <c r="E17" s="452"/>
      <c r="F17" s="452"/>
      <c r="G17" s="453"/>
      <c r="H17" s="454"/>
      <c r="I17" s="428"/>
      <c r="J17" s="428"/>
      <c r="K17" s="428"/>
      <c r="L17" s="429"/>
      <c r="M17" s="429"/>
      <c r="N17" s="345" t="s">
        <v>577</v>
      </c>
      <c r="O17" s="438">
        <v>0.15</v>
      </c>
      <c r="P17" s="336" t="s">
        <v>578</v>
      </c>
      <c r="Q17" s="343"/>
      <c r="R17" s="343"/>
      <c r="S17" s="343"/>
      <c r="T17" s="422"/>
      <c r="U17" s="422"/>
      <c r="V17" s="343"/>
      <c r="W17" s="343"/>
      <c r="X17" s="343"/>
    </row>
    <row r="18" spans="1:26" s="295" customFormat="1" ht="13.5" thickBot="1" x14ac:dyDescent="0.25">
      <c r="B18" s="296"/>
      <c r="H18" s="455"/>
      <c r="I18" s="456"/>
      <c r="J18" s="428"/>
      <c r="K18" s="428"/>
      <c r="L18" s="429"/>
      <c r="M18" s="429"/>
      <c r="N18" s="345" t="s">
        <v>579</v>
      </c>
      <c r="O18" s="438">
        <v>1</v>
      </c>
      <c r="P18" s="336" t="s">
        <v>578</v>
      </c>
      <c r="Q18" s="343"/>
      <c r="R18" s="343"/>
      <c r="S18" s="343"/>
      <c r="T18" s="422"/>
      <c r="U18" s="422"/>
      <c r="V18" s="343"/>
      <c r="W18" s="343"/>
      <c r="X18" s="343"/>
    </row>
    <row r="19" spans="1:26" ht="19.5" thickBot="1" x14ac:dyDescent="0.25">
      <c r="A19" s="41"/>
      <c r="B19" s="34" t="s">
        <v>94</v>
      </c>
      <c r="H19" s="419"/>
      <c r="I19" s="428"/>
      <c r="J19" s="457"/>
      <c r="K19" s="428"/>
      <c r="L19" s="428"/>
      <c r="M19" s="428"/>
      <c r="N19" s="345" t="s">
        <v>580</v>
      </c>
      <c r="O19" s="458">
        <v>0.6</v>
      </c>
      <c r="P19" s="421"/>
      <c r="Q19" s="343"/>
      <c r="R19" s="343"/>
      <c r="S19" s="343"/>
      <c r="T19" s="422"/>
      <c r="U19" s="422"/>
      <c r="V19" s="343"/>
      <c r="W19" s="343"/>
      <c r="X19" s="343"/>
      <c r="Y19" s="295"/>
      <c r="Z19" s="295"/>
    </row>
    <row r="20" spans="1:26" x14ac:dyDescent="0.2">
      <c r="A20" s="169"/>
      <c r="B20" s="176"/>
      <c r="C20" s="171"/>
      <c r="D20" s="171"/>
      <c r="E20" s="171"/>
      <c r="F20" s="171"/>
      <c r="G20" s="171"/>
      <c r="H20" s="459"/>
      <c r="I20" s="460" t="s">
        <v>581</v>
      </c>
      <c r="J20" s="460" t="s">
        <v>582</v>
      </c>
      <c r="K20" s="461" t="s">
        <v>582</v>
      </c>
      <c r="L20" s="428"/>
      <c r="M20" s="428"/>
      <c r="N20" s="345" t="s">
        <v>583</v>
      </c>
      <c r="O20" s="458">
        <v>1</v>
      </c>
      <c r="P20" s="421"/>
      <c r="Q20" s="343"/>
      <c r="R20" s="343"/>
      <c r="S20" s="343"/>
      <c r="T20" s="422"/>
      <c r="U20" s="422"/>
      <c r="V20" s="343"/>
      <c r="W20" s="343"/>
      <c r="X20" s="343"/>
      <c r="Y20" s="295"/>
      <c r="Z20" s="295"/>
    </row>
    <row r="21" spans="1:26" x14ac:dyDescent="0.2">
      <c r="A21" s="84"/>
      <c r="B21" s="157"/>
      <c r="C21" s="49" t="str">
        <f>Sheet1!C17</f>
        <v>31/03/2017</v>
      </c>
      <c r="D21" s="49" t="str">
        <f>Sheet1!D17</f>
        <v>31/03/2018</v>
      </c>
      <c r="E21" s="49" t="str">
        <f>Sheet1!E17</f>
        <v>31/03/2019</v>
      </c>
      <c r="F21" s="49" t="str">
        <f>Sheet1!F17</f>
        <v>31/03/2020</v>
      </c>
      <c r="G21" s="49" t="str">
        <f>Sheet1!G17</f>
        <v>31/03/2021</v>
      </c>
      <c r="H21" s="462" t="s">
        <v>385</v>
      </c>
      <c r="I21" s="463" t="str">
        <f>CONCATENATE("FY",RIGHT(G21,2)+1, "E")</f>
        <v>FY22E</v>
      </c>
      <c r="J21" s="463" t="str">
        <f>CONCATENATE("FY",RIGHT(G21,2)+1, " Base Case")</f>
        <v>FY22 Base Case</v>
      </c>
      <c r="K21" s="464" t="str">
        <f>CONCATENATE("FY",RIGHT(G21,2)+1, " Stressed Case")</f>
        <v>FY22 Stressed Case</v>
      </c>
      <c r="L21" s="428"/>
      <c r="M21" s="428"/>
      <c r="N21" s="345" t="s">
        <v>584</v>
      </c>
      <c r="O21" s="465">
        <f>((G117-F117)/100*(1+O17))+G117/100</f>
        <v>0</v>
      </c>
      <c r="P21" s="421"/>
      <c r="Q21" s="343"/>
      <c r="R21" s="343"/>
      <c r="S21" s="343"/>
      <c r="T21" s="422"/>
      <c r="U21" s="422"/>
      <c r="V21" s="343"/>
      <c r="W21" s="343"/>
      <c r="X21" s="343"/>
      <c r="Y21" s="295"/>
      <c r="Z21" s="295"/>
    </row>
    <row r="22" spans="1:26" x14ac:dyDescent="0.2">
      <c r="A22" s="84"/>
      <c r="B22" s="176" t="s">
        <v>386</v>
      </c>
      <c r="C22" s="85">
        <f>Sheet1!C37</f>
        <v>42061.08</v>
      </c>
      <c r="D22" s="85">
        <f>Sheet1!D37</f>
        <v>44486.92</v>
      </c>
      <c r="E22" s="85">
        <f>Sheet1!E37</f>
        <v>55020.9</v>
      </c>
      <c r="F22" s="85">
        <f>Sheet1!F37</f>
        <v>63778.3</v>
      </c>
      <c r="G22" s="85">
        <f>Sheet1!G37</f>
        <v>59830.1</v>
      </c>
      <c r="H22" s="348"/>
      <c r="I22" s="349">
        <f>G22/AVERAGE(F55:G55)*AVERAGE(G55,I55)*(1+O8)</f>
        <v>31460.330024027044</v>
      </c>
      <c r="J22" s="349">
        <f>G22/AVERAGE(F55:G55)*AVERAGE(G55,J55)*(1+O8)</f>
        <v>62920.660048054087</v>
      </c>
      <c r="K22" s="350">
        <f>G22/AVERAGE(F55:G55)*AVERAGE(G55,K55)*(1+O9)</f>
        <v>56785.895693368802</v>
      </c>
      <c r="L22" s="428"/>
      <c r="M22" s="428"/>
      <c r="N22" s="345" t="s">
        <v>585</v>
      </c>
      <c r="O22" s="465">
        <f>((G117-F117)/100*(1+O18))+G117/100</f>
        <v>0</v>
      </c>
      <c r="P22" s="421"/>
      <c r="Q22" s="343"/>
      <c r="R22" s="343"/>
      <c r="S22" s="343"/>
      <c r="T22" s="422"/>
      <c r="U22" s="422"/>
      <c r="V22" s="343"/>
      <c r="W22" s="343"/>
      <c r="X22" s="343"/>
      <c r="Y22" s="295"/>
      <c r="Z22" s="295"/>
    </row>
    <row r="23" spans="1:26" x14ac:dyDescent="0.2">
      <c r="A23" s="37"/>
      <c r="B23" s="176" t="s">
        <v>387</v>
      </c>
      <c r="C23" s="85">
        <f>Sheet1!C48</f>
        <v>17290.2</v>
      </c>
      <c r="D23" s="85">
        <f>Sheet1!D48</f>
        <v>19166.7</v>
      </c>
      <c r="E23" s="85">
        <f>Sheet1!E48</f>
        <v>25833.200000000001</v>
      </c>
      <c r="F23" s="85">
        <f>Sheet1!F48</f>
        <v>28886</v>
      </c>
      <c r="G23" s="85">
        <f>Sheet1!G48</f>
        <v>26878</v>
      </c>
      <c r="H23" s="348"/>
      <c r="I23" s="349">
        <f>G23/AVERAGE(SUM(F49:F50),SUM(G49:G50))*AVERAGE(SUM(G49:G50),I49)*(1+O10)</f>
        <v>14426.452096118372</v>
      </c>
      <c r="J23" s="349">
        <f>G23/AVERAGE(SUM(F49:F50),SUM(G49:G50))*AVERAGE(SUM(G49:G50),J49)*(1+O10)</f>
        <v>28852.904192236743</v>
      </c>
      <c r="K23" s="350">
        <f>G23/AVERAGE(SUM(F49:F50),SUM(G49:G50))*AVERAGE(SUM(G49:G50),K49)*(1+O11)</f>
        <v>28780.771931756153</v>
      </c>
      <c r="L23" s="428"/>
      <c r="M23" s="428"/>
      <c r="N23" s="345" t="s">
        <v>586</v>
      </c>
      <c r="O23" s="465">
        <f>G425*(1+O19)</f>
        <v>0</v>
      </c>
      <c r="P23" s="421"/>
      <c r="Q23" s="343"/>
      <c r="R23" s="343"/>
      <c r="S23" s="343"/>
      <c r="T23" s="422"/>
      <c r="U23" s="422"/>
      <c r="V23" s="343"/>
      <c r="W23" s="343"/>
      <c r="X23" s="343"/>
      <c r="Y23" s="295"/>
      <c r="Z23" s="295"/>
    </row>
    <row r="24" spans="1:26" x14ac:dyDescent="0.2">
      <c r="A24" s="37"/>
      <c r="B24" s="157" t="s">
        <v>388</v>
      </c>
      <c r="C24" s="49">
        <f t="shared" ref="C24" si="0">C22-C23</f>
        <v>24770.880000000001</v>
      </c>
      <c r="D24" s="49">
        <f t="shared" ref="D24:G24" si="1">D22-D23</f>
        <v>25320.219999999998</v>
      </c>
      <c r="E24" s="49">
        <f t="shared" si="1"/>
        <v>29187.7</v>
      </c>
      <c r="F24" s="49">
        <f t="shared" si="1"/>
        <v>34892.300000000003</v>
      </c>
      <c r="G24" s="49">
        <f t="shared" si="1"/>
        <v>32952.1</v>
      </c>
      <c r="H24" s="466">
        <f t="shared" ref="H24:K24" si="2">H22-H23</f>
        <v>0</v>
      </c>
      <c r="I24" s="463">
        <f t="shared" si="2"/>
        <v>17033.877927908674</v>
      </c>
      <c r="J24" s="463">
        <f t="shared" si="2"/>
        <v>34067.755855817348</v>
      </c>
      <c r="K24" s="464">
        <f t="shared" si="2"/>
        <v>28005.123761612649</v>
      </c>
      <c r="L24" s="428"/>
      <c r="M24" s="428"/>
      <c r="N24" s="345" t="s">
        <v>587</v>
      </c>
      <c r="O24" s="465">
        <f>G425*(1+O20)</f>
        <v>0</v>
      </c>
      <c r="P24" s="421"/>
      <c r="Q24" s="343"/>
      <c r="R24" s="343"/>
      <c r="S24" s="343"/>
      <c r="T24" s="422"/>
      <c r="U24" s="422"/>
      <c r="V24" s="343"/>
      <c r="W24" s="343"/>
      <c r="X24" s="343"/>
      <c r="Y24" s="295"/>
      <c r="Z24" s="295"/>
    </row>
    <row r="25" spans="1:26" x14ac:dyDescent="0.2">
      <c r="A25" s="84"/>
      <c r="B25" s="176" t="s">
        <v>185</v>
      </c>
      <c r="C25" s="85">
        <f>Sheet1!C64</f>
        <v>0.72</v>
      </c>
      <c r="D25" s="85">
        <f>Sheet1!D64</f>
        <v>2.09</v>
      </c>
      <c r="E25" s="85">
        <f>Sheet1!E64</f>
        <v>1268.19</v>
      </c>
      <c r="F25" s="85">
        <f>Sheet1!F64</f>
        <v>2171.3000000000002</v>
      </c>
      <c r="G25" s="85">
        <f>Sheet1!G64</f>
        <v>12345629.4</v>
      </c>
      <c r="H25" s="348"/>
      <c r="I25" s="349">
        <f>AVERAGE(E25:G25)</f>
        <v>4116356.2966666669</v>
      </c>
      <c r="J25" s="349">
        <f>AVERAGE(E25:G25)</f>
        <v>4116356.2966666669</v>
      </c>
      <c r="K25" s="350">
        <f>G25*(1+O13)</f>
        <v>11111066.460000001</v>
      </c>
      <c r="L25" s="428"/>
      <c r="M25" s="428"/>
      <c r="N25" s="345" t="s">
        <v>588</v>
      </c>
      <c r="O25" s="467">
        <v>0.36</v>
      </c>
      <c r="P25" s="421" t="s">
        <v>589</v>
      </c>
      <c r="Q25" s="343"/>
      <c r="R25" s="343"/>
      <c r="S25" s="343"/>
      <c r="T25" s="422"/>
      <c r="U25" s="422"/>
      <c r="V25" s="343"/>
      <c r="W25" s="343"/>
      <c r="X25" s="343"/>
      <c r="Y25" s="295"/>
      <c r="Z25" s="295"/>
    </row>
    <row r="26" spans="1:26" x14ac:dyDescent="0.2">
      <c r="A26" s="84"/>
      <c r="B26" s="176" t="s">
        <v>389</v>
      </c>
      <c r="C26" s="85">
        <f>Sheet1!C71</f>
        <v>5479.6</v>
      </c>
      <c r="D26" s="85">
        <f>Sheet1!D71</f>
        <v>7131.72</v>
      </c>
      <c r="E26" s="85">
        <f>Sheet1!E71</f>
        <v>8830.6</v>
      </c>
      <c r="F26" s="85">
        <f>Sheet1!F71</f>
        <v>10108.200000000001</v>
      </c>
      <c r="G26" s="85">
        <f>Sheet1!G71</f>
        <v>9062.5</v>
      </c>
      <c r="H26" s="348"/>
      <c r="I26" s="349">
        <f>G26</f>
        <v>9062.5</v>
      </c>
      <c r="J26" s="349">
        <f>I26</f>
        <v>9062.5</v>
      </c>
      <c r="K26" s="350">
        <f>J26</f>
        <v>9062.5</v>
      </c>
      <c r="L26" s="428"/>
      <c r="M26" s="428"/>
      <c r="N26" s="345" t="s">
        <v>590</v>
      </c>
      <c r="O26" s="467">
        <v>0.14000000000000001</v>
      </c>
      <c r="P26" s="421" t="s">
        <v>589</v>
      </c>
      <c r="Q26" s="343"/>
      <c r="R26" s="343"/>
      <c r="S26" s="343"/>
      <c r="T26" s="422"/>
      <c r="U26" s="422"/>
      <c r="V26" s="343"/>
      <c r="W26" s="343"/>
      <c r="X26" s="343"/>
      <c r="Y26" s="295"/>
      <c r="Z26" s="295"/>
    </row>
    <row r="27" spans="1:26" x14ac:dyDescent="0.2">
      <c r="A27" s="84"/>
      <c r="B27" s="176" t="s">
        <v>14</v>
      </c>
      <c r="C27" s="85">
        <f>Sheet1!C78-Sheet1!C71</f>
        <v>8645.9499999999989</v>
      </c>
      <c r="D27" s="85">
        <f>Sheet1!D78-Sheet1!D71</f>
        <v>8767.7099999999991</v>
      </c>
      <c r="E27" s="85">
        <f>Sheet1!E78-Sheet1!E71</f>
        <v>9976.9</v>
      </c>
      <c r="F27" s="85">
        <f>Sheet1!F78-Sheet1!F71</f>
        <v>10598.7</v>
      </c>
      <c r="G27" s="85">
        <f>Sheet1!G78-Sheet1!G71</f>
        <v>10774.900000000001</v>
      </c>
      <c r="H27" s="348"/>
      <c r="I27" s="349">
        <f>G27</f>
        <v>10774.900000000001</v>
      </c>
      <c r="J27" s="349">
        <f>I27</f>
        <v>10774.900000000001</v>
      </c>
      <c r="K27" s="350">
        <f>J27</f>
        <v>10774.900000000001</v>
      </c>
      <c r="L27" s="428"/>
      <c r="M27" s="428"/>
      <c r="N27" s="345" t="s">
        <v>591</v>
      </c>
      <c r="O27" s="351">
        <v>0</v>
      </c>
      <c r="P27" s="336" t="s">
        <v>592</v>
      </c>
      <c r="Q27" s="343"/>
      <c r="R27" s="343"/>
      <c r="S27" s="343"/>
      <c r="T27" s="422"/>
      <c r="U27" s="422"/>
      <c r="V27" s="343"/>
      <c r="W27" s="343"/>
      <c r="X27" s="343"/>
      <c r="Y27" s="295"/>
      <c r="Z27" s="295"/>
    </row>
    <row r="28" spans="1:26" x14ac:dyDescent="0.2">
      <c r="A28" s="84"/>
      <c r="B28" s="157" t="s">
        <v>390</v>
      </c>
      <c r="C28" s="49">
        <f t="shared" ref="C28:K28" si="3">C24+C25-C26-C27</f>
        <v>10646.050000000001</v>
      </c>
      <c r="D28" s="49">
        <f t="shared" ref="D28:G28" si="4">D24+D25-D26-D27</f>
        <v>9422.8799999999974</v>
      </c>
      <c r="E28" s="49">
        <f t="shared" si="4"/>
        <v>11648.390000000001</v>
      </c>
      <c r="F28" s="49">
        <f t="shared" si="4"/>
        <v>16356.700000000004</v>
      </c>
      <c r="G28" s="49">
        <f t="shared" si="4"/>
        <v>12358744.1</v>
      </c>
      <c r="H28" s="466">
        <f t="shared" si="3"/>
        <v>0</v>
      </c>
      <c r="I28" s="463">
        <f t="shared" si="3"/>
        <v>4113552.7745945756</v>
      </c>
      <c r="J28" s="463">
        <f t="shared" si="3"/>
        <v>4130586.6525224843</v>
      </c>
      <c r="K28" s="464">
        <f t="shared" si="3"/>
        <v>11119234.183761613</v>
      </c>
      <c r="L28" s="428"/>
      <c r="M28" s="428"/>
      <c r="N28" s="345" t="s">
        <v>593</v>
      </c>
      <c r="O28" s="351">
        <v>0</v>
      </c>
      <c r="P28" s="336" t="s">
        <v>592</v>
      </c>
      <c r="Q28" s="343"/>
      <c r="R28" s="343"/>
      <c r="S28" s="343"/>
      <c r="T28" s="422"/>
      <c r="U28" s="422"/>
      <c r="V28" s="343"/>
      <c r="W28" s="343"/>
      <c r="X28" s="343"/>
      <c r="Y28" s="295"/>
      <c r="Z28" s="295"/>
    </row>
    <row r="29" spans="1:26" x14ac:dyDescent="0.2">
      <c r="A29" s="84"/>
      <c r="B29" s="176" t="s">
        <v>391</v>
      </c>
      <c r="C29" s="85">
        <f>SUM(C30:C32)</f>
        <v>6017.3000000000011</v>
      </c>
      <c r="D29" s="85">
        <f t="shared" ref="D29:G29" si="5">SUM(D30:D32)</f>
        <v>2029.5</v>
      </c>
      <c r="E29" s="85">
        <f t="shared" si="5"/>
        <v>4659.8999999999996</v>
      </c>
      <c r="F29" s="85">
        <f t="shared" si="5"/>
        <v>8730.1</v>
      </c>
      <c r="G29" s="85">
        <f t="shared" si="5"/>
        <v>10129.400000000001</v>
      </c>
      <c r="H29" s="348"/>
      <c r="I29" s="349">
        <f>MAX($G29*(1+$O15),((($O21-$G427)*$O25*AVERAGE(F$55,I55))+(($O23-F425)*$O26*AVERAGE(F$55,I55))))</f>
        <v>12661.750000000002</v>
      </c>
      <c r="J29" s="349">
        <f>MAX($G29*(1+$O15),((($O21-$G427)*$O25*AVERAGE(G$55,J55))+(($O23-G425)*$O26*AVERAGE(G$55,J55))))</f>
        <v>12661.750000000002</v>
      </c>
      <c r="K29" s="350">
        <f>MAX($G29*(1+$O16),((($O22-H427)*$O25*AVERAGE(H$55,K55))+(($O24-H425)*$O26*AVERAGE(H$55,K55))))</f>
        <v>20258.800000000003</v>
      </c>
      <c r="L29" s="428"/>
      <c r="M29" s="428"/>
      <c r="N29" s="428"/>
      <c r="O29" s="468"/>
      <c r="P29" s="421"/>
      <c r="Q29" s="343"/>
      <c r="R29" s="343"/>
      <c r="S29" s="343"/>
      <c r="T29" s="422"/>
      <c r="U29" s="422"/>
      <c r="V29" s="343"/>
      <c r="W29" s="343"/>
      <c r="X29" s="343"/>
      <c r="Y29" s="295"/>
      <c r="Z29" s="295"/>
    </row>
    <row r="30" spans="1:26" x14ac:dyDescent="0.2">
      <c r="A30" s="84"/>
      <c r="B30" s="176" t="s">
        <v>392</v>
      </c>
      <c r="C30" s="85">
        <f>Sheet1!C107+Sheet1!C109+Sheet1!C110</f>
        <v>5886.7000000000007</v>
      </c>
      <c r="D30" s="85">
        <f>Sheet1!D107+Sheet1!D109+Sheet1!D110</f>
        <v>1830.5</v>
      </c>
      <c r="E30" s="85">
        <f>Sheet1!E107+Sheet1!E109+Sheet1!E110</f>
        <v>4515.2999999999993</v>
      </c>
      <c r="F30" s="85">
        <f>Sheet1!F107+Sheet1!F109+Sheet1!F110</f>
        <v>8635.1</v>
      </c>
      <c r="G30" s="85">
        <f>Sheet1!G107+Sheet1!G109+Sheet1!G110</f>
        <v>10129.400000000001</v>
      </c>
      <c r="H30" s="348"/>
      <c r="I30" s="352"/>
      <c r="J30" s="349"/>
      <c r="K30" s="350"/>
      <c r="L30" s="428"/>
      <c r="M30" s="428"/>
      <c r="N30" s="428"/>
      <c r="O30" s="468"/>
      <c r="P30" s="421"/>
      <c r="Q30" s="343"/>
      <c r="R30" s="343"/>
      <c r="S30" s="343"/>
      <c r="T30" s="422"/>
      <c r="U30" s="422"/>
      <c r="V30" s="343"/>
      <c r="W30" s="343"/>
      <c r="X30" s="343"/>
      <c r="Y30" s="295"/>
      <c r="Z30" s="295"/>
    </row>
    <row r="31" spans="1:26" x14ac:dyDescent="0.2">
      <c r="A31" s="84"/>
      <c r="B31" s="176" t="s">
        <v>393</v>
      </c>
      <c r="C31" s="85">
        <f>Sheet1!C108</f>
        <v>-7.2000000000000028</v>
      </c>
      <c r="D31" s="85">
        <f>Sheet1!D108</f>
        <v>58.5</v>
      </c>
      <c r="E31" s="85">
        <f>Sheet1!E108</f>
        <v>0</v>
      </c>
      <c r="F31" s="85">
        <f>Sheet1!F108</f>
        <v>95</v>
      </c>
      <c r="G31" s="85">
        <f>Sheet1!G108</f>
        <v>0</v>
      </c>
      <c r="H31" s="348"/>
      <c r="I31" s="349"/>
      <c r="J31" s="349"/>
      <c r="K31" s="350"/>
      <c r="L31" s="428"/>
      <c r="M31" s="428"/>
      <c r="N31" s="428"/>
      <c r="O31" s="468"/>
      <c r="P31" s="421"/>
      <c r="Q31" s="343"/>
      <c r="R31" s="343"/>
      <c r="S31" s="343"/>
      <c r="T31" s="422"/>
      <c r="U31" s="422"/>
      <c r="V31" s="343"/>
      <c r="W31" s="343"/>
      <c r="X31" s="343"/>
      <c r="Y31" s="295"/>
      <c r="Z31" s="295"/>
    </row>
    <row r="32" spans="1:26" x14ac:dyDescent="0.2">
      <c r="A32" s="84"/>
      <c r="B32" s="176" t="s">
        <v>394</v>
      </c>
      <c r="C32" s="85">
        <f>Sheet1!C111</f>
        <v>137.80000000000001</v>
      </c>
      <c r="D32" s="85">
        <f>Sheet1!D111</f>
        <v>140.5</v>
      </c>
      <c r="E32" s="85">
        <f>Sheet1!E111</f>
        <v>144.6</v>
      </c>
      <c r="F32" s="85">
        <f>Sheet1!F111</f>
        <v>0</v>
      </c>
      <c r="G32" s="85">
        <f>Sheet1!G111</f>
        <v>0</v>
      </c>
      <c r="H32" s="348"/>
      <c r="I32" s="349"/>
      <c r="J32" s="349"/>
      <c r="K32" s="350"/>
      <c r="L32" s="428"/>
      <c r="M32" s="428"/>
      <c r="N32" s="428"/>
      <c r="O32" s="468"/>
      <c r="P32" s="421"/>
      <c r="Q32" s="343"/>
      <c r="R32" s="343"/>
      <c r="S32" s="343"/>
      <c r="T32" s="422"/>
      <c r="U32" s="422"/>
      <c r="V32" s="343"/>
      <c r="W32" s="343"/>
      <c r="X32" s="343"/>
      <c r="Y32" s="295"/>
      <c r="Z32" s="295"/>
    </row>
    <row r="33" spans="1:26" x14ac:dyDescent="0.2">
      <c r="A33" s="84"/>
      <c r="B33" s="157" t="s">
        <v>395</v>
      </c>
      <c r="C33" s="49">
        <f t="shared" ref="C33:K33" si="6">C28-C29</f>
        <v>4628.75</v>
      </c>
      <c r="D33" s="49">
        <f t="shared" ref="D33:G33" si="7">D28-D29</f>
        <v>7393.3799999999974</v>
      </c>
      <c r="E33" s="49">
        <f t="shared" si="7"/>
        <v>6988.4900000000016</v>
      </c>
      <c r="F33" s="49">
        <f t="shared" si="7"/>
        <v>7626.600000000004</v>
      </c>
      <c r="G33" s="49">
        <f t="shared" si="7"/>
        <v>12348614.699999999</v>
      </c>
      <c r="H33" s="466">
        <f t="shared" si="6"/>
        <v>0</v>
      </c>
      <c r="I33" s="463">
        <f t="shared" si="6"/>
        <v>4100891.0245945756</v>
      </c>
      <c r="J33" s="463">
        <f t="shared" si="6"/>
        <v>4117924.9025224843</v>
      </c>
      <c r="K33" s="464">
        <f t="shared" si="6"/>
        <v>11098975.383761613</v>
      </c>
      <c r="L33" s="428"/>
      <c r="M33" s="428"/>
      <c r="N33" s="428"/>
      <c r="O33" s="428"/>
      <c r="P33" s="343"/>
      <c r="Q33" s="343"/>
      <c r="R33" s="343"/>
      <c r="S33" s="343"/>
      <c r="T33" s="422"/>
      <c r="U33" s="422"/>
      <c r="V33" s="343"/>
      <c r="W33" s="343"/>
      <c r="X33" s="343"/>
      <c r="Y33" s="295"/>
      <c r="Z33" s="295"/>
    </row>
    <row r="34" spans="1:26" x14ac:dyDescent="0.2">
      <c r="A34" s="84"/>
      <c r="B34" s="176" t="s">
        <v>259</v>
      </c>
      <c r="C34" s="85">
        <f>Sheet1!C89</f>
        <v>953.75</v>
      </c>
      <c r="D34" s="85">
        <f>Sheet1!D89</f>
        <v>227.76</v>
      </c>
      <c r="E34" s="85">
        <f>Sheet1!E89</f>
        <v>3382.1</v>
      </c>
      <c r="F34" s="85">
        <f>Sheet1!F89</f>
        <v>283.7</v>
      </c>
      <c r="G34" s="85">
        <f>Sheet1!G89</f>
        <v>2215.3000000000002</v>
      </c>
      <c r="H34" s="348"/>
      <c r="I34" s="349"/>
      <c r="J34" s="349"/>
      <c r="K34" s="350"/>
      <c r="L34" s="428"/>
      <c r="M34" s="428"/>
      <c r="N34" s="428"/>
      <c r="O34" s="428"/>
      <c r="P34" s="343"/>
      <c r="Q34" s="343"/>
      <c r="R34" s="343"/>
      <c r="S34" s="343"/>
      <c r="T34" s="422"/>
      <c r="U34" s="422"/>
      <c r="V34" s="343"/>
      <c r="W34" s="343"/>
      <c r="X34" s="343"/>
      <c r="Y34" s="295"/>
      <c r="Z34" s="295"/>
    </row>
    <row r="35" spans="1:26" x14ac:dyDescent="0.2">
      <c r="A35" s="84"/>
      <c r="B35" s="176" t="s">
        <v>594</v>
      </c>
      <c r="C35" s="85">
        <f>Sheet1!C101</f>
        <v>517.92999999999995</v>
      </c>
      <c r="D35" s="85">
        <f>Sheet1!D101</f>
        <v>170.92</v>
      </c>
      <c r="E35" s="85">
        <f>Sheet1!E101</f>
        <v>149.69999999999999</v>
      </c>
      <c r="F35" s="85">
        <f>Sheet1!F101</f>
        <v>940.5</v>
      </c>
      <c r="G35" s="85">
        <f>Sheet1!G101</f>
        <v>11.1</v>
      </c>
      <c r="H35" s="348"/>
      <c r="I35" s="349"/>
      <c r="J35" s="349"/>
      <c r="K35" s="350"/>
      <c r="L35" s="428"/>
      <c r="M35" s="428"/>
      <c r="N35" s="428"/>
      <c r="O35" s="428"/>
      <c r="P35" s="343"/>
      <c r="Q35" s="343"/>
      <c r="R35" s="343"/>
      <c r="S35" s="343"/>
      <c r="T35" s="422"/>
      <c r="U35" s="422"/>
      <c r="V35" s="343"/>
      <c r="W35" s="343"/>
      <c r="X35" s="343"/>
      <c r="Y35" s="295"/>
      <c r="Z35" s="295"/>
    </row>
    <row r="36" spans="1:26" x14ac:dyDescent="0.2">
      <c r="A36" s="84"/>
      <c r="B36" s="176" t="s">
        <v>396</v>
      </c>
      <c r="C36" s="85">
        <f>Sheet1!C126</f>
        <v>0</v>
      </c>
      <c r="D36" s="85">
        <f>Sheet1!D126</f>
        <v>8.1999999999999993</v>
      </c>
      <c r="E36" s="85">
        <f>Sheet1!E126</f>
        <v>0</v>
      </c>
      <c r="F36" s="85">
        <f>Sheet1!F126</f>
        <v>0</v>
      </c>
      <c r="G36" s="85">
        <f>Sheet1!G126</f>
        <v>0</v>
      </c>
      <c r="H36" s="348"/>
      <c r="I36" s="349"/>
      <c r="J36" s="349"/>
      <c r="K36" s="350"/>
      <c r="L36" s="428"/>
      <c r="M36" s="428"/>
      <c r="N36" s="428"/>
      <c r="O36" s="428"/>
      <c r="P36" s="343"/>
      <c r="Q36" s="343"/>
      <c r="R36" s="343"/>
      <c r="S36" s="343"/>
      <c r="T36" s="422"/>
      <c r="U36" s="422"/>
      <c r="V36" s="343"/>
      <c r="W36" s="343"/>
      <c r="X36" s="343"/>
      <c r="Y36" s="295"/>
      <c r="Z36" s="295"/>
    </row>
    <row r="37" spans="1:26" x14ac:dyDescent="0.2">
      <c r="A37" s="84"/>
      <c r="B37" s="157" t="s">
        <v>397</v>
      </c>
      <c r="C37" s="49">
        <f>C33+C34+C36-C35</f>
        <v>5064.57</v>
      </c>
      <c r="D37" s="49">
        <f t="shared" ref="D37:G37" si="8">D33+D34+D36-D35</f>
        <v>7458.4199999999973</v>
      </c>
      <c r="E37" s="49">
        <f t="shared" si="8"/>
        <v>10220.890000000001</v>
      </c>
      <c r="F37" s="49">
        <f t="shared" si="8"/>
        <v>6969.8000000000038</v>
      </c>
      <c r="G37" s="49">
        <f t="shared" si="8"/>
        <v>12350818.9</v>
      </c>
      <c r="H37" s="466">
        <f t="shared" ref="H37" si="9">H33+H34+H36-H35</f>
        <v>0</v>
      </c>
      <c r="I37" s="463">
        <f t="shared" ref="I37:K37" si="10">I33+I34+I36</f>
        <v>4100891.0245945756</v>
      </c>
      <c r="J37" s="463">
        <f t="shared" si="10"/>
        <v>4117924.9025224843</v>
      </c>
      <c r="K37" s="464">
        <f t="shared" si="10"/>
        <v>11098975.383761613</v>
      </c>
      <c r="L37" s="428"/>
      <c r="M37" s="428"/>
      <c r="N37" s="428"/>
      <c r="O37" s="428"/>
      <c r="P37" s="343"/>
      <c r="Q37" s="343"/>
      <c r="R37" s="343"/>
      <c r="S37" s="343"/>
      <c r="T37" s="422"/>
      <c r="U37" s="422"/>
      <c r="V37" s="343"/>
      <c r="W37" s="343"/>
      <c r="X37" s="343"/>
      <c r="Y37" s="295"/>
      <c r="Z37" s="295"/>
    </row>
    <row r="38" spans="1:26" x14ac:dyDescent="0.2">
      <c r="A38" s="84"/>
      <c r="B38" s="176" t="s">
        <v>398</v>
      </c>
      <c r="C38" s="85">
        <f>Sheet1!C130+Sheet1!C131</f>
        <v>1164.9000000000001</v>
      </c>
      <c r="D38" s="85">
        <f>Sheet1!D130+Sheet1!D131</f>
        <v>2824.8999999999996</v>
      </c>
      <c r="E38" s="85">
        <f>Sheet1!E130+Sheet1!E131</f>
        <v>2165.1</v>
      </c>
      <c r="F38" s="85">
        <f>Sheet1!F130+Sheet1!F131</f>
        <v>3388.9</v>
      </c>
      <c r="G38" s="85">
        <f>Sheet1!G130+Sheet1!G131</f>
        <v>1480.5</v>
      </c>
      <c r="H38" s="348"/>
      <c r="I38" s="349"/>
      <c r="J38" s="349"/>
      <c r="K38" s="350"/>
      <c r="L38" s="428"/>
      <c r="M38" s="428"/>
      <c r="N38" s="428"/>
      <c r="O38" s="428"/>
      <c r="P38" s="343"/>
      <c r="Q38" s="343"/>
      <c r="R38" s="343"/>
      <c r="S38" s="343"/>
      <c r="T38" s="422"/>
      <c r="U38" s="422"/>
      <c r="V38" s="343"/>
      <c r="W38" s="343"/>
      <c r="X38" s="343"/>
      <c r="Y38" s="295"/>
      <c r="Z38" s="295"/>
    </row>
    <row r="39" spans="1:26" x14ac:dyDescent="0.2">
      <c r="A39" s="84"/>
      <c r="B39" s="157" t="s">
        <v>399</v>
      </c>
      <c r="C39" s="49">
        <f t="shared" ref="C39:K39" si="11">C37-C38</f>
        <v>3899.6699999999996</v>
      </c>
      <c r="D39" s="49">
        <f t="shared" ref="D39:G39" si="12">D37-D38</f>
        <v>4633.5199999999977</v>
      </c>
      <c r="E39" s="49">
        <f t="shared" si="12"/>
        <v>8055.7900000000009</v>
      </c>
      <c r="F39" s="49">
        <f t="shared" si="12"/>
        <v>3580.9000000000037</v>
      </c>
      <c r="G39" s="49">
        <f t="shared" si="12"/>
        <v>12349338.4</v>
      </c>
      <c r="H39" s="466">
        <f t="shared" si="11"/>
        <v>0</v>
      </c>
      <c r="I39" s="463">
        <f t="shared" si="11"/>
        <v>4100891.0245945756</v>
      </c>
      <c r="J39" s="463">
        <f t="shared" si="11"/>
        <v>4117924.9025224843</v>
      </c>
      <c r="K39" s="464">
        <f t="shared" si="11"/>
        <v>11098975.383761613</v>
      </c>
      <c r="L39" s="428"/>
      <c r="M39" s="428"/>
      <c r="N39" s="428"/>
      <c r="O39" s="428"/>
      <c r="P39" s="343"/>
      <c r="Q39" s="343"/>
      <c r="R39" s="343"/>
      <c r="S39" s="343"/>
      <c r="T39" s="422"/>
      <c r="U39" s="422"/>
      <c r="V39" s="343"/>
      <c r="W39" s="343"/>
      <c r="X39" s="343"/>
      <c r="Y39" s="295"/>
      <c r="Z39" s="295"/>
    </row>
    <row r="40" spans="1:26" ht="15.75" thickBot="1" x14ac:dyDescent="0.25">
      <c r="A40" s="286"/>
      <c r="B40" s="79"/>
      <c r="C40" s="80" t="b">
        <f>C39=Sheet1!C135</f>
        <v>1</v>
      </c>
      <c r="D40" s="80" t="b">
        <f>D39=Sheet1!D135</f>
        <v>1</v>
      </c>
      <c r="E40" s="80" t="b">
        <f>E39=Sheet1!E135</f>
        <v>1</v>
      </c>
      <c r="F40" s="80" t="b">
        <f>F39=Sheet1!F135</f>
        <v>1</v>
      </c>
      <c r="G40" s="80" t="b">
        <f>G39=Sheet1!G135</f>
        <v>1</v>
      </c>
      <c r="H40" s="469"/>
      <c r="I40" s="470"/>
      <c r="J40" s="470"/>
      <c r="K40" s="471"/>
      <c r="L40" s="428"/>
      <c r="M40" s="428"/>
      <c r="N40" s="428"/>
      <c r="O40" s="428"/>
      <c r="P40" s="343"/>
      <c r="Q40" s="343"/>
      <c r="R40" s="343"/>
      <c r="S40" s="343"/>
      <c r="T40" s="422"/>
      <c r="U40" s="422"/>
      <c r="V40" s="343"/>
      <c r="W40" s="343"/>
      <c r="X40" s="343"/>
      <c r="Y40" s="295"/>
      <c r="Z40" s="295"/>
    </row>
    <row r="41" spans="1:26" x14ac:dyDescent="0.2">
      <c r="H41" s="419"/>
      <c r="I41" s="428"/>
      <c r="J41" s="428"/>
      <c r="K41" s="428"/>
      <c r="L41" s="428"/>
      <c r="M41" s="428"/>
      <c r="N41" s="428"/>
      <c r="O41" s="428"/>
      <c r="P41" s="343"/>
      <c r="Q41" s="343"/>
      <c r="R41" s="343"/>
      <c r="S41" s="343"/>
      <c r="T41" s="422"/>
      <c r="U41" s="422"/>
      <c r="V41" s="343"/>
      <c r="W41" s="343"/>
      <c r="X41" s="343"/>
      <c r="Y41" s="295"/>
      <c r="Z41" s="295"/>
    </row>
    <row r="42" spans="1:26" ht="13.5" thickBot="1" x14ac:dyDescent="0.25">
      <c r="H42" s="419"/>
      <c r="I42" s="428"/>
      <c r="J42" s="428"/>
      <c r="K42" s="428"/>
      <c r="L42" s="428"/>
      <c r="M42" s="428"/>
      <c r="N42" s="428"/>
      <c r="O42" s="428"/>
      <c r="P42" s="343"/>
      <c r="Q42" s="343"/>
      <c r="R42" s="343"/>
      <c r="S42" s="343"/>
      <c r="T42" s="422"/>
      <c r="U42" s="422"/>
      <c r="V42" s="343"/>
      <c r="W42" s="343"/>
      <c r="X42" s="343"/>
      <c r="Y42" s="295"/>
      <c r="Z42" s="295"/>
    </row>
    <row r="43" spans="1:26" ht="19.5" thickBot="1" x14ac:dyDescent="0.25">
      <c r="A43" s="41"/>
      <c r="B43" s="34" t="s">
        <v>400</v>
      </c>
      <c r="H43" s="419"/>
      <c r="I43" s="428"/>
      <c r="J43" s="428"/>
      <c r="K43" s="428"/>
      <c r="L43" s="428"/>
      <c r="M43" s="428"/>
      <c r="N43" s="428"/>
      <c r="O43" s="428"/>
      <c r="P43" s="343"/>
      <c r="Q43" s="343"/>
      <c r="R43" s="343"/>
      <c r="S43" s="343"/>
      <c r="T43" s="422"/>
      <c r="U43" s="422"/>
      <c r="V43" s="343"/>
      <c r="W43" s="343"/>
      <c r="X43" s="343"/>
      <c r="Y43" s="295"/>
      <c r="Z43" s="295"/>
    </row>
    <row r="44" spans="1:26" x14ac:dyDescent="0.2">
      <c r="A44" s="169"/>
      <c r="B44" s="176"/>
      <c r="C44" s="171" t="str">
        <f>C$21</f>
        <v>31/03/2017</v>
      </c>
      <c r="D44" s="171" t="str">
        <f t="shared" ref="D44:K44" si="13">D$21</f>
        <v>31/03/2018</v>
      </c>
      <c r="E44" s="171" t="str">
        <f t="shared" si="13"/>
        <v>31/03/2019</v>
      </c>
      <c r="F44" s="171" t="str">
        <f t="shared" si="13"/>
        <v>31/03/2020</v>
      </c>
      <c r="G44" s="171" t="str">
        <f t="shared" si="13"/>
        <v>31/03/2021</v>
      </c>
      <c r="H44" s="459" t="str">
        <f t="shared" si="13"/>
        <v>YTD</v>
      </c>
      <c r="I44" s="460" t="str">
        <f t="shared" si="13"/>
        <v>FY22E</v>
      </c>
      <c r="J44" s="460" t="str">
        <f t="shared" si="13"/>
        <v>FY22 Base Case</v>
      </c>
      <c r="K44" s="461" t="str">
        <f t="shared" si="13"/>
        <v>FY22 Stressed Case</v>
      </c>
      <c r="L44" s="428"/>
      <c r="M44" s="428"/>
      <c r="N44" s="428"/>
      <c r="O44" s="428"/>
      <c r="P44" s="343"/>
      <c r="Q44" s="343"/>
      <c r="R44" s="343"/>
      <c r="S44" s="343"/>
      <c r="T44" s="422"/>
      <c r="U44" s="422"/>
      <c r="V44" s="343"/>
      <c r="W44" s="343"/>
      <c r="X44" s="343"/>
      <c r="Y44" s="295"/>
      <c r="Z44" s="295"/>
    </row>
    <row r="45" spans="1:26" x14ac:dyDescent="0.2">
      <c r="A45" s="84"/>
      <c r="B45" s="176" t="s">
        <v>401</v>
      </c>
      <c r="C45" s="85">
        <f>Sheet1!C154</f>
        <v>12975.5</v>
      </c>
      <c r="D45" s="85">
        <f>Sheet1!D154</f>
        <v>12975.5</v>
      </c>
      <c r="E45" s="85">
        <f>Sheet1!E154</f>
        <v>13755.6</v>
      </c>
      <c r="F45" s="85">
        <f>Sheet1!F154</f>
        <v>16299.3</v>
      </c>
      <c r="G45" s="85">
        <f>Sheet1!G154</f>
        <v>16299.3</v>
      </c>
      <c r="H45" s="348"/>
      <c r="I45" s="349"/>
      <c r="J45" s="349"/>
      <c r="K45" s="350"/>
      <c r="L45" s="428"/>
      <c r="M45" s="428"/>
      <c r="N45" s="428"/>
      <c r="O45" s="428"/>
      <c r="P45" s="343"/>
      <c r="Q45" s="343"/>
      <c r="R45" s="343"/>
      <c r="S45" s="343"/>
      <c r="T45" s="422"/>
      <c r="U45" s="422"/>
      <c r="V45" s="343"/>
      <c r="W45" s="343"/>
      <c r="X45" s="343"/>
      <c r="Y45" s="295"/>
      <c r="Z45" s="295"/>
    </row>
    <row r="46" spans="1:26" x14ac:dyDescent="0.2">
      <c r="A46" s="84"/>
      <c r="B46" s="176" t="s">
        <v>39</v>
      </c>
      <c r="C46" s="85">
        <f>Sheet1!C158</f>
        <v>0</v>
      </c>
      <c r="D46" s="85">
        <f>Sheet1!D158</f>
        <v>0</v>
      </c>
      <c r="E46" s="85">
        <f>Sheet1!E158</f>
        <v>0</v>
      </c>
      <c r="F46" s="85">
        <f>Sheet1!F158</f>
        <v>0</v>
      </c>
      <c r="G46" s="85">
        <f>Sheet1!G158</f>
        <v>0</v>
      </c>
      <c r="H46" s="348"/>
      <c r="I46" s="349"/>
      <c r="J46" s="349"/>
      <c r="K46" s="350"/>
      <c r="L46" s="428"/>
      <c r="M46" s="428"/>
      <c r="N46" s="428"/>
      <c r="O46" s="428"/>
      <c r="P46" s="343"/>
      <c r="Q46" s="343"/>
      <c r="R46" s="343"/>
      <c r="S46" s="343"/>
      <c r="T46" s="422"/>
      <c r="U46" s="422"/>
      <c r="V46" s="343"/>
      <c r="W46" s="343"/>
      <c r="X46" s="343"/>
      <c r="Y46" s="295"/>
      <c r="Z46" s="295"/>
    </row>
    <row r="47" spans="1:26" x14ac:dyDescent="0.2">
      <c r="A47" s="84"/>
      <c r="B47" s="176" t="s">
        <v>402</v>
      </c>
      <c r="C47" s="85">
        <f>SUM(Sheet1!C155,Sheet1!C156,Sheet1!C157,Sheet1!C159,Sheet1!C161,-Sheet1!C158)</f>
        <v>27665.3</v>
      </c>
      <c r="D47" s="85">
        <f>SUM(Sheet1!D155,Sheet1!D156,Sheet1!D157,Sheet1!D159,Sheet1!D161,-Sheet1!D158)</f>
        <v>31741.599999999999</v>
      </c>
      <c r="E47" s="85">
        <f>SUM(Sheet1!E155,Sheet1!E156,Sheet1!E157,Sheet1!E159,Sheet1!E161,-Sheet1!E158)</f>
        <v>45570.700000000004</v>
      </c>
      <c r="F47" s="85">
        <f>SUM(Sheet1!F155,Sheet1!F156,Sheet1!F157,Sheet1!F159,Sheet1!F161,-Sheet1!F158)</f>
        <v>45834.3</v>
      </c>
      <c r="G47" s="85">
        <f>SUM(Sheet1!G155,Sheet1!G156,Sheet1!G157,Sheet1!G159,Sheet1!G161,-Sheet1!G158)</f>
        <v>51054.1</v>
      </c>
      <c r="H47" s="348"/>
      <c r="I47" s="349"/>
      <c r="J47" s="349"/>
      <c r="K47" s="350"/>
      <c r="L47" s="428"/>
      <c r="M47" s="428"/>
      <c r="N47" s="428"/>
      <c r="O47" s="428"/>
      <c r="P47" s="343"/>
      <c r="Q47" s="343"/>
      <c r="R47" s="343"/>
      <c r="S47" s="343"/>
      <c r="T47" s="422"/>
      <c r="U47" s="422"/>
      <c r="V47" s="343"/>
      <c r="W47" s="343"/>
      <c r="X47" s="343"/>
      <c r="Y47" s="295"/>
      <c r="Z47" s="295"/>
    </row>
    <row r="48" spans="1:26" x14ac:dyDescent="0.2">
      <c r="A48" s="84"/>
      <c r="B48" s="157" t="s">
        <v>403</v>
      </c>
      <c r="C48" s="49">
        <f>Sheet1!C165</f>
        <v>40310</v>
      </c>
      <c r="D48" s="49">
        <f>Sheet1!D165</f>
        <v>44481.8</v>
      </c>
      <c r="E48" s="49">
        <f>Sheet1!E165</f>
        <v>59097.599999999999</v>
      </c>
      <c r="F48" s="49">
        <f>Sheet1!F165</f>
        <v>61919.199999999997</v>
      </c>
      <c r="G48" s="49">
        <f>Sheet1!G165</f>
        <v>67088.3</v>
      </c>
      <c r="H48" s="466">
        <f t="shared" ref="H48" si="14">H45+H47</f>
        <v>0</v>
      </c>
      <c r="I48" s="463">
        <f>G48+O27+I39</f>
        <v>4167979.3245945754</v>
      </c>
      <c r="J48" s="463">
        <f>G48+O27+J39</f>
        <v>4185013.2025224841</v>
      </c>
      <c r="K48" s="464">
        <f>G48+O28+K39</f>
        <v>11166063.683761613</v>
      </c>
      <c r="L48" s="428"/>
      <c r="M48" s="428"/>
      <c r="N48" s="428"/>
      <c r="O48" s="428"/>
      <c r="P48" s="343"/>
      <c r="Q48" s="343"/>
      <c r="R48" s="343"/>
      <c r="S48" s="343"/>
      <c r="T48" s="422"/>
      <c r="U48" s="422"/>
      <c r="V48" s="343"/>
      <c r="W48" s="343"/>
      <c r="X48" s="343"/>
      <c r="Y48" s="295"/>
      <c r="Z48" s="295"/>
    </row>
    <row r="49" spans="1:26" x14ac:dyDescent="0.2">
      <c r="A49" s="84"/>
      <c r="B49" s="176" t="s">
        <v>404</v>
      </c>
      <c r="C49" s="85">
        <f>Sheet1!C189</f>
        <v>94568.4</v>
      </c>
      <c r="D49" s="85">
        <f>Sheet1!D189</f>
        <v>144677.9</v>
      </c>
      <c r="E49" s="85">
        <f>Sheet1!E189</f>
        <v>180807</v>
      </c>
      <c r="F49" s="85">
        <f>Sheet1!F189</f>
        <v>215103.8</v>
      </c>
      <c r="G49" s="85">
        <f>Sheet1!G189</f>
        <v>212126.7</v>
      </c>
      <c r="H49" s="348"/>
      <c r="I49" s="349">
        <f>O3</f>
        <v>0</v>
      </c>
      <c r="J49" s="349">
        <f>SUM(G49:G50)*(1+O6)</f>
        <v>541214.69999999995</v>
      </c>
      <c r="K49" s="350">
        <f>SUM(G49:G50)*(1+O7)</f>
        <v>487093.23</v>
      </c>
      <c r="L49" s="428"/>
      <c r="M49" s="428"/>
      <c r="N49" s="428"/>
      <c r="O49" s="428"/>
      <c r="P49" s="343"/>
      <c r="Q49" s="343"/>
      <c r="R49" s="343"/>
      <c r="S49" s="343"/>
      <c r="T49" s="422"/>
      <c r="U49" s="422"/>
      <c r="V49" s="343"/>
      <c r="W49" s="343"/>
      <c r="X49" s="343"/>
      <c r="Y49" s="295"/>
      <c r="Z49" s="295"/>
    </row>
    <row r="50" spans="1:26" x14ac:dyDescent="0.2">
      <c r="A50" s="84"/>
      <c r="B50" s="176" t="s">
        <v>405</v>
      </c>
      <c r="C50" s="85">
        <f>Sheet1!C209</f>
        <v>186819.1</v>
      </c>
      <c r="D50" s="85">
        <f>Sheet1!D209</f>
        <v>176296.4</v>
      </c>
      <c r="E50" s="85">
        <f>Sheet1!E209</f>
        <v>211778.2</v>
      </c>
      <c r="F50" s="85">
        <f>Sheet1!F209</f>
        <v>252021.5</v>
      </c>
      <c r="G50" s="85">
        <f>Sheet1!G209</f>
        <v>329088</v>
      </c>
      <c r="H50" s="348"/>
      <c r="I50" s="349"/>
      <c r="J50" s="349"/>
      <c r="K50" s="350"/>
      <c r="L50" s="428"/>
      <c r="M50" s="428"/>
      <c r="N50" s="428"/>
      <c r="O50" s="428"/>
      <c r="P50" s="343"/>
      <c r="Q50" s="343"/>
      <c r="R50" s="343"/>
      <c r="S50" s="343"/>
      <c r="T50" s="422"/>
      <c r="U50" s="422"/>
      <c r="V50" s="343"/>
      <c r="W50" s="343"/>
      <c r="X50" s="343"/>
      <c r="Y50" s="295"/>
      <c r="Z50" s="295"/>
    </row>
    <row r="51" spans="1:26" x14ac:dyDescent="0.2">
      <c r="A51" s="84"/>
      <c r="B51" s="176" t="s">
        <v>406</v>
      </c>
      <c r="C51" s="85">
        <f>SUM(Sheet1!C167,Sheet1!C216:C220)</f>
        <v>2528</v>
      </c>
      <c r="D51" s="85">
        <f>SUM(Sheet1!D167,Sheet1!D216:D220)</f>
        <v>7676.3</v>
      </c>
      <c r="E51" s="85">
        <f>SUM(Sheet1!E167,Sheet1!E216:E220)</f>
        <v>3431.1</v>
      </c>
      <c r="F51" s="85">
        <f>SUM(Sheet1!F167,Sheet1!F216:F220)</f>
        <v>1764.4999999999995</v>
      </c>
      <c r="G51" s="85">
        <f>SUM(Sheet1!G167,Sheet1!G216:G220)</f>
        <v>4411.7</v>
      </c>
      <c r="H51" s="348"/>
      <c r="I51" s="349">
        <f>G51</f>
        <v>4411.7</v>
      </c>
      <c r="J51" s="349">
        <f>G51</f>
        <v>4411.7</v>
      </c>
      <c r="K51" s="350">
        <f>G51</f>
        <v>4411.7</v>
      </c>
      <c r="L51" s="428"/>
      <c r="M51" s="428"/>
      <c r="N51" s="428"/>
      <c r="O51" s="428"/>
      <c r="P51" s="343"/>
      <c r="Q51" s="343"/>
      <c r="R51" s="343"/>
      <c r="S51" s="343"/>
      <c r="T51" s="422"/>
      <c r="U51" s="422"/>
      <c r="V51" s="343"/>
      <c r="W51" s="343"/>
      <c r="X51" s="343"/>
      <c r="Y51" s="295"/>
      <c r="Z51" s="295"/>
    </row>
    <row r="52" spans="1:26" x14ac:dyDescent="0.2">
      <c r="A52" s="84"/>
      <c r="B52" s="176" t="s">
        <v>407</v>
      </c>
      <c r="C52" s="85">
        <f>SUM(Sheet1!C221:C223)</f>
        <v>19863.099999999999</v>
      </c>
      <c r="D52" s="85">
        <f>SUM(Sheet1!D221:D223)</f>
        <v>24923.3</v>
      </c>
      <c r="E52" s="85">
        <f>SUM(Sheet1!E221:E223)</f>
        <v>10144.9</v>
      </c>
      <c r="F52" s="85">
        <f>SUM(Sheet1!F221:F223)</f>
        <v>11918.9</v>
      </c>
      <c r="G52" s="85">
        <f>SUM(Sheet1!G221:G223)</f>
        <v>14970.6</v>
      </c>
      <c r="H52" s="348"/>
      <c r="I52" s="349">
        <f>G52</f>
        <v>14970.6</v>
      </c>
      <c r="J52" s="349">
        <f>G52</f>
        <v>14970.6</v>
      </c>
      <c r="K52" s="350">
        <f>G52</f>
        <v>14970.6</v>
      </c>
      <c r="L52" s="428"/>
      <c r="M52" s="428"/>
      <c r="N52" s="428"/>
      <c r="O52" s="428"/>
      <c r="P52" s="343"/>
      <c r="Q52" s="343"/>
      <c r="R52" s="343"/>
      <c r="S52" s="343"/>
      <c r="T52" s="422"/>
      <c r="U52" s="422"/>
      <c r="V52" s="343"/>
      <c r="W52" s="343"/>
      <c r="X52" s="343"/>
      <c r="Y52" s="295"/>
      <c r="Z52" s="295"/>
    </row>
    <row r="53" spans="1:26" x14ac:dyDescent="0.2">
      <c r="A53" s="84"/>
      <c r="B53" s="157" t="s">
        <v>66</v>
      </c>
      <c r="C53" s="49">
        <f>C48+C49+C50+C51+C52</f>
        <v>344088.6</v>
      </c>
      <c r="D53" s="49">
        <f t="shared" ref="D53:G53" si="15">D48+D49+D50+D51+D52</f>
        <v>398055.69999999995</v>
      </c>
      <c r="E53" s="49">
        <f t="shared" si="15"/>
        <v>465258.80000000005</v>
      </c>
      <c r="F53" s="49">
        <f t="shared" si="15"/>
        <v>542727.9</v>
      </c>
      <c r="G53" s="49">
        <f t="shared" si="15"/>
        <v>627685.29999999993</v>
      </c>
      <c r="H53" s="466">
        <f t="shared" ref="H53:K53" si="16">H48+H49+H50+H51+H52</f>
        <v>0</v>
      </c>
      <c r="I53" s="463">
        <f t="shared" si="16"/>
        <v>4187361.6245945757</v>
      </c>
      <c r="J53" s="463">
        <f t="shared" si="16"/>
        <v>4745610.2025224837</v>
      </c>
      <c r="K53" s="464">
        <f t="shared" si="16"/>
        <v>11672539.213761613</v>
      </c>
      <c r="L53" s="428"/>
      <c r="M53" s="428"/>
      <c r="N53" s="428"/>
      <c r="O53" s="428"/>
      <c r="P53" s="343"/>
      <c r="Q53" s="343"/>
      <c r="R53" s="343"/>
      <c r="S53" s="343"/>
      <c r="T53" s="422"/>
      <c r="U53" s="422"/>
      <c r="V53" s="343"/>
      <c r="W53" s="343"/>
      <c r="X53" s="343"/>
      <c r="Y53" s="295"/>
      <c r="Z53" s="295"/>
    </row>
    <row r="54" spans="1:26" x14ac:dyDescent="0.2">
      <c r="A54" s="84"/>
      <c r="B54" s="157"/>
      <c r="C54" s="49"/>
      <c r="D54" s="49"/>
      <c r="E54" s="49"/>
      <c r="F54" s="49"/>
      <c r="G54" s="49"/>
      <c r="H54" s="466"/>
      <c r="I54" s="463"/>
      <c r="J54" s="463"/>
      <c r="K54" s="464"/>
      <c r="L54" s="428"/>
      <c r="M54" s="428"/>
      <c r="N54" s="428"/>
      <c r="O54" s="428"/>
      <c r="P54" s="343"/>
      <c r="Q54" s="343"/>
      <c r="R54" s="343"/>
      <c r="S54" s="343"/>
      <c r="T54" s="422"/>
      <c r="U54" s="422"/>
      <c r="V54" s="343"/>
      <c r="W54" s="343"/>
      <c r="X54" s="343"/>
      <c r="Y54" s="295"/>
      <c r="Z54" s="295"/>
    </row>
    <row r="55" spans="1:26" x14ac:dyDescent="0.2">
      <c r="A55" s="84"/>
      <c r="B55" s="176" t="s">
        <v>408</v>
      </c>
      <c r="C55" s="85">
        <f>Sheet1!C274</f>
        <v>289495.34999999998</v>
      </c>
      <c r="D55" s="85">
        <f>Sheet1!D274</f>
        <v>368128.35000000009</v>
      </c>
      <c r="E55" s="85">
        <f>Sheet1!E274</f>
        <v>408425.9</v>
      </c>
      <c r="F55" s="85">
        <f>Sheet1!F274</f>
        <v>448062.00000000006</v>
      </c>
      <c r="G55" s="85">
        <f>Sheet1!G274</f>
        <v>496873.19999999995</v>
      </c>
      <c r="H55" s="348"/>
      <c r="I55" s="349">
        <f>O2</f>
        <v>0</v>
      </c>
      <c r="J55" s="349">
        <f>G55*(1+O4)</f>
        <v>496873.19999999995</v>
      </c>
      <c r="K55" s="350">
        <f>G55*(1+O5)</f>
        <v>447185.87999999995</v>
      </c>
      <c r="L55" s="428"/>
      <c r="M55" s="428"/>
      <c r="N55" s="428"/>
      <c r="O55" s="428"/>
      <c r="P55" s="343"/>
      <c r="Q55" s="343"/>
      <c r="R55" s="343"/>
      <c r="S55" s="343"/>
      <c r="T55" s="422"/>
      <c r="U55" s="422"/>
      <c r="V55" s="343"/>
      <c r="W55" s="343"/>
      <c r="X55" s="343"/>
      <c r="Y55" s="295"/>
      <c r="Z55" s="295"/>
    </row>
    <row r="56" spans="1:26" x14ac:dyDescent="0.2">
      <c r="A56" s="84"/>
      <c r="B56" s="176" t="s">
        <v>595</v>
      </c>
      <c r="C56" s="85">
        <f>Sheet1!C261</f>
        <v>289495.34999999998</v>
      </c>
      <c r="D56" s="85">
        <f>Sheet1!D261</f>
        <v>362888.95000000007</v>
      </c>
      <c r="E56" s="85">
        <f>Sheet1!E261</f>
        <v>408425.9</v>
      </c>
      <c r="F56" s="85">
        <f>Sheet1!F261</f>
        <v>165027.50000000006</v>
      </c>
      <c r="G56" s="85">
        <f>Sheet1!G261</f>
        <v>116983.0999999999</v>
      </c>
      <c r="H56" s="348"/>
      <c r="I56" s="349"/>
      <c r="J56" s="349"/>
      <c r="K56" s="350"/>
      <c r="L56" s="428"/>
      <c r="M56" s="428"/>
      <c r="N56" s="428"/>
      <c r="O56" s="428"/>
      <c r="P56" s="343"/>
      <c r="Q56" s="343"/>
      <c r="R56" s="343"/>
      <c r="S56" s="343"/>
      <c r="T56" s="422"/>
      <c r="U56" s="422"/>
      <c r="V56" s="343"/>
      <c r="W56" s="343"/>
      <c r="X56" s="343"/>
      <c r="Y56" s="295"/>
      <c r="Z56" s="295"/>
    </row>
    <row r="57" spans="1:26" x14ac:dyDescent="0.2">
      <c r="A57" s="84"/>
      <c r="B57" s="176" t="s">
        <v>596</v>
      </c>
      <c r="C57" s="85">
        <f>Sheet1!C272</f>
        <v>0</v>
      </c>
      <c r="D57" s="85">
        <f>Sheet1!D272</f>
        <v>5239.3999999999996</v>
      </c>
      <c r="E57" s="85">
        <f>Sheet1!E272</f>
        <v>0</v>
      </c>
      <c r="F57" s="85">
        <f>Sheet1!F272</f>
        <v>283034.5</v>
      </c>
      <c r="G57" s="85">
        <f>Sheet1!G272</f>
        <v>379890.10000000003</v>
      </c>
      <c r="H57" s="348"/>
      <c r="I57" s="349"/>
      <c r="J57" s="349"/>
      <c r="K57" s="350"/>
      <c r="L57" s="428"/>
      <c r="M57" s="428"/>
      <c r="N57" s="428"/>
      <c r="O57" s="428"/>
      <c r="P57" s="343"/>
      <c r="Q57" s="343"/>
      <c r="R57" s="343"/>
      <c r="S57" s="343"/>
      <c r="T57" s="422"/>
      <c r="U57" s="422"/>
      <c r="V57" s="343"/>
      <c r="W57" s="343"/>
      <c r="X57" s="343"/>
      <c r="Y57" s="295"/>
      <c r="Z57" s="295"/>
    </row>
    <row r="58" spans="1:26" x14ac:dyDescent="0.2">
      <c r="A58" s="84"/>
      <c r="B58" s="176" t="s">
        <v>75</v>
      </c>
      <c r="C58" s="85">
        <f>Sheet1!C290</f>
        <v>2610.9</v>
      </c>
      <c r="D58" s="85">
        <f>Sheet1!D290</f>
        <v>2839.5</v>
      </c>
      <c r="E58" s="85">
        <f>Sheet1!E290</f>
        <v>3665.3</v>
      </c>
      <c r="F58" s="85">
        <f>Sheet1!F290</f>
        <v>1896.3</v>
      </c>
      <c r="G58" s="85">
        <f>Sheet1!G290</f>
        <v>2050.3000000000002</v>
      </c>
      <c r="H58" s="348"/>
      <c r="I58" s="349">
        <f>G58</f>
        <v>2050.3000000000002</v>
      </c>
      <c r="J58" s="349">
        <f>G58</f>
        <v>2050.3000000000002</v>
      </c>
      <c r="K58" s="350">
        <f>G58</f>
        <v>2050.3000000000002</v>
      </c>
      <c r="L58" s="428"/>
      <c r="M58" s="428"/>
      <c r="N58" s="428"/>
      <c r="O58" s="428"/>
      <c r="P58" s="343"/>
      <c r="Q58" s="343"/>
      <c r="R58" s="343"/>
      <c r="S58" s="343"/>
      <c r="T58" s="422"/>
      <c r="U58" s="422"/>
      <c r="V58" s="343"/>
      <c r="W58" s="343"/>
      <c r="X58" s="343"/>
      <c r="Y58" s="295"/>
      <c r="Z58" s="295"/>
    </row>
    <row r="59" spans="1:26" x14ac:dyDescent="0.2">
      <c r="A59" s="84"/>
      <c r="B59" s="282" t="s">
        <v>800</v>
      </c>
      <c r="C59" s="85">
        <f>Sheet1!C280</f>
        <v>406.1</v>
      </c>
      <c r="D59" s="85">
        <f>Sheet1!D280</f>
        <v>799.6</v>
      </c>
      <c r="E59" s="85">
        <f>Sheet1!E280</f>
        <v>554.9</v>
      </c>
      <c r="F59" s="85">
        <f>Sheet1!F280</f>
        <v>459.9</v>
      </c>
      <c r="G59" s="85">
        <f>Sheet1!G280</f>
        <v>414.2</v>
      </c>
      <c r="H59" s="348"/>
      <c r="I59" s="349"/>
      <c r="J59" s="349"/>
      <c r="K59" s="350"/>
      <c r="L59" s="428"/>
      <c r="M59" s="428"/>
      <c r="N59" s="428"/>
      <c r="O59" s="428"/>
      <c r="P59" s="343"/>
      <c r="Q59" s="343"/>
      <c r="R59" s="343"/>
      <c r="S59" s="343"/>
      <c r="T59" s="422"/>
      <c r="U59" s="422"/>
      <c r="V59" s="343"/>
      <c r="W59" s="343"/>
      <c r="X59" s="343"/>
      <c r="Y59" s="295"/>
      <c r="Z59" s="295"/>
    </row>
    <row r="60" spans="1:26" x14ac:dyDescent="0.2">
      <c r="A60" s="84"/>
      <c r="B60" s="282" t="s">
        <v>801</v>
      </c>
      <c r="C60" s="85">
        <f>Sheet1!C279</f>
        <v>0</v>
      </c>
      <c r="D60" s="85">
        <f>Sheet1!D279</f>
        <v>0</v>
      </c>
      <c r="E60" s="85">
        <f>Sheet1!E279</f>
        <v>0</v>
      </c>
      <c r="F60" s="85">
        <f>Sheet1!F279</f>
        <v>0</v>
      </c>
      <c r="G60" s="85">
        <f>Sheet1!G279</f>
        <v>0</v>
      </c>
      <c r="H60" s="348"/>
      <c r="I60" s="349"/>
      <c r="J60" s="349"/>
      <c r="K60" s="350"/>
      <c r="L60" s="428"/>
      <c r="M60" s="428"/>
      <c r="N60" s="428"/>
      <c r="O60" s="428"/>
      <c r="P60" s="343"/>
      <c r="Q60" s="343"/>
      <c r="R60" s="343"/>
      <c r="S60" s="343"/>
      <c r="T60" s="422"/>
      <c r="U60" s="422"/>
      <c r="V60" s="343"/>
      <c r="W60" s="343"/>
      <c r="X60" s="343"/>
      <c r="Y60" s="295"/>
      <c r="Z60" s="295"/>
    </row>
    <row r="61" spans="1:26" x14ac:dyDescent="0.2">
      <c r="A61" s="84"/>
      <c r="B61" s="282" t="s">
        <v>802</v>
      </c>
      <c r="C61" s="85">
        <f>SUM(Sheet1!C281:C284)</f>
        <v>2204.8000000000002</v>
      </c>
      <c r="D61" s="85">
        <f>SUM(Sheet1!D281:D284)</f>
        <v>2039.8999999999999</v>
      </c>
      <c r="E61" s="85">
        <f>SUM(Sheet1!E281:E284)</f>
        <v>3110.3999999999996</v>
      </c>
      <c r="F61" s="85">
        <f>SUM(Sheet1!F281:F284)</f>
        <v>1436.4</v>
      </c>
      <c r="G61" s="85">
        <f>SUM(Sheet1!G281:G284)</f>
        <v>1636.100000000001</v>
      </c>
      <c r="H61" s="348"/>
      <c r="I61" s="349"/>
      <c r="J61" s="349"/>
      <c r="K61" s="350"/>
      <c r="L61" s="428"/>
      <c r="M61" s="428"/>
      <c r="N61" s="428"/>
      <c r="O61" s="428"/>
      <c r="P61" s="343"/>
      <c r="Q61" s="343"/>
      <c r="R61" s="343"/>
      <c r="S61" s="343"/>
      <c r="T61" s="422"/>
      <c r="U61" s="422"/>
      <c r="V61" s="343"/>
      <c r="W61" s="343"/>
      <c r="X61" s="343"/>
      <c r="Y61" s="295"/>
      <c r="Z61" s="295"/>
    </row>
    <row r="62" spans="1:26" x14ac:dyDescent="0.2">
      <c r="A62" s="84"/>
      <c r="B62" s="176" t="s">
        <v>409</v>
      </c>
      <c r="C62" s="85">
        <f>Sheet1!C293+Sheet1!C294</f>
        <v>34961.35</v>
      </c>
      <c r="D62" s="85">
        <f>Sheet1!D293+Sheet1!D294</f>
        <v>5146.1499999999996</v>
      </c>
      <c r="E62" s="85">
        <f>Sheet1!E293+Sheet1!E294</f>
        <v>31220.7</v>
      </c>
      <c r="F62" s="85">
        <f>Sheet1!F293+Sheet1!F294</f>
        <v>70351.399999999994</v>
      </c>
      <c r="G62" s="85">
        <f>Sheet1!G293+Sheet1!G294</f>
        <v>96846.200000000012</v>
      </c>
      <c r="H62" s="348"/>
      <c r="I62" s="349">
        <f>G62</f>
        <v>96846.200000000012</v>
      </c>
      <c r="J62" s="349">
        <f>G62</f>
        <v>96846.200000000012</v>
      </c>
      <c r="K62" s="350">
        <f>G62</f>
        <v>96846.200000000012</v>
      </c>
      <c r="L62" s="428"/>
      <c r="M62" s="428"/>
      <c r="N62" s="428"/>
      <c r="O62" s="428"/>
      <c r="P62" s="343"/>
      <c r="Q62" s="343"/>
      <c r="R62" s="343"/>
      <c r="S62" s="343"/>
      <c r="T62" s="422"/>
      <c r="U62" s="422"/>
      <c r="V62" s="343"/>
      <c r="W62" s="343"/>
      <c r="X62" s="343"/>
      <c r="Y62" s="295"/>
      <c r="Z62" s="295"/>
    </row>
    <row r="63" spans="1:26" x14ac:dyDescent="0.2">
      <c r="A63" s="84"/>
      <c r="B63" s="176" t="s">
        <v>67</v>
      </c>
      <c r="C63" s="85">
        <f>Sheet1!C246</f>
        <v>8537.6</v>
      </c>
      <c r="D63" s="85">
        <f>Sheet1!D246</f>
        <v>8655.2999999999993</v>
      </c>
      <c r="E63" s="85">
        <f>Sheet1!E246</f>
        <v>11418.9</v>
      </c>
      <c r="F63" s="85">
        <f>Sheet1!F246</f>
        <v>10936.2</v>
      </c>
      <c r="G63" s="85">
        <f>Sheet1!G246</f>
        <v>7786.2</v>
      </c>
      <c r="H63" s="348"/>
      <c r="I63" s="349">
        <f>G63</f>
        <v>7786.2</v>
      </c>
      <c r="J63" s="349">
        <f>G63</f>
        <v>7786.2</v>
      </c>
      <c r="K63" s="350">
        <f>G63</f>
        <v>7786.2</v>
      </c>
      <c r="L63" s="428"/>
      <c r="M63" s="428"/>
      <c r="N63" s="428"/>
      <c r="O63" s="428"/>
      <c r="P63" s="343"/>
      <c r="Q63" s="343"/>
      <c r="R63" s="343"/>
      <c r="S63" s="343"/>
      <c r="T63" s="422"/>
      <c r="U63" s="422"/>
      <c r="V63" s="343"/>
      <c r="W63" s="343"/>
      <c r="X63" s="343"/>
      <c r="Y63" s="295"/>
      <c r="Z63" s="295"/>
    </row>
    <row r="64" spans="1:26" x14ac:dyDescent="0.2">
      <c r="A64" s="84"/>
      <c r="B64" s="176" t="s">
        <v>410</v>
      </c>
      <c r="C64" s="85">
        <f>SUM(Sheet1!C248,Sheet1!C311)</f>
        <v>8483.4000000000015</v>
      </c>
      <c r="D64" s="85">
        <f>SUM(Sheet1!D248,Sheet1!D311)</f>
        <v>13286.4</v>
      </c>
      <c r="E64" s="85">
        <f>SUM(Sheet1!E248,Sheet1!E311)</f>
        <v>10528</v>
      </c>
      <c r="F64" s="85">
        <f>SUM(Sheet1!F248,Sheet1!F311)</f>
        <v>11482</v>
      </c>
      <c r="G64" s="85">
        <f>SUM(Sheet1!G248,Sheet1!G311)</f>
        <v>24129.399999999998</v>
      </c>
      <c r="H64" s="348"/>
      <c r="I64" s="349">
        <f>G64</f>
        <v>24129.399999999998</v>
      </c>
      <c r="J64" s="349">
        <f>G64</f>
        <v>24129.399999999998</v>
      </c>
      <c r="K64" s="350">
        <f>G64</f>
        <v>24129.399999999998</v>
      </c>
      <c r="L64" s="428"/>
      <c r="M64" s="428"/>
      <c r="N64" s="428"/>
      <c r="O64" s="428"/>
      <c r="P64" s="343"/>
      <c r="Q64" s="343"/>
      <c r="R64" s="343"/>
      <c r="S64" s="343"/>
      <c r="T64" s="422"/>
      <c r="U64" s="422"/>
      <c r="V64" s="343"/>
      <c r="W64" s="343"/>
      <c r="X64" s="343"/>
      <c r="Y64" s="295"/>
      <c r="Z64" s="295"/>
    </row>
    <row r="65" spans="1:26" x14ac:dyDescent="0.2">
      <c r="A65" s="84"/>
      <c r="B65" s="157" t="s">
        <v>81</v>
      </c>
      <c r="C65" s="49">
        <f>SUM(C55,C58,C62,C63,C64,Sheet1!C123)</f>
        <v>344088.6</v>
      </c>
      <c r="D65" s="49">
        <f>SUM(D55,D58,D62,D63,D64,Sheet1!D123)</f>
        <v>398055.70000000013</v>
      </c>
      <c r="E65" s="49">
        <f>SUM(E55,E58,E62,E63,E64,Sheet1!E123)</f>
        <v>465258.80000000005</v>
      </c>
      <c r="F65" s="49">
        <f>SUM(F55,F58,F62,F63,F64,Sheet1!F123)</f>
        <v>542727.9</v>
      </c>
      <c r="G65" s="49">
        <f>SUM(G55,G58,G62,G63,G64,Sheet1!G123)</f>
        <v>627685.29999999993</v>
      </c>
      <c r="H65" s="466">
        <f>SUM(H55,H58,H62,H63,H64,Sheet1!H123)</f>
        <v>0</v>
      </c>
      <c r="I65" s="463">
        <f>SUM(I55,I58,I62,I63,I64,Sheet1!I123)</f>
        <v>130812.1</v>
      </c>
      <c r="J65" s="463">
        <f>SUM(J55,J58,J62,J63,J64,Sheet1!Q123)</f>
        <v>627685.29999999993</v>
      </c>
      <c r="K65" s="464">
        <f>SUM(K55,K58,K62,K63,K64,Sheet1!R123)</f>
        <v>577997.97999999986</v>
      </c>
      <c r="L65" s="428"/>
      <c r="M65" s="428"/>
      <c r="N65" s="428"/>
      <c r="O65" s="428"/>
      <c r="P65" s="343"/>
      <c r="Q65" s="343"/>
      <c r="R65" s="343"/>
      <c r="S65" s="343"/>
      <c r="T65" s="422"/>
      <c r="U65" s="422"/>
      <c r="V65" s="343"/>
      <c r="W65" s="343"/>
      <c r="X65" s="343"/>
      <c r="Y65" s="295"/>
      <c r="Z65" s="295"/>
    </row>
    <row r="66" spans="1:26" x14ac:dyDescent="0.2">
      <c r="A66" s="84"/>
      <c r="B66" s="157" t="s">
        <v>411</v>
      </c>
      <c r="C66" s="49" t="b">
        <f>C65=C53</f>
        <v>1</v>
      </c>
      <c r="D66" s="49" t="b">
        <f>D65=D53</f>
        <v>1</v>
      </c>
      <c r="E66" s="49" t="b">
        <f>E65=E53</f>
        <v>1</v>
      </c>
      <c r="F66" s="49" t="b">
        <f>F65=F53</f>
        <v>1</v>
      </c>
      <c r="G66" s="49" t="b">
        <f>G65=G53</f>
        <v>1</v>
      </c>
      <c r="H66" s="466"/>
      <c r="I66" s="463"/>
      <c r="J66" s="463"/>
      <c r="K66" s="464"/>
      <c r="L66" s="428"/>
      <c r="M66" s="428"/>
      <c r="N66" s="428"/>
      <c r="O66" s="428"/>
      <c r="P66" s="343"/>
      <c r="Q66" s="343"/>
      <c r="R66" s="343"/>
      <c r="S66" s="343"/>
      <c r="T66" s="422"/>
      <c r="U66" s="422"/>
      <c r="V66" s="343"/>
      <c r="W66" s="343"/>
      <c r="X66" s="343"/>
      <c r="Y66" s="295"/>
      <c r="Z66" s="295"/>
    </row>
    <row r="67" spans="1:26" x14ac:dyDescent="0.2">
      <c r="A67" s="84"/>
      <c r="B67" s="176"/>
      <c r="C67" s="85"/>
      <c r="D67" s="85"/>
      <c r="E67" s="85"/>
      <c r="F67" s="85"/>
      <c r="G67" s="85"/>
      <c r="H67" s="348"/>
      <c r="I67" s="349"/>
      <c r="J67" s="349"/>
      <c r="K67" s="350"/>
      <c r="L67" s="428"/>
      <c r="M67" s="428"/>
      <c r="N67" s="428"/>
      <c r="O67" s="428"/>
      <c r="P67" s="343"/>
      <c r="Q67" s="343"/>
      <c r="R67" s="343"/>
      <c r="S67" s="343"/>
      <c r="T67" s="422"/>
      <c r="U67" s="422"/>
      <c r="V67" s="343"/>
      <c r="W67" s="343"/>
      <c r="X67" s="343"/>
      <c r="Y67" s="295"/>
      <c r="Z67" s="295"/>
    </row>
    <row r="68" spans="1:26" x14ac:dyDescent="0.2">
      <c r="A68" s="84"/>
      <c r="B68" s="176" t="s">
        <v>412</v>
      </c>
      <c r="C68" s="85">
        <f>C49+C50</f>
        <v>281387.5</v>
      </c>
      <c r="D68" s="85">
        <f>D49+D50</f>
        <v>320974.3</v>
      </c>
      <c r="E68" s="85">
        <f>E49+E50</f>
        <v>392585.2</v>
      </c>
      <c r="F68" s="85">
        <f>F49+F50</f>
        <v>467125.3</v>
      </c>
      <c r="G68" s="85">
        <f>G49+G50</f>
        <v>541214.69999999995</v>
      </c>
      <c r="H68" s="348">
        <f t="shared" ref="H68:K68" si="17">H49+H50</f>
        <v>0</v>
      </c>
      <c r="I68" s="349">
        <f t="shared" si="17"/>
        <v>0</v>
      </c>
      <c r="J68" s="349">
        <f t="shared" si="17"/>
        <v>541214.69999999995</v>
      </c>
      <c r="K68" s="350">
        <f t="shared" si="17"/>
        <v>487093.23</v>
      </c>
      <c r="L68" s="428"/>
      <c r="M68" s="428"/>
      <c r="N68" s="428"/>
      <c r="O68" s="428"/>
      <c r="P68" s="343"/>
      <c r="Q68" s="343"/>
      <c r="R68" s="343"/>
      <c r="S68" s="343"/>
      <c r="T68" s="422"/>
      <c r="U68" s="422"/>
      <c r="V68" s="343"/>
      <c r="W68" s="343"/>
      <c r="X68" s="343"/>
      <c r="Y68" s="295"/>
      <c r="Z68" s="295"/>
    </row>
    <row r="69" spans="1:26" x14ac:dyDescent="0.2">
      <c r="A69" s="84"/>
      <c r="B69" s="176" t="s">
        <v>413</v>
      </c>
      <c r="C69" s="85">
        <f>C55+C58+C62</f>
        <v>327067.59999999998</v>
      </c>
      <c r="D69" s="85">
        <f>D55+D58+D62</f>
        <v>376114.00000000012</v>
      </c>
      <c r="E69" s="85">
        <f>E55+E58+E62</f>
        <v>443311.9</v>
      </c>
      <c r="F69" s="85">
        <f>F55+F58+F62</f>
        <v>520309.70000000007</v>
      </c>
      <c r="G69" s="85">
        <f>G55+G58+G62</f>
        <v>595769.69999999995</v>
      </c>
      <c r="H69" s="348">
        <f t="shared" ref="H69:K69" si="18">H55+H58+H62</f>
        <v>0</v>
      </c>
      <c r="I69" s="349">
        <f t="shared" si="18"/>
        <v>98896.500000000015</v>
      </c>
      <c r="J69" s="349">
        <f t="shared" si="18"/>
        <v>595769.69999999995</v>
      </c>
      <c r="K69" s="350">
        <f t="shared" si="18"/>
        <v>546082.37999999989</v>
      </c>
      <c r="L69" s="428"/>
      <c r="M69" s="428"/>
      <c r="N69" s="428"/>
      <c r="O69" s="428"/>
      <c r="P69" s="343"/>
      <c r="Q69" s="343"/>
      <c r="R69" s="343"/>
      <c r="S69" s="343"/>
      <c r="T69" s="422"/>
      <c r="U69" s="422"/>
      <c r="V69" s="343"/>
      <c r="W69" s="343"/>
      <c r="X69" s="343"/>
      <c r="Y69" s="295"/>
      <c r="Z69" s="295"/>
    </row>
    <row r="70" spans="1:26" ht="15.75" thickBot="1" x14ac:dyDescent="0.25">
      <c r="A70" s="286"/>
      <c r="B70" s="79"/>
      <c r="C70" s="80"/>
      <c r="D70" s="80"/>
      <c r="E70" s="80"/>
      <c r="F70" s="80"/>
      <c r="G70" s="80"/>
      <c r="H70" s="469"/>
      <c r="I70" s="470"/>
      <c r="J70" s="470"/>
      <c r="K70" s="471"/>
      <c r="L70" s="419"/>
      <c r="M70" s="419"/>
      <c r="N70" s="419"/>
      <c r="O70" s="419"/>
      <c r="P70" s="343"/>
      <c r="Q70" s="343"/>
      <c r="R70" s="343"/>
      <c r="S70" s="343"/>
      <c r="T70" s="422"/>
      <c r="U70" s="422"/>
      <c r="V70" s="343"/>
      <c r="W70" s="343"/>
      <c r="X70" s="343"/>
      <c r="Y70" s="295"/>
      <c r="Z70" s="295"/>
    </row>
    <row r="71" spans="1:26" x14ac:dyDescent="0.2">
      <c r="H71" s="419"/>
      <c r="I71" s="428"/>
      <c r="J71" s="428"/>
      <c r="K71" s="428"/>
      <c r="L71" s="419"/>
      <c r="M71" s="419"/>
      <c r="N71" s="419"/>
      <c r="O71" s="419"/>
      <c r="P71" s="343"/>
      <c r="Q71" s="343"/>
      <c r="R71" s="343"/>
      <c r="S71" s="343"/>
      <c r="T71" s="422"/>
      <c r="U71" s="422"/>
      <c r="V71" s="343"/>
      <c r="W71" s="343"/>
      <c r="X71" s="343"/>
      <c r="Y71" s="295"/>
      <c r="Z71" s="295"/>
    </row>
    <row r="72" spans="1:26" ht="13.5" thickBot="1" x14ac:dyDescent="0.25">
      <c r="G72" s="369"/>
      <c r="H72" s="419"/>
      <c r="I72" s="428"/>
      <c r="J72" s="428"/>
      <c r="K72" s="428"/>
      <c r="L72" s="419"/>
      <c r="M72" s="419"/>
      <c r="N72" s="419"/>
      <c r="O72" s="419"/>
      <c r="P72" s="343"/>
      <c r="Q72" s="343"/>
      <c r="R72" s="343"/>
      <c r="S72" s="343"/>
      <c r="T72" s="422"/>
      <c r="U72" s="422"/>
      <c r="V72" s="343"/>
      <c r="W72" s="343"/>
      <c r="X72" s="343"/>
      <c r="Y72" s="295"/>
      <c r="Z72" s="295"/>
    </row>
    <row r="73" spans="1:26" ht="19.5" thickBot="1" x14ac:dyDescent="0.25">
      <c r="A73" s="41"/>
      <c r="B73" s="34" t="s">
        <v>721</v>
      </c>
      <c r="H73" s="419"/>
      <c r="I73" s="428"/>
      <c r="J73" s="428"/>
      <c r="K73" s="428"/>
      <c r="L73" s="419"/>
      <c r="M73" s="419"/>
      <c r="N73" s="419"/>
      <c r="O73" s="419"/>
      <c r="P73" s="343"/>
      <c r="Q73" s="343"/>
      <c r="R73" s="343"/>
      <c r="S73" s="343"/>
      <c r="T73" s="422"/>
      <c r="U73" s="422"/>
      <c r="V73" s="343"/>
      <c r="W73" s="343"/>
      <c r="X73" s="343"/>
      <c r="Y73" s="295"/>
      <c r="Z73" s="295"/>
    </row>
    <row r="74" spans="1:26" x14ac:dyDescent="0.2">
      <c r="A74" s="84"/>
      <c r="B74" s="188" t="s">
        <v>414</v>
      </c>
      <c r="C74" s="45" t="str">
        <f>C$21</f>
        <v>31/03/2017</v>
      </c>
      <c r="D74" s="45" t="str">
        <f t="shared" ref="D74:K74" si="19">D$21</f>
        <v>31/03/2018</v>
      </c>
      <c r="E74" s="45" t="str">
        <f t="shared" si="19"/>
        <v>31/03/2019</v>
      </c>
      <c r="F74" s="45" t="str">
        <f t="shared" si="19"/>
        <v>31/03/2020</v>
      </c>
      <c r="G74" s="45" t="str">
        <f t="shared" si="19"/>
        <v>31/03/2021</v>
      </c>
      <c r="H74" s="472" t="str">
        <f t="shared" si="19"/>
        <v>YTD</v>
      </c>
      <c r="I74" s="473" t="str">
        <f t="shared" si="19"/>
        <v>FY22E</v>
      </c>
      <c r="J74" s="473" t="str">
        <f t="shared" si="19"/>
        <v>FY22 Base Case</v>
      </c>
      <c r="K74" s="474" t="str">
        <f t="shared" si="19"/>
        <v>FY22 Stressed Case</v>
      </c>
      <c r="L74" s="419"/>
      <c r="M74" s="419"/>
      <c r="N74" s="419"/>
      <c r="O74" s="419"/>
      <c r="P74" s="343"/>
      <c r="Q74" s="343"/>
      <c r="R74" s="343"/>
      <c r="S74" s="343"/>
      <c r="T74" s="422"/>
      <c r="U74" s="422"/>
      <c r="V74" s="343"/>
      <c r="W74" s="343"/>
      <c r="X74" s="343"/>
      <c r="Y74" s="295"/>
      <c r="Z74" s="295"/>
    </row>
    <row r="75" spans="1:26" x14ac:dyDescent="0.2">
      <c r="A75" s="84"/>
      <c r="B75" s="188"/>
      <c r="C75" s="232"/>
      <c r="D75" s="232"/>
      <c r="E75" s="232"/>
      <c r="F75" s="232"/>
      <c r="G75" s="232"/>
      <c r="H75" s="475"/>
      <c r="I75" s="476"/>
      <c r="J75" s="476"/>
      <c r="K75" s="477"/>
      <c r="L75" s="419"/>
      <c r="M75" s="419"/>
      <c r="N75" s="419"/>
      <c r="O75" s="419"/>
      <c r="P75" s="343"/>
      <c r="Q75" s="343"/>
      <c r="R75" s="343"/>
      <c r="S75" s="343"/>
      <c r="T75" s="422"/>
      <c r="U75" s="422"/>
      <c r="V75" s="343"/>
      <c r="W75" s="343"/>
      <c r="X75" s="343"/>
      <c r="Y75" s="295"/>
      <c r="Z75" s="295"/>
    </row>
    <row r="76" spans="1:26" ht="25.5" x14ac:dyDescent="0.2">
      <c r="A76" s="84"/>
      <c r="B76" s="179" t="s">
        <v>691</v>
      </c>
      <c r="C76" s="274"/>
      <c r="D76" s="274">
        <f>IFERROR(Sheet1!D29/AVERAGE(C$55:D$55),Sheet1!D29/D$55)</f>
        <v>0.11946284782619604</v>
      </c>
      <c r="E76" s="274">
        <f>IFERROR(Sheet1!E29/AVERAGE(D$55:E$55),Sheet1!E29/E$55)</f>
        <v>0.12382393116771943</v>
      </c>
      <c r="F76" s="274">
        <f>IFERROR(Sheet1!F29/AVERAGE(E$55:F$55),Sheet1!F29/F$55)</f>
        <v>0.12766321625792959</v>
      </c>
      <c r="G76" s="274">
        <f>IFERROR(Sheet1!G29/AVERAGE(F$55:G$55),Sheet1!G29/G$55)</f>
        <v>0.11094030574794972</v>
      </c>
      <c r="H76" s="478">
        <f>IFERROR((H22)/AVERAGE(G55:H55)*1,(H22)/AVERAGE(H55)*1)</f>
        <v>0</v>
      </c>
      <c r="I76" s="479">
        <f>IFERROR((I22)/AVERAGE($G55,I55)*1,(I22)/AVERAGE(I55)*1)</f>
        <v>0.12663323368628876</v>
      </c>
      <c r="J76" s="479">
        <f>IFERROR((J22)/AVERAGE($G55,J55)*1,(J22)/AVERAGE(J55)*1)</f>
        <v>0.12663323368628876</v>
      </c>
      <c r="K76" s="480">
        <f>IFERROR((K22)/AVERAGE($G55,K55)*1,(K22)/AVERAGE(K55)*1)</f>
        <v>0.12030157200197431</v>
      </c>
      <c r="L76" s="419"/>
      <c r="M76" s="419"/>
      <c r="N76" s="419"/>
      <c r="O76" s="419"/>
      <c r="P76" s="343"/>
      <c r="Q76" s="343"/>
      <c r="R76" s="343"/>
      <c r="S76" s="343"/>
      <c r="T76" s="422"/>
      <c r="U76" s="422"/>
      <c r="V76" s="343"/>
      <c r="W76" s="343"/>
      <c r="X76" s="343"/>
      <c r="Y76" s="295"/>
      <c r="Z76" s="295"/>
    </row>
    <row r="77" spans="1:26" x14ac:dyDescent="0.2">
      <c r="A77" s="84"/>
      <c r="B77" s="179" t="s">
        <v>692</v>
      </c>
      <c r="C77" s="274"/>
      <c r="D77" s="274">
        <f>IFERROR(D23/AVERAGE(C$104:D$104),D23/D$104)</f>
        <v>6.36384976603762E-2</v>
      </c>
      <c r="E77" s="274">
        <f t="shared" ref="E77:G77" si="20">IFERROR(E23/AVERAGE(D$104:E$104),E23/E$104)</f>
        <v>7.2406575765580863E-2</v>
      </c>
      <c r="F77" s="274">
        <f t="shared" si="20"/>
        <v>6.719936536776043E-2</v>
      </c>
      <c r="G77" s="274">
        <f t="shared" si="20"/>
        <v>5.3311383065235932E-2</v>
      </c>
      <c r="H77" s="478">
        <f>IFERROR((H23)/AVERAGE(G104:H104)*1,(H23)/AVERAGE(H104)*1)</f>
        <v>0</v>
      </c>
      <c r="I77" s="479">
        <f>IFERROR((I23)/AVERAGE($G104,I104)*1,(I23)/AVERAGE(I104)*1)</f>
        <v>5.3311383065235932E-2</v>
      </c>
      <c r="J77" s="479">
        <f>IFERROR((J23)/AVERAGE($G104,J104)*1,(J23)/AVERAGE(J104)*1)</f>
        <v>5.3311383065235932E-2</v>
      </c>
      <c r="K77" s="480">
        <f>IFERROR((K23)/AVERAGE($G104,K104)*1,(K23)/AVERAGE(K104)*1)</f>
        <v>5.597695221849773E-2</v>
      </c>
      <c r="L77" s="419"/>
      <c r="M77" s="419"/>
      <c r="N77" s="419"/>
      <c r="O77" s="419"/>
      <c r="P77" s="343"/>
      <c r="Q77" s="343"/>
      <c r="R77" s="343"/>
      <c r="S77" s="343"/>
      <c r="T77" s="422"/>
      <c r="U77" s="422"/>
      <c r="V77" s="343"/>
      <c r="W77" s="343"/>
      <c r="X77" s="343"/>
      <c r="Y77" s="295"/>
      <c r="Z77" s="295"/>
    </row>
    <row r="78" spans="1:26" x14ac:dyDescent="0.2">
      <c r="A78" s="84"/>
      <c r="B78" s="179" t="s">
        <v>417</v>
      </c>
      <c r="C78" s="274"/>
      <c r="D78" s="274">
        <f>D76-D77</f>
        <v>5.5824350165819839E-2</v>
      </c>
      <c r="E78" s="274">
        <f t="shared" ref="E78:G78" si="21">E76-E77</f>
        <v>5.141735540213857E-2</v>
      </c>
      <c r="F78" s="274">
        <f t="shared" si="21"/>
        <v>6.046385089016916E-2</v>
      </c>
      <c r="G78" s="274">
        <f t="shared" si="21"/>
        <v>5.7628922682713787E-2</v>
      </c>
      <c r="H78" s="478">
        <f t="shared" ref="H78:K78" si="22">H76-H77</f>
        <v>0</v>
      </c>
      <c r="I78" s="479">
        <f t="shared" si="22"/>
        <v>7.3321850621052828E-2</v>
      </c>
      <c r="J78" s="479">
        <f t="shared" si="22"/>
        <v>7.3321850621052828E-2</v>
      </c>
      <c r="K78" s="480">
        <f t="shared" si="22"/>
        <v>6.4324619783476575E-2</v>
      </c>
      <c r="L78" s="419"/>
      <c r="M78" s="419"/>
      <c r="N78" s="419"/>
      <c r="O78" s="419"/>
      <c r="P78" s="343"/>
      <c r="Q78" s="343"/>
      <c r="R78" s="343"/>
      <c r="S78" s="343"/>
      <c r="T78" s="422"/>
      <c r="U78" s="422"/>
      <c r="V78" s="343"/>
      <c r="W78" s="343"/>
      <c r="X78" s="343"/>
      <c r="Y78" s="295"/>
      <c r="Z78" s="295"/>
    </row>
    <row r="79" spans="1:26" x14ac:dyDescent="0.2">
      <c r="A79" s="84"/>
      <c r="B79" s="179" t="s">
        <v>418</v>
      </c>
      <c r="C79" s="274"/>
      <c r="D79" s="274">
        <f>IFERROR((D24)/AVERAGE(C65:D65),(D24)/AVERAGE(D65))</f>
        <v>6.8235301409712359E-2</v>
      </c>
      <c r="E79" s="274">
        <f t="shared" ref="E79:G79" si="23">IFERROR((E24)/AVERAGE(D65:E65),(E24)/AVERAGE(E65))</f>
        <v>6.7617768495722E-2</v>
      </c>
      <c r="F79" s="274">
        <f t="shared" si="23"/>
        <v>6.9231667441643829E-2</v>
      </c>
      <c r="G79" s="274">
        <f t="shared" si="23"/>
        <v>5.6308490027282672E-2</v>
      </c>
      <c r="H79" s="478">
        <f>IFERROR((H24)/AVERAGE(G65:H65)*1,(H24)/AVERAGE(H65)*1)</f>
        <v>0</v>
      </c>
      <c r="I79" s="479">
        <f>IFERROR((I24)/AVERAGE($G65,I65)*1,(I24)/AVERAGE(I65)*1)</f>
        <v>4.491479582635003E-2</v>
      </c>
      <c r="J79" s="479">
        <f>IFERROR((J24)/AVERAGE($G65,J65)*1,(J24)/AVERAGE(J65)*1)</f>
        <v>5.4275216985035894E-2</v>
      </c>
      <c r="K79" s="480">
        <f>IFERROR((K24)/AVERAGE($G65,K65)*1,(K24)/AVERAGE(K65)*1)</f>
        <v>4.6455191385937865E-2</v>
      </c>
      <c r="L79" s="419"/>
      <c r="M79" s="419"/>
      <c r="N79" s="419"/>
      <c r="O79" s="419"/>
      <c r="P79" s="343"/>
      <c r="Q79" s="343"/>
      <c r="R79" s="343"/>
      <c r="S79" s="343"/>
      <c r="T79" s="422"/>
      <c r="U79" s="422"/>
      <c r="V79" s="343"/>
      <c r="W79" s="343"/>
      <c r="X79" s="343"/>
      <c r="Y79" s="295"/>
      <c r="Z79" s="295"/>
    </row>
    <row r="80" spans="1:26" ht="25.5" x14ac:dyDescent="0.2">
      <c r="A80" s="84"/>
      <c r="B80" s="179" t="s">
        <v>419</v>
      </c>
      <c r="C80" s="274"/>
      <c r="D80" s="274">
        <f>IFERROR((D22+D25-D23)/AVERAGE(C65:D65),(D22+D25-D23)/AVERAGE(D65))</f>
        <v>6.82409337375494E-2</v>
      </c>
      <c r="E80" s="274">
        <f t="shared" ref="E80:G80" si="24">IFERROR((E22+E25-E23)/AVERAGE(D65:E65),(E22+E25-E23)/AVERAGE(E65))</f>
        <v>7.0555724478159457E-2</v>
      </c>
      <c r="F80" s="274">
        <f t="shared" si="24"/>
        <v>7.3539859206475641E-2</v>
      </c>
      <c r="G80" s="274">
        <f t="shared" si="24"/>
        <v>21.152498109214765</v>
      </c>
      <c r="H80" s="478">
        <f>IFERROR((H22+H25-H23)/AVERAGE(G65:H65)*1,(H22+H25-H23)/AVERAGE(H65)*1)</f>
        <v>0</v>
      </c>
      <c r="I80" s="479">
        <f>IFERROR((I22+I25-I23)/AVERAGE($G65,I65)*1,(I22+I25-I23)/AVERAGE(I65)*1)</f>
        <v>10.898890819123642</v>
      </c>
      <c r="J80" s="479">
        <f>IFERROR((J22+J25-J23)/AVERAGE($G65,J65)*1,(J22+J25-J23)/AVERAGE(J65)*1)</f>
        <v>6.6122690025120621</v>
      </c>
      <c r="K80" s="480">
        <f>IFERROR((K22+K25-K23)/AVERAGE($G65,K65)*1,(K22+K25-K23)/AVERAGE(K65)*1)</f>
        <v>18.477608122361314</v>
      </c>
      <c r="L80" s="419"/>
      <c r="M80" s="419"/>
      <c r="N80" s="419"/>
      <c r="O80" s="419"/>
      <c r="P80" s="343"/>
      <c r="Q80" s="343"/>
      <c r="R80" s="343"/>
      <c r="S80" s="343"/>
      <c r="T80" s="422"/>
      <c r="U80" s="422"/>
      <c r="V80" s="343"/>
      <c r="W80" s="343"/>
      <c r="X80" s="343"/>
      <c r="Y80" s="295"/>
      <c r="Z80" s="295"/>
    </row>
    <row r="81" spans="1:26" ht="25.5" x14ac:dyDescent="0.2">
      <c r="A81" s="84"/>
      <c r="B81" s="179" t="s">
        <v>420</v>
      </c>
      <c r="C81" s="274"/>
      <c r="D81" s="274">
        <f>IFERROR((D26+D27)/AVERAGE(C$65:D$65),(D26+D27)/AVERAGE(D$65))</f>
        <v>4.2847273771421543E-2</v>
      </c>
      <c r="E81" s="274">
        <f t="shared" ref="E81:G81" si="25">IFERROR((E26+E27)/AVERAGE(D$65:E$65),(E26+E27)/AVERAGE(E$65))</f>
        <v>4.3570448544533874E-2</v>
      </c>
      <c r="F81" s="274">
        <f t="shared" si="25"/>
        <v>4.1085661150092559E-2</v>
      </c>
      <c r="G81" s="274">
        <f t="shared" si="25"/>
        <v>3.3898113931045894E-2</v>
      </c>
      <c r="H81" s="478">
        <f>IFERROR((H26+H27)/AVERAGE(G65:H65)*1,(H26+H27)/AVERAGE(H65)*1)</f>
        <v>0</v>
      </c>
      <c r="I81" s="479">
        <f>IFERROR((I26+I27)/AVERAGE($G65,I65)*1,(I26+I27)/AVERAGE(I65)*1)</f>
        <v>5.2307100854927131E-2</v>
      </c>
      <c r="J81" s="479">
        <f>IFERROR((J26+J27)/AVERAGE($G65,J65)*1,(J26+J27)/AVERAGE(J65)*1)</f>
        <v>3.1604053814865515E-2</v>
      </c>
      <c r="K81" s="480">
        <f>IFERROR((K26+K27)/AVERAGE($G65,K65)*1,(K26+K27)/AVERAGE(K65)*1)</f>
        <v>3.2906486021768509E-2</v>
      </c>
      <c r="L81" s="419"/>
      <c r="M81" s="419"/>
      <c r="N81" s="419"/>
      <c r="O81" s="419"/>
      <c r="P81" s="343"/>
      <c r="Q81" s="343"/>
      <c r="R81" s="343"/>
      <c r="S81" s="343"/>
      <c r="T81" s="422"/>
      <c r="U81" s="422"/>
      <c r="V81" s="343"/>
      <c r="W81" s="343"/>
      <c r="X81" s="343"/>
      <c r="Y81" s="295"/>
      <c r="Z81" s="295"/>
    </row>
    <row r="82" spans="1:26" x14ac:dyDescent="0.2">
      <c r="A82" s="84"/>
      <c r="B82" s="179" t="s">
        <v>421</v>
      </c>
      <c r="C82" s="274"/>
      <c r="D82" s="274">
        <f>IFERROR((D28)/AVERAGE(C65:D65),(D28)/AVERAGE(D65))</f>
        <v>2.5393659966127871E-2</v>
      </c>
      <c r="E82" s="274">
        <f t="shared" ref="E82:G82" si="26">IFERROR((E28)/AVERAGE(D65:E65),(E28)/AVERAGE(E65))</f>
        <v>2.6985275933625576E-2</v>
      </c>
      <c r="F82" s="274">
        <f t="shared" si="26"/>
        <v>3.2454198056383089E-2</v>
      </c>
      <c r="G82" s="274">
        <f t="shared" si="26"/>
        <v>21.118599995283716</v>
      </c>
      <c r="H82" s="478">
        <f>IFERROR((H28)/AVERAGE(G65:H65)*1,(H28)/AVERAGE(H65)*1)</f>
        <v>0</v>
      </c>
      <c r="I82" s="479">
        <f>IFERROR((I28)/AVERAGE($G65,I65)*1,(I28)/AVERAGE(I65)*1)</f>
        <v>10.846583718268715</v>
      </c>
      <c r="J82" s="479">
        <f>IFERROR((J28)/AVERAGE($G65,J65)*1,(J28)/AVERAGE(J65)*1)</f>
        <v>6.5806649486971969</v>
      </c>
      <c r="K82" s="480">
        <f>IFERROR((K28)/AVERAGE($G65,K65)*1,(K28)/AVERAGE(K65)*1)</f>
        <v>18.444701636339545</v>
      </c>
      <c r="L82" s="419"/>
      <c r="M82" s="419"/>
      <c r="N82" s="419"/>
      <c r="O82" s="419"/>
      <c r="P82" s="343"/>
      <c r="Q82" s="343"/>
      <c r="R82" s="343"/>
      <c r="S82" s="343"/>
      <c r="T82" s="422"/>
      <c r="U82" s="422"/>
      <c r="V82" s="343"/>
      <c r="W82" s="343"/>
      <c r="X82" s="343"/>
      <c r="Y82" s="295"/>
      <c r="Z82" s="295"/>
    </row>
    <row r="83" spans="1:26" x14ac:dyDescent="0.2">
      <c r="A83" s="84"/>
      <c r="B83" s="179" t="s">
        <v>422</v>
      </c>
      <c r="C83" s="274"/>
      <c r="D83" s="274">
        <f>IFERROR(MAX((D29)/AVERAGE(C65:D65),0),MAX((D29)/AVERAGE(D65),0))</f>
        <v>5.4692867680853977E-3</v>
      </c>
      <c r="E83" s="274">
        <f t="shared" ref="E83:G83" si="27">IFERROR(MAX((E29)/AVERAGE(D65:E65),0),MAX((E29)/AVERAGE(E65),0))</f>
        <v>1.0795370632602599E-2</v>
      </c>
      <c r="F83" s="274">
        <f t="shared" si="27"/>
        <v>1.7321855536387532E-2</v>
      </c>
      <c r="G83" s="274">
        <f t="shared" si="27"/>
        <v>1.7309100751768693E-2</v>
      </c>
      <c r="H83" s="478">
        <f>IFERROR(MAX((H29)/AVERAGE(G65:H65)*1,0),MAX((H29)/AVERAGE(H65)*1,0))</f>
        <v>0</v>
      </c>
      <c r="I83" s="479">
        <f>IFERROR(MAX((I29)/AVERAGE($G65,I65)*1,0),MAX((I29)/AVERAGE(I65)*1,0))</f>
        <v>3.3386403170267961E-2</v>
      </c>
      <c r="J83" s="479">
        <f>IFERROR(MAX((J29)/AVERAGE($G65,J65)*1,0),MAX((J29)/AVERAGE(J65)*1,0))</f>
        <v>2.0172130843274492E-2</v>
      </c>
      <c r="K83" s="480">
        <f>IFERROR(MAX((K29)/AVERAGE($G65,K65)*1,0),MAX((K29)/AVERAGE(K65)*1,0))</f>
        <v>3.360550873692137E-2</v>
      </c>
      <c r="L83" s="419"/>
      <c r="M83" s="419"/>
      <c r="N83" s="419"/>
      <c r="O83" s="419"/>
      <c r="P83" s="343"/>
      <c r="Q83" s="343"/>
      <c r="R83" s="343"/>
      <c r="S83" s="343"/>
      <c r="T83" s="422"/>
      <c r="U83" s="422"/>
      <c r="V83" s="343"/>
      <c r="W83" s="343"/>
      <c r="X83" s="343"/>
      <c r="Y83" s="295"/>
      <c r="Z83" s="295"/>
    </row>
    <row r="84" spans="1:26" ht="25.5" x14ac:dyDescent="0.2">
      <c r="A84" s="84"/>
      <c r="B84" s="179" t="s">
        <v>423</v>
      </c>
      <c r="C84" s="274"/>
      <c r="D84" s="274">
        <f t="shared" ref="D84" si="28">D82-D83</f>
        <v>1.9924373198042473E-2</v>
      </c>
      <c r="E84" s="274">
        <f t="shared" ref="E84:G84" si="29">E82-E83</f>
        <v>1.6189905301022975E-2</v>
      </c>
      <c r="F84" s="274">
        <f t="shared" si="29"/>
        <v>1.5132342519995557E-2</v>
      </c>
      <c r="G84" s="274">
        <f t="shared" si="29"/>
        <v>21.10129089453195</v>
      </c>
      <c r="H84" s="478">
        <f t="shared" ref="H84:K84" si="30">H82-H83</f>
        <v>0</v>
      </c>
      <c r="I84" s="479">
        <f t="shared" si="30"/>
        <v>10.813197315098448</v>
      </c>
      <c r="J84" s="479">
        <f t="shared" si="30"/>
        <v>6.5604928178539224</v>
      </c>
      <c r="K84" s="480">
        <f t="shared" si="30"/>
        <v>18.411096127602622</v>
      </c>
      <c r="L84" s="419"/>
      <c r="M84" s="419"/>
      <c r="N84" s="419"/>
      <c r="O84" s="419"/>
      <c r="P84" s="343"/>
      <c r="Q84" s="343"/>
      <c r="R84" s="343"/>
      <c r="S84" s="343"/>
      <c r="T84" s="422"/>
      <c r="U84" s="422"/>
      <c r="V84" s="343"/>
      <c r="W84" s="343"/>
      <c r="X84" s="343"/>
      <c r="Y84" s="295"/>
      <c r="Z84" s="295"/>
    </row>
    <row r="85" spans="1:26" x14ac:dyDescent="0.2">
      <c r="A85" s="84"/>
      <c r="B85" s="179" t="s">
        <v>424</v>
      </c>
      <c r="C85" s="274"/>
      <c r="D85" s="274">
        <f>IFERROR((D39)/AVERAGE(C65:D65),(D39)/AVERAGE(D65))</f>
        <v>1.2486843865808839E-2</v>
      </c>
      <c r="E85" s="274">
        <f t="shared" ref="E85:G85" si="31">IFERROR((E39)/AVERAGE(D65:E65),(E39)/AVERAGE(E65))</f>
        <v>1.8662468891695896E-2</v>
      </c>
      <c r="F85" s="274">
        <f t="shared" si="31"/>
        <v>7.1050540647014555E-3</v>
      </c>
      <c r="G85" s="274">
        <f t="shared" si="31"/>
        <v>21.102527551808201</v>
      </c>
      <c r="H85" s="478">
        <f>IFERROR((H39)/AVERAGE(G65:H65)*1,(H39)/AVERAGE(H65)*1)</f>
        <v>0</v>
      </c>
      <c r="I85" s="479">
        <f>IFERROR((I39)/AVERAGE($G65,I65)*1,(I39)/AVERAGE(I65)*1)</f>
        <v>10.813197315098446</v>
      </c>
      <c r="J85" s="479">
        <f>IFERROR((J39)/AVERAGE($G65,J65)*1,(J39)/AVERAGE(J65)*1)</f>
        <v>6.5604928178539224</v>
      </c>
      <c r="K85" s="480">
        <f>IFERROR((K39)/AVERAGE($G65,K65)*1,(K39)/AVERAGE(K65)*1)</f>
        <v>18.411096127602622</v>
      </c>
      <c r="L85" s="419"/>
      <c r="M85" s="419"/>
      <c r="N85" s="419"/>
      <c r="O85" s="419"/>
      <c r="P85" s="343"/>
      <c r="Q85" s="343"/>
      <c r="R85" s="343"/>
      <c r="S85" s="343"/>
      <c r="T85" s="422"/>
      <c r="U85" s="422"/>
      <c r="V85" s="343"/>
      <c r="W85" s="343"/>
      <c r="X85" s="343"/>
      <c r="Y85" s="295"/>
      <c r="Z85" s="295"/>
    </row>
    <row r="86" spans="1:26" x14ac:dyDescent="0.2">
      <c r="A86" s="84"/>
      <c r="B86" s="179"/>
      <c r="C86" s="151"/>
      <c r="D86" s="151"/>
      <c r="E86" s="151"/>
      <c r="F86" s="151"/>
      <c r="G86" s="151"/>
      <c r="H86" s="481"/>
      <c r="I86" s="482"/>
      <c r="J86" s="482"/>
      <c r="K86" s="483"/>
      <c r="L86" s="419"/>
      <c r="M86" s="419"/>
      <c r="N86" s="419"/>
      <c r="O86" s="419"/>
      <c r="P86" s="343"/>
      <c r="Q86" s="343"/>
      <c r="R86" s="343"/>
      <c r="S86" s="343"/>
      <c r="T86" s="422"/>
      <c r="U86" s="422"/>
      <c r="V86" s="343"/>
      <c r="W86" s="343"/>
      <c r="X86" s="343"/>
      <c r="Y86" s="295"/>
      <c r="Z86" s="295"/>
    </row>
    <row r="87" spans="1:26" x14ac:dyDescent="0.2">
      <c r="A87" s="84"/>
      <c r="B87" s="188" t="s">
        <v>425</v>
      </c>
      <c r="C87" s="149"/>
      <c r="D87" s="149"/>
      <c r="E87" s="149"/>
      <c r="F87" s="149"/>
      <c r="G87" s="149"/>
      <c r="H87" s="484"/>
      <c r="I87" s="485"/>
      <c r="J87" s="485"/>
      <c r="K87" s="486"/>
      <c r="L87" s="419"/>
      <c r="M87" s="419"/>
      <c r="N87" s="419"/>
      <c r="O87" s="419"/>
      <c r="P87" s="343"/>
      <c r="Q87" s="343"/>
      <c r="R87" s="343"/>
      <c r="S87" s="343"/>
      <c r="T87" s="422"/>
      <c r="U87" s="422"/>
      <c r="V87" s="343"/>
      <c r="W87" s="343"/>
      <c r="X87" s="343"/>
      <c r="Y87" s="295"/>
      <c r="Z87" s="295"/>
    </row>
    <row r="88" spans="1:26" ht="25.5" x14ac:dyDescent="0.2">
      <c r="A88" s="84"/>
      <c r="B88" s="179" t="s">
        <v>415</v>
      </c>
      <c r="C88" s="151"/>
      <c r="D88" s="233" t="str">
        <f t="shared" ref="D88:G97" si="32">IFERROR((D76/C76-1),"")</f>
        <v/>
      </c>
      <c r="E88" s="233">
        <f t="shared" si="32"/>
        <v>3.6505770797195858E-2</v>
      </c>
      <c r="F88" s="233">
        <f t="shared" si="32"/>
        <v>3.1006002264698296E-2</v>
      </c>
      <c r="G88" s="233">
        <f>IFERROR((G76/F76-1),"")</f>
        <v>-0.13099239546176755</v>
      </c>
      <c r="H88" s="487">
        <f t="shared" ref="H88:K97" si="33">IFERROR((H76/G76-1),"")</f>
        <v>-1</v>
      </c>
      <c r="I88" s="488" t="str">
        <f t="shared" si="33"/>
        <v/>
      </c>
      <c r="J88" s="488">
        <f t="shared" si="33"/>
        <v>0</v>
      </c>
      <c r="K88" s="489">
        <f t="shared" si="33"/>
        <v>-5.0000000000000155E-2</v>
      </c>
      <c r="L88" s="419"/>
      <c r="M88" s="419"/>
      <c r="N88" s="419"/>
      <c r="O88" s="419"/>
      <c r="P88" s="343"/>
      <c r="Q88" s="343"/>
      <c r="R88" s="343"/>
      <c r="S88" s="343"/>
      <c r="T88" s="422"/>
      <c r="U88" s="422"/>
      <c r="V88" s="343"/>
      <c r="W88" s="343"/>
      <c r="X88" s="343"/>
      <c r="Y88" s="295"/>
      <c r="Z88" s="295"/>
    </row>
    <row r="89" spans="1:26" x14ac:dyDescent="0.2">
      <c r="A89" s="84"/>
      <c r="B89" s="179" t="s">
        <v>416</v>
      </c>
      <c r="C89" s="151"/>
      <c r="D89" s="233" t="str">
        <f t="shared" si="32"/>
        <v/>
      </c>
      <c r="E89" s="233">
        <f t="shared" si="32"/>
        <v>0.1377794641224539</v>
      </c>
      <c r="F89" s="233">
        <f t="shared" si="32"/>
        <v>-7.1916263720010476E-2</v>
      </c>
      <c r="G89" s="233">
        <f t="shared" si="32"/>
        <v>-0.20666835507329651</v>
      </c>
      <c r="H89" s="487">
        <f t="shared" si="33"/>
        <v>-1</v>
      </c>
      <c r="I89" s="488" t="str">
        <f t="shared" si="33"/>
        <v/>
      </c>
      <c r="J89" s="488">
        <f t="shared" si="33"/>
        <v>0</v>
      </c>
      <c r="K89" s="489">
        <f t="shared" si="33"/>
        <v>5.0000000000000044E-2</v>
      </c>
      <c r="L89" s="419"/>
      <c r="M89" s="419"/>
      <c r="N89" s="419"/>
      <c r="O89" s="419"/>
      <c r="P89" s="343"/>
      <c r="Q89" s="343"/>
      <c r="R89" s="343"/>
      <c r="S89" s="343"/>
      <c r="T89" s="422"/>
      <c r="U89" s="422"/>
      <c r="V89" s="343"/>
      <c r="W89" s="343"/>
      <c r="X89" s="343"/>
      <c r="Y89" s="295"/>
      <c r="Z89" s="295"/>
    </row>
    <row r="90" spans="1:26" x14ac:dyDescent="0.2">
      <c r="A90" s="84"/>
      <c r="B90" s="179" t="s">
        <v>417</v>
      </c>
      <c r="C90" s="151"/>
      <c r="D90" s="233" t="str">
        <f t="shared" si="32"/>
        <v/>
      </c>
      <c r="E90" s="233">
        <f t="shared" si="32"/>
        <v>-7.894395099254703E-2</v>
      </c>
      <c r="F90" s="233">
        <f t="shared" si="32"/>
        <v>0.17594245011781218</v>
      </c>
      <c r="G90" s="233">
        <f t="shared" si="32"/>
        <v>-4.6886332341036896E-2</v>
      </c>
      <c r="H90" s="487">
        <f t="shared" si="33"/>
        <v>-1</v>
      </c>
      <c r="I90" s="488" t="str">
        <f t="shared" si="33"/>
        <v/>
      </c>
      <c r="J90" s="488">
        <f t="shared" si="33"/>
        <v>0</v>
      </c>
      <c r="K90" s="489">
        <f t="shared" si="33"/>
        <v>-0.12270872545315825</v>
      </c>
      <c r="L90" s="419"/>
      <c r="M90" s="419"/>
      <c r="N90" s="419"/>
      <c r="O90" s="419"/>
      <c r="P90" s="343"/>
      <c r="Q90" s="343"/>
      <c r="R90" s="343"/>
      <c r="S90" s="343"/>
      <c r="T90" s="422"/>
      <c r="U90" s="422"/>
      <c r="V90" s="343"/>
      <c r="W90" s="343"/>
      <c r="X90" s="343"/>
      <c r="Y90" s="295"/>
      <c r="Z90" s="295"/>
    </row>
    <row r="91" spans="1:26" x14ac:dyDescent="0.2">
      <c r="A91" s="84"/>
      <c r="B91" s="179" t="s">
        <v>418</v>
      </c>
      <c r="C91" s="151"/>
      <c r="D91" s="233" t="str">
        <f t="shared" si="32"/>
        <v/>
      </c>
      <c r="E91" s="233">
        <f t="shared" si="32"/>
        <v>-9.050050358573869E-3</v>
      </c>
      <c r="F91" s="233">
        <f t="shared" si="32"/>
        <v>2.3867971123950005E-2</v>
      </c>
      <c r="G91" s="233">
        <f t="shared" si="32"/>
        <v>-0.18666569637737318</v>
      </c>
      <c r="H91" s="487">
        <f t="shared" si="33"/>
        <v>-1</v>
      </c>
      <c r="I91" s="488" t="str">
        <f t="shared" si="33"/>
        <v/>
      </c>
      <c r="J91" s="488">
        <f t="shared" si="33"/>
        <v>0.20840395656868194</v>
      </c>
      <c r="K91" s="489">
        <f t="shared" si="33"/>
        <v>-0.14408096426872086</v>
      </c>
      <c r="L91" s="419"/>
      <c r="M91" s="419"/>
      <c r="N91" s="419"/>
      <c r="O91" s="419"/>
      <c r="P91" s="343"/>
      <c r="Q91" s="343"/>
      <c r="R91" s="343"/>
      <c r="S91" s="343"/>
      <c r="T91" s="422"/>
      <c r="U91" s="422"/>
      <c r="V91" s="343"/>
      <c r="W91" s="343"/>
      <c r="X91" s="343"/>
      <c r="Y91" s="295"/>
      <c r="Z91" s="295"/>
    </row>
    <row r="92" spans="1:26" ht="25.5" x14ac:dyDescent="0.2">
      <c r="A92" s="84"/>
      <c r="B92" s="179" t="s">
        <v>419</v>
      </c>
      <c r="C92" s="151"/>
      <c r="D92" s="233" t="str">
        <f t="shared" si="32"/>
        <v/>
      </c>
      <c r="E92" s="233">
        <f t="shared" si="32"/>
        <v>3.3920853860420541E-2</v>
      </c>
      <c r="F92" s="233">
        <f t="shared" si="32"/>
        <v>4.2294721659897672E-2</v>
      </c>
      <c r="G92" s="233">
        <f t="shared" si="32"/>
        <v>286.63310587562501</v>
      </c>
      <c r="H92" s="487">
        <f t="shared" si="33"/>
        <v>-1</v>
      </c>
      <c r="I92" s="488" t="str">
        <f t="shared" si="33"/>
        <v/>
      </c>
      <c r="J92" s="488">
        <f t="shared" si="33"/>
        <v>-0.39330807948732693</v>
      </c>
      <c r="K92" s="489">
        <f t="shared" si="33"/>
        <v>1.7944428932551748</v>
      </c>
      <c r="L92" s="419"/>
      <c r="M92" s="419"/>
      <c r="N92" s="419"/>
      <c r="O92" s="419"/>
      <c r="P92" s="343"/>
      <c r="Q92" s="343"/>
      <c r="R92" s="343"/>
      <c r="S92" s="343"/>
      <c r="T92" s="422"/>
      <c r="U92" s="422"/>
      <c r="V92" s="343"/>
      <c r="W92" s="343"/>
      <c r="X92" s="343"/>
      <c r="Y92" s="295"/>
      <c r="Z92" s="295"/>
    </row>
    <row r="93" spans="1:26" ht="25.5" x14ac:dyDescent="0.2">
      <c r="A93" s="84"/>
      <c r="B93" s="179" t="s">
        <v>420</v>
      </c>
      <c r="C93" s="151"/>
      <c r="D93" s="233" t="str">
        <f t="shared" si="32"/>
        <v/>
      </c>
      <c r="E93" s="233">
        <f t="shared" si="32"/>
        <v>1.6877964674491874E-2</v>
      </c>
      <c r="F93" s="233">
        <f t="shared" si="32"/>
        <v>-5.7029190137934505E-2</v>
      </c>
      <c r="G93" s="233">
        <f t="shared" si="32"/>
        <v>-0.17494052712914598</v>
      </c>
      <c r="H93" s="487">
        <f t="shared" si="33"/>
        <v>-1</v>
      </c>
      <c r="I93" s="488" t="str">
        <f t="shared" si="33"/>
        <v/>
      </c>
      <c r="J93" s="488">
        <f t="shared" si="33"/>
        <v>-0.39579802171565903</v>
      </c>
      <c r="K93" s="489">
        <f t="shared" si="33"/>
        <v>4.1210922324476318E-2</v>
      </c>
      <c r="L93" s="419"/>
      <c r="M93" s="419"/>
      <c r="N93" s="419"/>
      <c r="O93" s="419"/>
      <c r="P93" s="343"/>
      <c r="Q93" s="343"/>
      <c r="R93" s="343"/>
      <c r="S93" s="343"/>
      <c r="T93" s="422"/>
      <c r="U93" s="422"/>
      <c r="V93" s="343"/>
      <c r="W93" s="343"/>
      <c r="X93" s="343"/>
      <c r="Y93" s="295"/>
      <c r="Z93" s="295"/>
    </row>
    <row r="94" spans="1:26" x14ac:dyDescent="0.2">
      <c r="A94" s="84"/>
      <c r="B94" s="179" t="s">
        <v>421</v>
      </c>
      <c r="C94" s="151"/>
      <c r="D94" s="233" t="str">
        <f t="shared" si="32"/>
        <v/>
      </c>
      <c r="E94" s="233">
        <f t="shared" si="32"/>
        <v>6.2677690794502805E-2</v>
      </c>
      <c r="F94" s="233">
        <f t="shared" si="32"/>
        <v>0.20266319070478156</v>
      </c>
      <c r="G94" s="233">
        <f t="shared" si="32"/>
        <v>649.72013052345665</v>
      </c>
      <c r="H94" s="487">
        <f t="shared" si="33"/>
        <v>-1</v>
      </c>
      <c r="I94" s="488" t="str">
        <f t="shared" si="33"/>
        <v/>
      </c>
      <c r="J94" s="488">
        <f t="shared" si="33"/>
        <v>-0.39329607186698834</v>
      </c>
      <c r="K94" s="489">
        <f t="shared" si="33"/>
        <v>1.8028628991347029</v>
      </c>
      <c r="L94" s="419"/>
      <c r="M94" s="419"/>
      <c r="N94" s="419"/>
      <c r="O94" s="419"/>
      <c r="P94" s="343"/>
      <c r="Q94" s="343"/>
      <c r="R94" s="343"/>
      <c r="S94" s="343"/>
      <c r="T94" s="422"/>
      <c r="U94" s="422"/>
      <c r="V94" s="343"/>
      <c r="W94" s="343"/>
      <c r="X94" s="343"/>
      <c r="Y94" s="295"/>
      <c r="Z94" s="295"/>
    </row>
    <row r="95" spans="1:26" x14ac:dyDescent="0.2">
      <c r="A95" s="84"/>
      <c r="B95" s="179" t="s">
        <v>422</v>
      </c>
      <c r="C95" s="151"/>
      <c r="D95" s="233" t="str">
        <f t="shared" si="32"/>
        <v/>
      </c>
      <c r="E95" s="233">
        <f t="shared" si="32"/>
        <v>0.97381689612550226</v>
      </c>
      <c r="F95" s="233">
        <f t="shared" si="32"/>
        <v>0.60456330087219046</v>
      </c>
      <c r="G95" s="233">
        <f t="shared" si="32"/>
        <v>-7.3634054920068692E-4</v>
      </c>
      <c r="H95" s="487">
        <f t="shared" si="33"/>
        <v>-1</v>
      </c>
      <c r="I95" s="488" t="str">
        <f t="shared" si="33"/>
        <v/>
      </c>
      <c r="J95" s="488">
        <f t="shared" si="33"/>
        <v>-0.39579802171565914</v>
      </c>
      <c r="K95" s="489">
        <f t="shared" si="33"/>
        <v>0.66593747571916273</v>
      </c>
      <c r="L95" s="419"/>
      <c r="M95" s="419"/>
      <c r="N95" s="419"/>
      <c r="O95" s="419"/>
      <c r="P95" s="343"/>
      <c r="Q95" s="343"/>
      <c r="R95" s="343"/>
      <c r="S95" s="343"/>
      <c r="T95" s="422"/>
      <c r="U95" s="422"/>
      <c r="V95" s="343"/>
      <c r="W95" s="343"/>
      <c r="X95" s="343"/>
      <c r="Y95" s="295"/>
      <c r="Z95" s="295"/>
    </row>
    <row r="96" spans="1:26" ht="25.5" x14ac:dyDescent="0.2">
      <c r="A96" s="84"/>
      <c r="B96" s="179" t="s">
        <v>423</v>
      </c>
      <c r="C96" s="151"/>
      <c r="D96" s="233" t="str">
        <f t="shared" si="32"/>
        <v/>
      </c>
      <c r="E96" s="233">
        <f t="shared" si="32"/>
        <v>-0.18743213951575666</v>
      </c>
      <c r="F96" s="233">
        <f t="shared" si="32"/>
        <v>-6.532235744211512E-2</v>
      </c>
      <c r="G96" s="233">
        <f t="shared" si="32"/>
        <v>1393.4497269110286</v>
      </c>
      <c r="H96" s="487">
        <f t="shared" si="33"/>
        <v>-1</v>
      </c>
      <c r="I96" s="488" t="str">
        <f t="shared" si="33"/>
        <v/>
      </c>
      <c r="J96" s="488">
        <f t="shared" si="33"/>
        <v>-0.39328834694493942</v>
      </c>
      <c r="K96" s="489">
        <f t="shared" si="33"/>
        <v>1.8063587048671272</v>
      </c>
      <c r="L96" s="419"/>
      <c r="M96" s="419"/>
      <c r="N96" s="419"/>
      <c r="O96" s="419"/>
      <c r="P96" s="343"/>
      <c r="Q96" s="343"/>
      <c r="R96" s="343"/>
      <c r="S96" s="343"/>
      <c r="T96" s="422"/>
      <c r="U96" s="422"/>
      <c r="V96" s="343"/>
      <c r="W96" s="343"/>
      <c r="X96" s="343"/>
      <c r="Y96" s="295"/>
      <c r="Z96" s="295"/>
    </row>
    <row r="97" spans="1:26" x14ac:dyDescent="0.2">
      <c r="A97" s="84"/>
      <c r="B97" s="179" t="s">
        <v>424</v>
      </c>
      <c r="C97" s="151"/>
      <c r="D97" s="233" t="str">
        <f t="shared" si="32"/>
        <v/>
      </c>
      <c r="E97" s="233">
        <f t="shared" si="32"/>
        <v>0.49457053297486953</v>
      </c>
      <c r="F97" s="233">
        <f t="shared" si="32"/>
        <v>-0.61928648851691104</v>
      </c>
      <c r="G97" s="233">
        <f t="shared" si="32"/>
        <v>2969.0727622394102</v>
      </c>
      <c r="H97" s="487">
        <f t="shared" si="33"/>
        <v>-1</v>
      </c>
      <c r="I97" s="488" t="str">
        <f t="shared" si="33"/>
        <v/>
      </c>
      <c r="J97" s="488">
        <f t="shared" si="33"/>
        <v>-0.3932883469449393</v>
      </c>
      <c r="K97" s="489">
        <f t="shared" si="33"/>
        <v>1.8063587048671272</v>
      </c>
      <c r="L97" s="419"/>
      <c r="M97" s="419"/>
      <c r="N97" s="419"/>
      <c r="O97" s="419"/>
      <c r="P97" s="343"/>
      <c r="Q97" s="343"/>
      <c r="R97" s="343"/>
      <c r="S97" s="343"/>
      <c r="T97" s="422"/>
      <c r="U97" s="422"/>
      <c r="V97" s="343"/>
      <c r="W97" s="343"/>
      <c r="X97" s="343"/>
      <c r="Y97" s="295"/>
      <c r="Z97" s="295"/>
    </row>
    <row r="98" spans="1:26" x14ac:dyDescent="0.2">
      <c r="A98" s="84"/>
      <c r="B98" s="179"/>
      <c r="C98" s="151"/>
      <c r="D98" s="151"/>
      <c r="E98" s="151"/>
      <c r="F98" s="151"/>
      <c r="G98" s="151"/>
      <c r="H98" s="481"/>
      <c r="I98" s="482"/>
      <c r="J98" s="482"/>
      <c r="K98" s="483"/>
      <c r="L98" s="419"/>
      <c r="M98" s="419"/>
      <c r="N98" s="419"/>
      <c r="O98" s="419"/>
      <c r="P98" s="343"/>
      <c r="Q98" s="343"/>
      <c r="R98" s="343"/>
      <c r="S98" s="343"/>
      <c r="T98" s="422"/>
      <c r="U98" s="422"/>
      <c r="V98" s="343"/>
      <c r="W98" s="343"/>
      <c r="X98" s="343"/>
      <c r="Y98" s="295"/>
      <c r="Z98" s="295"/>
    </row>
    <row r="99" spans="1:26" x14ac:dyDescent="0.2">
      <c r="A99" s="84"/>
      <c r="B99" s="188" t="s">
        <v>426</v>
      </c>
      <c r="C99" s="149"/>
      <c r="D99" s="149"/>
      <c r="E99" s="149"/>
      <c r="F99" s="149"/>
      <c r="G99" s="149"/>
      <c r="H99" s="484"/>
      <c r="I99" s="485"/>
      <c r="J99" s="485"/>
      <c r="K99" s="486"/>
      <c r="L99" s="419"/>
      <c r="M99" s="419"/>
      <c r="N99" s="419"/>
      <c r="O99" s="419"/>
      <c r="P99" s="343"/>
      <c r="Q99" s="343"/>
      <c r="R99" s="343"/>
      <c r="S99" s="343"/>
      <c r="T99" s="422"/>
      <c r="U99" s="422"/>
      <c r="V99" s="343"/>
      <c r="W99" s="343"/>
      <c r="X99" s="343"/>
      <c r="Y99" s="295"/>
      <c r="Z99" s="295"/>
    </row>
    <row r="100" spans="1:26" x14ac:dyDescent="0.2">
      <c r="A100" s="84"/>
      <c r="B100" s="179" t="s">
        <v>427</v>
      </c>
      <c r="C100" s="177">
        <f>Sheet1!C165</f>
        <v>40310</v>
      </c>
      <c r="D100" s="177">
        <f>Sheet1!D165</f>
        <v>44481.8</v>
      </c>
      <c r="E100" s="177">
        <f>Sheet1!E165</f>
        <v>59097.599999999999</v>
      </c>
      <c r="F100" s="177">
        <f>Sheet1!F165</f>
        <v>61919.199999999997</v>
      </c>
      <c r="G100" s="177">
        <f>Sheet1!G165</f>
        <v>67088.3</v>
      </c>
      <c r="H100" s="481">
        <f t="shared" ref="H100:K100" si="34">H48</f>
        <v>0</v>
      </c>
      <c r="I100" s="482">
        <f t="shared" si="34"/>
        <v>4167979.3245945754</v>
      </c>
      <c r="J100" s="482">
        <f t="shared" si="34"/>
        <v>4185013.2025224841</v>
      </c>
      <c r="K100" s="483">
        <f t="shared" si="34"/>
        <v>11166063.683761613</v>
      </c>
      <c r="L100" s="419"/>
      <c r="M100" s="419"/>
      <c r="N100" s="419"/>
      <c r="O100" s="419"/>
      <c r="P100" s="343"/>
      <c r="Q100" s="343"/>
      <c r="R100" s="343"/>
      <c r="S100" s="343"/>
      <c r="T100" s="422"/>
      <c r="U100" s="422"/>
      <c r="V100" s="343"/>
      <c r="W100" s="343"/>
      <c r="X100" s="343"/>
      <c r="Y100" s="295"/>
      <c r="Z100" s="295"/>
    </row>
    <row r="101" spans="1:26" x14ac:dyDescent="0.2">
      <c r="A101" s="84"/>
      <c r="B101" s="179" t="s">
        <v>799</v>
      </c>
      <c r="C101" s="177">
        <f>C100-Sheet1!C248</f>
        <v>35961.699999999997</v>
      </c>
      <c r="D101" s="177">
        <f>D100-Sheet1!D248</f>
        <v>38213.4</v>
      </c>
      <c r="E101" s="177">
        <f>E100-Sheet1!E248</f>
        <v>52665.2</v>
      </c>
      <c r="F101" s="177">
        <f>F100-Sheet1!F248</f>
        <v>56840.399999999994</v>
      </c>
      <c r="G101" s="177">
        <f>G100-Sheet1!G248</f>
        <v>61418.5</v>
      </c>
      <c r="H101" s="481"/>
      <c r="I101" s="482"/>
      <c r="J101" s="482"/>
      <c r="K101" s="483"/>
      <c r="L101" s="419"/>
      <c r="M101" s="419"/>
      <c r="N101" s="419"/>
      <c r="O101" s="419"/>
      <c r="P101" s="343"/>
      <c r="Q101" s="343"/>
      <c r="R101" s="343"/>
      <c r="S101" s="343"/>
      <c r="T101" s="422"/>
      <c r="U101" s="422"/>
      <c r="V101" s="343"/>
      <c r="W101" s="343"/>
      <c r="X101" s="343"/>
      <c r="Y101" s="295"/>
      <c r="Z101" s="295"/>
    </row>
    <row r="102" spans="1:26" x14ac:dyDescent="0.2">
      <c r="A102" s="84"/>
      <c r="B102" s="179" t="s">
        <v>428</v>
      </c>
      <c r="C102" s="177">
        <f t="shared" ref="C102:F102" si="35">C101-C59</f>
        <v>35555.599999999999</v>
      </c>
      <c r="D102" s="177">
        <f t="shared" si="35"/>
        <v>37413.800000000003</v>
      </c>
      <c r="E102" s="177">
        <f t="shared" si="35"/>
        <v>52110.299999999996</v>
      </c>
      <c r="F102" s="177">
        <f t="shared" si="35"/>
        <v>56380.499999999993</v>
      </c>
      <c r="G102" s="177">
        <f>G101-G59</f>
        <v>61004.3</v>
      </c>
      <c r="H102" s="481">
        <f t="shared" ref="H102:K102" si="36">H100-H59</f>
        <v>0</v>
      </c>
      <c r="I102" s="482">
        <f t="shared" si="36"/>
        <v>4167979.3245945754</v>
      </c>
      <c r="J102" s="482">
        <f t="shared" si="36"/>
        <v>4185013.2025224841</v>
      </c>
      <c r="K102" s="483">
        <f t="shared" si="36"/>
        <v>11166063.683761613</v>
      </c>
      <c r="L102" s="419"/>
      <c r="M102" s="419"/>
      <c r="N102" s="419"/>
      <c r="O102" s="419"/>
      <c r="P102" s="343"/>
      <c r="Q102" s="343"/>
      <c r="R102" s="343"/>
      <c r="S102" s="343"/>
      <c r="T102" s="422"/>
      <c r="U102" s="422"/>
      <c r="V102" s="343"/>
      <c r="W102" s="343"/>
      <c r="X102" s="343"/>
      <c r="Y102" s="295"/>
      <c r="Z102" s="295"/>
    </row>
    <row r="103" spans="1:26" x14ac:dyDescent="0.2">
      <c r="A103" s="84"/>
      <c r="B103" s="179" t="s">
        <v>429</v>
      </c>
      <c r="C103" s="177">
        <f>C65</f>
        <v>344088.6</v>
      </c>
      <c r="D103" s="177">
        <f t="shared" ref="D103:K103" si="37">D65</f>
        <v>398055.70000000013</v>
      </c>
      <c r="E103" s="177">
        <f t="shared" si="37"/>
        <v>465258.80000000005</v>
      </c>
      <c r="F103" s="177">
        <f t="shared" si="37"/>
        <v>542727.9</v>
      </c>
      <c r="G103" s="177">
        <f t="shared" si="37"/>
        <v>627685.29999999993</v>
      </c>
      <c r="H103" s="481">
        <f t="shared" si="37"/>
        <v>0</v>
      </c>
      <c r="I103" s="482">
        <f t="shared" si="37"/>
        <v>130812.1</v>
      </c>
      <c r="J103" s="482">
        <f t="shared" si="37"/>
        <v>627685.29999999993</v>
      </c>
      <c r="K103" s="483">
        <f t="shared" si="37"/>
        <v>577997.97999999986</v>
      </c>
      <c r="L103" s="419"/>
      <c r="M103" s="419"/>
      <c r="N103" s="419"/>
      <c r="O103" s="419"/>
      <c r="P103" s="343"/>
      <c r="Q103" s="343"/>
      <c r="R103" s="343"/>
      <c r="S103" s="343"/>
      <c r="T103" s="422"/>
      <c r="U103" s="422"/>
      <c r="V103" s="343"/>
      <c r="W103" s="343"/>
      <c r="X103" s="343"/>
      <c r="Y103" s="295"/>
      <c r="Z103" s="295"/>
    </row>
    <row r="104" spans="1:26" x14ac:dyDescent="0.2">
      <c r="A104" s="84"/>
      <c r="B104" s="179" t="s">
        <v>430</v>
      </c>
      <c r="C104" s="177">
        <f>C49+C50</f>
        <v>281387.5</v>
      </c>
      <c r="D104" s="177">
        <f t="shared" ref="D104:K104" si="38">D49+D50</f>
        <v>320974.3</v>
      </c>
      <c r="E104" s="177">
        <f t="shared" si="38"/>
        <v>392585.2</v>
      </c>
      <c r="F104" s="177">
        <f t="shared" si="38"/>
        <v>467125.3</v>
      </c>
      <c r="G104" s="177">
        <f t="shared" si="38"/>
        <v>541214.69999999995</v>
      </c>
      <c r="H104" s="481">
        <f t="shared" si="38"/>
        <v>0</v>
      </c>
      <c r="I104" s="482">
        <f t="shared" si="38"/>
        <v>0</v>
      </c>
      <c r="J104" s="482">
        <f t="shared" si="38"/>
        <v>541214.69999999995</v>
      </c>
      <c r="K104" s="483">
        <f t="shared" si="38"/>
        <v>487093.23</v>
      </c>
      <c r="L104" s="419"/>
      <c r="M104" s="419"/>
      <c r="N104" s="419"/>
      <c r="O104" s="419"/>
      <c r="P104" s="343"/>
      <c r="Q104" s="343"/>
      <c r="R104" s="343"/>
      <c r="S104" s="343"/>
      <c r="T104" s="422"/>
      <c r="U104" s="422"/>
      <c r="V104" s="343"/>
      <c r="W104" s="343"/>
      <c r="X104" s="343"/>
      <c r="Y104" s="295"/>
      <c r="Z104" s="295"/>
    </row>
    <row r="105" spans="1:26" x14ac:dyDescent="0.2">
      <c r="A105" s="84"/>
      <c r="B105" s="179" t="s">
        <v>675</v>
      </c>
      <c r="C105" s="177">
        <f>C55</f>
        <v>289495.34999999998</v>
      </c>
      <c r="D105" s="177">
        <f t="shared" ref="D105:G105" si="39">D55</f>
        <v>368128.35000000009</v>
      </c>
      <c r="E105" s="177">
        <f t="shared" si="39"/>
        <v>408425.9</v>
      </c>
      <c r="F105" s="177">
        <f t="shared" si="39"/>
        <v>448062.00000000006</v>
      </c>
      <c r="G105" s="177">
        <f t="shared" si="39"/>
        <v>496873.19999999995</v>
      </c>
      <c r="H105" s="481"/>
      <c r="I105" s="482"/>
      <c r="J105" s="482"/>
      <c r="K105" s="483"/>
      <c r="L105" s="419"/>
      <c r="M105" s="419"/>
      <c r="N105" s="419"/>
      <c r="O105" s="419"/>
      <c r="P105" s="343"/>
      <c r="Q105" s="343"/>
      <c r="R105" s="343"/>
      <c r="S105" s="343"/>
      <c r="T105" s="422"/>
      <c r="U105" s="422"/>
      <c r="V105" s="343"/>
      <c r="W105" s="343"/>
      <c r="X105" s="343"/>
      <c r="Y105" s="295"/>
      <c r="Z105" s="295"/>
    </row>
    <row r="106" spans="1:26" x14ac:dyDescent="0.2">
      <c r="A106" s="84"/>
      <c r="B106" s="179" t="s">
        <v>722</v>
      </c>
      <c r="C106" s="177">
        <f>Sheet1!C348</f>
        <v>0</v>
      </c>
      <c r="D106" s="177">
        <f>Sheet1!D348</f>
        <v>0</v>
      </c>
      <c r="E106" s="177">
        <f>Sheet1!E348</f>
        <v>0</v>
      </c>
      <c r="F106" s="177">
        <f>Sheet1!F348</f>
        <v>1097492.3999999999</v>
      </c>
      <c r="G106" s="177">
        <f>Sheet1!G348</f>
        <v>1172428.2</v>
      </c>
      <c r="H106" s="481"/>
      <c r="I106" s="482"/>
      <c r="J106" s="482"/>
      <c r="K106" s="483"/>
      <c r="L106" s="419"/>
      <c r="M106" s="419"/>
      <c r="N106" s="419"/>
      <c r="O106" s="419"/>
      <c r="P106" s="343"/>
      <c r="Q106" s="343"/>
      <c r="R106" s="343"/>
      <c r="S106" s="343"/>
      <c r="T106" s="422"/>
      <c r="U106" s="422"/>
      <c r="V106" s="343"/>
      <c r="W106" s="343"/>
      <c r="X106" s="343"/>
      <c r="Y106" s="295"/>
      <c r="Z106" s="295"/>
    </row>
    <row r="107" spans="1:26" x14ac:dyDescent="0.2">
      <c r="A107" s="84"/>
      <c r="B107" s="179"/>
      <c r="C107" s="151"/>
      <c r="D107" s="151"/>
      <c r="E107" s="151"/>
      <c r="F107" s="151"/>
      <c r="G107" s="151"/>
      <c r="H107" s="481"/>
      <c r="I107" s="482"/>
      <c r="J107" s="482"/>
      <c r="K107" s="483"/>
      <c r="L107" s="419"/>
      <c r="M107" s="419"/>
      <c r="N107" s="419"/>
      <c r="O107" s="419"/>
      <c r="P107" s="343"/>
      <c r="Q107" s="343"/>
      <c r="R107" s="343"/>
      <c r="S107" s="343"/>
      <c r="T107" s="422"/>
      <c r="U107" s="422"/>
      <c r="V107" s="343"/>
      <c r="W107" s="343"/>
      <c r="X107" s="343"/>
      <c r="Y107" s="295"/>
      <c r="Z107" s="295"/>
    </row>
    <row r="108" spans="1:26" x14ac:dyDescent="0.2">
      <c r="A108" s="84"/>
      <c r="B108" s="188" t="s">
        <v>431</v>
      </c>
      <c r="C108" s="149"/>
      <c r="D108" s="149"/>
      <c r="E108" s="149"/>
      <c r="F108" s="149"/>
      <c r="G108" s="149"/>
      <c r="H108" s="484"/>
      <c r="I108" s="485"/>
      <c r="J108" s="485"/>
      <c r="K108" s="486"/>
      <c r="L108" s="419"/>
      <c r="M108" s="419"/>
      <c r="N108" s="419"/>
      <c r="O108" s="419"/>
      <c r="P108" s="343"/>
      <c r="Q108" s="343"/>
      <c r="R108" s="343"/>
      <c r="S108" s="343"/>
      <c r="T108" s="422"/>
      <c r="U108" s="422"/>
      <c r="V108" s="343"/>
      <c r="W108" s="343"/>
      <c r="X108" s="343"/>
      <c r="Y108" s="295"/>
      <c r="Z108" s="295"/>
    </row>
    <row r="109" spans="1:26" x14ac:dyDescent="0.2">
      <c r="A109" s="84"/>
      <c r="B109" s="179" t="s">
        <v>693</v>
      </c>
      <c r="C109" s="274">
        <f>IF((C24+C25)&lt;=0,100,(C26+C27)/(C24))</f>
        <v>0.57024821080236143</v>
      </c>
      <c r="D109" s="274">
        <f t="shared" ref="D109:G109" si="40">IF((D24+D25)&lt;=0,100,(D26+D27)/(D24))</f>
        <v>0.62793411747607253</v>
      </c>
      <c r="E109" s="274">
        <f t="shared" si="40"/>
        <v>0.64436389300972663</v>
      </c>
      <c r="F109" s="274">
        <f t="shared" si="40"/>
        <v>0.59345185040825621</v>
      </c>
      <c r="G109" s="274">
        <f t="shared" si="40"/>
        <v>0.60200715584135767</v>
      </c>
      <c r="H109" s="478">
        <f>IF((H24+H25)&lt;=0,100,(H26+H27)/(H24))</f>
        <v>100</v>
      </c>
      <c r="I109" s="479">
        <f>IF((I24+I25)&lt;=0,100,(I26+I27)/(I24))</f>
        <v>1.1645850747525892</v>
      </c>
      <c r="J109" s="479">
        <f>IF((J24+J25)&lt;=0,100,(J26+J27)/(J24))</f>
        <v>0.58229253737629461</v>
      </c>
      <c r="K109" s="480">
        <f>IF((K24+K25)&lt;=0,100,(K26+K27)/(K24))</f>
        <v>0.7083489496015597</v>
      </c>
      <c r="L109" s="419"/>
      <c r="M109" s="419"/>
      <c r="N109" s="419"/>
      <c r="O109" s="419"/>
      <c r="P109" s="343"/>
      <c r="Q109" s="343"/>
      <c r="R109" s="343"/>
      <c r="S109" s="343"/>
      <c r="T109" s="422"/>
      <c r="U109" s="422"/>
      <c r="V109" s="343"/>
      <c r="W109" s="343"/>
      <c r="X109" s="343"/>
      <c r="Y109" s="295"/>
      <c r="Z109" s="295"/>
    </row>
    <row r="110" spans="1:26" ht="25.5" x14ac:dyDescent="0.2">
      <c r="A110" s="84"/>
      <c r="B110" s="179" t="s">
        <v>432</v>
      </c>
      <c r="C110" s="274">
        <f>IF((C24+C25)&lt;=0,100,(C26+C27)/(C24+C25))</f>
        <v>0.5702316362285843</v>
      </c>
      <c r="D110" s="274">
        <f t="shared" ref="D110:G110" si="41">IF((D24+D25)&lt;=0,100,(D26+D27)/(D24+D25))</f>
        <v>0.62788229035976584</v>
      </c>
      <c r="E110" s="274">
        <f t="shared" si="41"/>
        <v>0.61753243789624934</v>
      </c>
      <c r="F110" s="274">
        <f t="shared" si="41"/>
        <v>0.55868561068002021</v>
      </c>
      <c r="G110" s="274">
        <f t="shared" si="41"/>
        <v>1.602558419153277E-3</v>
      </c>
      <c r="H110" s="478">
        <f>IF((H24+H25)&lt;=0,100,(H26+H27)/(H24+H25))</f>
        <v>100</v>
      </c>
      <c r="I110" s="479">
        <f>IF((I24+I25)&lt;=0,100,(I26+I27)/(I24+I25))</f>
        <v>4.7993049680933536E-3</v>
      </c>
      <c r="J110" s="479">
        <f>IF((J24+J25)&lt;=0,100,(J26+J27)/(J24+J25))</f>
        <v>4.7796079988365325E-3</v>
      </c>
      <c r="K110" s="480">
        <f>IF((K24+K25)&lt;=0,100,(K26+K27)/(K24+K25))</f>
        <v>1.7808845064716786E-3</v>
      </c>
      <c r="L110" s="419"/>
      <c r="M110" s="419"/>
      <c r="N110" s="419"/>
      <c r="O110" s="419"/>
      <c r="P110" s="343"/>
      <c r="Q110" s="343"/>
      <c r="R110" s="343"/>
      <c r="S110" s="343"/>
      <c r="T110" s="422"/>
      <c r="U110" s="422"/>
      <c r="V110" s="343"/>
      <c r="W110" s="343"/>
      <c r="X110" s="343"/>
      <c r="Y110" s="295"/>
      <c r="Z110" s="295"/>
    </row>
    <row r="111" spans="1:26" x14ac:dyDescent="0.2">
      <c r="A111" s="84"/>
      <c r="B111" s="179" t="s">
        <v>433</v>
      </c>
      <c r="C111" s="274"/>
      <c r="D111" s="274">
        <f>IFERROR((D39)/AVERAGE(C100:D100),(D39)/AVERAGE(D100))</f>
        <v>0.10929170037668731</v>
      </c>
      <c r="E111" s="274">
        <f t="shared" ref="E111:G111" si="42">IFERROR((E39)/AVERAGE(D100:E100),(E39)/AVERAGE(E100))</f>
        <v>0.15554811091780801</v>
      </c>
      <c r="F111" s="274">
        <f t="shared" si="42"/>
        <v>5.9180212995220569E-2</v>
      </c>
      <c r="G111" s="274">
        <f t="shared" si="42"/>
        <v>191.45147995271594</v>
      </c>
      <c r="H111" s="478">
        <f t="shared" ref="H111" si="43">IFERROR((H39)/AVERAGE(G100:H100)*100,(H39)/AVERAGE(H100)*100)</f>
        <v>0</v>
      </c>
      <c r="I111" s="479">
        <f>IFERROR((I39)/AVERAGE(H100:I100),(I39)/AVERAGE(I100))</f>
        <v>1.9678077577764734</v>
      </c>
      <c r="J111" s="479">
        <f>IFERROR((J39)/AVERAGE(I100:J100),(J39)/AVERAGE(J100))</f>
        <v>0.98597595751560896</v>
      </c>
      <c r="K111" s="480">
        <f>IFERROR((K39)/AVERAGE(J100:K100),(K39)/AVERAGE(K100))</f>
        <v>1.4460191250397998</v>
      </c>
      <c r="L111" s="419"/>
      <c r="M111" s="419"/>
      <c r="N111" s="419"/>
      <c r="O111" s="419"/>
      <c r="P111" s="343"/>
      <c r="Q111" s="343"/>
      <c r="R111" s="343"/>
      <c r="S111" s="343"/>
      <c r="T111" s="422"/>
      <c r="U111" s="422"/>
      <c r="V111" s="343"/>
      <c r="W111" s="343"/>
      <c r="X111" s="343"/>
      <c r="Y111" s="295"/>
      <c r="Z111" s="295"/>
    </row>
    <row r="112" spans="1:26" x14ac:dyDescent="0.2">
      <c r="A112" s="84"/>
      <c r="B112" s="179" t="s">
        <v>434</v>
      </c>
      <c r="C112" s="274"/>
      <c r="D112" s="274">
        <f>IFERROR((D25)/AVERAGE(C$65:D$65),(D25)/AVERAGE(D$65))</f>
        <v>5.6323278370527129E-6</v>
      </c>
      <c r="E112" s="274">
        <f t="shared" ref="E112:G112" si="44">IFERROR((E25)/AVERAGE(D$65:E$65),(E25)/AVERAGE(E$65))</f>
        <v>2.9379559824374542E-3</v>
      </c>
      <c r="F112" s="274">
        <f t="shared" si="44"/>
        <v>4.3081917648318179E-3</v>
      </c>
      <c r="G112" s="274">
        <f t="shared" si="44"/>
        <v>21.096189619187481</v>
      </c>
      <c r="H112" s="478">
        <f>IFERROR((H25)/AVERAGE(G$65:H$65),(H25)/AVERAGE(H$65))</f>
        <v>0</v>
      </c>
      <c r="I112" s="479">
        <f>IFERROR((I25)/AVERAGE(H$65:I$65),(I25)/AVERAGE(I$65))</f>
        <v>62.935405771586368</v>
      </c>
      <c r="J112" s="479">
        <f>IFERROR((J25)/AVERAGE(I$65:J$65),(J25)/AVERAGE(J$65))</f>
        <v>10.853976023297291</v>
      </c>
      <c r="K112" s="480">
        <f>IFERROR((K25)/AVERAGE(J$65:K$65),(K25)/AVERAGE(K$65))</f>
        <v>18.431152930975376</v>
      </c>
      <c r="L112" s="419"/>
      <c r="M112" s="419"/>
      <c r="N112" s="419"/>
      <c r="O112" s="419"/>
      <c r="P112" s="343"/>
      <c r="Q112" s="343"/>
      <c r="R112" s="343"/>
      <c r="S112" s="343"/>
      <c r="T112" s="422"/>
      <c r="U112" s="422"/>
      <c r="V112" s="343"/>
      <c r="W112" s="343"/>
      <c r="X112" s="343"/>
      <c r="Y112" s="295"/>
      <c r="Z112" s="295"/>
    </row>
    <row r="113" spans="1:26" ht="25.5" x14ac:dyDescent="0.2">
      <c r="A113" s="84"/>
      <c r="B113" s="179" t="s">
        <v>656</v>
      </c>
      <c r="C113" s="274"/>
      <c r="D113" s="575">
        <f>IFERROR((Sheet1!D100+Sheet1!D55-Sheet1!D102)/AVERAGE(Sheet1!C128:'Sheet1'!D128),(Sheet1!D100+Sheet1!D55-Sheet1!D102)/AVERAGE(Sheet1!D128:'Sheet1'!D128))</f>
        <v>0</v>
      </c>
      <c r="E113" s="575">
        <f>IFERROR((Sheet1!E100+Sheet1!E55-Sheet1!E102)/AVERAGE(Sheet1!D128:'Sheet1'!E128),(Sheet1!E100+Sheet1!E55-Sheet1!E102)/AVERAGE(Sheet1!E128:'Sheet1'!E128))</f>
        <v>0</v>
      </c>
      <c r="F113" s="577">
        <f>IFERROR((Sheet1!F100+Sheet1!F55-Sheet1!F102)/AVERAGE(Sheet1!E128:'Sheet1'!F128),(Sheet1!F100+Sheet1!F55-Sheet1!F102)/AVERAGE(Sheet1!F128:'Sheet1'!F128))</f>
        <v>2.5525444295720536E-2</v>
      </c>
      <c r="G113" s="575">
        <f>IFERROR((Sheet1!G100+Sheet1!G55-Sheet1!G102)/AVERAGE(Sheet1!F128:'Sheet1'!G128),(Sheet1!G100+Sheet1!G55-Sheet1!G102)/AVERAGE(Sheet1!G128:'Sheet1'!G128))</f>
        <v>4.5687785550176948E-5</v>
      </c>
      <c r="H113" s="481"/>
      <c r="I113" s="482"/>
      <c r="J113" s="482"/>
      <c r="K113" s="483"/>
      <c r="L113" s="419"/>
      <c r="M113" s="419"/>
      <c r="N113" s="419"/>
      <c r="O113" s="419"/>
      <c r="P113" s="343"/>
      <c r="Q113" s="343"/>
      <c r="R113" s="343"/>
      <c r="S113" s="343"/>
      <c r="T113" s="422"/>
      <c r="U113" s="422"/>
      <c r="V113" s="343"/>
      <c r="W113" s="343"/>
      <c r="X113" s="343"/>
      <c r="Y113" s="295"/>
      <c r="Z113" s="295"/>
    </row>
    <row r="114" spans="1:26" ht="51" x14ac:dyDescent="0.2">
      <c r="A114" s="84"/>
      <c r="B114" s="179" t="s">
        <v>725</v>
      </c>
      <c r="C114" s="274">
        <f>SUM(Sheet1!C56:C59)/Sheet1!C66</f>
        <v>0</v>
      </c>
      <c r="D114" s="274">
        <f>SUM(Sheet1!D56:D59)/Sheet1!D66</f>
        <v>0</v>
      </c>
      <c r="E114" s="274">
        <f>SUM(Sheet1!E56:E59)/Sheet1!E66</f>
        <v>4.1568314043687445E-2</v>
      </c>
      <c r="F114" s="574">
        <f>SUM(Sheet1!F56:F59)/Sheet1!F66</f>
        <v>5.2604172287635302E-2</v>
      </c>
      <c r="G114" s="574">
        <f>SUM(Sheet1!G56:G59)/Sheet1!G66</f>
        <v>0.99731499929939471</v>
      </c>
      <c r="H114" s="481"/>
      <c r="I114" s="482"/>
      <c r="J114" s="482"/>
      <c r="K114" s="483"/>
      <c r="L114" s="419"/>
      <c r="M114" s="419"/>
      <c r="N114" s="419"/>
      <c r="O114" s="419"/>
      <c r="P114" s="343"/>
      <c r="Q114" s="343"/>
      <c r="R114" s="343"/>
      <c r="S114" s="343"/>
      <c r="T114" s="422"/>
      <c r="U114" s="422"/>
      <c r="V114" s="343"/>
      <c r="W114" s="343"/>
      <c r="X114" s="343"/>
      <c r="Y114" s="295"/>
      <c r="Z114" s="295"/>
    </row>
    <row r="115" spans="1:26" ht="51" x14ac:dyDescent="0.2">
      <c r="A115" s="84"/>
      <c r="B115" s="179" t="s">
        <v>726</v>
      </c>
      <c r="C115" s="274">
        <f>SUM(Sheet1!C56:C59)/SUM(Sheet1!C37,Sheet1!C64)</f>
        <v>0</v>
      </c>
      <c r="D115" s="274">
        <f>SUM(Sheet1!D56:D59)/SUM(Sheet1!D37,Sheet1!D64)</f>
        <v>0</v>
      </c>
      <c r="E115" s="274">
        <f>SUM(Sheet1!E56:E59)/SUM(Sheet1!E37,Sheet1!E64)</f>
        <v>2.2491036895426805E-2</v>
      </c>
      <c r="F115" s="274">
        <f>SUM(Sheet1!F56:F59)/SUM(Sheet1!F37,Sheet1!F64)</f>
        <v>2.9563484842970993E-2</v>
      </c>
      <c r="G115" s="274">
        <f>SUM(Sheet1!G56:G59)/SUM(Sheet1!G37,Sheet1!G64)</f>
        <v>0.99515418997579252</v>
      </c>
      <c r="H115" s="481"/>
      <c r="I115" s="482"/>
      <c r="J115" s="482"/>
      <c r="K115" s="483"/>
      <c r="L115" s="419"/>
      <c r="M115" s="419"/>
      <c r="N115" s="419"/>
      <c r="O115" s="419"/>
      <c r="P115" s="343"/>
      <c r="Q115" s="343"/>
      <c r="R115" s="343"/>
      <c r="S115" s="343"/>
      <c r="T115" s="422"/>
      <c r="U115" s="422"/>
      <c r="V115" s="343"/>
      <c r="W115" s="343"/>
      <c r="X115" s="343"/>
      <c r="Y115" s="295"/>
      <c r="Z115" s="295"/>
    </row>
    <row r="116" spans="1:26" x14ac:dyDescent="0.2">
      <c r="A116" s="84"/>
      <c r="B116" s="179"/>
      <c r="C116" s="151"/>
      <c r="D116" s="151"/>
      <c r="E116" s="151"/>
      <c r="F116" s="151"/>
      <c r="G116" s="151"/>
      <c r="H116" s="481"/>
      <c r="I116" s="482"/>
      <c r="J116" s="482"/>
      <c r="K116" s="483"/>
      <c r="L116" s="419"/>
      <c r="M116" s="419"/>
      <c r="N116" s="419"/>
      <c r="O116" s="419"/>
      <c r="P116" s="343"/>
      <c r="Q116" s="343"/>
      <c r="R116" s="343"/>
      <c r="S116" s="343"/>
      <c r="T116" s="422"/>
      <c r="U116" s="422"/>
      <c r="V116" s="343"/>
      <c r="W116" s="343"/>
      <c r="X116" s="343"/>
      <c r="Y116" s="295"/>
      <c r="Z116" s="295"/>
    </row>
    <row r="117" spans="1:26" x14ac:dyDescent="0.2">
      <c r="A117" s="84"/>
      <c r="B117" s="188" t="s">
        <v>435</v>
      </c>
      <c r="C117" s="149"/>
      <c r="D117" s="149"/>
      <c r="E117" s="149"/>
      <c r="F117" s="149"/>
      <c r="G117" s="149"/>
      <c r="H117" s="484"/>
      <c r="I117" s="485"/>
      <c r="J117" s="485"/>
      <c r="K117" s="486"/>
      <c r="L117" s="419"/>
      <c r="M117" s="419"/>
      <c r="N117" s="419"/>
      <c r="O117" s="419"/>
      <c r="P117" s="343"/>
      <c r="Q117" s="343"/>
      <c r="R117" s="343"/>
      <c r="S117" s="343"/>
      <c r="T117" s="422"/>
      <c r="U117" s="422"/>
      <c r="V117" s="343"/>
      <c r="W117" s="343"/>
      <c r="X117" s="343"/>
      <c r="Y117" s="295"/>
      <c r="Z117" s="295"/>
    </row>
    <row r="118" spans="1:26" x14ac:dyDescent="0.2">
      <c r="A118" s="84"/>
      <c r="B118" s="179" t="s">
        <v>609</v>
      </c>
      <c r="C118" s="368">
        <f>Sheet1!C340</f>
        <v>9.1999999999999993</v>
      </c>
      <c r="D118" s="368">
        <f>Sheet1!D340</f>
        <v>9.4</v>
      </c>
      <c r="E118" s="368">
        <f>Sheet1!E340</f>
        <v>8.4</v>
      </c>
      <c r="F118" s="368">
        <f>Sheet1!F340</f>
        <v>8.4</v>
      </c>
      <c r="G118" s="368">
        <f>Sheet1!G340</f>
        <v>21</v>
      </c>
      <c r="H118" s="481"/>
      <c r="I118" s="550">
        <f>O21</f>
        <v>0</v>
      </c>
      <c r="J118" s="550">
        <f>I118</f>
        <v>0</v>
      </c>
      <c r="K118" s="563">
        <f>O22</f>
        <v>0</v>
      </c>
      <c r="L118" s="419"/>
      <c r="M118" s="419"/>
      <c r="N118" s="419"/>
      <c r="O118" s="419"/>
      <c r="P118" s="343"/>
      <c r="Q118" s="343"/>
      <c r="R118" s="343"/>
      <c r="S118" s="343"/>
      <c r="T118" s="422"/>
      <c r="U118" s="422"/>
      <c r="V118" s="343"/>
      <c r="W118" s="343"/>
      <c r="X118" s="343"/>
      <c r="Y118" s="295"/>
      <c r="Z118" s="295"/>
    </row>
    <row r="119" spans="1:26" x14ac:dyDescent="0.2">
      <c r="A119" s="84"/>
      <c r="B119" s="179" t="s">
        <v>674</v>
      </c>
      <c r="C119" s="274"/>
      <c r="D119" s="274">
        <f>IFERROR(Sheet1!D338/'New Fin Ratios'!C105,"")</f>
        <v>4.2291180151943726E-2</v>
      </c>
      <c r="E119" s="274">
        <f>IFERROR(Sheet1!E338/'New Fin Ratios'!D105,"")</f>
        <v>2.9701053993804055E-2</v>
      </c>
      <c r="F119" s="274">
        <f>IFERROR(Sheet1!F338/'New Fin Ratios'!E105,"")</f>
        <v>2.590212814613373E-2</v>
      </c>
      <c r="G119" s="274">
        <f>IFERROR(Sheet1!G338/'New Fin Ratios'!F105,"")</f>
        <v>0.29664867808472933</v>
      </c>
      <c r="H119" s="481"/>
      <c r="I119" s="482"/>
      <c r="J119" s="482"/>
      <c r="K119" s="483"/>
      <c r="L119" s="419"/>
      <c r="M119" s="419"/>
      <c r="N119" s="419"/>
      <c r="O119" s="419"/>
      <c r="P119" s="343"/>
      <c r="Q119" s="343"/>
      <c r="R119" s="343"/>
      <c r="S119" s="343"/>
      <c r="T119" s="422"/>
      <c r="U119" s="422"/>
      <c r="V119" s="343"/>
      <c r="W119" s="343"/>
      <c r="X119" s="343"/>
      <c r="Y119" s="295"/>
      <c r="Z119" s="295"/>
    </row>
    <row r="120" spans="1:26" x14ac:dyDescent="0.2">
      <c r="A120" s="84"/>
      <c r="B120" s="179" t="s">
        <v>437</v>
      </c>
      <c r="C120" s="151">
        <f>IF((C28)&lt;=0,0,C28/C29)</f>
        <v>1.7692403569707342</v>
      </c>
      <c r="D120" s="151">
        <f t="shared" ref="D120:K120" si="45">IF((D28)&lt;=0,0,D28/D29)</f>
        <v>4.6429563932002944</v>
      </c>
      <c r="E120" s="151">
        <f t="shared" si="45"/>
        <v>2.4997081482435251</v>
      </c>
      <c r="F120" s="151">
        <f t="shared" si="45"/>
        <v>1.8735982405699825</v>
      </c>
      <c r="G120" s="151">
        <f t="shared" si="45"/>
        <v>1220.0864908089322</v>
      </c>
      <c r="H120" s="481">
        <f t="shared" si="45"/>
        <v>0</v>
      </c>
      <c r="I120" s="482">
        <f t="shared" si="45"/>
        <v>324.88027125749403</v>
      </c>
      <c r="J120" s="482">
        <f t="shared" si="45"/>
        <v>326.22557328351007</v>
      </c>
      <c r="K120" s="483">
        <f t="shared" si="45"/>
        <v>548.85946767634869</v>
      </c>
      <c r="L120" s="419"/>
      <c r="M120" s="419"/>
      <c r="N120" s="419"/>
      <c r="O120" s="419"/>
      <c r="P120" s="343"/>
      <c r="Q120" s="343"/>
      <c r="R120" s="343"/>
      <c r="S120" s="343"/>
      <c r="T120" s="422"/>
      <c r="U120" s="422"/>
      <c r="V120" s="343"/>
      <c r="W120" s="343"/>
      <c r="X120" s="343"/>
      <c r="Y120" s="295"/>
      <c r="Z120" s="295"/>
    </row>
    <row r="121" spans="1:26" x14ac:dyDescent="0.2">
      <c r="A121" s="84"/>
      <c r="B121" s="179" t="s">
        <v>438</v>
      </c>
      <c r="C121" s="151" t="e">
        <f>IF((Sheet1!C116)&lt;=0,50,C28/Sheet1!C283)</f>
        <v>#DIV/0!</v>
      </c>
      <c r="D121" s="151" t="e">
        <f>IF((Sheet1!D116)&lt;=0,50,D28/Sheet1!D283)</f>
        <v>#DIV/0!</v>
      </c>
      <c r="E121" s="151" t="e">
        <f>IF((Sheet1!E116)&lt;=0,50,E28/Sheet1!E283)</f>
        <v>#DIV/0!</v>
      </c>
      <c r="F121" s="151" t="e">
        <f>IF((Sheet1!F116)&lt;=0,50,F28/Sheet1!F283)</f>
        <v>#DIV/0!</v>
      </c>
      <c r="G121" s="151" t="e">
        <f>IF((Sheet1!G116)&lt;=0,50,G28/Sheet1!G283)</f>
        <v>#DIV/0!</v>
      </c>
      <c r="H121" s="481"/>
      <c r="I121" s="482"/>
      <c r="J121" s="482"/>
      <c r="K121" s="483"/>
      <c r="L121" s="419"/>
      <c r="M121" s="419"/>
      <c r="N121" s="419"/>
      <c r="O121" s="419"/>
      <c r="P121" s="343"/>
      <c r="Q121" s="343"/>
      <c r="R121" s="343"/>
      <c r="S121" s="343"/>
      <c r="T121" s="422"/>
      <c r="U121" s="422"/>
      <c r="V121" s="343"/>
      <c r="W121" s="343"/>
      <c r="X121" s="343"/>
      <c r="Y121" s="295"/>
      <c r="Z121" s="295"/>
    </row>
    <row r="122" spans="1:26" x14ac:dyDescent="0.2">
      <c r="A122" s="84"/>
      <c r="B122" s="179" t="s">
        <v>439</v>
      </c>
      <c r="C122" s="151">
        <f>IFERROR('New Fin Ratios'!C102/Sheet1!C339,"")</f>
        <v>9.3749934082159996</v>
      </c>
      <c r="D122" s="151">
        <f>IFERROR('New Fin Ratios'!D102/Sheet1!D339,"")</f>
        <v>23.751777552056883</v>
      </c>
      <c r="E122" s="151">
        <f>IFERROR('New Fin Ratios'!E102/Sheet1!E339,"")</f>
        <v>30.586546927275926</v>
      </c>
      <c r="F122" s="151">
        <f>IFERROR('New Fin Ratios'!F102/Sheet1!F339,"")</f>
        <v>24.43146856177146</v>
      </c>
      <c r="G122" s="151">
        <f>IFERROR('New Fin Ratios'!G102/Sheet1!G339,"")</f>
        <v>15.706565396498457</v>
      </c>
      <c r="H122" s="481"/>
      <c r="I122" s="482"/>
      <c r="J122" s="482"/>
      <c r="K122" s="483"/>
      <c r="L122" s="419"/>
      <c r="M122" s="419"/>
      <c r="N122" s="419"/>
      <c r="O122" s="419"/>
      <c r="P122" s="343"/>
      <c r="Q122" s="343"/>
      <c r="R122" s="343"/>
      <c r="S122" s="343"/>
      <c r="T122" s="422"/>
      <c r="U122" s="422"/>
      <c r="V122" s="343"/>
      <c r="W122" s="343"/>
      <c r="X122" s="343"/>
      <c r="Y122" s="295"/>
      <c r="Z122" s="295"/>
    </row>
    <row r="123" spans="1:26" x14ac:dyDescent="0.2">
      <c r="A123" s="84"/>
      <c r="B123" s="179" t="s">
        <v>657</v>
      </c>
      <c r="C123" s="274">
        <f>C29/C24</f>
        <v>0.24291829761397257</v>
      </c>
      <c r="D123" s="274">
        <f t="shared" ref="D123:G123" si="46">D29/D24</f>
        <v>8.0153332001064767E-2</v>
      </c>
      <c r="E123" s="574">
        <f t="shared" si="46"/>
        <v>0.15965286747499802</v>
      </c>
      <c r="F123" s="274">
        <f t="shared" si="46"/>
        <v>0.25020133381863618</v>
      </c>
      <c r="G123" s="274">
        <f t="shared" si="46"/>
        <v>0.30739770758161095</v>
      </c>
      <c r="H123" s="481"/>
      <c r="I123" s="482"/>
      <c r="J123" s="482"/>
      <c r="K123" s="483"/>
      <c r="L123" s="419"/>
      <c r="M123" s="419"/>
      <c r="N123" s="419"/>
      <c r="O123" s="419"/>
      <c r="P123" s="343"/>
      <c r="Q123" s="343"/>
      <c r="R123" s="343"/>
      <c r="S123" s="343"/>
      <c r="T123" s="422"/>
      <c r="U123" s="422"/>
      <c r="V123" s="343"/>
      <c r="W123" s="343"/>
      <c r="X123" s="343"/>
      <c r="Y123" s="295"/>
      <c r="Z123" s="295"/>
    </row>
    <row r="124" spans="1:26" x14ac:dyDescent="0.2">
      <c r="A124" s="84"/>
      <c r="B124" s="179" t="s">
        <v>610</v>
      </c>
      <c r="C124" s="151">
        <f>Sheet1!C341</f>
        <v>2.8000000000000003</v>
      </c>
      <c r="D124" s="151">
        <f>Sheet1!D341</f>
        <v>2.8000000000000003</v>
      </c>
      <c r="E124" s="151">
        <f>Sheet1!E341</f>
        <v>5.7</v>
      </c>
      <c r="F124" s="151">
        <f>Sheet1!F341</f>
        <v>5.6000000000000005</v>
      </c>
      <c r="G124" s="151">
        <f>Sheet1!G341</f>
        <v>4.2</v>
      </c>
      <c r="H124" s="481"/>
      <c r="I124" s="482"/>
      <c r="J124" s="482"/>
      <c r="K124" s="483"/>
      <c r="L124" s="419"/>
      <c r="M124" s="419"/>
      <c r="N124" s="419"/>
      <c r="O124" s="419"/>
      <c r="P124" s="343"/>
      <c r="Q124" s="343"/>
      <c r="R124" s="343"/>
      <c r="S124" s="343"/>
      <c r="T124" s="422"/>
      <c r="U124" s="422"/>
      <c r="V124" s="343"/>
      <c r="W124" s="343"/>
      <c r="X124" s="343"/>
      <c r="Y124" s="295"/>
      <c r="Z124" s="295"/>
    </row>
    <row r="125" spans="1:26" x14ac:dyDescent="0.2">
      <c r="A125" s="84"/>
      <c r="B125" s="179" t="s">
        <v>694</v>
      </c>
      <c r="C125" s="274">
        <f>IFERROR(Sheet1!C475/'New Fin Ratios'!C55,"NA")</f>
        <v>0</v>
      </c>
      <c r="D125" s="274">
        <f>IFERROR(Sheet1!D475/'New Fin Ratios'!D55,"NA")</f>
        <v>0</v>
      </c>
      <c r="E125" s="274">
        <f>IFERROR(Sheet1!E475/'New Fin Ratios'!E55,"NA")</f>
        <v>0</v>
      </c>
      <c r="F125" s="274">
        <f>IFERROR(Sheet1!F475/'New Fin Ratios'!F55,"NA")</f>
        <v>0.17728015319308485</v>
      </c>
      <c r="G125" s="274">
        <f>IFERROR(Sheet1!G475/'New Fin Ratios'!G55,"NA")</f>
        <v>0.1099012786360786</v>
      </c>
      <c r="H125" s="481"/>
      <c r="I125" s="482"/>
      <c r="J125" s="482"/>
      <c r="K125" s="483"/>
      <c r="L125" s="419"/>
      <c r="M125" s="419"/>
      <c r="N125" s="419"/>
      <c r="O125" s="419"/>
      <c r="P125" s="343"/>
      <c r="Q125" s="343"/>
      <c r="R125" s="343"/>
      <c r="S125" s="343"/>
      <c r="T125" s="422"/>
      <c r="U125" s="422"/>
      <c r="V125" s="343"/>
      <c r="W125" s="343"/>
      <c r="X125" s="343"/>
      <c r="Y125" s="295"/>
      <c r="Z125" s="295"/>
    </row>
    <row r="126" spans="1:26" x14ac:dyDescent="0.2">
      <c r="A126" s="84"/>
      <c r="B126" s="179" t="s">
        <v>695</v>
      </c>
      <c r="C126" s="274"/>
      <c r="D126" s="274">
        <f>IFERROR(Sheet1!D475/'New Fin Ratios'!C55,"NA")</f>
        <v>0</v>
      </c>
      <c r="E126" s="274">
        <f>IFERROR(Sheet1!E475/'New Fin Ratios'!D55,"NA")</f>
        <v>0</v>
      </c>
      <c r="F126" s="274">
        <f>IFERROR(Sheet1!F475/'New Fin Ratios'!E55,"NA")</f>
        <v>0.19448448298699958</v>
      </c>
      <c r="G126" s="274">
        <f>IFERROR(Sheet1!G475/'New Fin Ratios'!F55,"NA")</f>
        <v>0.12187375854234457</v>
      </c>
      <c r="H126" s="481"/>
      <c r="I126" s="482"/>
      <c r="J126" s="482"/>
      <c r="K126" s="483"/>
      <c r="L126" s="419"/>
      <c r="M126" s="419"/>
      <c r="N126" s="419"/>
      <c r="O126" s="419"/>
      <c r="P126" s="343"/>
      <c r="Q126" s="343"/>
      <c r="R126" s="343"/>
      <c r="S126" s="343"/>
      <c r="T126" s="422"/>
      <c r="U126" s="422"/>
      <c r="V126" s="343"/>
      <c r="W126" s="343"/>
      <c r="X126" s="343"/>
      <c r="Y126" s="295"/>
      <c r="Z126" s="295"/>
    </row>
    <row r="127" spans="1:26" ht="25.5" x14ac:dyDescent="0.2">
      <c r="A127" s="84"/>
      <c r="B127" s="179" t="s">
        <v>696</v>
      </c>
      <c r="C127" s="274"/>
      <c r="D127" s="274"/>
      <c r="E127" s="274">
        <f>IFERROR(Sheet1!E475/'New Fin Ratios'!C55,"NA")</f>
        <v>0</v>
      </c>
      <c r="F127" s="274">
        <f>IFERROR(Sheet1!F475/'New Fin Ratios'!D55,"NA")</f>
        <v>0.21577392776187973</v>
      </c>
      <c r="G127" s="274">
        <f>IFERROR(Sheet1!G475/'New Fin Ratios'!E55,"NA")</f>
        <v>0.13370111934625106</v>
      </c>
      <c r="H127" s="481"/>
      <c r="I127" s="482"/>
      <c r="J127" s="482"/>
      <c r="K127" s="483"/>
      <c r="L127" s="419"/>
      <c r="M127" s="419"/>
      <c r="N127" s="419"/>
      <c r="O127" s="419"/>
      <c r="P127" s="343"/>
      <c r="Q127" s="343"/>
      <c r="R127" s="343"/>
      <c r="S127" s="343"/>
      <c r="T127" s="422"/>
      <c r="U127" s="422"/>
      <c r="V127" s="343"/>
      <c r="W127" s="343"/>
      <c r="X127" s="343"/>
      <c r="Y127" s="295"/>
      <c r="Z127" s="295"/>
    </row>
    <row r="128" spans="1:26" x14ac:dyDescent="0.2">
      <c r="A128" s="84"/>
      <c r="B128" s="179" t="s">
        <v>697</v>
      </c>
      <c r="C128" s="274"/>
      <c r="D128" s="274">
        <f>IFERROR(D29/C105,"NA")</f>
        <v>7.0104752977897576E-3</v>
      </c>
      <c r="E128" s="274">
        <f t="shared" ref="E128:G128" si="47">IFERROR(E29/D105,"NA")</f>
        <v>1.2658356793221708E-2</v>
      </c>
      <c r="F128" s="274">
        <f t="shared" si="47"/>
        <v>2.1374991155066317E-2</v>
      </c>
      <c r="G128" s="274">
        <f t="shared" si="47"/>
        <v>2.2607139190558449E-2</v>
      </c>
      <c r="H128" s="481"/>
      <c r="I128" s="482"/>
      <c r="J128" s="482"/>
      <c r="K128" s="483"/>
      <c r="L128" s="419"/>
      <c r="M128" s="419"/>
      <c r="N128" s="419"/>
      <c r="O128" s="419"/>
      <c r="P128" s="343"/>
      <c r="Q128" s="343"/>
      <c r="R128" s="343"/>
      <c r="S128" s="343"/>
      <c r="T128" s="422"/>
      <c r="U128" s="422"/>
      <c r="V128" s="343"/>
      <c r="W128" s="343"/>
      <c r="X128" s="343"/>
      <c r="Y128" s="295"/>
      <c r="Z128" s="295"/>
    </row>
    <row r="129" spans="1:26" x14ac:dyDescent="0.2">
      <c r="A129" s="84"/>
      <c r="B129" s="179" t="s">
        <v>699</v>
      </c>
      <c r="C129" s="151">
        <f>Sheet1!C342</f>
        <v>0</v>
      </c>
      <c r="D129" s="151">
        <f>Sheet1!D342</f>
        <v>0</v>
      </c>
      <c r="E129" s="151">
        <f>Sheet1!E342</f>
        <v>0</v>
      </c>
      <c r="F129" s="151">
        <f>Sheet1!F342</f>
        <v>598.53768278965129</v>
      </c>
      <c r="G129" s="151">
        <f>Sheet1!G342</f>
        <v>59.733894084278162</v>
      </c>
      <c r="H129" s="481"/>
      <c r="I129" s="482"/>
      <c r="J129" s="482"/>
      <c r="K129" s="483"/>
      <c r="L129" s="419"/>
      <c r="M129" s="419"/>
      <c r="N129" s="419"/>
      <c r="O129" s="419"/>
      <c r="P129" s="343"/>
      <c r="Q129" s="343"/>
      <c r="R129" s="343"/>
      <c r="S129" s="343"/>
      <c r="T129" s="422"/>
      <c r="U129" s="422"/>
      <c r="V129" s="343"/>
      <c r="W129" s="343"/>
      <c r="X129" s="343"/>
      <c r="Y129" s="295"/>
      <c r="Z129" s="295"/>
    </row>
    <row r="130" spans="1:26" x14ac:dyDescent="0.2">
      <c r="A130" s="84"/>
      <c r="B130" s="179" t="s">
        <v>700</v>
      </c>
      <c r="C130" s="274">
        <f>IFERROR((Sheet1!C338-Sheet1!C339)/Sheet1!C338,0)</f>
        <v>0.76169202058474239</v>
      </c>
      <c r="D130" s="274">
        <f>IFERROR((Sheet1!D338-Sheet1!D339)/Sheet1!D338,0)</f>
        <v>0.8713397750569708</v>
      </c>
      <c r="E130" s="274">
        <f>IFERROR((Sheet1!E338-Sheet1!E339)/Sheet1!E338,0)</f>
        <v>0.8441804313230532</v>
      </c>
      <c r="F130" s="274">
        <f>IFERROR((Sheet1!F338-Sheet1!F339)/Sheet1!F338,0)</f>
        <v>0.7818623512397086</v>
      </c>
      <c r="G130" s="274">
        <f>IFERROR((Sheet1!G338-Sheet1!G339)/Sheet1!G338,0)</f>
        <v>0.97077875666769486</v>
      </c>
      <c r="H130" s="481"/>
      <c r="I130" s="482"/>
      <c r="J130" s="482"/>
      <c r="K130" s="483"/>
      <c r="L130" s="419"/>
      <c r="M130" s="419"/>
      <c r="N130" s="419"/>
      <c r="O130" s="419"/>
      <c r="P130" s="343"/>
      <c r="Q130" s="343"/>
      <c r="R130" s="343"/>
      <c r="S130" s="343"/>
      <c r="T130" s="422"/>
      <c r="U130" s="422"/>
      <c r="V130" s="343"/>
      <c r="W130" s="343"/>
      <c r="X130" s="343"/>
      <c r="Y130" s="295"/>
      <c r="Z130" s="295"/>
    </row>
    <row r="131" spans="1:26" x14ac:dyDescent="0.2">
      <c r="A131" s="84"/>
      <c r="B131" s="179" t="s">
        <v>713</v>
      </c>
      <c r="C131" s="185"/>
      <c r="D131" s="185"/>
      <c r="E131" s="185"/>
      <c r="F131" s="573">
        <f>IFERROR(F55/C55,0)</f>
        <v>1.5477347045470682</v>
      </c>
      <c r="G131" s="573">
        <f>IFERROR(G55/D55,0)</f>
        <v>1.3497281586707457</v>
      </c>
      <c r="H131" s="481"/>
      <c r="I131" s="482"/>
      <c r="J131" s="482"/>
      <c r="K131" s="483"/>
      <c r="L131" s="419"/>
      <c r="M131" s="419"/>
      <c r="N131" s="419"/>
      <c r="O131" s="419"/>
      <c r="P131" s="343"/>
      <c r="Q131" s="343"/>
      <c r="R131" s="343"/>
      <c r="S131" s="343"/>
      <c r="T131" s="422"/>
      <c r="U131" s="422"/>
      <c r="V131" s="343"/>
      <c r="W131" s="343"/>
      <c r="X131" s="343"/>
      <c r="Y131" s="295"/>
      <c r="Z131" s="295"/>
    </row>
    <row r="132" spans="1:26" x14ac:dyDescent="0.2">
      <c r="A132" s="84"/>
      <c r="B132" s="179" t="s">
        <v>297</v>
      </c>
      <c r="C132" s="274" t="str">
        <f>IFERROR(C389,"")</f>
        <v/>
      </c>
      <c r="D132" s="274" t="str">
        <f t="shared" ref="D132:G132" si="48">IFERROR(D389,"")</f>
        <v/>
      </c>
      <c r="E132" s="274">
        <f t="shared" si="48"/>
        <v>0.99974971836583892</v>
      </c>
      <c r="F132" s="274">
        <f t="shared" si="48"/>
        <v>8.3595031384187113E-2</v>
      </c>
      <c r="G132" s="274">
        <f t="shared" si="48"/>
        <v>3.4088462584941207E-2</v>
      </c>
      <c r="H132" s="481"/>
      <c r="I132" s="482"/>
      <c r="J132" s="482"/>
      <c r="K132" s="483"/>
      <c r="L132" s="419"/>
      <c r="M132" s="419"/>
      <c r="N132" s="419"/>
      <c r="O132" s="419"/>
      <c r="P132" s="343"/>
      <c r="Q132" s="343"/>
      <c r="R132" s="343"/>
      <c r="S132" s="343"/>
      <c r="T132" s="422"/>
      <c r="U132" s="422"/>
      <c r="V132" s="343"/>
      <c r="W132" s="343"/>
      <c r="X132" s="343"/>
      <c r="Y132" s="295"/>
      <c r="Z132" s="295"/>
    </row>
    <row r="133" spans="1:26" x14ac:dyDescent="0.2">
      <c r="A133" s="84"/>
      <c r="B133" s="179" t="s">
        <v>295</v>
      </c>
      <c r="C133" s="274" t="str">
        <f>IFERROR(C387,"")</f>
        <v/>
      </c>
      <c r="D133" s="274" t="str">
        <f t="shared" ref="D133:G133" si="49">IFERROR(D387,"")</f>
        <v/>
      </c>
      <c r="E133" s="274">
        <f t="shared" si="49"/>
        <v>1.0500182376717881E-4</v>
      </c>
      <c r="F133" s="274">
        <f t="shared" si="49"/>
        <v>0.11212223618855809</v>
      </c>
      <c r="G133" s="274">
        <f t="shared" si="49"/>
        <v>0.57462516026225174</v>
      </c>
      <c r="H133" s="481"/>
      <c r="I133" s="482"/>
      <c r="J133" s="482"/>
      <c r="K133" s="483"/>
      <c r="L133" s="419"/>
      <c r="M133" s="419"/>
      <c r="N133" s="419"/>
      <c r="O133" s="419"/>
      <c r="P133" s="343"/>
      <c r="Q133" s="343"/>
      <c r="R133" s="343"/>
      <c r="S133" s="343"/>
      <c r="T133" s="422"/>
      <c r="U133" s="422"/>
      <c r="V133" s="343"/>
      <c r="W133" s="343"/>
      <c r="X133" s="343"/>
      <c r="Y133" s="295"/>
      <c r="Z133" s="295"/>
    </row>
    <row r="134" spans="1:26" x14ac:dyDescent="0.2">
      <c r="A134" s="84"/>
      <c r="B134" s="179" t="s">
        <v>739</v>
      </c>
      <c r="C134" s="274"/>
      <c r="D134" s="274"/>
      <c r="E134" s="274"/>
      <c r="F134" s="274">
        <f>-F457/F463</f>
        <v>1.8758690531236792E-2</v>
      </c>
      <c r="G134" s="274">
        <f>-F421/F427</f>
        <v>1.9147597624069805E-2</v>
      </c>
      <c r="H134" s="481"/>
      <c r="I134" s="482"/>
      <c r="J134" s="482"/>
      <c r="K134" s="483"/>
      <c r="L134" s="419"/>
      <c r="M134" s="419"/>
      <c r="N134" s="419"/>
      <c r="O134" s="419"/>
      <c r="P134" s="343"/>
      <c r="Q134" s="343"/>
      <c r="R134" s="343"/>
      <c r="S134" s="343"/>
      <c r="T134" s="422"/>
      <c r="U134" s="422"/>
      <c r="V134" s="343"/>
      <c r="W134" s="343"/>
      <c r="X134" s="343"/>
      <c r="Y134" s="295"/>
      <c r="Z134" s="295"/>
    </row>
    <row r="135" spans="1:26" x14ac:dyDescent="0.2">
      <c r="A135" s="84"/>
      <c r="B135" s="179" t="s">
        <v>740</v>
      </c>
      <c r="C135" s="274">
        <f>Sheet1!C283/('New Fin Ratios'!C$55+Sheet1!C283)</f>
        <v>0</v>
      </c>
      <c r="D135" s="274">
        <f>Sheet1!D283/('New Fin Ratios'!D$55+Sheet1!D283)</f>
        <v>0</v>
      </c>
      <c r="E135" s="274">
        <f>Sheet1!E283/('New Fin Ratios'!E$55+Sheet1!E283)</f>
        <v>0</v>
      </c>
      <c r="F135" s="274">
        <f>Sheet1!F283/('New Fin Ratios'!F$55+Sheet1!F283)</f>
        <v>0</v>
      </c>
      <c r="G135" s="274">
        <f>Sheet1!G283/('New Fin Ratios'!G$55+Sheet1!G283)</f>
        <v>0</v>
      </c>
      <c r="H135" s="481"/>
      <c r="I135" s="482"/>
      <c r="J135" s="482"/>
      <c r="K135" s="483"/>
      <c r="L135" s="419"/>
      <c r="M135" s="419"/>
      <c r="N135" s="419"/>
      <c r="O135" s="419"/>
      <c r="P135" s="343"/>
      <c r="Q135" s="343"/>
      <c r="R135" s="343"/>
      <c r="S135" s="343"/>
      <c r="T135" s="422"/>
      <c r="U135" s="422"/>
      <c r="V135" s="343"/>
      <c r="W135" s="343"/>
      <c r="X135" s="343"/>
      <c r="Y135" s="295"/>
      <c r="Z135" s="295"/>
    </row>
    <row r="136" spans="1:26" x14ac:dyDescent="0.2">
      <c r="A136" s="84"/>
      <c r="B136" s="179" t="s">
        <v>741</v>
      </c>
      <c r="C136" s="274">
        <f t="shared" ref="C136:F136" si="50">SUM(C137:C138)</f>
        <v>0</v>
      </c>
      <c r="D136" s="274">
        <f t="shared" si="50"/>
        <v>0</v>
      </c>
      <c r="E136" s="274">
        <f t="shared" si="50"/>
        <v>0</v>
      </c>
      <c r="F136" s="274">
        <f t="shared" si="50"/>
        <v>0</v>
      </c>
      <c r="G136" s="274">
        <f>SUM(G137:G138)</f>
        <v>0</v>
      </c>
      <c r="H136" s="481"/>
      <c r="I136" s="482"/>
      <c r="J136" s="482"/>
      <c r="K136" s="483"/>
      <c r="L136" s="419"/>
      <c r="M136" s="419"/>
      <c r="N136" s="419"/>
      <c r="O136" s="419"/>
      <c r="P136" s="343"/>
      <c r="Q136" s="343"/>
      <c r="R136" s="343"/>
      <c r="S136" s="343"/>
      <c r="T136" s="422"/>
      <c r="U136" s="422"/>
      <c r="V136" s="343"/>
      <c r="W136" s="343"/>
      <c r="X136" s="343"/>
      <c r="Y136" s="295"/>
      <c r="Z136" s="295"/>
    </row>
    <row r="137" spans="1:26" x14ac:dyDescent="0.2">
      <c r="A137" s="84"/>
      <c r="B137" s="179" t="s">
        <v>742</v>
      </c>
      <c r="C137" s="274">
        <f>C552/C$55</f>
        <v>0</v>
      </c>
      <c r="D137" s="274">
        <f>D552/D$55</f>
        <v>0</v>
      </c>
      <c r="E137" s="274">
        <f>E552/E$55</f>
        <v>0</v>
      </c>
      <c r="F137" s="274">
        <f>F552/F$55</f>
        <v>0</v>
      </c>
      <c r="G137" s="274">
        <f>G552/G$55</f>
        <v>0</v>
      </c>
      <c r="H137" s="481"/>
      <c r="I137" s="482"/>
      <c r="J137" s="482"/>
      <c r="K137" s="483"/>
      <c r="L137" s="419"/>
      <c r="M137" s="419"/>
      <c r="N137" s="419"/>
      <c r="O137" s="419"/>
      <c r="P137" s="343"/>
      <c r="Q137" s="343"/>
      <c r="R137" s="343"/>
      <c r="S137" s="343"/>
      <c r="T137" s="422"/>
      <c r="U137" s="422"/>
      <c r="V137" s="343"/>
      <c r="W137" s="343"/>
      <c r="X137" s="343"/>
      <c r="Y137" s="295"/>
      <c r="Z137" s="295"/>
    </row>
    <row r="138" spans="1:26" x14ac:dyDescent="0.2">
      <c r="A138" s="84"/>
      <c r="B138" s="356" t="s">
        <v>743</v>
      </c>
      <c r="C138" s="274">
        <f>C575/C$55</f>
        <v>0</v>
      </c>
      <c r="D138" s="274">
        <f>D575/D$55</f>
        <v>0</v>
      </c>
      <c r="E138" s="274">
        <f>E575/E$55</f>
        <v>0</v>
      </c>
      <c r="F138" s="274">
        <f>F575/F$55</f>
        <v>0</v>
      </c>
      <c r="G138" s="274">
        <f>G575/G$55</f>
        <v>0</v>
      </c>
      <c r="H138" s="481"/>
      <c r="I138" s="482"/>
      <c r="J138" s="482"/>
      <c r="K138" s="483"/>
      <c r="L138" s="419"/>
      <c r="M138" s="419"/>
      <c r="N138" s="419"/>
      <c r="O138" s="419"/>
      <c r="P138" s="343"/>
      <c r="Q138" s="343"/>
      <c r="R138" s="343"/>
      <c r="S138" s="343"/>
      <c r="T138" s="422"/>
      <c r="U138" s="422"/>
      <c r="V138" s="343"/>
      <c r="W138" s="343"/>
      <c r="X138" s="343"/>
      <c r="Y138" s="295"/>
      <c r="Z138" s="295"/>
    </row>
    <row r="139" spans="1:26" x14ac:dyDescent="0.2">
      <c r="A139" s="84"/>
      <c r="B139" s="356" t="s">
        <v>814</v>
      </c>
      <c r="C139" s="274">
        <f>SUM(C136,C135,C134,C133,C132)</f>
        <v>0</v>
      </c>
      <c r="D139" s="274">
        <f t="shared" ref="D139:F139" si="51">SUM(D136,D135,D134,D133,D132)</f>
        <v>0</v>
      </c>
      <c r="E139" s="274">
        <f t="shared" si="51"/>
        <v>0.99985472018960608</v>
      </c>
      <c r="F139" s="274">
        <f t="shared" si="51"/>
        <v>0.21447595810398198</v>
      </c>
      <c r="G139" s="274">
        <f>SUM(G136,G135,G134,G133,G132)</f>
        <v>0.6278612204712628</v>
      </c>
      <c r="H139" s="481"/>
      <c r="I139" s="482"/>
      <c r="J139" s="482"/>
      <c r="K139" s="483"/>
      <c r="L139" s="419"/>
      <c r="M139" s="419"/>
      <c r="N139" s="419"/>
      <c r="O139" s="419"/>
      <c r="P139" s="343"/>
      <c r="Q139" s="343"/>
      <c r="R139" s="343"/>
      <c r="S139" s="343"/>
      <c r="T139" s="422"/>
      <c r="U139" s="422"/>
      <c r="V139" s="343"/>
      <c r="W139" s="343"/>
      <c r="X139" s="343"/>
      <c r="Y139" s="295"/>
      <c r="Z139" s="295"/>
    </row>
    <row r="140" spans="1:26" ht="25.5" x14ac:dyDescent="0.2">
      <c r="A140" s="84"/>
      <c r="B140" s="356" t="s">
        <v>815</v>
      </c>
      <c r="C140" s="368" t="e">
        <f>C102/(C379-C380+C383-C384+C552-C553+C575-C576+Sheet1!C283)</f>
        <v>#DIV/0!</v>
      </c>
      <c r="D140" s="368" t="e">
        <f>D102/(D379-D380+D383-D384+D552-D553+D575-D576+Sheet1!D283)</f>
        <v>#DIV/0!</v>
      </c>
      <c r="E140" s="368">
        <f>E102/(E379-E380+E383-E384+E552-E553+E575-E576+Sheet1!E283)</f>
        <v>2.6520746663703932E-5</v>
      </c>
      <c r="F140" s="368">
        <f>F102/(F379-F380+F383-F384+F552-F553+F575-F576+Sheet1!F283)</f>
        <v>0.32483084517493926</v>
      </c>
      <c r="G140" s="559">
        <f>G102/(G379-G380+G383-G384+G552-G553+G575-G576+Sheet1!G283)</f>
        <v>4.2576444281378072E-2</v>
      </c>
      <c r="H140" s="481"/>
      <c r="I140" s="482"/>
      <c r="J140" s="482"/>
      <c r="K140" s="483"/>
      <c r="L140" s="419"/>
      <c r="M140" s="419"/>
      <c r="N140" s="419"/>
      <c r="O140" s="419"/>
      <c r="P140" s="343"/>
      <c r="Q140" s="343"/>
      <c r="R140" s="343"/>
      <c r="S140" s="343"/>
      <c r="T140" s="422"/>
      <c r="U140" s="422"/>
      <c r="V140" s="343"/>
      <c r="W140" s="343"/>
      <c r="X140" s="343"/>
      <c r="Y140" s="295"/>
      <c r="Z140" s="295"/>
    </row>
    <row r="141" spans="1:26" x14ac:dyDescent="0.2">
      <c r="A141" s="84"/>
      <c r="B141" s="325" t="s">
        <v>728</v>
      </c>
      <c r="C141" s="274"/>
      <c r="D141" s="274"/>
      <c r="E141" s="274"/>
      <c r="F141" s="274">
        <f>IFERROR(IF(AND('New Fin Ratios'!F83&lt;&gt;"",'New Fin Ratios'!D83&lt;&gt;""),IF('New Fin Ratios'!D83&gt;0,IF('New Fin Ratios'!F83&gt;0,(('New Fin Ratios'!F83/'New Fin Ratios'!D83)^(0.5))-1,(-1)*((((-1)*('New Fin Ratios'!F83-'New Fin Ratios'!D83)/ABS('New Fin Ratios'!D83))^(0.5))-1)),IF('New Fin Ratios'!F83&gt;'New Fin Ratios'!D83,((('New Fin Ratios'!F83-'New Fin Ratios'!D83)/ABS('New Fin Ratios'!D83))^(0.5))-1,(-1)*((ABS('New Fin Ratios'!F83/'New Fin Ratios'!D83)^(0.5))-1))),""),"")</f>
        <v>0.77963877069601883</v>
      </c>
      <c r="G141" s="274">
        <f>IFERROR(IF(AND('New Fin Ratios'!G83&lt;&gt;"",'New Fin Ratios'!E83&lt;&gt;""),IF('New Fin Ratios'!E83&gt;0,IF('New Fin Ratios'!G83&gt;0,(('New Fin Ratios'!G83/'New Fin Ratios'!E83)^(0.5))-1,(-1)*((((-1)*('New Fin Ratios'!G83-'New Fin Ratios'!E83)/ABS('New Fin Ratios'!E83))^(0.5))-1)),IF('New Fin Ratios'!G83&gt;'New Fin Ratios'!E83,((('New Fin Ratios'!G83-'New Fin Ratios'!E83)/ABS('New Fin Ratios'!E83))^(0.5))-1,(-1)*((ABS('New Fin Ratios'!G83/'New Fin Ratios'!E83)^(0.5))-1))),""),"")</f>
        <v>0.26624713063840688</v>
      </c>
      <c r="H141" s="481"/>
      <c r="I141" s="482"/>
      <c r="J141" s="482"/>
      <c r="K141" s="483"/>
      <c r="L141" s="419"/>
      <c r="M141" s="419"/>
      <c r="N141" s="419"/>
      <c r="O141" s="419"/>
      <c r="P141" s="343"/>
      <c r="Q141" s="343"/>
      <c r="R141" s="343"/>
      <c r="S141" s="343"/>
      <c r="T141" s="422"/>
      <c r="U141" s="422"/>
      <c r="V141" s="343"/>
      <c r="W141" s="343"/>
      <c r="X141" s="343"/>
      <c r="Y141" s="295"/>
      <c r="Z141" s="295"/>
    </row>
    <row r="142" spans="1:26" x14ac:dyDescent="0.2">
      <c r="A142" s="84"/>
      <c r="B142" s="356"/>
      <c r="C142" s="274"/>
      <c r="D142" s="274"/>
      <c r="E142" s="274"/>
      <c r="F142" s="274"/>
      <c r="G142" s="274"/>
      <c r="H142" s="481"/>
      <c r="I142" s="482"/>
      <c r="J142" s="482"/>
      <c r="K142" s="483"/>
      <c r="L142" s="419"/>
      <c r="M142" s="419"/>
      <c r="N142" s="419"/>
      <c r="O142" s="419"/>
      <c r="P142" s="343"/>
      <c r="Q142" s="343"/>
      <c r="R142" s="343"/>
      <c r="S142" s="343"/>
      <c r="T142" s="422"/>
      <c r="U142" s="422"/>
      <c r="V142" s="343"/>
      <c r="W142" s="343"/>
      <c r="X142" s="343"/>
      <c r="Y142" s="295"/>
      <c r="Z142" s="295"/>
    </row>
    <row r="143" spans="1:26" x14ac:dyDescent="0.2">
      <c r="A143" s="84"/>
      <c r="B143" s="179"/>
      <c r="C143" s="151"/>
      <c r="D143" s="151"/>
      <c r="E143" s="151"/>
      <c r="F143" s="151"/>
      <c r="G143" s="151"/>
      <c r="H143" s="481"/>
      <c r="I143" s="482"/>
      <c r="J143" s="482"/>
      <c r="K143" s="483"/>
      <c r="L143" s="419"/>
      <c r="M143" s="419"/>
      <c r="N143" s="419"/>
      <c r="O143" s="419"/>
      <c r="P143" s="343"/>
      <c r="Q143" s="343"/>
      <c r="R143" s="343"/>
      <c r="S143" s="343"/>
      <c r="T143" s="422"/>
      <c r="U143" s="422"/>
      <c r="V143" s="343"/>
      <c r="W143" s="343"/>
      <c r="X143" s="343"/>
      <c r="Y143" s="295"/>
      <c r="Z143" s="295"/>
    </row>
    <row r="144" spans="1:26" x14ac:dyDescent="0.2">
      <c r="A144" s="84"/>
      <c r="B144" s="188" t="s">
        <v>441</v>
      </c>
      <c r="C144" s="149"/>
      <c r="D144" s="149"/>
      <c r="E144" s="149"/>
      <c r="F144" s="149"/>
      <c r="G144" s="149"/>
      <c r="H144" s="484"/>
      <c r="I144" s="485"/>
      <c r="J144" s="485"/>
      <c r="K144" s="486"/>
      <c r="L144" s="419"/>
      <c r="M144" s="419"/>
      <c r="N144" s="419"/>
      <c r="O144" s="419"/>
      <c r="P144" s="343"/>
      <c r="Q144" s="343"/>
      <c r="R144" s="343"/>
      <c r="S144" s="343"/>
      <c r="T144" s="422"/>
      <c r="U144" s="422"/>
      <c r="V144" s="343"/>
      <c r="W144" s="343"/>
      <c r="X144" s="343"/>
      <c r="Y144" s="295"/>
      <c r="Z144" s="295"/>
    </row>
    <row r="145" spans="1:26" x14ac:dyDescent="0.2">
      <c r="A145" s="84"/>
      <c r="B145" s="179" t="s">
        <v>101</v>
      </c>
      <c r="C145" s="151">
        <f t="shared" ref="C145:F145" si="52">(C49+C50+C51+C52)/C101</f>
        <v>8.4472814132813525</v>
      </c>
      <c r="D145" s="151">
        <f t="shared" si="52"/>
        <v>9.2526155746413554</v>
      </c>
      <c r="E145" s="151">
        <f t="shared" si="52"/>
        <v>7.7121362873396482</v>
      </c>
      <c r="F145" s="151">
        <f t="shared" si="52"/>
        <v>8.4589253418343304</v>
      </c>
      <c r="G145" s="151">
        <f>(G49+G50+G51+G52)/G101</f>
        <v>9.127494158926055</v>
      </c>
      <c r="H145" s="481"/>
      <c r="I145" s="482"/>
      <c r="J145" s="482"/>
      <c r="K145" s="483"/>
      <c r="L145" s="419"/>
      <c r="M145" s="419"/>
      <c r="N145" s="419"/>
      <c r="O145" s="419"/>
      <c r="P145" s="343"/>
      <c r="Q145" s="343"/>
      <c r="R145" s="343"/>
      <c r="S145" s="343"/>
      <c r="T145" s="422"/>
      <c r="U145" s="422"/>
      <c r="V145" s="343"/>
      <c r="W145" s="343"/>
      <c r="X145" s="343"/>
      <c r="Y145" s="295"/>
      <c r="Z145" s="295"/>
    </row>
    <row r="146" spans="1:26" x14ac:dyDescent="0.2">
      <c r="A146" s="84"/>
      <c r="B146" s="179" t="s">
        <v>97</v>
      </c>
      <c r="C146" s="151">
        <f>(C49+C50+C51+C52-Sheet1!C167)/C101</f>
        <v>8.4472814132813525</v>
      </c>
      <c r="D146" s="151">
        <f>(D49+D50+D51+D52-Sheet1!D167)/D101</f>
        <v>9.2526155746413554</v>
      </c>
      <c r="E146" s="151">
        <f>(E49+E50+E51+E52-Sheet1!E167)/E101</f>
        <v>7.7121362873396482</v>
      </c>
      <c r="F146" s="151">
        <f>(F49+F50+F51+F52-Sheet1!F167)/F101</f>
        <v>8.4589253418343304</v>
      </c>
      <c r="G146" s="151">
        <f>(G49+G50+G51+G52-Sheet1!G167)/G101</f>
        <v>9.127494158926055</v>
      </c>
      <c r="H146" s="481">
        <f>IF(ISERROR(SUM(H49:H52)/H100),0,(SUM(H49:H52)/H100))</f>
        <v>0</v>
      </c>
      <c r="I146" s="482">
        <f>IF(ISERROR(SUM(I49:I52)/I100),0,(SUM(I49:I52)/I100))</f>
        <v>4.6502869833418238E-3</v>
      </c>
      <c r="J146" s="482">
        <f>IF(ISERROR(SUM(J49:J52)/J100),0,(SUM(J49:J52)/J100))</f>
        <v>0.1339534603288956</v>
      </c>
      <c r="K146" s="483">
        <f>IF(ISERROR(SUM(K49:K52)/K100),0,(SUM(K49:K52)/K100))</f>
        <v>4.5358466899714026E-2</v>
      </c>
      <c r="L146" s="419"/>
      <c r="M146" s="419"/>
      <c r="N146" s="419"/>
      <c r="O146" s="419"/>
      <c r="P146" s="343"/>
      <c r="Q146" s="343"/>
      <c r="R146" s="343"/>
      <c r="S146" s="343"/>
      <c r="T146" s="422"/>
      <c r="U146" s="422"/>
      <c r="V146" s="343"/>
      <c r="W146" s="343"/>
      <c r="X146" s="343"/>
      <c r="Y146" s="295"/>
      <c r="Z146" s="295"/>
    </row>
    <row r="147" spans="1:26" x14ac:dyDescent="0.2">
      <c r="A147" s="84"/>
      <c r="B147" s="179" t="s">
        <v>98</v>
      </c>
      <c r="C147" s="151">
        <f t="shared" ref="C147:K147" si="53">IF(ISERROR(SUM(C49:C52)/C102),0,(SUM(C49:C52)/C102))</f>
        <v>8.5437624452969434</v>
      </c>
      <c r="D147" s="151">
        <f t="shared" si="53"/>
        <v>9.4503605621455176</v>
      </c>
      <c r="E147" s="151">
        <f t="shared" si="53"/>
        <v>7.7942594842094568</v>
      </c>
      <c r="F147" s="151">
        <f t="shared" si="53"/>
        <v>8.5279254352125307</v>
      </c>
      <c r="G147" s="151">
        <f t="shared" si="53"/>
        <v>9.1894669720003321</v>
      </c>
      <c r="H147" s="481">
        <f t="shared" si="53"/>
        <v>0</v>
      </c>
      <c r="I147" s="482">
        <f t="shared" si="53"/>
        <v>4.6502869833418238E-3</v>
      </c>
      <c r="J147" s="482">
        <f t="shared" si="53"/>
        <v>0.1339534603288956</v>
      </c>
      <c r="K147" s="483">
        <f t="shared" si="53"/>
        <v>4.5358466899714026E-2</v>
      </c>
      <c r="L147" s="419"/>
      <c r="M147" s="419"/>
      <c r="N147" s="419"/>
      <c r="O147" s="419"/>
      <c r="P147" s="343"/>
      <c r="Q147" s="343"/>
      <c r="R147" s="343"/>
      <c r="S147" s="343"/>
      <c r="T147" s="422"/>
      <c r="U147" s="422"/>
      <c r="V147" s="343"/>
      <c r="W147" s="343"/>
      <c r="X147" s="343"/>
      <c r="Y147" s="295"/>
      <c r="Z147" s="295"/>
    </row>
    <row r="148" spans="1:26" x14ac:dyDescent="0.2">
      <c r="A148" s="84"/>
      <c r="B148" s="179" t="s">
        <v>611</v>
      </c>
      <c r="C148" s="151">
        <f>IFERROR(SUM(C49:C52)/(C102-Sheet1!C155-Sheet1!C161),"NA")</f>
        <v>11.636530093160088</v>
      </c>
      <c r="D148" s="151">
        <f>IFERROR(SUM(D49:D52)/(D102-Sheet1!D155-Sheet1!D161),"NA")</f>
        <v>15.916857989177895</v>
      </c>
      <c r="E148" s="151">
        <f>IFERROR(SUM(E49:E52)/(E102-Sheet1!E155-Sheet1!E161),"NA")</f>
        <v>12.226295367591504</v>
      </c>
      <c r="F148" s="151">
        <f>IFERROR(SUM(F49:F52)/(F102-Sheet1!F155-Sheet1!F161),"NA")</f>
        <v>8.5279254352125307</v>
      </c>
      <c r="G148" s="151">
        <f>IFERROR(SUM(G49:G52)/(G102-Sheet1!G155-Sheet1!G161),"NA")</f>
        <v>9.1894669720003321</v>
      </c>
      <c r="H148" s="481"/>
      <c r="I148" s="482"/>
      <c r="J148" s="482"/>
      <c r="K148" s="483"/>
      <c r="L148" s="419"/>
      <c r="M148" s="419"/>
      <c r="N148" s="419"/>
      <c r="O148" s="419"/>
      <c r="P148" s="343"/>
      <c r="Q148" s="343"/>
      <c r="R148" s="343"/>
      <c r="S148" s="343"/>
      <c r="T148" s="422"/>
      <c r="U148" s="422"/>
      <c r="V148" s="343"/>
      <c r="W148" s="343"/>
      <c r="X148" s="343"/>
      <c r="Y148" s="295"/>
      <c r="Z148" s="295"/>
    </row>
    <row r="149" spans="1:26" ht="25.5" x14ac:dyDescent="0.2">
      <c r="A149" s="84"/>
      <c r="B149" s="179" t="s">
        <v>612</v>
      </c>
      <c r="C149" s="151">
        <f>IFERROR(SUM(C49:C52,Sheet1!C155,Sheet1!C161)/(C102-Sheet1!C155-Sheet1!C161),"NA")</f>
        <v>11.99852139004658</v>
      </c>
      <c r="D149" s="151">
        <f>IFERROR(SUM(D49:D52,Sheet1!D155,Sheet1!D161)/(D102-Sheet1!D155-Sheet1!D161),"NA")</f>
        <v>16.601117323465591</v>
      </c>
      <c r="E149" s="151">
        <f>IFERROR(SUM(E49:E52,Sheet1!E155,Sheet1!E161)/(E102-Sheet1!E155-Sheet1!E161),"NA")</f>
        <v>12.794923585879721</v>
      </c>
      <c r="F149" s="151">
        <f>IFERROR(SUM(F49:F52,Sheet1!F155,Sheet1!F161)/(F102-Sheet1!F155-Sheet1!F161),"NA")</f>
        <v>8.5279254352125307</v>
      </c>
      <c r="G149" s="151">
        <f>IFERROR(SUM(G49:G52,Sheet1!G155,Sheet1!G161)/(G102-Sheet1!G155-Sheet1!G161),"NA")</f>
        <v>9.1894669720003321</v>
      </c>
      <c r="H149" s="481"/>
      <c r="I149" s="482"/>
      <c r="J149" s="482"/>
      <c r="K149" s="483"/>
      <c r="L149" s="419"/>
      <c r="M149" s="419"/>
      <c r="N149" s="419"/>
      <c r="O149" s="419"/>
      <c r="P149" s="343"/>
      <c r="Q149" s="343"/>
      <c r="R149" s="343"/>
      <c r="S149" s="343"/>
      <c r="T149" s="422"/>
      <c r="U149" s="422"/>
      <c r="V149" s="343"/>
      <c r="W149" s="343"/>
      <c r="X149" s="343"/>
      <c r="Y149" s="295"/>
      <c r="Z149" s="295"/>
    </row>
    <row r="150" spans="1:26" x14ac:dyDescent="0.2">
      <c r="A150" s="84"/>
      <c r="B150" s="179" t="s">
        <v>723</v>
      </c>
      <c r="C150" s="312">
        <f>Sheet1!C335</f>
        <v>16.939999999999998</v>
      </c>
      <c r="D150" s="312">
        <f>Sheet1!D335</f>
        <v>17.380000000000003</v>
      </c>
      <c r="E150" s="312">
        <f>Sheet1!E335</f>
        <v>20.27</v>
      </c>
      <c r="F150" s="312">
        <f>Sheet1!F335</f>
        <v>21.990000000000002</v>
      </c>
      <c r="G150" s="312">
        <f>Sheet1!G335</f>
        <v>22.5</v>
      </c>
      <c r="H150" s="478"/>
      <c r="I150" s="479"/>
      <c r="J150" s="479"/>
      <c r="K150" s="480"/>
      <c r="L150" s="419"/>
      <c r="M150" s="419"/>
      <c r="N150" s="419"/>
      <c r="O150" s="419"/>
      <c r="P150" s="343"/>
      <c r="Q150" s="343"/>
      <c r="R150" s="343"/>
      <c r="S150" s="343"/>
      <c r="T150" s="422"/>
      <c r="U150" s="422"/>
      <c r="V150" s="343"/>
      <c r="W150" s="343"/>
      <c r="X150" s="343"/>
      <c r="Y150" s="295"/>
      <c r="Z150" s="295"/>
    </row>
    <row r="151" spans="1:26" x14ac:dyDescent="0.2">
      <c r="A151" s="84"/>
      <c r="B151" s="179" t="s">
        <v>709</v>
      </c>
      <c r="C151" s="244">
        <f>IFERROR(C100/C150*100,"")</f>
        <v>237957.49704840619</v>
      </c>
      <c r="D151" s="244">
        <f t="shared" ref="D151:G151" si="54">IFERROR(D100/D150*100,"")</f>
        <v>255936.70886075948</v>
      </c>
      <c r="E151" s="244">
        <f t="shared" si="54"/>
        <v>291552.04736063146</v>
      </c>
      <c r="F151" s="244">
        <f t="shared" si="54"/>
        <v>281578.89949977258</v>
      </c>
      <c r="G151" s="244">
        <f t="shared" si="54"/>
        <v>298170.22222222225</v>
      </c>
      <c r="H151" s="478"/>
      <c r="I151" s="479"/>
      <c r="J151" s="479"/>
      <c r="K151" s="480"/>
      <c r="L151" s="419"/>
      <c r="M151" s="419"/>
      <c r="N151" s="419"/>
      <c r="O151" s="419"/>
      <c r="P151" s="343"/>
      <c r="Q151" s="343"/>
      <c r="R151" s="343"/>
      <c r="S151" s="343"/>
      <c r="T151" s="422"/>
      <c r="U151" s="422"/>
      <c r="V151" s="343"/>
      <c r="W151" s="343"/>
      <c r="X151" s="343"/>
      <c r="Y151" s="295"/>
      <c r="Z151" s="295"/>
    </row>
    <row r="152" spans="1:26" x14ac:dyDescent="0.2">
      <c r="A152" s="84"/>
      <c r="B152" s="179" t="s">
        <v>708</v>
      </c>
      <c r="C152" s="233">
        <f>IFERROR(C151/C105,"")</f>
        <v>0.82197346882568656</v>
      </c>
      <c r="D152" s="233">
        <f t="shared" ref="D152:G152" si="55">IFERROR(D151/D105,"")</f>
        <v>0.69523770408000207</v>
      </c>
      <c r="E152" s="233">
        <f t="shared" si="55"/>
        <v>0.71384319006368457</v>
      </c>
      <c r="F152" s="233">
        <f t="shared" si="55"/>
        <v>0.62843735799905487</v>
      </c>
      <c r="G152" s="233">
        <f t="shared" si="55"/>
        <v>0.600093187199918</v>
      </c>
      <c r="H152" s="478"/>
      <c r="I152" s="479"/>
      <c r="J152" s="479"/>
      <c r="K152" s="480"/>
      <c r="L152" s="419"/>
      <c r="M152" s="419"/>
      <c r="N152" s="419"/>
      <c r="O152" s="419"/>
      <c r="P152" s="343"/>
      <c r="Q152" s="343"/>
      <c r="R152" s="343"/>
      <c r="S152" s="343"/>
      <c r="T152" s="422"/>
      <c r="U152" s="422"/>
      <c r="V152" s="343"/>
      <c r="W152" s="343"/>
      <c r="X152" s="343"/>
      <c r="Y152" s="295"/>
      <c r="Z152" s="295"/>
    </row>
    <row r="153" spans="1:26" x14ac:dyDescent="0.2">
      <c r="A153" s="84"/>
      <c r="B153" s="179"/>
      <c r="C153" s="233"/>
      <c r="D153" s="233"/>
      <c r="E153" s="233"/>
      <c r="F153" s="233"/>
      <c r="G153" s="233"/>
      <c r="H153" s="487" t="str">
        <f>IFERROR((Sheet1!H205+Sheet1!H234+Sheet1!H231)/'New Fin Ratios'!H55,"")</f>
        <v/>
      </c>
      <c r="I153" s="488"/>
      <c r="J153" s="488"/>
      <c r="K153" s="489"/>
      <c r="L153" s="419"/>
      <c r="M153" s="419"/>
      <c r="N153" s="419"/>
      <c r="O153" s="419"/>
      <c r="P153" s="343"/>
      <c r="Q153" s="343"/>
      <c r="R153" s="343"/>
      <c r="S153" s="343"/>
      <c r="T153" s="422"/>
      <c r="U153" s="422"/>
      <c r="V153" s="343"/>
      <c r="W153" s="343"/>
      <c r="X153" s="343"/>
      <c r="Y153" s="295"/>
      <c r="Z153" s="295"/>
    </row>
    <row r="154" spans="1:26" x14ac:dyDescent="0.2">
      <c r="A154" s="84"/>
      <c r="B154" s="179"/>
      <c r="C154" s="151"/>
      <c r="D154" s="151"/>
      <c r="E154" s="151"/>
      <c r="F154" s="151"/>
      <c r="G154" s="151"/>
      <c r="H154" s="481"/>
      <c r="I154" s="482"/>
      <c r="J154" s="482"/>
      <c r="K154" s="483"/>
      <c r="L154" s="419"/>
      <c r="M154" s="419"/>
      <c r="N154" s="419"/>
      <c r="O154" s="419"/>
      <c r="P154" s="343"/>
      <c r="Q154" s="343"/>
      <c r="R154" s="343"/>
      <c r="S154" s="343"/>
      <c r="T154" s="422"/>
      <c r="U154" s="422"/>
      <c r="V154" s="343"/>
      <c r="W154" s="343"/>
      <c r="X154" s="343"/>
      <c r="Y154" s="295"/>
      <c r="Z154" s="295"/>
    </row>
    <row r="155" spans="1:26" x14ac:dyDescent="0.2">
      <c r="A155" s="84"/>
      <c r="B155" s="179"/>
      <c r="C155" s="151"/>
      <c r="D155" s="151"/>
      <c r="E155" s="151"/>
      <c r="F155" s="151"/>
      <c r="G155" s="151"/>
      <c r="H155" s="481"/>
      <c r="I155" s="482"/>
      <c r="J155" s="482"/>
      <c r="K155" s="483"/>
      <c r="L155" s="419"/>
      <c r="M155" s="419"/>
      <c r="N155" s="419"/>
      <c r="O155" s="419"/>
      <c r="P155" s="343"/>
      <c r="Q155" s="343"/>
      <c r="R155" s="343"/>
      <c r="S155" s="343"/>
      <c r="T155" s="422"/>
      <c r="U155" s="422"/>
      <c r="V155" s="343"/>
      <c r="W155" s="343"/>
      <c r="X155" s="343"/>
      <c r="Y155" s="295"/>
      <c r="Z155" s="295"/>
    </row>
    <row r="156" spans="1:26" x14ac:dyDescent="0.2">
      <c r="A156" s="84"/>
      <c r="B156" s="188" t="s">
        <v>443</v>
      </c>
      <c r="C156" s="149"/>
      <c r="D156" s="149"/>
      <c r="E156" s="149"/>
      <c r="F156" s="149"/>
      <c r="G156" s="149"/>
      <c r="H156" s="484"/>
      <c r="I156" s="485"/>
      <c r="J156" s="485"/>
      <c r="K156" s="486"/>
      <c r="L156" s="419"/>
      <c r="M156" s="419"/>
      <c r="N156" s="419"/>
      <c r="O156" s="419"/>
      <c r="P156" s="343"/>
      <c r="Q156" s="343"/>
      <c r="R156" s="343"/>
      <c r="S156" s="343"/>
      <c r="T156" s="422"/>
      <c r="U156" s="422"/>
      <c r="V156" s="343"/>
      <c r="W156" s="343"/>
      <c r="X156" s="343"/>
      <c r="Y156" s="295"/>
      <c r="Z156" s="295"/>
    </row>
    <row r="157" spans="1:26" x14ac:dyDescent="0.2">
      <c r="A157" s="84"/>
      <c r="B157" s="179" t="s">
        <v>635</v>
      </c>
      <c r="C157" s="151">
        <f>Sheet1!C172</f>
        <v>0</v>
      </c>
      <c r="D157" s="151">
        <f>Sheet1!D172</f>
        <v>0</v>
      </c>
      <c r="E157" s="151">
        <f>Sheet1!E172</f>
        <v>0</v>
      </c>
      <c r="F157" s="151">
        <f>Sheet1!F172</f>
        <v>0</v>
      </c>
      <c r="G157" s="151">
        <f>Sheet1!G172</f>
        <v>0</v>
      </c>
      <c r="H157" s="481"/>
      <c r="I157" s="482"/>
      <c r="J157" s="482"/>
      <c r="K157" s="483"/>
      <c r="L157" s="419"/>
      <c r="M157" s="419"/>
      <c r="N157" s="419"/>
      <c r="O157" s="419"/>
      <c r="P157" s="343"/>
      <c r="Q157" s="343"/>
      <c r="R157" s="343"/>
      <c r="S157" s="343"/>
      <c r="T157" s="422"/>
      <c r="U157" s="422"/>
      <c r="V157" s="343"/>
      <c r="W157" s="343"/>
      <c r="X157" s="343"/>
      <c r="Y157" s="295"/>
      <c r="Z157" s="295"/>
    </row>
    <row r="158" spans="1:26" x14ac:dyDescent="0.2">
      <c r="A158" s="84"/>
      <c r="B158" s="179" t="s">
        <v>44</v>
      </c>
      <c r="C158" s="151">
        <f>Sheet1!C173</f>
        <v>0</v>
      </c>
      <c r="D158" s="151">
        <f>Sheet1!D173</f>
        <v>0</v>
      </c>
      <c r="E158" s="151">
        <f>Sheet1!E173</f>
        <v>0</v>
      </c>
      <c r="F158" s="151">
        <f>Sheet1!F173</f>
        <v>0</v>
      </c>
      <c r="G158" s="151">
        <f>Sheet1!G173</f>
        <v>0</v>
      </c>
      <c r="H158" s="481"/>
      <c r="I158" s="482"/>
      <c r="J158" s="482"/>
      <c r="K158" s="483"/>
      <c r="L158" s="419"/>
      <c r="M158" s="419"/>
      <c r="N158" s="419"/>
      <c r="O158" s="419"/>
      <c r="P158" s="343"/>
      <c r="Q158" s="343"/>
      <c r="R158" s="343"/>
      <c r="S158" s="343"/>
      <c r="T158" s="422"/>
      <c r="U158" s="422"/>
      <c r="V158" s="343"/>
      <c r="W158" s="343"/>
      <c r="X158" s="343"/>
      <c r="Y158" s="295"/>
      <c r="Z158" s="295"/>
    </row>
    <row r="159" spans="1:26" x14ac:dyDescent="0.2">
      <c r="A159" s="84"/>
      <c r="B159" s="179" t="s">
        <v>45</v>
      </c>
      <c r="C159" s="151">
        <f>Sheet1!C174+Sheet1!C203</f>
        <v>78568.399999999994</v>
      </c>
      <c r="D159" s="151">
        <f>Sheet1!D174+Sheet1!D203</f>
        <v>103630.7</v>
      </c>
      <c r="E159" s="151">
        <f>Sheet1!E174+Sheet1!E203</f>
        <v>114417</v>
      </c>
      <c r="F159" s="151">
        <f>Sheet1!F174+Sheet1!F203</f>
        <v>211755.5</v>
      </c>
      <c r="G159" s="151">
        <f>Sheet1!G174+Sheet1!G203</f>
        <v>282046.5</v>
      </c>
      <c r="H159" s="481"/>
      <c r="I159" s="482"/>
      <c r="J159" s="482"/>
      <c r="K159" s="483"/>
      <c r="L159" s="419"/>
      <c r="M159" s="419"/>
      <c r="N159" s="419"/>
      <c r="O159" s="419"/>
      <c r="P159" s="343"/>
      <c r="Q159" s="343"/>
      <c r="R159" s="343"/>
      <c r="S159" s="343"/>
      <c r="T159" s="422"/>
      <c r="U159" s="422"/>
      <c r="V159" s="343"/>
      <c r="W159" s="343"/>
      <c r="X159" s="343"/>
      <c r="Y159" s="295"/>
      <c r="Z159" s="295"/>
    </row>
    <row r="160" spans="1:26" x14ac:dyDescent="0.2">
      <c r="A160" s="84"/>
      <c r="B160" s="179" t="s">
        <v>278</v>
      </c>
      <c r="C160" s="151">
        <f>Sheet1!C175+Sheet1!C202</f>
        <v>93609.5</v>
      </c>
      <c r="D160" s="151">
        <f>Sheet1!D175+Sheet1!D202</f>
        <v>89486.6</v>
      </c>
      <c r="E160" s="151">
        <f>Sheet1!E175+Sheet1!E202</f>
        <v>151964.4</v>
      </c>
      <c r="F160" s="151">
        <f>Sheet1!F175+Sheet1!F202</f>
        <v>153822.10000000003</v>
      </c>
      <c r="G160" s="151">
        <f>Sheet1!G175+Sheet1!G202</f>
        <v>137436</v>
      </c>
      <c r="H160" s="481"/>
      <c r="I160" s="482"/>
      <c r="J160" s="482"/>
      <c r="K160" s="483"/>
      <c r="L160" s="419"/>
      <c r="M160" s="419"/>
      <c r="N160" s="419"/>
      <c r="O160" s="419"/>
      <c r="P160" s="343"/>
      <c r="Q160" s="343"/>
      <c r="R160" s="343"/>
      <c r="S160" s="343"/>
      <c r="T160" s="422"/>
      <c r="U160" s="422"/>
      <c r="V160" s="343"/>
      <c r="W160" s="343"/>
      <c r="X160" s="343"/>
      <c r="Y160" s="295"/>
      <c r="Z160" s="295"/>
    </row>
    <row r="161" spans="1:26" x14ac:dyDescent="0.2">
      <c r="A161" s="84"/>
      <c r="B161" s="179" t="s">
        <v>277</v>
      </c>
      <c r="C161" s="151">
        <f>Sheet1!C193</f>
        <v>39416.9</v>
      </c>
      <c r="D161" s="151">
        <f>Sheet1!D193</f>
        <v>51891.199999999997</v>
      </c>
      <c r="E161" s="151">
        <f>Sheet1!E193</f>
        <v>53801.9</v>
      </c>
      <c r="F161" s="151">
        <f>Sheet1!F193</f>
        <v>43423.199999999997</v>
      </c>
      <c r="G161" s="151">
        <f>Sheet1!G193</f>
        <v>36596.300000000003</v>
      </c>
      <c r="H161" s="481"/>
      <c r="I161" s="482"/>
      <c r="J161" s="482"/>
      <c r="K161" s="483"/>
      <c r="L161" s="419"/>
      <c r="M161" s="419"/>
      <c r="N161" s="419"/>
      <c r="O161" s="419"/>
      <c r="P161" s="343"/>
      <c r="Q161" s="343"/>
      <c r="R161" s="343"/>
      <c r="S161" s="343"/>
      <c r="T161" s="422"/>
      <c r="U161" s="422"/>
      <c r="V161" s="343"/>
      <c r="W161" s="343"/>
      <c r="X161" s="343"/>
      <c r="Y161" s="295"/>
      <c r="Z161" s="295"/>
    </row>
    <row r="162" spans="1:26" x14ac:dyDescent="0.2">
      <c r="A162" s="84"/>
      <c r="B162" s="179" t="s">
        <v>279</v>
      </c>
      <c r="C162" s="151">
        <f>Sheet1!C176</f>
        <v>0</v>
      </c>
      <c r="D162" s="151">
        <f>Sheet1!D176</f>
        <v>0</v>
      </c>
      <c r="E162" s="151">
        <f>Sheet1!E176</f>
        <v>0</v>
      </c>
      <c r="F162" s="151">
        <f>Sheet1!F176</f>
        <v>0</v>
      </c>
      <c r="G162" s="151">
        <f>Sheet1!G176</f>
        <v>0</v>
      </c>
      <c r="H162" s="481"/>
      <c r="I162" s="482"/>
      <c r="J162" s="482"/>
      <c r="K162" s="483"/>
      <c r="L162" s="419"/>
      <c r="M162" s="419"/>
      <c r="N162" s="419"/>
      <c r="O162" s="419"/>
      <c r="P162" s="343"/>
      <c r="Q162" s="343"/>
      <c r="R162" s="343"/>
      <c r="S162" s="343"/>
      <c r="T162" s="422"/>
      <c r="U162" s="422"/>
      <c r="V162" s="343"/>
      <c r="W162" s="343"/>
      <c r="X162" s="343"/>
      <c r="Y162" s="295"/>
      <c r="Z162" s="295"/>
    </row>
    <row r="163" spans="1:26" x14ac:dyDescent="0.2">
      <c r="A163" s="84"/>
      <c r="B163" s="179" t="s">
        <v>276</v>
      </c>
      <c r="C163" s="151">
        <f>Sheet1!C194</f>
        <v>0</v>
      </c>
      <c r="D163" s="151">
        <f>Sheet1!D194</f>
        <v>0</v>
      </c>
      <c r="E163" s="151">
        <f>Sheet1!E194</f>
        <v>0</v>
      </c>
      <c r="F163" s="151">
        <f>Sheet1!F194</f>
        <v>0</v>
      </c>
      <c r="G163" s="151">
        <f>Sheet1!G194</f>
        <v>0</v>
      </c>
      <c r="H163" s="481"/>
      <c r="I163" s="482"/>
      <c r="J163" s="482"/>
      <c r="K163" s="483"/>
      <c r="L163" s="419"/>
      <c r="M163" s="419"/>
      <c r="N163" s="419"/>
      <c r="O163" s="419"/>
      <c r="P163" s="343"/>
      <c r="Q163" s="343"/>
      <c r="R163" s="343"/>
      <c r="S163" s="343"/>
      <c r="T163" s="422"/>
      <c r="U163" s="422"/>
      <c r="V163" s="343"/>
      <c r="W163" s="343"/>
      <c r="X163" s="343"/>
      <c r="Y163" s="295"/>
      <c r="Z163" s="295"/>
    </row>
    <row r="164" spans="1:26" x14ac:dyDescent="0.2">
      <c r="A164" s="84"/>
      <c r="B164" s="179" t="s">
        <v>280</v>
      </c>
      <c r="C164" s="151">
        <f>Sheet1!C177</f>
        <v>0</v>
      </c>
      <c r="D164" s="151">
        <f>Sheet1!D177</f>
        <v>0</v>
      </c>
      <c r="E164" s="151">
        <f>Sheet1!E177</f>
        <v>0</v>
      </c>
      <c r="F164" s="151">
        <f>Sheet1!F177</f>
        <v>0</v>
      </c>
      <c r="G164" s="151">
        <f>Sheet1!G177</f>
        <v>0</v>
      </c>
      <c r="H164" s="481"/>
      <c r="I164" s="482"/>
      <c r="J164" s="482"/>
      <c r="K164" s="483"/>
      <c r="L164" s="419"/>
      <c r="M164" s="419"/>
      <c r="N164" s="419"/>
      <c r="O164" s="419"/>
      <c r="P164" s="343"/>
      <c r="Q164" s="343"/>
      <c r="R164" s="343"/>
      <c r="S164" s="343"/>
      <c r="T164" s="422"/>
      <c r="U164" s="422"/>
      <c r="V164" s="343"/>
      <c r="W164" s="343"/>
      <c r="X164" s="343"/>
      <c r="Y164" s="295"/>
      <c r="Z164" s="295"/>
    </row>
    <row r="165" spans="1:26" x14ac:dyDescent="0.2">
      <c r="A165" s="84"/>
      <c r="B165" s="179" t="s">
        <v>275</v>
      </c>
      <c r="C165" s="151">
        <f>Sheet1!C178+Sheet1!C196</f>
        <v>0</v>
      </c>
      <c r="D165" s="151">
        <f>Sheet1!D178+Sheet1!D196</f>
        <v>0</v>
      </c>
      <c r="E165" s="151">
        <f>Sheet1!E178+Sheet1!E196</f>
        <v>0</v>
      </c>
      <c r="F165" s="151">
        <f>Sheet1!F178+Sheet1!F196</f>
        <v>0</v>
      </c>
      <c r="G165" s="151">
        <f>Sheet1!G178+Sheet1!G196</f>
        <v>29584.6</v>
      </c>
      <c r="H165" s="481"/>
      <c r="I165" s="482"/>
      <c r="J165" s="482"/>
      <c r="K165" s="483"/>
      <c r="L165" s="419"/>
      <c r="M165" s="419"/>
      <c r="N165" s="419"/>
      <c r="O165" s="419"/>
      <c r="P165" s="343"/>
      <c r="Q165" s="343"/>
      <c r="R165" s="343"/>
      <c r="S165" s="343"/>
      <c r="T165" s="422"/>
      <c r="U165" s="422"/>
      <c r="V165" s="343"/>
      <c r="W165" s="343"/>
      <c r="X165" s="343"/>
      <c r="Y165" s="295"/>
      <c r="Z165" s="295"/>
    </row>
    <row r="166" spans="1:26" x14ac:dyDescent="0.2">
      <c r="A166" s="84"/>
      <c r="B166" s="179" t="s">
        <v>47</v>
      </c>
      <c r="C166" s="151">
        <f>Sheet1!C179+Sheet1!C197</f>
        <v>4482.8999999999996</v>
      </c>
      <c r="D166" s="151">
        <f>Sheet1!D179+Sheet1!D197</f>
        <v>3378.4</v>
      </c>
      <c r="E166" s="151">
        <f>Sheet1!E179+Sheet1!E197</f>
        <v>1072.5999999999999</v>
      </c>
      <c r="F166" s="151">
        <f>Sheet1!F179+Sheet1!F197</f>
        <v>5862.7</v>
      </c>
      <c r="G166" s="151">
        <f>Sheet1!G179+Sheet1!G197</f>
        <v>11550.2</v>
      </c>
      <c r="H166" s="481"/>
      <c r="I166" s="482"/>
      <c r="J166" s="482"/>
      <c r="K166" s="483"/>
      <c r="L166" s="419"/>
      <c r="M166" s="419"/>
      <c r="N166" s="419"/>
      <c r="O166" s="419"/>
      <c r="P166" s="343"/>
      <c r="Q166" s="343"/>
      <c r="R166" s="343"/>
      <c r="S166" s="343"/>
      <c r="T166" s="422"/>
      <c r="U166" s="422"/>
      <c r="V166" s="343"/>
      <c r="W166" s="343"/>
      <c r="X166" s="343"/>
      <c r="Y166" s="295"/>
      <c r="Z166" s="295"/>
    </row>
    <row r="167" spans="1:26" x14ac:dyDescent="0.2">
      <c r="A167" s="84"/>
      <c r="B167" s="179" t="s">
        <v>46</v>
      </c>
      <c r="C167" s="151">
        <f>Sheet1!C180+Sheet1!C195</f>
        <v>0</v>
      </c>
      <c r="D167" s="151">
        <f>Sheet1!D180+Sheet1!D195</f>
        <v>0</v>
      </c>
      <c r="E167" s="151">
        <f>Sheet1!E180+Sheet1!E195</f>
        <v>0</v>
      </c>
      <c r="F167" s="151">
        <f>Sheet1!F180+Sheet1!F195</f>
        <v>0</v>
      </c>
      <c r="G167" s="151">
        <f>Sheet1!G180+Sheet1!G195</f>
        <v>0</v>
      </c>
      <c r="H167" s="481"/>
      <c r="I167" s="482"/>
      <c r="J167" s="482"/>
      <c r="K167" s="483"/>
      <c r="L167" s="419"/>
      <c r="M167" s="419"/>
      <c r="N167" s="419"/>
      <c r="O167" s="419"/>
      <c r="P167" s="343"/>
      <c r="Q167" s="343"/>
      <c r="R167" s="343"/>
      <c r="S167" s="343"/>
      <c r="T167" s="422"/>
      <c r="U167" s="422"/>
      <c r="V167" s="343"/>
      <c r="W167" s="343"/>
      <c r="X167" s="343"/>
      <c r="Y167" s="295"/>
      <c r="Z167" s="295"/>
    </row>
    <row r="168" spans="1:26" x14ac:dyDescent="0.2">
      <c r="A168" s="84"/>
      <c r="B168" s="179" t="s">
        <v>54</v>
      </c>
      <c r="C168" s="151">
        <f>Sheet1!C198</f>
        <v>0</v>
      </c>
      <c r="D168" s="151">
        <f>Sheet1!D198</f>
        <v>721.5</v>
      </c>
      <c r="E168" s="151">
        <f>Sheet1!E198</f>
        <v>0</v>
      </c>
      <c r="F168" s="151">
        <f>Sheet1!F198</f>
        <v>0</v>
      </c>
      <c r="G168" s="151">
        <f>Sheet1!G198</f>
        <v>0</v>
      </c>
      <c r="H168" s="481"/>
      <c r="I168" s="482"/>
      <c r="J168" s="482"/>
      <c r="K168" s="483"/>
      <c r="L168" s="419"/>
      <c r="M168" s="419"/>
      <c r="N168" s="419"/>
      <c r="O168" s="419"/>
      <c r="P168" s="343"/>
      <c r="Q168" s="343"/>
      <c r="R168" s="343"/>
      <c r="S168" s="343"/>
      <c r="T168" s="422"/>
      <c r="U168" s="422"/>
      <c r="V168" s="343"/>
      <c r="W168" s="343"/>
      <c r="X168" s="343"/>
      <c r="Y168" s="295"/>
      <c r="Z168" s="295"/>
    </row>
    <row r="169" spans="1:26" x14ac:dyDescent="0.2">
      <c r="A169" s="84"/>
      <c r="B169" s="179" t="s">
        <v>636</v>
      </c>
      <c r="C169" s="151">
        <f>Sheet1!C199</f>
        <v>56763.199999999997</v>
      </c>
      <c r="D169" s="151">
        <f>Sheet1!D199</f>
        <v>64135.5</v>
      </c>
      <c r="E169" s="151">
        <f>Sheet1!E199</f>
        <v>63242.2</v>
      </c>
      <c r="F169" s="151">
        <f>Sheet1!F199</f>
        <v>38125.199999999997</v>
      </c>
      <c r="G169" s="151">
        <f>Sheet1!G199</f>
        <v>30858.3</v>
      </c>
      <c r="H169" s="481"/>
      <c r="I169" s="482"/>
      <c r="J169" s="482"/>
      <c r="K169" s="483"/>
      <c r="L169" s="419"/>
      <c r="M169" s="419"/>
      <c r="N169" s="419"/>
      <c r="O169" s="419"/>
      <c r="P169" s="343"/>
      <c r="Q169" s="343"/>
      <c r="R169" s="343"/>
      <c r="S169" s="343"/>
      <c r="T169" s="422"/>
      <c r="U169" s="422"/>
      <c r="V169" s="343"/>
      <c r="W169" s="343"/>
      <c r="X169" s="343"/>
      <c r="Y169" s="295"/>
      <c r="Z169" s="295"/>
    </row>
    <row r="170" spans="1:26" x14ac:dyDescent="0.2">
      <c r="A170" s="84"/>
      <c r="B170" s="179" t="s">
        <v>637</v>
      </c>
      <c r="C170" s="151">
        <f>Sheet1!C183+Sheet1!C200</f>
        <v>0</v>
      </c>
      <c r="D170" s="151">
        <f>Sheet1!D183+Sheet1!D200</f>
        <v>0</v>
      </c>
      <c r="E170" s="151">
        <f>Sheet1!E183+Sheet1!E200</f>
        <v>0</v>
      </c>
      <c r="F170" s="151">
        <f>Sheet1!F183+Sheet1!F200</f>
        <v>0</v>
      </c>
      <c r="G170" s="151">
        <f>Sheet1!G183+Sheet1!G200</f>
        <v>0</v>
      </c>
      <c r="H170" s="481"/>
      <c r="I170" s="482"/>
      <c r="J170" s="482"/>
      <c r="K170" s="483"/>
      <c r="L170" s="419"/>
      <c r="M170" s="419"/>
      <c r="N170" s="419"/>
      <c r="O170" s="419"/>
      <c r="P170" s="343"/>
      <c r="Q170" s="343"/>
      <c r="R170" s="343"/>
      <c r="S170" s="343"/>
      <c r="T170" s="422"/>
      <c r="U170" s="422"/>
      <c r="V170" s="343"/>
      <c r="W170" s="343"/>
      <c r="X170" s="343"/>
      <c r="Y170" s="295"/>
      <c r="Z170" s="295"/>
    </row>
    <row r="171" spans="1:26" x14ac:dyDescent="0.2">
      <c r="A171" s="84"/>
      <c r="B171" s="179" t="s">
        <v>2</v>
      </c>
      <c r="C171" s="151">
        <f>Sheet1!C181+Sheet1!C182+Sheet1!C184+Sheet1!C201+Sheet1!C204</f>
        <v>8546.6</v>
      </c>
      <c r="D171" s="151">
        <f>Sheet1!D181+Sheet1!D182+Sheet1!D184+Sheet1!D201+Sheet1!D204</f>
        <v>7730.4</v>
      </c>
      <c r="E171" s="151">
        <f>Sheet1!E181+Sheet1!E182+Sheet1!E184+Sheet1!E201+Sheet1!E204</f>
        <v>8087.1</v>
      </c>
      <c r="F171" s="151">
        <f>Sheet1!F181+Sheet1!F182+Sheet1!F184+Sheet1!F201+Sheet1!F204</f>
        <v>14136.599999999999</v>
      </c>
      <c r="G171" s="151">
        <f>Sheet1!G181+Sheet1!G182+Sheet1!G184+Sheet1!G201+Sheet1!G204</f>
        <v>13142.8</v>
      </c>
      <c r="H171" s="481"/>
      <c r="I171" s="482"/>
      <c r="J171" s="482"/>
      <c r="K171" s="483"/>
      <c r="L171" s="419"/>
      <c r="M171" s="419"/>
      <c r="N171" s="419"/>
      <c r="O171" s="419"/>
      <c r="P171" s="343"/>
      <c r="Q171" s="343"/>
      <c r="R171" s="343"/>
      <c r="S171" s="343"/>
      <c r="T171" s="422"/>
      <c r="U171" s="422"/>
      <c r="V171" s="343"/>
      <c r="W171" s="343"/>
      <c r="X171" s="343"/>
      <c r="Y171" s="295"/>
      <c r="Z171" s="295"/>
    </row>
    <row r="172" spans="1:26" x14ac:dyDescent="0.2">
      <c r="A172" s="84"/>
      <c r="B172" s="179" t="s">
        <v>638</v>
      </c>
      <c r="C172" s="151">
        <f>SUM(C157:C171)</f>
        <v>281387.49999999994</v>
      </c>
      <c r="D172" s="151">
        <f t="shared" ref="D172:G172" si="56">SUM(D157:D171)</f>
        <v>320974.30000000005</v>
      </c>
      <c r="E172" s="151">
        <f t="shared" si="56"/>
        <v>392585.2</v>
      </c>
      <c r="F172" s="151">
        <f t="shared" si="56"/>
        <v>467125.30000000005</v>
      </c>
      <c r="G172" s="151">
        <f t="shared" si="56"/>
        <v>541214.70000000007</v>
      </c>
      <c r="H172" s="481"/>
      <c r="I172" s="482"/>
      <c r="J172" s="482"/>
      <c r="K172" s="483"/>
      <c r="L172" s="419"/>
      <c r="M172" s="419"/>
      <c r="N172" s="419"/>
      <c r="O172" s="419"/>
      <c r="P172" s="343"/>
      <c r="Q172" s="343"/>
      <c r="R172" s="343"/>
      <c r="S172" s="343"/>
      <c r="T172" s="422"/>
      <c r="U172" s="422"/>
      <c r="V172" s="343"/>
      <c r="W172" s="343"/>
      <c r="X172" s="343"/>
      <c r="Y172" s="295"/>
      <c r="Z172" s="295"/>
    </row>
    <row r="173" spans="1:26" x14ac:dyDescent="0.2">
      <c r="A173" s="84"/>
      <c r="B173" s="179"/>
      <c r="C173" s="151"/>
      <c r="D173" s="151"/>
      <c r="E173" s="151"/>
      <c r="F173" s="151"/>
      <c r="G173" s="151"/>
      <c r="H173" s="481"/>
      <c r="I173" s="482"/>
      <c r="J173" s="482"/>
      <c r="K173" s="483"/>
      <c r="L173" s="419"/>
      <c r="M173" s="419"/>
      <c r="N173" s="419"/>
      <c r="O173" s="419"/>
      <c r="P173" s="343"/>
      <c r="Q173" s="343"/>
      <c r="R173" s="343"/>
      <c r="S173" s="343"/>
      <c r="T173" s="422"/>
      <c r="U173" s="422"/>
      <c r="V173" s="343"/>
      <c r="W173" s="343"/>
      <c r="X173" s="343"/>
      <c r="Y173" s="295"/>
      <c r="Z173" s="295"/>
    </row>
    <row r="174" spans="1:26" x14ac:dyDescent="0.2">
      <c r="A174" s="84"/>
      <c r="B174" s="203" t="s">
        <v>639</v>
      </c>
      <c r="C174" s="151"/>
      <c r="D174" s="151"/>
      <c r="E174" s="151"/>
      <c r="F174" s="151"/>
      <c r="G174" s="151"/>
      <c r="H174" s="481"/>
      <c r="I174" s="482"/>
      <c r="J174" s="482"/>
      <c r="K174" s="483"/>
      <c r="L174" s="419"/>
      <c r="M174" s="419"/>
      <c r="N174" s="419"/>
      <c r="O174" s="419"/>
      <c r="P174" s="343"/>
      <c r="Q174" s="343"/>
      <c r="R174" s="343"/>
      <c r="S174" s="343"/>
      <c r="T174" s="422"/>
      <c r="U174" s="422"/>
      <c r="V174" s="343"/>
      <c r="W174" s="343"/>
      <c r="X174" s="343"/>
      <c r="Y174" s="295"/>
      <c r="Z174" s="295"/>
    </row>
    <row r="175" spans="1:26" ht="25.5" x14ac:dyDescent="0.2">
      <c r="A175" s="84"/>
      <c r="B175" s="179" t="s">
        <v>642</v>
      </c>
      <c r="C175" s="151">
        <f>Sheet1!C503</f>
        <v>0</v>
      </c>
      <c r="D175" s="151">
        <f>Sheet1!D503</f>
        <v>0</v>
      </c>
      <c r="E175" s="151">
        <f>Sheet1!E503</f>
        <v>0</v>
      </c>
      <c r="F175" s="151">
        <f>Sheet1!F503</f>
        <v>0</v>
      </c>
      <c r="G175" s="151">
        <f>Sheet1!G503</f>
        <v>4858.3</v>
      </c>
      <c r="H175" s="481"/>
      <c r="I175" s="482"/>
      <c r="J175" s="482"/>
      <c r="K175" s="483"/>
      <c r="L175" s="419"/>
      <c r="M175" s="419"/>
      <c r="N175" s="419"/>
      <c r="O175" s="419"/>
      <c r="P175" s="343"/>
      <c r="Q175" s="343"/>
      <c r="R175" s="343"/>
      <c r="S175" s="343"/>
      <c r="T175" s="422"/>
      <c r="U175" s="422"/>
      <c r="V175" s="343"/>
      <c r="W175" s="343"/>
      <c r="X175" s="343"/>
      <c r="Y175" s="295"/>
      <c r="Z175" s="295"/>
    </row>
    <row r="176" spans="1:26" x14ac:dyDescent="0.2">
      <c r="A176" s="84"/>
      <c r="B176" s="179"/>
      <c r="C176" s="151"/>
      <c r="D176" s="151"/>
      <c r="E176" s="151"/>
      <c r="F176" s="151"/>
      <c r="G176" s="151"/>
      <c r="H176" s="481"/>
      <c r="I176" s="482"/>
      <c r="J176" s="482"/>
      <c r="K176" s="483"/>
      <c r="L176" s="419"/>
      <c r="M176" s="419"/>
      <c r="N176" s="419"/>
      <c r="O176" s="419"/>
      <c r="P176" s="343"/>
      <c r="Q176" s="343"/>
      <c r="R176" s="343"/>
      <c r="S176" s="343"/>
      <c r="T176" s="422"/>
      <c r="U176" s="422"/>
      <c r="V176" s="343"/>
      <c r="W176" s="343"/>
      <c r="X176" s="343"/>
      <c r="Y176" s="295"/>
      <c r="Z176" s="295"/>
    </row>
    <row r="177" spans="1:26" x14ac:dyDescent="0.2">
      <c r="A177" s="84"/>
      <c r="B177" s="179"/>
      <c r="C177" s="151"/>
      <c r="D177" s="151"/>
      <c r="E177" s="151"/>
      <c r="F177" s="151"/>
      <c r="G177" s="151"/>
      <c r="H177" s="481"/>
      <c r="I177" s="482"/>
      <c r="J177" s="482"/>
      <c r="K177" s="483"/>
      <c r="L177" s="419"/>
      <c r="M177" s="419"/>
      <c r="N177" s="419"/>
      <c r="O177" s="419"/>
      <c r="P177" s="343"/>
      <c r="Q177" s="343"/>
      <c r="R177" s="343"/>
      <c r="S177" s="343"/>
      <c r="T177" s="422"/>
      <c r="U177" s="422"/>
      <c r="V177" s="343"/>
      <c r="W177" s="343"/>
      <c r="X177" s="343"/>
      <c r="Y177" s="295"/>
      <c r="Z177" s="295"/>
    </row>
    <row r="178" spans="1:26" x14ac:dyDescent="0.2">
      <c r="A178" s="84"/>
      <c r="B178" s="179"/>
      <c r="C178" s="151"/>
      <c r="D178" s="151"/>
      <c r="E178" s="151"/>
      <c r="F178" s="151"/>
      <c r="G178" s="151"/>
      <c r="H178" s="481"/>
      <c r="I178" s="482"/>
      <c r="J178" s="482"/>
      <c r="K178" s="483"/>
      <c r="L178" s="419"/>
      <c r="M178" s="419"/>
      <c r="N178" s="419"/>
      <c r="O178" s="419"/>
      <c r="P178" s="343"/>
      <c r="Q178" s="343"/>
      <c r="R178" s="343"/>
      <c r="S178" s="343"/>
      <c r="T178" s="422"/>
      <c r="U178" s="422"/>
      <c r="V178" s="343"/>
      <c r="W178" s="343"/>
      <c r="X178" s="343"/>
      <c r="Y178" s="295"/>
      <c r="Z178" s="295"/>
    </row>
    <row r="179" spans="1:26" x14ac:dyDescent="0.2">
      <c r="A179" s="84"/>
      <c r="B179" s="188" t="s">
        <v>444</v>
      </c>
      <c r="C179" s="149"/>
      <c r="D179" s="149"/>
      <c r="E179" s="149"/>
      <c r="F179" s="149"/>
      <c r="G179" s="149"/>
      <c r="H179" s="484"/>
      <c r="I179" s="485"/>
      <c r="J179" s="485"/>
      <c r="K179" s="486"/>
      <c r="L179" s="419"/>
      <c r="M179" s="419"/>
      <c r="N179" s="419"/>
      <c r="O179" s="419"/>
      <c r="P179" s="343"/>
      <c r="Q179" s="343"/>
      <c r="R179" s="343"/>
      <c r="S179" s="343"/>
      <c r="T179" s="422"/>
      <c r="U179" s="422"/>
      <c r="V179" s="343"/>
      <c r="W179" s="343"/>
      <c r="X179" s="343"/>
      <c r="Y179" s="295"/>
      <c r="Z179" s="295"/>
    </row>
    <row r="180" spans="1:26" x14ac:dyDescent="0.2">
      <c r="A180" s="84"/>
      <c r="B180" s="576" t="s">
        <v>635</v>
      </c>
      <c r="C180" s="275">
        <f t="shared" ref="C180:C195" si="57">IFERROR(C157/C$172,"")</f>
        <v>0</v>
      </c>
      <c r="D180" s="275">
        <f t="shared" ref="D180:G180" si="58">IFERROR(D157/D$172,"")</f>
        <v>0</v>
      </c>
      <c r="E180" s="275">
        <f t="shared" si="58"/>
        <v>0</v>
      </c>
      <c r="F180" s="275">
        <f t="shared" si="58"/>
        <v>0</v>
      </c>
      <c r="G180" s="275">
        <f t="shared" si="58"/>
        <v>0</v>
      </c>
      <c r="H180" s="481"/>
      <c r="I180" s="482"/>
      <c r="J180" s="482"/>
      <c r="K180" s="483"/>
      <c r="L180" s="419"/>
      <c r="M180" s="419"/>
      <c r="N180" s="419"/>
      <c r="O180" s="419"/>
      <c r="P180" s="343"/>
      <c r="Q180" s="343"/>
      <c r="R180" s="343"/>
      <c r="S180" s="343"/>
      <c r="T180" s="422"/>
      <c r="U180" s="422"/>
      <c r="V180" s="343"/>
      <c r="W180" s="343"/>
      <c r="X180" s="343"/>
      <c r="Y180" s="295"/>
      <c r="Z180" s="295"/>
    </row>
    <row r="181" spans="1:26" x14ac:dyDescent="0.2">
      <c r="A181" s="84"/>
      <c r="B181" s="576" t="s">
        <v>44</v>
      </c>
      <c r="C181" s="275">
        <f t="shared" si="57"/>
        <v>0</v>
      </c>
      <c r="D181" s="275">
        <f t="shared" ref="D181:G195" si="59">IFERROR(D158/D$172,"")</f>
        <v>0</v>
      </c>
      <c r="E181" s="275">
        <f t="shared" si="59"/>
        <v>0</v>
      </c>
      <c r="F181" s="275">
        <f t="shared" si="59"/>
        <v>0</v>
      </c>
      <c r="G181" s="275">
        <f t="shared" si="59"/>
        <v>0</v>
      </c>
      <c r="H181" s="481"/>
      <c r="I181" s="482"/>
      <c r="J181" s="482"/>
      <c r="K181" s="483"/>
      <c r="L181" s="419"/>
      <c r="M181" s="419"/>
      <c r="N181" s="419"/>
      <c r="O181" s="419"/>
      <c r="P181" s="343"/>
      <c r="Q181" s="343"/>
      <c r="R181" s="343"/>
      <c r="S181" s="343"/>
      <c r="T181" s="422"/>
      <c r="U181" s="422"/>
      <c r="V181" s="343"/>
      <c r="W181" s="343"/>
      <c r="X181" s="343"/>
      <c r="Y181" s="295"/>
      <c r="Z181" s="295"/>
    </row>
    <row r="182" spans="1:26" ht="15" x14ac:dyDescent="0.2">
      <c r="A182" s="84"/>
      <c r="B182" s="584" t="s">
        <v>45</v>
      </c>
      <c r="C182" s="574">
        <f t="shared" si="57"/>
        <v>0.27921780462884815</v>
      </c>
      <c r="D182" s="574">
        <f t="shared" si="59"/>
        <v>0.32286292080082418</v>
      </c>
      <c r="E182" s="574">
        <f t="shared" si="59"/>
        <v>0.29144501626653269</v>
      </c>
      <c r="F182" s="574">
        <f t="shared" si="59"/>
        <v>0.45331627295717014</v>
      </c>
      <c r="G182" s="574">
        <f t="shared" si="59"/>
        <v>0.52113606670328794</v>
      </c>
      <c r="H182" s="585">
        <v>11522</v>
      </c>
      <c r="I182" s="482"/>
      <c r="J182" s="482"/>
      <c r="K182" s="483"/>
      <c r="L182" s="419"/>
      <c r="M182" s="419"/>
      <c r="N182" s="419"/>
      <c r="O182" s="419"/>
      <c r="P182" s="343"/>
      <c r="Q182" s="343"/>
      <c r="R182" s="343"/>
      <c r="S182" s="343"/>
      <c r="T182" s="422"/>
      <c r="U182" s="422"/>
      <c r="V182" s="343"/>
      <c r="W182" s="343"/>
      <c r="X182" s="343"/>
      <c r="Y182" s="295"/>
      <c r="Z182" s="295"/>
    </row>
    <row r="183" spans="1:26" x14ac:dyDescent="0.2">
      <c r="A183" s="84"/>
      <c r="B183" s="576" t="s">
        <v>278</v>
      </c>
      <c r="C183" s="275">
        <f t="shared" si="57"/>
        <v>0.33267113855448455</v>
      </c>
      <c r="D183" s="275">
        <f t="shared" si="59"/>
        <v>0.27879677594125135</v>
      </c>
      <c r="E183" s="275">
        <f t="shared" si="59"/>
        <v>0.38708642098581403</v>
      </c>
      <c r="F183" s="275">
        <f t="shared" si="59"/>
        <v>0.32929515913610335</v>
      </c>
      <c r="G183" s="275">
        <f t="shared" si="59"/>
        <v>0.25393988744208162</v>
      </c>
      <c r="H183" s="481"/>
      <c r="I183" s="482"/>
      <c r="J183" s="482"/>
      <c r="K183" s="483"/>
      <c r="L183" s="419"/>
      <c r="M183" s="419"/>
      <c r="N183" s="419"/>
      <c r="O183" s="419"/>
      <c r="P183" s="343"/>
      <c r="Q183" s="343"/>
      <c r="R183" s="343"/>
      <c r="S183" s="343"/>
      <c r="T183" s="422"/>
      <c r="U183" s="422"/>
      <c r="V183" s="343"/>
      <c r="W183" s="343"/>
      <c r="X183" s="343"/>
      <c r="Y183" s="295"/>
      <c r="Z183" s="295"/>
    </row>
    <row r="184" spans="1:26" ht="15" x14ac:dyDescent="0.2">
      <c r="A184" s="84"/>
      <c r="B184" s="584" t="s">
        <v>277</v>
      </c>
      <c r="C184" s="275">
        <f t="shared" si="57"/>
        <v>0.14008049398072056</v>
      </c>
      <c r="D184" s="275">
        <f t="shared" si="59"/>
        <v>0.16166777215496689</v>
      </c>
      <c r="E184" s="275">
        <f t="shared" si="59"/>
        <v>0.13704515605784426</v>
      </c>
      <c r="F184" s="275">
        <f t="shared" si="59"/>
        <v>9.2958356141275136E-2</v>
      </c>
      <c r="G184" s="275">
        <f t="shared" si="59"/>
        <v>6.7618821144362851E-2</v>
      </c>
      <c r="H184" s="585">
        <v>11453</v>
      </c>
      <c r="I184" s="482"/>
      <c r="J184" s="482"/>
      <c r="K184" s="483"/>
      <c r="L184" s="419"/>
      <c r="M184" s="419"/>
      <c r="N184" s="419"/>
      <c r="O184" s="419"/>
      <c r="P184" s="343"/>
      <c r="Q184" s="343"/>
      <c r="R184" s="343"/>
      <c r="S184" s="343"/>
      <c r="T184" s="422"/>
      <c r="U184" s="422"/>
      <c r="V184" s="343"/>
      <c r="W184" s="343"/>
      <c r="X184" s="343"/>
      <c r="Y184" s="295"/>
      <c r="Z184" s="295"/>
    </row>
    <row r="185" spans="1:26" x14ac:dyDescent="0.2">
      <c r="A185" s="84"/>
      <c r="B185" s="576" t="s">
        <v>279</v>
      </c>
      <c r="C185" s="275">
        <f t="shared" si="57"/>
        <v>0</v>
      </c>
      <c r="D185" s="275">
        <f t="shared" si="59"/>
        <v>0</v>
      </c>
      <c r="E185" s="275">
        <f t="shared" si="59"/>
        <v>0</v>
      </c>
      <c r="F185" s="275">
        <f t="shared" si="59"/>
        <v>0</v>
      </c>
      <c r="G185" s="275">
        <f t="shared" si="59"/>
        <v>0</v>
      </c>
      <c r="H185" s="481"/>
      <c r="I185" s="482"/>
      <c r="J185" s="482"/>
      <c r="K185" s="483"/>
      <c r="L185" s="419"/>
      <c r="M185" s="419"/>
      <c r="N185" s="419"/>
      <c r="O185" s="419"/>
      <c r="P185" s="343"/>
      <c r="Q185" s="343"/>
      <c r="R185" s="343"/>
      <c r="S185" s="343"/>
      <c r="T185" s="422"/>
      <c r="U185" s="422"/>
      <c r="V185" s="343"/>
      <c r="W185" s="343"/>
      <c r="X185" s="343"/>
      <c r="Y185" s="295"/>
      <c r="Z185" s="295"/>
    </row>
    <row r="186" spans="1:26" x14ac:dyDescent="0.2">
      <c r="A186" s="84"/>
      <c r="B186" s="576" t="s">
        <v>276</v>
      </c>
      <c r="C186" s="275">
        <f t="shared" si="57"/>
        <v>0</v>
      </c>
      <c r="D186" s="275">
        <f t="shared" si="59"/>
        <v>0</v>
      </c>
      <c r="E186" s="275">
        <f t="shared" si="59"/>
        <v>0</v>
      </c>
      <c r="F186" s="275">
        <f t="shared" si="59"/>
        <v>0</v>
      </c>
      <c r="G186" s="275">
        <f t="shared" si="59"/>
        <v>0</v>
      </c>
      <c r="H186" s="481"/>
      <c r="I186" s="482"/>
      <c r="J186" s="482"/>
      <c r="K186" s="483"/>
      <c r="L186" s="419"/>
      <c r="M186" s="419"/>
      <c r="N186" s="419"/>
      <c r="O186" s="419"/>
      <c r="P186" s="343"/>
      <c r="Q186" s="343"/>
      <c r="R186" s="343"/>
      <c r="S186" s="343"/>
      <c r="T186" s="422"/>
      <c r="U186" s="422"/>
      <c r="V186" s="343"/>
      <c r="W186" s="343"/>
      <c r="X186" s="343"/>
      <c r="Y186" s="295"/>
      <c r="Z186" s="295"/>
    </row>
    <row r="187" spans="1:26" x14ac:dyDescent="0.2">
      <c r="A187" s="84"/>
      <c r="B187" s="576" t="s">
        <v>280</v>
      </c>
      <c r="C187" s="275">
        <f t="shared" si="57"/>
        <v>0</v>
      </c>
      <c r="D187" s="275">
        <f t="shared" si="59"/>
        <v>0</v>
      </c>
      <c r="E187" s="275">
        <f t="shared" si="59"/>
        <v>0</v>
      </c>
      <c r="F187" s="275">
        <f t="shared" si="59"/>
        <v>0</v>
      </c>
      <c r="G187" s="275">
        <f t="shared" si="59"/>
        <v>0</v>
      </c>
      <c r="H187" s="481"/>
      <c r="I187" s="482"/>
      <c r="J187" s="482"/>
      <c r="K187" s="483"/>
      <c r="L187" s="419"/>
      <c r="M187" s="419"/>
      <c r="N187" s="419"/>
      <c r="O187" s="419"/>
      <c r="P187" s="343"/>
      <c r="Q187" s="343"/>
      <c r="R187" s="343"/>
      <c r="S187" s="343"/>
      <c r="T187" s="422"/>
      <c r="U187" s="422"/>
      <c r="V187" s="343"/>
      <c r="W187" s="343"/>
      <c r="X187" s="343"/>
      <c r="Y187" s="295"/>
      <c r="Z187" s="295"/>
    </row>
    <row r="188" spans="1:26" x14ac:dyDescent="0.2">
      <c r="A188" s="84"/>
      <c r="B188" s="576" t="s">
        <v>275</v>
      </c>
      <c r="C188" s="275">
        <f t="shared" si="57"/>
        <v>0</v>
      </c>
      <c r="D188" s="275">
        <f t="shared" si="59"/>
        <v>0</v>
      </c>
      <c r="E188" s="275">
        <f t="shared" si="59"/>
        <v>0</v>
      </c>
      <c r="F188" s="275">
        <f t="shared" si="59"/>
        <v>0</v>
      </c>
      <c r="G188" s="275">
        <f t="shared" si="59"/>
        <v>5.4663334162948635E-2</v>
      </c>
      <c r="H188" s="481"/>
      <c r="I188" s="482"/>
      <c r="J188" s="482"/>
      <c r="K188" s="483"/>
      <c r="L188" s="419"/>
      <c r="M188" s="419"/>
      <c r="N188" s="419"/>
      <c r="O188" s="419"/>
      <c r="P188" s="343"/>
      <c r="Q188" s="343"/>
      <c r="R188" s="343"/>
      <c r="S188" s="343"/>
      <c r="T188" s="422"/>
      <c r="U188" s="422"/>
      <c r="V188" s="343"/>
      <c r="W188" s="343"/>
      <c r="X188" s="343"/>
      <c r="Y188" s="295"/>
      <c r="Z188" s="295"/>
    </row>
    <row r="189" spans="1:26" x14ac:dyDescent="0.2">
      <c r="A189" s="84"/>
      <c r="B189" s="576" t="s">
        <v>47</v>
      </c>
      <c r="C189" s="275">
        <f t="shared" si="57"/>
        <v>1.5931411310026213E-2</v>
      </c>
      <c r="D189" s="275">
        <f t="shared" si="59"/>
        <v>1.0525453283954508E-2</v>
      </c>
      <c r="E189" s="275">
        <f t="shared" si="59"/>
        <v>2.732145786443299E-3</v>
      </c>
      <c r="F189" s="275">
        <f t="shared" si="59"/>
        <v>1.2550594026913119E-2</v>
      </c>
      <c r="G189" s="275">
        <f t="shared" si="59"/>
        <v>2.1341253295595997E-2</v>
      </c>
      <c r="H189" s="481"/>
      <c r="I189" s="482"/>
      <c r="J189" s="482"/>
      <c r="K189" s="483"/>
      <c r="L189" s="419"/>
      <c r="M189" s="419"/>
      <c r="N189" s="419"/>
      <c r="O189" s="419"/>
      <c r="P189" s="343"/>
      <c r="Q189" s="343"/>
      <c r="R189" s="343"/>
      <c r="S189" s="343"/>
      <c r="T189" s="422"/>
      <c r="U189" s="422"/>
      <c r="V189" s="343"/>
      <c r="W189" s="343"/>
      <c r="X189" s="343"/>
      <c r="Y189" s="295"/>
      <c r="Z189" s="295"/>
    </row>
    <row r="190" spans="1:26" x14ac:dyDescent="0.2">
      <c r="A190" s="84"/>
      <c r="B190" s="576" t="s">
        <v>46</v>
      </c>
      <c r="C190" s="275">
        <f t="shared" si="57"/>
        <v>0</v>
      </c>
      <c r="D190" s="275">
        <f t="shared" si="59"/>
        <v>0</v>
      </c>
      <c r="E190" s="275">
        <f t="shared" si="59"/>
        <v>0</v>
      </c>
      <c r="F190" s="275">
        <f t="shared" si="59"/>
        <v>0</v>
      </c>
      <c r="G190" s="275">
        <f t="shared" si="59"/>
        <v>0</v>
      </c>
      <c r="H190" s="481"/>
      <c r="I190" s="482"/>
      <c r="J190" s="482"/>
      <c r="K190" s="483"/>
      <c r="L190" s="419"/>
      <c r="M190" s="419"/>
      <c r="N190" s="419"/>
      <c r="O190" s="419"/>
      <c r="P190" s="343"/>
      <c r="Q190" s="343"/>
      <c r="R190" s="343"/>
      <c r="S190" s="343"/>
      <c r="T190" s="422"/>
      <c r="U190" s="422"/>
      <c r="V190" s="343"/>
      <c r="W190" s="343"/>
      <c r="X190" s="343"/>
      <c r="Y190" s="295"/>
      <c r="Z190" s="295"/>
    </row>
    <row r="191" spans="1:26" x14ac:dyDescent="0.2">
      <c r="A191" s="84"/>
      <c r="B191" s="576" t="s">
        <v>54</v>
      </c>
      <c r="C191" s="275">
        <f t="shared" si="57"/>
        <v>0</v>
      </c>
      <c r="D191" s="275">
        <f t="shared" si="59"/>
        <v>2.2478435189359396E-3</v>
      </c>
      <c r="E191" s="275">
        <f t="shared" si="59"/>
        <v>0</v>
      </c>
      <c r="F191" s="275">
        <f t="shared" si="59"/>
        <v>0</v>
      </c>
      <c r="G191" s="275">
        <f t="shared" si="59"/>
        <v>0</v>
      </c>
      <c r="H191" s="481"/>
      <c r="I191" s="482"/>
      <c r="J191" s="482"/>
      <c r="K191" s="483"/>
      <c r="L191" s="419"/>
      <c r="M191" s="419"/>
      <c r="N191" s="419"/>
      <c r="O191" s="419"/>
      <c r="P191" s="343"/>
      <c r="Q191" s="343"/>
      <c r="R191" s="343"/>
      <c r="S191" s="343"/>
      <c r="T191" s="422"/>
      <c r="U191" s="422"/>
      <c r="V191" s="343"/>
      <c r="W191" s="343"/>
      <c r="X191" s="343"/>
      <c r="Y191" s="295"/>
      <c r="Z191" s="295"/>
    </row>
    <row r="192" spans="1:26" ht="15" x14ac:dyDescent="0.2">
      <c r="A192" s="84"/>
      <c r="B192" s="584" t="s">
        <v>636</v>
      </c>
      <c r="C192" s="275">
        <f t="shared" si="57"/>
        <v>0.20172608946737153</v>
      </c>
      <c r="D192" s="275">
        <f t="shared" si="59"/>
        <v>0.19981506307514338</v>
      </c>
      <c r="E192" s="275">
        <f t="shared" si="59"/>
        <v>0.16109165602778708</v>
      </c>
      <c r="F192" s="275">
        <f t="shared" si="59"/>
        <v>8.1616645469641647E-2</v>
      </c>
      <c r="G192" s="275">
        <f t="shared" si="59"/>
        <v>5.7016744001964464E-2</v>
      </c>
      <c r="H192" s="585">
        <v>11468</v>
      </c>
      <c r="I192" s="482"/>
      <c r="J192" s="482"/>
      <c r="K192" s="483"/>
      <c r="L192" s="419"/>
      <c r="M192" s="419"/>
      <c r="N192" s="419"/>
      <c r="O192" s="419"/>
      <c r="P192" s="343"/>
      <c r="Q192" s="343"/>
      <c r="R192" s="343"/>
      <c r="S192" s="343"/>
      <c r="T192" s="422"/>
      <c r="U192" s="422"/>
      <c r="V192" s="343"/>
      <c r="W192" s="343"/>
      <c r="X192" s="343"/>
      <c r="Y192" s="295"/>
      <c r="Z192" s="295"/>
    </row>
    <row r="193" spans="1:26" x14ac:dyDescent="0.2">
      <c r="A193" s="84"/>
      <c r="B193" s="576" t="s">
        <v>637</v>
      </c>
      <c r="C193" s="275">
        <f t="shared" si="57"/>
        <v>0</v>
      </c>
      <c r="D193" s="275">
        <f t="shared" si="59"/>
        <v>0</v>
      </c>
      <c r="E193" s="275">
        <f t="shared" si="59"/>
        <v>0</v>
      </c>
      <c r="F193" s="275">
        <f t="shared" si="59"/>
        <v>0</v>
      </c>
      <c r="G193" s="275">
        <f t="shared" si="59"/>
        <v>0</v>
      </c>
      <c r="H193" s="481"/>
      <c r="I193" s="482"/>
      <c r="J193" s="482"/>
      <c r="K193" s="483"/>
      <c r="L193" s="419"/>
      <c r="M193" s="419"/>
      <c r="N193" s="419"/>
      <c r="O193" s="419"/>
      <c r="P193" s="343"/>
      <c r="Q193" s="343"/>
      <c r="R193" s="343"/>
      <c r="S193" s="343"/>
      <c r="T193" s="422"/>
      <c r="U193" s="422"/>
      <c r="V193" s="343"/>
      <c r="W193" s="343"/>
      <c r="X193" s="343"/>
      <c r="Y193" s="295"/>
      <c r="Z193" s="295"/>
    </row>
    <row r="194" spans="1:26" x14ac:dyDescent="0.2">
      <c r="A194" s="84"/>
      <c r="B194" s="576" t="s">
        <v>2</v>
      </c>
      <c r="C194" s="275">
        <f t="shared" si="57"/>
        <v>3.0373062058549161E-2</v>
      </c>
      <c r="D194" s="275">
        <f t="shared" si="59"/>
        <v>2.4084171224923612E-2</v>
      </c>
      <c r="E194" s="275">
        <f t="shared" si="59"/>
        <v>2.05996048755786E-2</v>
      </c>
      <c r="F194" s="275">
        <f t="shared" si="59"/>
        <v>3.0262972268896585E-2</v>
      </c>
      <c r="G194" s="275">
        <f t="shared" si="59"/>
        <v>2.4283893249758364E-2</v>
      </c>
      <c r="H194" s="481"/>
      <c r="I194" s="482"/>
      <c r="J194" s="482"/>
      <c r="K194" s="483"/>
      <c r="L194" s="419"/>
      <c r="M194" s="419"/>
      <c r="N194" s="419"/>
      <c r="O194" s="419"/>
      <c r="P194" s="343"/>
      <c r="Q194" s="343"/>
      <c r="R194" s="343"/>
      <c r="S194" s="343"/>
      <c r="T194" s="422"/>
      <c r="U194" s="422"/>
      <c r="V194" s="343"/>
      <c r="W194" s="343"/>
      <c r="X194" s="343"/>
      <c r="Y194" s="295"/>
      <c r="Z194" s="295"/>
    </row>
    <row r="195" spans="1:26" x14ac:dyDescent="0.2">
      <c r="A195" s="84"/>
      <c r="B195" s="179" t="s">
        <v>638</v>
      </c>
      <c r="C195" s="275">
        <f t="shared" si="57"/>
        <v>1</v>
      </c>
      <c r="D195" s="275">
        <f t="shared" si="59"/>
        <v>1</v>
      </c>
      <c r="E195" s="275">
        <f t="shared" si="59"/>
        <v>1</v>
      </c>
      <c r="F195" s="275">
        <f t="shared" si="59"/>
        <v>1</v>
      </c>
      <c r="G195" s="275">
        <f t="shared" si="59"/>
        <v>1</v>
      </c>
      <c r="H195" s="481"/>
      <c r="I195" s="482"/>
      <c r="J195" s="482"/>
      <c r="K195" s="483"/>
      <c r="L195" s="419"/>
      <c r="M195" s="419"/>
      <c r="N195" s="419"/>
      <c r="O195" s="419"/>
      <c r="P195" s="343"/>
      <c r="Q195" s="343"/>
      <c r="R195" s="343"/>
      <c r="S195" s="343"/>
      <c r="T195" s="422"/>
      <c r="U195" s="422"/>
      <c r="V195" s="343"/>
      <c r="W195" s="343"/>
      <c r="X195" s="343"/>
      <c r="Y195" s="295"/>
      <c r="Z195" s="295"/>
    </row>
    <row r="196" spans="1:26" x14ac:dyDescent="0.2">
      <c r="A196" s="84"/>
      <c r="B196" s="179" t="s">
        <v>264</v>
      </c>
      <c r="C196" s="275">
        <f>IFERROR(Sheet1!C212/Sheet1!C$211,"")</f>
        <v>0</v>
      </c>
      <c r="D196" s="275">
        <f>IFERROR(Sheet1!D212/Sheet1!D$211,"")</f>
        <v>0</v>
      </c>
      <c r="E196" s="275">
        <f>IFERROR(Sheet1!E212/Sheet1!E$211,"")</f>
        <v>0</v>
      </c>
      <c r="F196" s="275">
        <f>IFERROR(Sheet1!F212/Sheet1!F$211,"")</f>
        <v>1.3764848532074798</v>
      </c>
      <c r="G196" s="275">
        <f>IFERROR(Sheet1!G212/Sheet1!G$211,"")</f>
        <v>1.2411638116998671</v>
      </c>
      <c r="H196" s="481"/>
      <c r="I196" s="482"/>
      <c r="J196" s="482"/>
      <c r="K196" s="483"/>
      <c r="L196" s="419"/>
      <c r="M196" s="419"/>
      <c r="N196" s="419"/>
      <c r="O196" s="419"/>
      <c r="P196" s="343"/>
      <c r="Q196" s="343"/>
      <c r="R196" s="343"/>
      <c r="S196" s="343"/>
      <c r="T196" s="422"/>
      <c r="U196" s="422"/>
      <c r="V196" s="343"/>
      <c r="W196" s="343"/>
      <c r="X196" s="343"/>
      <c r="Y196" s="295"/>
      <c r="Z196" s="295"/>
    </row>
    <row r="197" spans="1:26" x14ac:dyDescent="0.2">
      <c r="A197" s="84"/>
      <c r="B197" s="179" t="s">
        <v>265</v>
      </c>
      <c r="C197" s="275">
        <f>IFERROR(Sheet1!C213/Sheet1!C$211,"")</f>
        <v>0</v>
      </c>
      <c r="D197" s="275">
        <f>IFERROR(Sheet1!D213/Sheet1!D$211,"")</f>
        <v>0</v>
      </c>
      <c r="E197" s="275">
        <f>IFERROR(Sheet1!E213/Sheet1!E$211,"")</f>
        <v>0</v>
      </c>
      <c r="F197" s="275">
        <f>IFERROR(Sheet1!F213/Sheet1!F$211,"")</f>
        <v>0.38774521525594957</v>
      </c>
      <c r="G197" s="275">
        <f>IFERROR(Sheet1!G213/Sheet1!G$211,"")</f>
        <v>0.42109702489603479</v>
      </c>
      <c r="H197" s="481"/>
      <c r="I197" s="482"/>
      <c r="J197" s="482"/>
      <c r="K197" s="483"/>
      <c r="L197" s="419"/>
      <c r="M197" s="419"/>
      <c r="N197" s="419"/>
      <c r="O197" s="419"/>
      <c r="P197" s="343"/>
      <c r="Q197" s="343"/>
      <c r="R197" s="343"/>
      <c r="S197" s="343"/>
      <c r="T197" s="422"/>
      <c r="U197" s="422"/>
      <c r="V197" s="343"/>
      <c r="W197" s="343"/>
      <c r="X197" s="343"/>
      <c r="Y197" s="295"/>
      <c r="Z197" s="295"/>
    </row>
    <row r="198" spans="1:26" x14ac:dyDescent="0.2">
      <c r="A198" s="84"/>
      <c r="B198" s="179" t="s">
        <v>658</v>
      </c>
      <c r="C198" s="275">
        <f>IFERROR(Sheet1!C189/Sheet1!C211,"")</f>
        <v>0.33607889476256053</v>
      </c>
      <c r="D198" s="275">
        <f>IFERROR(Sheet1!D189/Sheet1!D211,"")</f>
        <v>0.45074605661574774</v>
      </c>
      <c r="E198" s="275">
        <f>IFERROR(Sheet1!E189/Sheet1!E211,"")</f>
        <v>0.46055480440933583</v>
      </c>
      <c r="F198" s="275">
        <f>IFERROR(Sheet1!F189/Sheet1!F211,"")</f>
        <v>0.46048415703452583</v>
      </c>
      <c r="G198" s="275">
        <f>IFERROR(Sheet1!G189/Sheet1!G211,"")</f>
        <v>0.39194556245423495</v>
      </c>
      <c r="H198" s="487"/>
      <c r="I198" s="488"/>
      <c r="J198" s="488"/>
      <c r="K198" s="489"/>
      <c r="L198" s="419"/>
      <c r="M198" s="419"/>
      <c r="N198" s="419"/>
      <c r="O198" s="419"/>
      <c r="P198" s="343"/>
      <c r="Q198" s="343"/>
      <c r="R198" s="343"/>
      <c r="S198" s="343"/>
      <c r="T198" s="422"/>
      <c r="U198" s="422"/>
      <c r="V198" s="343"/>
      <c r="W198" s="343"/>
      <c r="X198" s="343"/>
      <c r="Y198" s="295"/>
      <c r="Z198" s="295"/>
    </row>
    <row r="199" spans="1:26" x14ac:dyDescent="0.2">
      <c r="A199" s="84"/>
      <c r="B199" s="179" t="s">
        <v>659</v>
      </c>
      <c r="C199" s="275">
        <f>IFERROR((Sheet1!C209-Sheet1!C203-Sheet1!C202)/Sheet1!C211,"")</f>
        <v>0.38811105681666741</v>
      </c>
      <c r="D199" s="275">
        <f>IFERROR((Sheet1!D209-Sheet1!D203-Sheet1!D202)/Sheet1!D211,"")</f>
        <v>0.39834030325792441</v>
      </c>
      <c r="E199" s="275">
        <f>IFERROR((Sheet1!E209-Sheet1!E203-Sheet1!E202)/Sheet1!E211,"")</f>
        <v>0.32146856274765329</v>
      </c>
      <c r="F199" s="275">
        <f>IFERROR((Sheet1!F209-Sheet1!F203-Sheet1!F202)/Sheet1!F211,"")</f>
        <v>0.20466671362052105</v>
      </c>
      <c r="G199" s="275">
        <f>IFERROR((Sheet1!G209-Sheet1!G203-Sheet1!G202)/Sheet1!G211,"")</f>
        <v>0.21787564158918815</v>
      </c>
      <c r="H199" s="487"/>
      <c r="I199" s="488"/>
      <c r="J199" s="488"/>
      <c r="K199" s="489"/>
      <c r="L199" s="419"/>
      <c r="M199" s="419"/>
      <c r="N199" s="419"/>
      <c r="O199" s="419"/>
      <c r="P199" s="343"/>
      <c r="Q199" s="343"/>
      <c r="R199" s="343"/>
      <c r="S199" s="343"/>
      <c r="T199" s="422"/>
      <c r="U199" s="422"/>
      <c r="V199" s="343"/>
      <c r="W199" s="343"/>
      <c r="X199" s="343"/>
      <c r="Y199" s="295"/>
      <c r="Z199" s="295"/>
    </row>
    <row r="200" spans="1:26" x14ac:dyDescent="0.2">
      <c r="A200" s="84"/>
      <c r="B200" s="179" t="s">
        <v>660</v>
      </c>
      <c r="C200" s="275">
        <f>IFERROR((Sheet1!C209)/Sheet1!C211,"")</f>
        <v>0.66392110523743952</v>
      </c>
      <c r="D200" s="275">
        <f>IFERROR((Sheet1!D209)/Sheet1!D211,"")</f>
        <v>0.54925394338425226</v>
      </c>
      <c r="E200" s="275">
        <f>IFERROR((Sheet1!E209)/Sheet1!E211,"")</f>
        <v>0.53944519559066417</v>
      </c>
      <c r="F200" s="275">
        <f>IFERROR((Sheet1!F209)/Sheet1!F211,"")</f>
        <v>0.53951584296547417</v>
      </c>
      <c r="G200" s="275">
        <f>IFERROR((Sheet1!G209)/Sheet1!G211,"")</f>
        <v>0.60805443754576516</v>
      </c>
      <c r="H200" s="487"/>
      <c r="I200" s="488"/>
      <c r="J200" s="488"/>
      <c r="K200" s="489"/>
      <c r="L200" s="419"/>
      <c r="M200" s="419"/>
      <c r="N200" s="419"/>
      <c r="O200" s="419"/>
      <c r="P200" s="343"/>
      <c r="Q200" s="343"/>
      <c r="R200" s="343"/>
      <c r="S200" s="343"/>
      <c r="T200" s="422"/>
      <c r="U200" s="422"/>
      <c r="V200" s="343"/>
      <c r="W200" s="343"/>
      <c r="X200" s="343"/>
      <c r="Y200" s="295"/>
      <c r="Z200" s="295"/>
    </row>
    <row r="201" spans="1:26" x14ac:dyDescent="0.2">
      <c r="A201" s="84"/>
      <c r="B201" s="179" t="s">
        <v>661</v>
      </c>
      <c r="C201" s="275">
        <f>IFERROR(C62/C55,"")</f>
        <v>0.12076653390114903</v>
      </c>
      <c r="D201" s="275">
        <f>IFERROR(D62/D55,"")</f>
        <v>1.3979227625364899E-2</v>
      </c>
      <c r="E201" s="275">
        <f>IFERROR(E62/E55,"")</f>
        <v>7.6441528316397167E-2</v>
      </c>
      <c r="F201" s="275">
        <f>IFERROR(F62/F55,"")</f>
        <v>0.15701264557137179</v>
      </c>
      <c r="G201" s="275">
        <f>IFERROR(G62/G55,"")</f>
        <v>0.19491129728872481</v>
      </c>
      <c r="H201" s="487" t="str">
        <f>IFERROR(H61/H55,"NA")</f>
        <v>NA</v>
      </c>
      <c r="I201" s="488"/>
      <c r="J201" s="488"/>
      <c r="K201" s="489"/>
      <c r="L201" s="419"/>
      <c r="M201" s="419"/>
      <c r="N201" s="419"/>
      <c r="O201" s="419"/>
      <c r="P201" s="343"/>
      <c r="Q201" s="343"/>
      <c r="R201" s="343"/>
      <c r="S201" s="343"/>
      <c r="T201" s="422"/>
      <c r="U201" s="422"/>
      <c r="V201" s="343"/>
      <c r="W201" s="343"/>
      <c r="X201" s="343"/>
      <c r="Y201" s="295"/>
      <c r="Z201" s="295"/>
    </row>
    <row r="202" spans="1:26" ht="25.5" x14ac:dyDescent="0.2">
      <c r="A202" s="84"/>
      <c r="B202" s="179" t="s">
        <v>816</v>
      </c>
      <c r="C202" s="275">
        <f>IFERROR((Sheet1!C293+Sheet1!C294+Sheet1!C287)/C55,"")</f>
        <v>0.12076653390114903</v>
      </c>
      <c r="D202" s="275">
        <f>IFERROR((Sheet1!D293+Sheet1!D294+Sheet1!D287)/D55,"")</f>
        <v>1.3979227625364899E-2</v>
      </c>
      <c r="E202" s="275">
        <f>IFERROR((Sheet1!E293+Sheet1!E294+Sheet1!E287)/E55,"")</f>
        <v>7.6441528316397167E-2</v>
      </c>
      <c r="F202" s="275">
        <f>IFERROR((Sheet1!F293+Sheet1!F294+Sheet1!F287)/F55,"")</f>
        <v>0.15701264557137179</v>
      </c>
      <c r="G202" s="275">
        <f>IFERROR((Sheet1!G293+Sheet1!G294+Sheet1!G287)/G55,"")</f>
        <v>0.19491129728872481</v>
      </c>
      <c r="H202" s="487"/>
      <c r="I202" s="488"/>
      <c r="J202" s="488"/>
      <c r="K202" s="489"/>
      <c r="L202" s="419"/>
      <c r="M202" s="419"/>
      <c r="N202" s="419"/>
      <c r="O202" s="419"/>
      <c r="P202" s="343"/>
      <c r="Q202" s="343"/>
      <c r="R202" s="343"/>
      <c r="S202" s="343"/>
      <c r="T202" s="422"/>
      <c r="U202" s="422"/>
      <c r="V202" s="343"/>
      <c r="W202" s="343"/>
      <c r="X202" s="343"/>
      <c r="Y202" s="295"/>
      <c r="Z202" s="295"/>
    </row>
    <row r="203" spans="1:26" x14ac:dyDescent="0.2">
      <c r="A203" s="84"/>
      <c r="B203" s="179" t="s">
        <v>645</v>
      </c>
      <c r="C203" s="368">
        <f>Sheet1!C350</f>
        <v>0</v>
      </c>
      <c r="D203" s="312">
        <f>Sheet1!D350</f>
        <v>0</v>
      </c>
      <c r="E203" s="312">
        <f>Sheet1!E350</f>
        <v>0</v>
      </c>
      <c r="F203" s="312">
        <f>Sheet1!F350</f>
        <v>6.0699999999999994</v>
      </c>
      <c r="G203" s="312">
        <f>Sheet1!G350</f>
        <v>4.5999999999999996</v>
      </c>
      <c r="H203" s="487"/>
      <c r="I203" s="488"/>
      <c r="J203" s="488"/>
      <c r="K203" s="489"/>
      <c r="L203" s="419"/>
      <c r="M203" s="419"/>
      <c r="N203" s="419"/>
      <c r="O203" s="419"/>
      <c r="P203" s="343"/>
      <c r="Q203" s="343"/>
      <c r="R203" s="343"/>
      <c r="S203" s="343"/>
      <c r="T203" s="422"/>
      <c r="U203" s="422"/>
      <c r="V203" s="343"/>
      <c r="W203" s="343"/>
      <c r="X203" s="343"/>
      <c r="Y203" s="295"/>
      <c r="Z203" s="295"/>
    </row>
    <row r="204" spans="1:26" x14ac:dyDescent="0.2">
      <c r="A204" s="84"/>
      <c r="B204" s="576" t="s">
        <v>647</v>
      </c>
      <c r="C204" s="368">
        <f>Sheet1!C352</f>
        <v>0</v>
      </c>
      <c r="D204" s="312">
        <f>Sheet1!D352</f>
        <v>0</v>
      </c>
      <c r="E204" s="312">
        <f>Sheet1!E352</f>
        <v>0</v>
      </c>
      <c r="F204" s="312">
        <f>Sheet1!F352</f>
        <v>0</v>
      </c>
      <c r="G204" s="312">
        <f>Sheet1!G352</f>
        <v>31.66</v>
      </c>
      <c r="H204" s="487"/>
      <c r="I204" s="488"/>
      <c r="J204" s="488"/>
      <c r="K204" s="489"/>
      <c r="L204" s="419"/>
      <c r="M204" s="419"/>
      <c r="N204" s="419"/>
      <c r="O204" s="419"/>
      <c r="P204" s="343"/>
      <c r="Q204" s="343"/>
      <c r="R204" s="343"/>
      <c r="S204" s="343"/>
      <c r="T204" s="422"/>
      <c r="U204" s="422"/>
      <c r="V204" s="343"/>
      <c r="W204" s="343"/>
      <c r="X204" s="343"/>
      <c r="Y204" s="295"/>
      <c r="Z204" s="295"/>
    </row>
    <row r="205" spans="1:26" x14ac:dyDescent="0.2">
      <c r="A205" s="84"/>
      <c r="B205" s="179"/>
      <c r="C205" s="275"/>
      <c r="D205" s="275"/>
      <c r="E205" s="275"/>
      <c r="F205" s="275"/>
      <c r="G205" s="275"/>
      <c r="H205" s="487"/>
      <c r="I205" s="488"/>
      <c r="J205" s="488"/>
      <c r="K205" s="489"/>
      <c r="L205" s="419"/>
      <c r="M205" s="419"/>
      <c r="N205" s="419"/>
      <c r="O205" s="419"/>
      <c r="P205" s="343"/>
      <c r="Q205" s="343"/>
      <c r="R205" s="343"/>
      <c r="S205" s="343"/>
      <c r="T205" s="422"/>
      <c r="U205" s="422"/>
      <c r="V205" s="343"/>
      <c r="W205" s="343"/>
      <c r="X205" s="343"/>
      <c r="Y205" s="295"/>
      <c r="Z205" s="295"/>
    </row>
    <row r="206" spans="1:26" x14ac:dyDescent="0.2">
      <c r="A206" s="84"/>
      <c r="B206" s="179"/>
      <c r="C206" s="275"/>
      <c r="D206" s="275"/>
      <c r="E206" s="275"/>
      <c r="F206" s="275"/>
      <c r="G206" s="275"/>
      <c r="H206" s="487"/>
      <c r="I206" s="488"/>
      <c r="J206" s="488"/>
      <c r="K206" s="489"/>
      <c r="L206" s="419"/>
      <c r="M206" s="419"/>
      <c r="N206" s="419"/>
      <c r="O206" s="419"/>
      <c r="P206" s="343"/>
      <c r="Q206" s="343"/>
      <c r="R206" s="343"/>
      <c r="S206" s="343"/>
      <c r="T206" s="422"/>
      <c r="U206" s="422"/>
      <c r="V206" s="343"/>
      <c r="W206" s="343"/>
      <c r="X206" s="343"/>
      <c r="Y206" s="295"/>
      <c r="Z206" s="295"/>
    </row>
    <row r="207" spans="1:26" x14ac:dyDescent="0.2">
      <c r="A207" s="84"/>
      <c r="B207" s="179"/>
      <c r="C207" s="151"/>
      <c r="D207" s="151"/>
      <c r="E207" s="151"/>
      <c r="F207" s="151"/>
      <c r="G207" s="151"/>
      <c r="H207" s="481"/>
      <c r="I207" s="482"/>
      <c r="J207" s="482"/>
      <c r="K207" s="483"/>
      <c r="L207" s="419"/>
      <c r="M207" s="419"/>
      <c r="N207" s="419"/>
      <c r="O207" s="419"/>
      <c r="P207" s="343"/>
      <c r="Q207" s="343"/>
      <c r="R207" s="343"/>
      <c r="S207" s="343"/>
      <c r="T207" s="422"/>
      <c r="U207" s="422"/>
      <c r="V207" s="343"/>
      <c r="W207" s="343"/>
      <c r="X207" s="343"/>
      <c r="Y207" s="295"/>
      <c r="Z207" s="295"/>
    </row>
    <row r="208" spans="1:26" x14ac:dyDescent="0.2">
      <c r="A208" s="84"/>
      <c r="B208" s="188" t="s">
        <v>445</v>
      </c>
      <c r="C208" s="149"/>
      <c r="D208" s="149"/>
      <c r="E208" s="149"/>
      <c r="F208" s="149"/>
      <c r="G208" s="149"/>
      <c r="H208" s="484"/>
      <c r="I208" s="485"/>
      <c r="J208" s="485"/>
      <c r="K208" s="486"/>
      <c r="L208" s="419"/>
      <c r="M208" s="419"/>
      <c r="N208" s="419"/>
      <c r="O208" s="419"/>
      <c r="P208" s="343"/>
      <c r="Q208" s="343"/>
      <c r="R208" s="343"/>
      <c r="S208" s="343"/>
      <c r="T208" s="422"/>
      <c r="U208" s="422"/>
      <c r="V208" s="343"/>
      <c r="W208" s="343"/>
      <c r="X208" s="343"/>
      <c r="Y208" s="295"/>
      <c r="Z208" s="295"/>
    </row>
    <row r="209" spans="1:26" x14ac:dyDescent="0.2">
      <c r="A209" s="84"/>
      <c r="B209" s="179" t="s">
        <v>662</v>
      </c>
      <c r="C209" s="151"/>
      <c r="D209" s="274">
        <f>IF(OR(D55&lt;=0,C55&lt;=0),"NA",(D55/C55-1))</f>
        <v>0.27162094313432017</v>
      </c>
      <c r="E209" s="274">
        <f t="shared" ref="E209:G209" si="60">IF(OR(E55&lt;=0,D55&lt;=0),"NA",(E55/D55-1))</f>
        <v>0.10946603270299593</v>
      </c>
      <c r="F209" s="274">
        <f t="shared" si="60"/>
        <v>9.7046000265899046E-2</v>
      </c>
      <c r="G209" s="274">
        <f t="shared" si="60"/>
        <v>0.10893849511897891</v>
      </c>
      <c r="H209" s="478">
        <f>(H55/$G55-1)</f>
        <v>-1</v>
      </c>
      <c r="I209" s="479">
        <f>(I55/$G55-1)</f>
        <v>-1</v>
      </c>
      <c r="J209" s="479">
        <f>(J55/$G55-1)</f>
        <v>0</v>
      </c>
      <c r="K209" s="480">
        <f>(K55/$G55-1)</f>
        <v>-9.9999999999999978E-2</v>
      </c>
      <c r="L209" s="419"/>
      <c r="M209" s="419"/>
      <c r="N209" s="419"/>
      <c r="O209" s="419"/>
      <c r="P209" s="343"/>
      <c r="Q209" s="343"/>
      <c r="R209" s="343"/>
      <c r="S209" s="343"/>
      <c r="T209" s="422"/>
      <c r="U209" s="422"/>
      <c r="V209" s="343"/>
      <c r="W209" s="343"/>
      <c r="X209" s="343"/>
      <c r="Y209" s="295"/>
      <c r="Z209" s="295"/>
    </row>
    <row r="210" spans="1:26" x14ac:dyDescent="0.2">
      <c r="A210" s="84"/>
      <c r="B210" s="179" t="s">
        <v>446</v>
      </c>
      <c r="C210" s="151"/>
      <c r="D210" s="274">
        <f>IFERROR(IFERROR((D118-C118)/C118,((D118/B118)^(1/2)-1)),"NA")</f>
        <v>2.1739130434782726E-2</v>
      </c>
      <c r="E210" s="274">
        <f t="shared" ref="E210:G210" si="61">IFERROR(IFERROR((E118-D118)/D118,((E118/C118)^(1/2)-1)),"NA")</f>
        <v>-0.10638297872340426</v>
      </c>
      <c r="F210" s="574">
        <f t="shared" si="61"/>
        <v>0</v>
      </c>
      <c r="G210" s="274">
        <f t="shared" si="61"/>
        <v>1.5</v>
      </c>
      <c r="H210" s="478">
        <f>IFERROR(IFERROR((H118-G118)/G118,((H118/$F118)^(1/2)-1)),0)</f>
        <v>-1</v>
      </c>
      <c r="I210" s="479">
        <f>IFERROR(IFERROR((I118-H118)/H118,((I118/$F118)^(1/2)-1)),0)</f>
        <v>-1</v>
      </c>
      <c r="J210" s="479">
        <f>IFERROR(IFERROR((J118-I118)/I118,((J118/$F118)^(1/2)-1)),0)</f>
        <v>-1</v>
      </c>
      <c r="K210" s="480">
        <f>IFERROR(IFERROR((K118-J118)/J118,((K118/$F118)^(1/2)-1)),0)</f>
        <v>-1</v>
      </c>
      <c r="L210" s="419"/>
      <c r="M210" s="419"/>
      <c r="N210" s="419"/>
      <c r="O210" s="419"/>
      <c r="P210" s="343"/>
      <c r="Q210" s="343"/>
      <c r="R210" s="343"/>
      <c r="S210" s="343"/>
      <c r="T210" s="422"/>
      <c r="U210" s="422"/>
      <c r="V210" s="343"/>
      <c r="W210" s="343"/>
      <c r="X210" s="343"/>
      <c r="Y210" s="295"/>
      <c r="Z210" s="295"/>
    </row>
    <row r="211" spans="1:26" x14ac:dyDescent="0.2">
      <c r="A211" s="84"/>
      <c r="B211" s="325" t="s">
        <v>729</v>
      </c>
      <c r="C211" s="151"/>
      <c r="D211" s="274"/>
      <c r="E211" s="274"/>
      <c r="F211" s="274">
        <f>IFERROR(IF(AND('New Fin Ratios'!F79&lt;&gt;"",'New Fin Ratios'!D79&lt;&gt;""),IF('New Fin Ratios'!D79&gt;0,IF('New Fin Ratios'!F79&gt;0,(('New Fin Ratios'!F79/'New Fin Ratios'!D79)^(0.5))-1,(-1)*((((-1)*('New Fin Ratios'!F79-'New Fin Ratios'!D79)/ABS('New Fin Ratios'!D79))^(0.5))-1)),IF('New Fin Ratios'!F79&gt;'New Fin Ratios'!D79,((('New Fin Ratios'!F79-'New Fin Ratios'!D79)/ABS('New Fin Ratios'!D79))^(0.5))-1,(-1)*((ABS('New Fin Ratios'!F79/'New Fin Ratios'!D79)^(0.5))-1))),""),"")</f>
        <v>7.2744980514236612E-3</v>
      </c>
      <c r="G211" s="274">
        <f>IFERROR(IF(AND('New Fin Ratios'!G79&lt;&gt;"",'New Fin Ratios'!E79&lt;&gt;""),IF('New Fin Ratios'!E79&gt;0,IF('New Fin Ratios'!G79&gt;0,(('New Fin Ratios'!G79/'New Fin Ratios'!E79)^(0.5))-1,(-1)*((((-1)*('New Fin Ratios'!G79-'New Fin Ratios'!E79)/ABS('New Fin Ratios'!E79))^(0.5))-1)),IF('New Fin Ratios'!G79&gt;'New Fin Ratios'!E79,((('New Fin Ratios'!G79-'New Fin Ratios'!E79)/ABS('New Fin Ratios'!E79))^(0.5))-1,(-1)*((ABS('New Fin Ratios'!G79/'New Fin Ratios'!E79)^(0.5))-1))),""),"")</f>
        <v>-8.7450306396627098E-2</v>
      </c>
      <c r="H211" s="478"/>
      <c r="I211" s="479"/>
      <c r="J211" s="479"/>
      <c r="K211" s="480"/>
      <c r="L211" s="419"/>
      <c r="M211" s="419"/>
      <c r="N211" s="419"/>
      <c r="O211" s="419"/>
      <c r="P211" s="343"/>
      <c r="Q211" s="343"/>
      <c r="R211" s="343"/>
      <c r="S211" s="343"/>
      <c r="T211" s="422"/>
      <c r="U211" s="422"/>
      <c r="V211" s="343"/>
      <c r="W211" s="343"/>
      <c r="X211" s="343"/>
      <c r="Y211" s="295"/>
      <c r="Z211" s="295"/>
    </row>
    <row r="212" spans="1:26" x14ac:dyDescent="0.2">
      <c r="A212" s="84"/>
      <c r="B212" s="179"/>
      <c r="C212" s="151"/>
      <c r="D212" s="151"/>
      <c r="E212" s="151"/>
      <c r="F212" s="151"/>
      <c r="G212" s="151"/>
      <c r="H212" s="481"/>
      <c r="I212" s="482"/>
      <c r="J212" s="482"/>
      <c r="K212" s="483"/>
      <c r="L212" s="419"/>
      <c r="M212" s="419"/>
      <c r="N212" s="419"/>
      <c r="O212" s="419"/>
      <c r="P212" s="343"/>
      <c r="Q212" s="343"/>
      <c r="R212" s="343"/>
      <c r="S212" s="343"/>
      <c r="T212" s="422"/>
      <c r="U212" s="422"/>
      <c r="V212" s="343"/>
      <c r="W212" s="343"/>
      <c r="X212" s="343"/>
      <c r="Y212" s="295"/>
      <c r="Z212" s="295"/>
    </row>
    <row r="213" spans="1:26" x14ac:dyDescent="0.2">
      <c r="A213" s="84"/>
      <c r="B213" s="188" t="s">
        <v>511</v>
      </c>
      <c r="C213" s="149"/>
      <c r="D213" s="149"/>
      <c r="E213" s="149"/>
      <c r="F213" s="149"/>
      <c r="G213" s="149"/>
      <c r="H213" s="484"/>
      <c r="I213" s="485"/>
      <c r="J213" s="485"/>
      <c r="K213" s="486"/>
      <c r="L213" s="419"/>
      <c r="M213" s="419"/>
      <c r="N213" s="419"/>
      <c r="O213" s="419"/>
      <c r="P213" s="343"/>
      <c r="Q213" s="343"/>
      <c r="R213" s="343"/>
      <c r="S213" s="343"/>
      <c r="T213" s="422"/>
      <c r="U213" s="422"/>
      <c r="V213" s="343"/>
      <c r="W213" s="343"/>
      <c r="X213" s="343"/>
      <c r="Y213" s="295"/>
      <c r="Z213" s="295"/>
    </row>
    <row r="214" spans="1:26" x14ac:dyDescent="0.2">
      <c r="A214" s="84"/>
      <c r="B214" s="179" t="s">
        <v>663</v>
      </c>
      <c r="C214" s="155">
        <f>IFERROR(Sheet1!C275/Sheet1!C$274,"")</f>
        <v>0</v>
      </c>
      <c r="D214" s="233">
        <f>IFERROR(Sheet1!D275/Sheet1!D$274,"")</f>
        <v>0</v>
      </c>
      <c r="E214" s="233">
        <f>IFERROR(Sheet1!E275/Sheet1!E$274,"")</f>
        <v>0</v>
      </c>
      <c r="F214" s="233">
        <f>IFERROR(Sheet1!F275/Sheet1!F$274,"")</f>
        <v>0.9234786703625838</v>
      </c>
      <c r="G214" s="233">
        <f>IFERROR(Sheet1!G275/Sheet1!G$274,"")</f>
        <v>0.94430611270642084</v>
      </c>
      <c r="H214" s="487"/>
      <c r="I214" s="488"/>
      <c r="J214" s="488"/>
      <c r="K214" s="489"/>
      <c r="L214" s="419"/>
      <c r="M214" s="419"/>
      <c r="N214" s="419"/>
      <c r="O214" s="419"/>
      <c r="P214" s="343"/>
      <c r="Q214" s="343"/>
      <c r="R214" s="343"/>
      <c r="S214" s="343"/>
      <c r="T214" s="422"/>
      <c r="U214" s="422"/>
      <c r="V214" s="343"/>
      <c r="W214" s="343"/>
      <c r="X214" s="343"/>
      <c r="Y214" s="295"/>
      <c r="Z214" s="295"/>
    </row>
    <row r="215" spans="1:26" x14ac:dyDescent="0.2">
      <c r="A215" s="84"/>
      <c r="B215" s="179" t="s">
        <v>664</v>
      </c>
      <c r="C215" s="155">
        <f>IFERROR(Sheet1!C276/Sheet1!C$274,"")</f>
        <v>0</v>
      </c>
      <c r="D215" s="233">
        <f>IFERROR(Sheet1!D276/Sheet1!D$274,"")</f>
        <v>0</v>
      </c>
      <c r="E215" s="233">
        <f>IFERROR(Sheet1!E276/Sheet1!E$274,"")</f>
        <v>0</v>
      </c>
      <c r="F215" s="233">
        <f>IFERROR(Sheet1!F276/Sheet1!F$274,"")</f>
        <v>7.6521329637416244E-2</v>
      </c>
      <c r="G215" s="233">
        <f>IFERROR(Sheet1!G276/Sheet1!G$274,"")</f>
        <v>5.5693887293579131E-2</v>
      </c>
      <c r="H215" s="487"/>
      <c r="I215" s="488"/>
      <c r="J215" s="488"/>
      <c r="K215" s="489"/>
      <c r="L215" s="419"/>
      <c r="M215" s="419"/>
      <c r="N215" s="419"/>
      <c r="O215" s="419"/>
      <c r="P215" s="343"/>
      <c r="Q215" s="343"/>
      <c r="R215" s="343"/>
      <c r="S215" s="343"/>
      <c r="T215" s="422"/>
      <c r="U215" s="422"/>
      <c r="V215" s="343"/>
      <c r="W215" s="343"/>
      <c r="X215" s="343"/>
      <c r="Y215" s="295"/>
      <c r="Z215" s="295"/>
    </row>
    <row r="216" spans="1:26" x14ac:dyDescent="0.2">
      <c r="A216" s="84"/>
      <c r="B216" s="576" t="s">
        <v>644</v>
      </c>
      <c r="C216" s="368">
        <f>Sheet1!C354</f>
        <v>0</v>
      </c>
      <c r="D216" s="312">
        <f>Sheet1!D354</f>
        <v>0</v>
      </c>
      <c r="E216" s="312">
        <f>Sheet1!E354</f>
        <v>0</v>
      </c>
      <c r="F216" s="572">
        <f>Sheet1!F354</f>
        <v>0.32</v>
      </c>
      <c r="G216" s="312">
        <f>Sheet1!G354</f>
        <v>300</v>
      </c>
      <c r="H216" s="487"/>
      <c r="I216" s="488"/>
      <c r="J216" s="488"/>
      <c r="K216" s="489"/>
      <c r="L216" s="419"/>
      <c r="M216" s="419"/>
      <c r="N216" s="419"/>
      <c r="O216" s="419"/>
      <c r="P216" s="343"/>
      <c r="Q216" s="343"/>
      <c r="R216" s="343"/>
      <c r="S216" s="343"/>
      <c r="T216" s="422"/>
      <c r="U216" s="422"/>
      <c r="V216" s="343"/>
      <c r="W216" s="343"/>
      <c r="X216" s="343"/>
      <c r="Y216" s="295"/>
      <c r="Z216" s="295"/>
    </row>
    <row r="217" spans="1:26" ht="25.5" x14ac:dyDescent="0.2">
      <c r="A217" s="84"/>
      <c r="B217" s="179" t="s">
        <v>643</v>
      </c>
      <c r="C217" s="233">
        <f>IFERROR(Sheet1!C353/'New Fin Ratios'!C100,"")</f>
        <v>0</v>
      </c>
      <c r="D217" s="233">
        <f>IFERROR(Sheet1!D353/'New Fin Ratios'!D100,"")</f>
        <v>0</v>
      </c>
      <c r="E217" s="233">
        <f>IFERROR(Sheet1!E353/'New Fin Ratios'!E100,"")</f>
        <v>0</v>
      </c>
      <c r="F217" s="233">
        <f>IFERROR(Sheet1!F353/'New Fin Ratios'!F100,"")</f>
        <v>5.5735539218852957E-2</v>
      </c>
      <c r="G217" s="233">
        <f>IFERROR(Sheet1!G353/'New Fin Ratios'!G100,"")</f>
        <v>4.8215560686438612E-2</v>
      </c>
      <c r="H217" s="487"/>
      <c r="I217" s="488"/>
      <c r="J217" s="488"/>
      <c r="K217" s="489"/>
      <c r="L217" s="419"/>
      <c r="M217" s="419"/>
      <c r="N217" s="419"/>
      <c r="O217" s="419"/>
      <c r="P217" s="343"/>
      <c r="Q217" s="343"/>
      <c r="R217" s="343"/>
      <c r="S217" s="343"/>
      <c r="T217" s="422"/>
      <c r="U217" s="422"/>
      <c r="V217" s="343"/>
      <c r="W217" s="343"/>
      <c r="X217" s="343"/>
      <c r="Y217" s="295"/>
      <c r="Z217" s="295"/>
    </row>
    <row r="218" spans="1:26" x14ac:dyDescent="0.2">
      <c r="A218" s="84"/>
      <c r="B218" s="179" t="s">
        <v>665</v>
      </c>
      <c r="C218" s="155">
        <f t="shared" ref="C218:G219" si="62">IFERROR(C56/C$55,"")</f>
        <v>1</v>
      </c>
      <c r="D218" s="233">
        <f t="shared" si="62"/>
        <v>0.98576746398368931</v>
      </c>
      <c r="E218" s="233">
        <f t="shared" si="62"/>
        <v>1</v>
      </c>
      <c r="F218" s="233">
        <f t="shared" si="62"/>
        <v>0.36831398333266385</v>
      </c>
      <c r="G218" s="233">
        <f t="shared" si="62"/>
        <v>0.2354385384440133</v>
      </c>
      <c r="H218" s="487"/>
      <c r="I218" s="488"/>
      <c r="J218" s="488"/>
      <c r="K218" s="489"/>
      <c r="L218" s="419"/>
      <c r="M218" s="419"/>
      <c r="N218" s="419"/>
      <c r="O218" s="419"/>
      <c r="P218" s="343"/>
      <c r="Q218" s="343"/>
      <c r="R218" s="343"/>
      <c r="S218" s="343"/>
      <c r="T218" s="422"/>
      <c r="U218" s="422"/>
      <c r="V218" s="343"/>
      <c r="W218" s="343"/>
      <c r="X218" s="343"/>
      <c r="Y218" s="295"/>
      <c r="Z218" s="295"/>
    </row>
    <row r="219" spans="1:26" x14ac:dyDescent="0.2">
      <c r="A219" s="84"/>
      <c r="B219" s="179" t="s">
        <v>666</v>
      </c>
      <c r="C219" s="155">
        <f t="shared" si="62"/>
        <v>0</v>
      </c>
      <c r="D219" s="233">
        <f t="shared" si="62"/>
        <v>1.4232536016310611E-2</v>
      </c>
      <c r="E219" s="233">
        <f t="shared" si="62"/>
        <v>0</v>
      </c>
      <c r="F219" s="233">
        <f t="shared" si="62"/>
        <v>0.63168601666733615</v>
      </c>
      <c r="G219" s="233">
        <f t="shared" si="62"/>
        <v>0.7645614615559867</v>
      </c>
      <c r="H219" s="487"/>
      <c r="I219" s="488"/>
      <c r="J219" s="488"/>
      <c r="K219" s="489"/>
      <c r="L219" s="419"/>
      <c r="M219" s="419"/>
      <c r="N219" s="419"/>
      <c r="O219" s="419"/>
      <c r="P219" s="343"/>
      <c r="Q219" s="343"/>
      <c r="R219" s="343"/>
      <c r="S219" s="343"/>
      <c r="T219" s="422"/>
      <c r="U219" s="422"/>
      <c r="V219" s="343"/>
      <c r="W219" s="343"/>
      <c r="X219" s="343"/>
      <c r="Y219" s="295"/>
      <c r="Z219" s="295"/>
    </row>
    <row r="220" spans="1:26" x14ac:dyDescent="0.2">
      <c r="A220" s="84"/>
      <c r="B220" s="179"/>
      <c r="C220" s="155"/>
      <c r="D220" s="233"/>
      <c r="E220" s="233"/>
      <c r="F220" s="233"/>
      <c r="G220" s="233"/>
      <c r="H220" s="487"/>
      <c r="I220" s="488"/>
      <c r="J220" s="488"/>
      <c r="K220" s="489"/>
      <c r="L220" s="419"/>
      <c r="M220" s="419"/>
      <c r="N220" s="419"/>
      <c r="O220" s="419"/>
      <c r="P220" s="343"/>
      <c r="Q220" s="343"/>
      <c r="R220" s="343"/>
      <c r="S220" s="343"/>
      <c r="T220" s="422"/>
      <c r="U220" s="422"/>
      <c r="V220" s="343"/>
      <c r="W220" s="343"/>
      <c r="X220" s="343"/>
      <c r="Y220" s="295"/>
      <c r="Z220" s="295"/>
    </row>
    <row r="221" spans="1:26" x14ac:dyDescent="0.2">
      <c r="A221" s="84"/>
      <c r="B221" s="179"/>
      <c r="C221" s="233"/>
      <c r="D221" s="233"/>
      <c r="E221" s="233"/>
      <c r="F221" s="233"/>
      <c r="G221" s="233"/>
      <c r="H221" s="487"/>
      <c r="I221" s="488"/>
      <c r="J221" s="488"/>
      <c r="K221" s="489"/>
      <c r="L221" s="419"/>
      <c r="M221" s="419"/>
      <c r="N221" s="419"/>
      <c r="O221" s="419"/>
      <c r="P221" s="343"/>
      <c r="Q221" s="343"/>
      <c r="R221" s="343"/>
      <c r="S221" s="343"/>
      <c r="T221" s="422"/>
      <c r="U221" s="422"/>
      <c r="V221" s="343"/>
      <c r="W221" s="343"/>
      <c r="X221" s="343"/>
      <c r="Y221" s="295"/>
      <c r="Z221" s="295"/>
    </row>
    <row r="222" spans="1:26" x14ac:dyDescent="0.2">
      <c r="A222" s="84"/>
      <c r="B222" s="188" t="s">
        <v>655</v>
      </c>
      <c r="C222" s="149"/>
      <c r="D222" s="149"/>
      <c r="E222" s="149"/>
      <c r="F222" s="149"/>
      <c r="G222" s="149"/>
      <c r="H222" s="487"/>
      <c r="I222" s="488"/>
      <c r="J222" s="488"/>
      <c r="K222" s="489"/>
      <c r="L222" s="419"/>
      <c r="M222" s="419"/>
      <c r="N222" s="419"/>
      <c r="O222" s="419"/>
      <c r="P222" s="343"/>
      <c r="Q222" s="343"/>
      <c r="R222" s="343"/>
      <c r="S222" s="343"/>
      <c r="T222" s="422"/>
      <c r="U222" s="422"/>
      <c r="V222" s="343"/>
      <c r="W222" s="343"/>
      <c r="X222" s="343"/>
      <c r="Y222" s="295"/>
      <c r="Z222" s="295"/>
    </row>
    <row r="223" spans="1:26" x14ac:dyDescent="0.2">
      <c r="A223" s="84"/>
      <c r="B223" s="576" t="s">
        <v>654</v>
      </c>
      <c r="C223" s="368">
        <f>Sheet1!C345</f>
        <v>0</v>
      </c>
      <c r="D223" s="312">
        <f>Sheet1!D345</f>
        <v>0</v>
      </c>
      <c r="E223" s="312">
        <f>Sheet1!E345</f>
        <v>0</v>
      </c>
      <c r="F223" s="312">
        <f>Sheet1!F345</f>
        <v>308.25</v>
      </c>
      <c r="G223" s="312">
        <f>Sheet1!G345</f>
        <v>482.96999999999997</v>
      </c>
      <c r="H223" s="487"/>
      <c r="I223" s="488"/>
      <c r="J223" s="488"/>
      <c r="K223" s="489"/>
      <c r="L223" s="419"/>
      <c r="M223" s="419"/>
      <c r="N223" s="419"/>
      <c r="O223" s="419"/>
      <c r="P223" s="343"/>
      <c r="Q223" s="343"/>
      <c r="R223" s="343"/>
      <c r="S223" s="343"/>
      <c r="T223" s="422"/>
      <c r="U223" s="422"/>
      <c r="V223" s="343"/>
      <c r="W223" s="343"/>
      <c r="X223" s="343"/>
      <c r="Y223" s="295"/>
      <c r="Z223" s="295"/>
    </row>
    <row r="224" spans="1:26" x14ac:dyDescent="0.2">
      <c r="A224" s="84"/>
      <c r="B224" s="179" t="s">
        <v>667</v>
      </c>
      <c r="C224" s="233">
        <f>IFERROR(Sheet1!C$343/'New Fin Ratios'!C105,"")</f>
        <v>0</v>
      </c>
      <c r="D224" s="233">
        <f>IFERROR(Sheet1!D$343/'New Fin Ratios'!D105,"")</f>
        <v>0</v>
      </c>
      <c r="E224" s="233">
        <f>IFERROR(Sheet1!E$343/'New Fin Ratios'!E105,"")</f>
        <v>0</v>
      </c>
      <c r="F224" s="233">
        <f>IFERROR(Sheet1!F$343/'New Fin Ratios'!F105,"")</f>
        <v>7.175480179082358E-2</v>
      </c>
      <c r="G224" s="233">
        <f>IFERROR(Sheet1!G$343/'New Fin Ratios'!G105,"")</f>
        <v>0.12649203056232455</v>
      </c>
      <c r="H224" s="487"/>
      <c r="I224" s="488"/>
      <c r="J224" s="488"/>
      <c r="K224" s="489"/>
      <c r="L224" s="419"/>
      <c r="M224" s="419"/>
      <c r="N224" s="419"/>
      <c r="O224" s="419"/>
      <c r="P224" s="343"/>
      <c r="Q224" s="343"/>
      <c r="R224" s="343"/>
      <c r="S224" s="343"/>
      <c r="T224" s="422"/>
      <c r="U224" s="422"/>
      <c r="V224" s="343"/>
      <c r="W224" s="343"/>
      <c r="X224" s="343"/>
      <c r="Y224" s="295"/>
      <c r="Z224" s="295"/>
    </row>
    <row r="225" spans="1:26" x14ac:dyDescent="0.2">
      <c r="A225" s="84"/>
      <c r="B225" s="179" t="s">
        <v>668</v>
      </c>
      <c r="C225" s="233">
        <f>IFERROR(Sheet1!C$343/C104,"")</f>
        <v>0</v>
      </c>
      <c r="D225" s="233">
        <f>IFERROR(Sheet1!D$343/D104,"")</f>
        <v>0</v>
      </c>
      <c r="E225" s="233">
        <f>IFERROR(Sheet1!E$343/E104,"")</f>
        <v>0</v>
      </c>
      <c r="F225" s="233">
        <f>IFERROR(Sheet1!F$343/F104,"")</f>
        <v>6.8826501155043407E-2</v>
      </c>
      <c r="G225" s="233">
        <f>IFERROR(Sheet1!G$343/G104,"")</f>
        <v>0.11612859000319098</v>
      </c>
      <c r="H225" s="487"/>
      <c r="I225" s="488"/>
      <c r="J225" s="488"/>
      <c r="K225" s="489"/>
      <c r="L225" s="419"/>
      <c r="M225" s="419"/>
      <c r="N225" s="419"/>
      <c r="O225" s="419"/>
      <c r="P225" s="343"/>
      <c r="Q225" s="343"/>
      <c r="R225" s="343"/>
      <c r="S225" s="343"/>
      <c r="T225" s="422"/>
      <c r="U225" s="422"/>
      <c r="V225" s="343"/>
      <c r="W225" s="343"/>
      <c r="X225" s="343"/>
      <c r="Y225" s="295"/>
      <c r="Z225" s="295"/>
    </row>
    <row r="226" spans="1:26" x14ac:dyDescent="0.2">
      <c r="A226" s="84"/>
      <c r="B226" s="179" t="s">
        <v>669</v>
      </c>
      <c r="C226" s="233">
        <f>IFERROR(Sheet1!C$343/C50,"")</f>
        <v>0</v>
      </c>
      <c r="D226" s="233">
        <f>IFERROR(Sheet1!D$343/D50,"")</f>
        <v>0</v>
      </c>
      <c r="E226" s="233">
        <f>IFERROR(Sheet1!E$343/E50,"")</f>
        <v>0</v>
      </c>
      <c r="F226" s="233">
        <f>IFERROR(Sheet1!F$343/F50,"")</f>
        <v>0.12757086200978884</v>
      </c>
      <c r="G226" s="233">
        <f>IFERROR(Sheet1!G$343/G50,"")</f>
        <v>0.1909838705756515</v>
      </c>
      <c r="H226" s="487"/>
      <c r="I226" s="488"/>
      <c r="J226" s="488"/>
      <c r="K226" s="489"/>
      <c r="L226" s="419"/>
      <c r="M226" s="419"/>
      <c r="N226" s="419"/>
      <c r="O226" s="419"/>
      <c r="P226" s="343"/>
      <c r="Q226" s="343"/>
      <c r="R226" s="343"/>
      <c r="S226" s="343"/>
      <c r="T226" s="422"/>
      <c r="U226" s="422"/>
      <c r="V226" s="343"/>
      <c r="W226" s="343"/>
      <c r="X226" s="343"/>
      <c r="Y226" s="295"/>
      <c r="Z226" s="295"/>
    </row>
    <row r="227" spans="1:26" x14ac:dyDescent="0.2">
      <c r="A227" s="84"/>
      <c r="B227" s="179"/>
      <c r="C227" s="233"/>
      <c r="D227" s="233"/>
      <c r="E227" s="233"/>
      <c r="F227" s="233"/>
      <c r="G227" s="233"/>
      <c r="H227" s="487"/>
      <c r="I227" s="488"/>
      <c r="J227" s="488"/>
      <c r="K227" s="489"/>
      <c r="L227" s="419"/>
      <c r="M227" s="419"/>
      <c r="N227" s="419"/>
      <c r="O227" s="419"/>
      <c r="P227" s="343"/>
      <c r="Q227" s="343"/>
      <c r="R227" s="343"/>
      <c r="S227" s="343"/>
      <c r="T227" s="422"/>
      <c r="U227" s="422"/>
      <c r="V227" s="343"/>
      <c r="W227" s="343"/>
      <c r="X227" s="343"/>
      <c r="Y227" s="295"/>
      <c r="Z227" s="295"/>
    </row>
    <row r="228" spans="1:26" x14ac:dyDescent="0.2">
      <c r="A228" s="84"/>
      <c r="B228" s="188" t="s">
        <v>754</v>
      </c>
      <c r="C228" s="149"/>
      <c r="D228" s="149"/>
      <c r="E228" s="149"/>
      <c r="F228" s="149"/>
      <c r="G228" s="149"/>
      <c r="H228" s="487"/>
      <c r="I228" s="488"/>
      <c r="J228" s="488"/>
      <c r="K228" s="489"/>
      <c r="L228" s="419"/>
      <c r="M228" s="419"/>
      <c r="N228" s="419"/>
      <c r="O228" s="419"/>
      <c r="P228" s="343"/>
      <c r="Q228" s="343"/>
      <c r="R228" s="343"/>
      <c r="S228" s="343"/>
      <c r="T228" s="422"/>
      <c r="U228" s="422"/>
      <c r="V228" s="343"/>
      <c r="W228" s="343"/>
      <c r="X228" s="343"/>
      <c r="Y228" s="295"/>
      <c r="Z228" s="295"/>
    </row>
    <row r="229" spans="1:26" x14ac:dyDescent="0.2">
      <c r="A229" s="84"/>
      <c r="B229" s="179" t="s">
        <v>755</v>
      </c>
      <c r="C229" s="274">
        <f>SUM(C230:C232)</f>
        <v>0</v>
      </c>
      <c r="D229" s="185">
        <f t="shared" ref="D229:G229" si="63">SUM(D230:D232)</f>
        <v>0</v>
      </c>
      <c r="E229" s="185">
        <f t="shared" si="63"/>
        <v>0</v>
      </c>
      <c r="F229" s="185">
        <f t="shared" si="63"/>
        <v>0</v>
      </c>
      <c r="G229" s="185">
        <f t="shared" si="63"/>
        <v>0</v>
      </c>
      <c r="H229" s="487"/>
      <c r="I229" s="488"/>
      <c r="J229" s="488"/>
      <c r="K229" s="489"/>
      <c r="L229" s="419"/>
      <c r="M229" s="419"/>
      <c r="N229" s="419"/>
      <c r="O229" s="419"/>
      <c r="P229" s="343"/>
      <c r="Q229" s="343"/>
      <c r="R229" s="343"/>
      <c r="S229" s="343"/>
      <c r="T229" s="422"/>
      <c r="U229" s="422"/>
      <c r="V229" s="343"/>
      <c r="W229" s="343"/>
      <c r="X229" s="343"/>
      <c r="Y229" s="295"/>
      <c r="Z229" s="295"/>
    </row>
    <row r="230" spans="1:26" x14ac:dyDescent="0.2">
      <c r="A230" s="84"/>
      <c r="B230" s="179" t="s">
        <v>756</v>
      </c>
      <c r="C230" s="185">
        <f>IFERROR(Sheet1!C561/'New Fin Ratios'!C$105,"")</f>
        <v>0</v>
      </c>
      <c r="D230" s="185">
        <f>IFERROR(Sheet1!D561/'New Fin Ratios'!D$105,"")</f>
        <v>0</v>
      </c>
      <c r="E230" s="185">
        <f>IFERROR(Sheet1!E561/'New Fin Ratios'!E$105,"")</f>
        <v>0</v>
      </c>
      <c r="F230" s="185">
        <f>IFERROR(Sheet1!F561/'New Fin Ratios'!F$105,"")</f>
        <v>0</v>
      </c>
      <c r="G230" s="185">
        <f>IFERROR(Sheet1!G561/'New Fin Ratios'!G$105,"")</f>
        <v>0</v>
      </c>
      <c r="H230" s="487"/>
      <c r="I230" s="488"/>
      <c r="J230" s="488"/>
      <c r="K230" s="489"/>
      <c r="L230" s="419"/>
      <c r="M230" s="419"/>
      <c r="N230" s="419"/>
      <c r="O230" s="419"/>
      <c r="P230" s="343"/>
      <c r="Q230" s="343"/>
      <c r="R230" s="343"/>
      <c r="S230" s="343"/>
      <c r="T230" s="422"/>
      <c r="U230" s="422"/>
      <c r="V230" s="343"/>
      <c r="W230" s="343"/>
      <c r="X230" s="343"/>
      <c r="Y230" s="295"/>
      <c r="Z230" s="295"/>
    </row>
    <row r="231" spans="1:26" x14ac:dyDescent="0.2">
      <c r="A231" s="84"/>
      <c r="B231" s="179" t="s">
        <v>757</v>
      </c>
      <c r="C231" s="185">
        <f>IFERROR(Sheet1!C562/'New Fin Ratios'!C$105,"")</f>
        <v>0</v>
      </c>
      <c r="D231" s="185">
        <f>IFERROR(Sheet1!D562/'New Fin Ratios'!D$105,"")</f>
        <v>0</v>
      </c>
      <c r="E231" s="185">
        <f>IFERROR(Sheet1!E562/'New Fin Ratios'!E$105,"")</f>
        <v>0</v>
      </c>
      <c r="F231" s="185">
        <f>IFERROR(Sheet1!F562/'New Fin Ratios'!F$105,"")</f>
        <v>0</v>
      </c>
      <c r="G231" s="185">
        <f>IFERROR(Sheet1!G562/'New Fin Ratios'!G$105,"")</f>
        <v>0</v>
      </c>
      <c r="H231" s="487"/>
      <c r="I231" s="488"/>
      <c r="J231" s="488"/>
      <c r="K231" s="489"/>
      <c r="L231" s="419"/>
      <c r="M231" s="419"/>
      <c r="N231" s="419"/>
      <c r="O231" s="419"/>
      <c r="P231" s="343"/>
      <c r="Q231" s="343"/>
      <c r="R231" s="343"/>
      <c r="S231" s="343"/>
      <c r="T231" s="422"/>
      <c r="U231" s="422"/>
      <c r="V231" s="343"/>
      <c r="W231" s="343"/>
      <c r="X231" s="343"/>
      <c r="Y231" s="295"/>
      <c r="Z231" s="295"/>
    </row>
    <row r="232" spans="1:26" ht="25.5" x14ac:dyDescent="0.2">
      <c r="A232" s="84"/>
      <c r="B232" s="179" t="s">
        <v>758</v>
      </c>
      <c r="C232" s="185">
        <f>IFERROR(Sheet1!C563/'New Fin Ratios'!C$105,"")</f>
        <v>0</v>
      </c>
      <c r="D232" s="185">
        <f>IFERROR(Sheet1!D563/'New Fin Ratios'!D$105,"")</f>
        <v>0</v>
      </c>
      <c r="E232" s="185">
        <f>IFERROR(Sheet1!E563/'New Fin Ratios'!E$105,"")</f>
        <v>0</v>
      </c>
      <c r="F232" s="185">
        <f>IFERROR(Sheet1!F563/'New Fin Ratios'!F$105,"")</f>
        <v>0</v>
      </c>
      <c r="G232" s="185">
        <f>IFERROR(Sheet1!G563/'New Fin Ratios'!G$105,"")</f>
        <v>0</v>
      </c>
      <c r="H232" s="487"/>
      <c r="I232" s="488"/>
      <c r="J232" s="488"/>
      <c r="K232" s="489"/>
      <c r="L232" s="419"/>
      <c r="M232" s="419"/>
      <c r="N232" s="419"/>
      <c r="O232" s="419"/>
      <c r="P232" s="343"/>
      <c r="Q232" s="343"/>
      <c r="R232" s="343"/>
      <c r="S232" s="343"/>
      <c r="T232" s="422"/>
      <c r="U232" s="422"/>
      <c r="V232" s="343"/>
      <c r="W232" s="343"/>
      <c r="X232" s="343"/>
      <c r="Y232" s="295"/>
      <c r="Z232" s="295"/>
    </row>
    <row r="233" spans="1:26" x14ac:dyDescent="0.2">
      <c r="A233" s="84"/>
      <c r="B233" s="179" t="s">
        <v>759</v>
      </c>
      <c r="C233" s="185">
        <f>IFERROR(Sheet1!C564/'New Fin Ratios'!C$105,"")</f>
        <v>0</v>
      </c>
      <c r="D233" s="185">
        <f>IFERROR(Sheet1!D564/'New Fin Ratios'!D$105,"")</f>
        <v>0</v>
      </c>
      <c r="E233" s="185">
        <f>IFERROR(Sheet1!E564/'New Fin Ratios'!E$105,"")</f>
        <v>0</v>
      </c>
      <c r="F233" s="185">
        <f>IFERROR(Sheet1!F564/'New Fin Ratios'!F$105,"")</f>
        <v>0</v>
      </c>
      <c r="G233" s="185">
        <f>IFERROR(Sheet1!G564/'New Fin Ratios'!G$105,"")</f>
        <v>0</v>
      </c>
      <c r="H233" s="487"/>
      <c r="I233" s="488"/>
      <c r="J233" s="488"/>
      <c r="K233" s="489"/>
      <c r="L233" s="419"/>
      <c r="M233" s="419"/>
      <c r="N233" s="419"/>
      <c r="O233" s="419"/>
      <c r="P233" s="343"/>
      <c r="Q233" s="343"/>
      <c r="R233" s="343"/>
      <c r="S233" s="343"/>
      <c r="T233" s="422"/>
      <c r="U233" s="422"/>
      <c r="V233" s="343"/>
      <c r="W233" s="343"/>
      <c r="X233" s="343"/>
      <c r="Y233" s="295"/>
      <c r="Z233" s="295"/>
    </row>
    <row r="234" spans="1:26" x14ac:dyDescent="0.2">
      <c r="A234" s="84"/>
      <c r="B234" s="179" t="s">
        <v>760</v>
      </c>
      <c r="C234" s="185">
        <f>IFERROR(Sheet1!C565/'New Fin Ratios'!C$105,"")</f>
        <v>0</v>
      </c>
      <c r="D234" s="185">
        <f>IFERROR(Sheet1!D565/'New Fin Ratios'!D$105,"")</f>
        <v>0</v>
      </c>
      <c r="E234" s="185">
        <f>IFERROR(Sheet1!E565/'New Fin Ratios'!E$105,"")</f>
        <v>0</v>
      </c>
      <c r="F234" s="185">
        <f>IFERROR(Sheet1!F565/'New Fin Ratios'!F$105,"")</f>
        <v>0</v>
      </c>
      <c r="G234" s="185">
        <f>IFERROR(Sheet1!G565/'New Fin Ratios'!G$105,"")</f>
        <v>0</v>
      </c>
      <c r="H234" s="487"/>
      <c r="I234" s="488"/>
      <c r="J234" s="488"/>
      <c r="K234" s="489"/>
      <c r="L234" s="419"/>
      <c r="M234" s="419"/>
      <c r="N234" s="419"/>
      <c r="O234" s="419"/>
      <c r="P234" s="343"/>
      <c r="Q234" s="343"/>
      <c r="R234" s="343"/>
      <c r="S234" s="343"/>
      <c r="T234" s="422"/>
      <c r="U234" s="422"/>
      <c r="V234" s="343"/>
      <c r="W234" s="343"/>
      <c r="X234" s="343"/>
      <c r="Y234" s="295"/>
      <c r="Z234" s="295"/>
    </row>
    <row r="235" spans="1:26" x14ac:dyDescent="0.2">
      <c r="A235" s="84"/>
      <c r="B235" s="179" t="s">
        <v>761</v>
      </c>
      <c r="C235" s="185">
        <f>IFERROR(Sheet1!C567/'New Fin Ratios'!C$105,"")</f>
        <v>0</v>
      </c>
      <c r="D235" s="185">
        <f>IFERROR(Sheet1!D567/'New Fin Ratios'!D$105,"")</f>
        <v>0</v>
      </c>
      <c r="E235" s="185">
        <f>IFERROR(Sheet1!E567/'New Fin Ratios'!E$105,"")</f>
        <v>0</v>
      </c>
      <c r="F235" s="185">
        <f>IFERROR(Sheet1!F567/'New Fin Ratios'!F$105,"")</f>
        <v>0</v>
      </c>
      <c r="G235" s="185">
        <f>IFERROR(Sheet1!G567/'New Fin Ratios'!G$105,"")</f>
        <v>0</v>
      </c>
      <c r="H235" s="487"/>
      <c r="I235" s="488"/>
      <c r="J235" s="488"/>
      <c r="K235" s="489"/>
      <c r="L235" s="419"/>
      <c r="M235" s="419"/>
      <c r="N235" s="419"/>
      <c r="O235" s="419"/>
      <c r="P235" s="343"/>
      <c r="Q235" s="343"/>
      <c r="R235" s="343"/>
      <c r="S235" s="343"/>
      <c r="T235" s="422"/>
      <c r="U235" s="422"/>
      <c r="V235" s="343"/>
      <c r="W235" s="343"/>
      <c r="X235" s="343"/>
      <c r="Y235" s="295"/>
      <c r="Z235" s="295"/>
    </row>
    <row r="236" spans="1:26" ht="25.5" x14ac:dyDescent="0.2">
      <c r="A236" s="84"/>
      <c r="B236" s="179" t="s">
        <v>762</v>
      </c>
      <c r="C236" s="185">
        <f>IFERROR(Sheet1!C568/'New Fin Ratios'!C$105,"")</f>
        <v>0</v>
      </c>
      <c r="D236" s="185">
        <f>IFERROR(Sheet1!D568/'New Fin Ratios'!D$105,"")</f>
        <v>0</v>
      </c>
      <c r="E236" s="185">
        <f>IFERROR(Sheet1!E568/'New Fin Ratios'!E$105,"")</f>
        <v>0</v>
      </c>
      <c r="F236" s="185">
        <f>IFERROR(Sheet1!F568/'New Fin Ratios'!F$105,"")</f>
        <v>0</v>
      </c>
      <c r="G236" s="185">
        <f>IFERROR(Sheet1!G568/'New Fin Ratios'!G$105,"")</f>
        <v>0</v>
      </c>
      <c r="H236" s="487"/>
      <c r="I236" s="488"/>
      <c r="J236" s="488"/>
      <c r="K236" s="489"/>
      <c r="L236" s="419"/>
      <c r="M236" s="419"/>
      <c r="N236" s="419"/>
      <c r="O236" s="419"/>
      <c r="P236" s="343"/>
      <c r="Q236" s="343"/>
      <c r="R236" s="343"/>
      <c r="S236" s="343"/>
      <c r="T236" s="422"/>
      <c r="U236" s="422"/>
      <c r="V236" s="343"/>
      <c r="W236" s="343"/>
      <c r="X236" s="343"/>
      <c r="Y236" s="295"/>
      <c r="Z236" s="295"/>
    </row>
    <row r="237" spans="1:26" x14ac:dyDescent="0.2">
      <c r="A237" s="84"/>
      <c r="B237" s="179" t="s">
        <v>763</v>
      </c>
      <c r="C237" s="185">
        <f>IFERROR(Sheet1!C570/'New Fin Ratios'!C$105,"")</f>
        <v>0</v>
      </c>
      <c r="D237" s="185">
        <f>IFERROR(Sheet1!D570/'New Fin Ratios'!D$105,"")</f>
        <v>0</v>
      </c>
      <c r="E237" s="185">
        <f>IFERROR(Sheet1!E570/'New Fin Ratios'!E$105,"")</f>
        <v>0</v>
      </c>
      <c r="F237" s="185">
        <f>IFERROR(Sheet1!F570/'New Fin Ratios'!F$105,"")</f>
        <v>0</v>
      </c>
      <c r="G237" s="185">
        <f>IFERROR(Sheet1!G570/'New Fin Ratios'!G$105,"")</f>
        <v>0</v>
      </c>
      <c r="H237" s="487"/>
      <c r="I237" s="488"/>
      <c r="J237" s="488"/>
      <c r="K237" s="489"/>
      <c r="L237" s="419"/>
      <c r="M237" s="419"/>
      <c r="N237" s="419"/>
      <c r="O237" s="419"/>
      <c r="P237" s="343"/>
      <c r="Q237" s="343"/>
      <c r="R237" s="343"/>
      <c r="S237" s="343"/>
      <c r="T237" s="422"/>
      <c r="U237" s="422"/>
      <c r="V237" s="343"/>
      <c r="W237" s="343"/>
      <c r="X237" s="343"/>
      <c r="Y237" s="295"/>
      <c r="Z237" s="295"/>
    </row>
    <row r="238" spans="1:26" x14ac:dyDescent="0.2">
      <c r="A238" s="84"/>
      <c r="B238" s="179"/>
      <c r="C238" s="185"/>
      <c r="D238" s="185"/>
      <c r="E238" s="185"/>
      <c r="F238" s="185"/>
      <c r="G238" s="185"/>
      <c r="H238" s="487"/>
      <c r="I238" s="488"/>
      <c r="J238" s="488"/>
      <c r="K238" s="489"/>
      <c r="L238" s="419"/>
      <c r="M238" s="419"/>
      <c r="N238" s="419"/>
      <c r="O238" s="419"/>
      <c r="P238" s="343"/>
      <c r="Q238" s="343"/>
      <c r="R238" s="343"/>
      <c r="S238" s="343"/>
      <c r="T238" s="422"/>
      <c r="U238" s="422"/>
      <c r="V238" s="343"/>
      <c r="W238" s="343"/>
      <c r="X238" s="343"/>
      <c r="Y238" s="295"/>
      <c r="Z238" s="295"/>
    </row>
    <row r="239" spans="1:26" x14ac:dyDescent="0.2">
      <c r="A239" s="84"/>
      <c r="B239" s="179"/>
      <c r="C239" s="233"/>
      <c r="D239" s="233"/>
      <c r="E239" s="233"/>
      <c r="F239" s="233"/>
      <c r="G239" s="233"/>
      <c r="H239" s="487"/>
      <c r="I239" s="488"/>
      <c r="J239" s="488"/>
      <c r="K239" s="489"/>
      <c r="L239" s="419"/>
      <c r="M239" s="419"/>
      <c r="N239" s="419"/>
      <c r="O239" s="419"/>
      <c r="P239" s="343"/>
      <c r="Q239" s="343"/>
      <c r="R239" s="343"/>
      <c r="S239" s="343"/>
      <c r="T239" s="422"/>
      <c r="U239" s="422"/>
      <c r="V239" s="343"/>
      <c r="W239" s="343"/>
      <c r="X239" s="343"/>
      <c r="Y239" s="295"/>
      <c r="Z239" s="295"/>
    </row>
    <row r="240" spans="1:26" x14ac:dyDescent="0.2">
      <c r="A240" s="84"/>
      <c r="B240" s="188" t="s">
        <v>652</v>
      </c>
      <c r="C240" s="149"/>
      <c r="D240" s="149"/>
      <c r="E240" s="149"/>
      <c r="F240" s="149"/>
      <c r="G240" s="149"/>
      <c r="H240" s="487"/>
      <c r="I240" s="488"/>
      <c r="J240" s="488"/>
      <c r="K240" s="489"/>
      <c r="L240" s="419"/>
      <c r="M240" s="419"/>
      <c r="N240" s="419"/>
      <c r="O240" s="419"/>
      <c r="P240" s="343"/>
      <c r="Q240" s="343"/>
      <c r="R240" s="343"/>
      <c r="S240" s="343"/>
      <c r="T240" s="422"/>
      <c r="U240" s="422"/>
      <c r="V240" s="343"/>
      <c r="W240" s="343"/>
      <c r="X240" s="343"/>
      <c r="Y240" s="295"/>
      <c r="Z240" s="295"/>
    </row>
    <row r="241" spans="1:26" x14ac:dyDescent="0.2">
      <c r="A241" s="84"/>
      <c r="B241" s="576" t="s">
        <v>670</v>
      </c>
      <c r="C241" s="574">
        <f>IFERROR(SUM(Sheet1!$G$320:$G$327)/Sheet1!C314,"")</f>
        <v>29.124277003074209</v>
      </c>
      <c r="D241" s="183">
        <f>IFERROR(SUM(Sheet1!$G$320:$G$327)/Sheet1!D314,"")</f>
        <v>25.175702043708956</v>
      </c>
      <c r="E241" s="183">
        <f>IFERROR(SUM(Sheet1!$G$320:$G$327)/Sheet1!E314,"")</f>
        <v>21.539263094002735</v>
      </c>
      <c r="F241" s="183">
        <f>IFERROR(SUM(Sheet1!$G$320:$G$327)/Sheet1!F314,"")</f>
        <v>18.464743935220575</v>
      </c>
      <c r="G241" s="183">
        <f>IFERROR(SUM(Sheet1!$G$320:$G$327)/Sheet1!G314,"")</f>
        <v>15.965535117677598</v>
      </c>
      <c r="H241" s="487"/>
      <c r="I241" s="488"/>
      <c r="J241" s="488"/>
      <c r="K241" s="489"/>
      <c r="L241" s="419"/>
      <c r="M241" s="419"/>
      <c r="N241" s="419"/>
      <c r="O241" s="419"/>
      <c r="P241" s="343"/>
      <c r="Q241" s="343"/>
      <c r="R241" s="343"/>
      <c r="S241" s="343"/>
      <c r="T241" s="422"/>
      <c r="U241" s="422"/>
      <c r="V241" s="343"/>
      <c r="W241" s="343"/>
      <c r="X241" s="343"/>
      <c r="Y241" s="295"/>
      <c r="Z241" s="295"/>
    </row>
    <row r="242" spans="1:26" x14ac:dyDescent="0.2">
      <c r="A242" s="84"/>
      <c r="B242" s="179" t="s">
        <v>671</v>
      </c>
      <c r="C242" s="233">
        <f>IFERROR(Sheet1!C321/'New Fin Ratios'!C55,"")</f>
        <v>0</v>
      </c>
      <c r="D242" s="233">
        <f>IFERROR(Sheet1!D321/'New Fin Ratios'!D55,"")</f>
        <v>0</v>
      </c>
      <c r="E242" s="233">
        <f>IFERROR(Sheet1!E321/'New Fin Ratios'!E55,"")</f>
        <v>0</v>
      </c>
      <c r="F242" s="233">
        <f>IFERROR(Sheet1!F321/'New Fin Ratios'!F55,"")</f>
        <v>0</v>
      </c>
      <c r="G242" s="233">
        <f>IFERROR(Sheet1!G321/'New Fin Ratios'!G55,"")</f>
        <v>0</v>
      </c>
      <c r="H242" s="487"/>
      <c r="I242" s="488"/>
      <c r="J242" s="488"/>
      <c r="K242" s="489"/>
      <c r="L242" s="419"/>
      <c r="M242" s="419"/>
      <c r="N242" s="419"/>
      <c r="O242" s="419"/>
      <c r="P242" s="343"/>
      <c r="Q242" s="343"/>
      <c r="R242" s="343"/>
      <c r="S242" s="343"/>
      <c r="T242" s="422"/>
      <c r="U242" s="422"/>
      <c r="V242" s="343"/>
      <c r="W242" s="343"/>
      <c r="X242" s="343"/>
      <c r="Y242" s="295"/>
      <c r="Z242" s="295"/>
    </row>
    <row r="243" spans="1:26" x14ac:dyDescent="0.2">
      <c r="A243" s="84"/>
      <c r="B243" s="179"/>
      <c r="C243" s="233"/>
      <c r="D243" s="233"/>
      <c r="E243" s="233"/>
      <c r="F243" s="233"/>
      <c r="G243" s="233"/>
      <c r="H243" s="487"/>
      <c r="I243" s="488"/>
      <c r="J243" s="488"/>
      <c r="K243" s="489"/>
      <c r="L243" s="419"/>
      <c r="M243" s="419"/>
      <c r="N243" s="419"/>
      <c r="O243" s="419"/>
      <c r="P243" s="343"/>
      <c r="Q243" s="343"/>
      <c r="R243" s="343"/>
      <c r="S243" s="343"/>
      <c r="T243" s="422"/>
      <c r="U243" s="422"/>
      <c r="V243" s="343"/>
      <c r="W243" s="343"/>
      <c r="X243" s="343"/>
      <c r="Y243" s="295"/>
      <c r="Z243" s="295"/>
    </row>
    <row r="244" spans="1:26" x14ac:dyDescent="0.2">
      <c r="A244" s="84"/>
      <c r="B244" s="179"/>
      <c r="C244" s="233"/>
      <c r="D244" s="233"/>
      <c r="E244" s="233"/>
      <c r="F244" s="233"/>
      <c r="G244" s="233"/>
      <c r="H244" s="487"/>
      <c r="I244" s="488"/>
      <c r="J244" s="488"/>
      <c r="K244" s="489"/>
      <c r="L244" s="419"/>
      <c r="M244" s="419"/>
      <c r="N244" s="419"/>
      <c r="O244" s="419"/>
      <c r="P244" s="343"/>
      <c r="Q244" s="343"/>
      <c r="R244" s="343"/>
      <c r="S244" s="343"/>
      <c r="T244" s="422"/>
      <c r="U244" s="422"/>
      <c r="V244" s="343"/>
      <c r="W244" s="343"/>
      <c r="X244" s="343"/>
      <c r="Y244" s="295"/>
      <c r="Z244" s="295"/>
    </row>
    <row r="245" spans="1:26" x14ac:dyDescent="0.2">
      <c r="A245" s="84"/>
      <c r="B245" s="188" t="s">
        <v>677</v>
      </c>
      <c r="C245" s="149"/>
      <c r="D245" s="149"/>
      <c r="E245" s="149"/>
      <c r="F245" s="149"/>
      <c r="G245" s="149"/>
      <c r="H245" s="487"/>
      <c r="I245" s="488"/>
      <c r="J245" s="488"/>
      <c r="K245" s="489"/>
      <c r="L245" s="419"/>
      <c r="M245" s="419"/>
      <c r="N245" s="419"/>
      <c r="O245" s="419"/>
      <c r="P245" s="343"/>
      <c r="Q245" s="343"/>
      <c r="R245" s="343"/>
      <c r="S245" s="343"/>
      <c r="T245" s="422"/>
      <c r="U245" s="422"/>
      <c r="V245" s="343"/>
      <c r="W245" s="343"/>
      <c r="X245" s="343"/>
      <c r="Y245" s="295"/>
      <c r="Z245" s="295"/>
    </row>
    <row r="246" spans="1:26" x14ac:dyDescent="0.2">
      <c r="A246" s="84"/>
      <c r="B246" s="179" t="s">
        <v>680</v>
      </c>
      <c r="C246" s="244" t="str">
        <f>IFERROR(C$105/Sheet1!C365,"")</f>
        <v/>
      </c>
      <c r="D246" s="244" t="str">
        <f>IFERROR(D$105/Sheet1!D365,"")</f>
        <v/>
      </c>
      <c r="E246" s="244" t="str">
        <f>IFERROR(E$105/Sheet1!E365,"")</f>
        <v/>
      </c>
      <c r="F246" s="244">
        <f>IFERROR(F$105/Sheet1!F365,"")</f>
        <v>254.87030716723552</v>
      </c>
      <c r="G246" s="244">
        <f>IFERROR(G$105/Sheet1!G365,"")</f>
        <v>273.45800770500824</v>
      </c>
      <c r="H246" s="487"/>
      <c r="I246" s="488"/>
      <c r="J246" s="488"/>
      <c r="K246" s="489"/>
      <c r="L246" s="419"/>
      <c r="M246" s="419"/>
      <c r="N246" s="419"/>
      <c r="O246" s="419"/>
      <c r="P246" s="343"/>
      <c r="Q246" s="343"/>
      <c r="R246" s="343"/>
      <c r="S246" s="343"/>
      <c r="T246" s="422"/>
      <c r="U246" s="422"/>
      <c r="V246" s="343"/>
      <c r="W246" s="343"/>
      <c r="X246" s="343"/>
      <c r="Y246" s="295"/>
      <c r="Z246" s="295"/>
    </row>
    <row r="247" spans="1:26" x14ac:dyDescent="0.2">
      <c r="A247" s="84"/>
      <c r="B247" s="179" t="s">
        <v>681</v>
      </c>
      <c r="C247" s="244" t="str">
        <f>IFERROR(C$105/Sheet1!C364,"")</f>
        <v/>
      </c>
      <c r="D247" s="244" t="str">
        <f>IFERROR(D$105/Sheet1!D364,"")</f>
        <v/>
      </c>
      <c r="E247" s="244" t="str">
        <f>IFERROR(E$105/Sheet1!E364,"")</f>
        <v/>
      </c>
      <c r="F247" s="244" t="str">
        <f>IFERROR(F$105/Sheet1!F364,"")</f>
        <v/>
      </c>
      <c r="G247" s="244" t="str">
        <f>IFERROR(G$105/Sheet1!G364,"")</f>
        <v/>
      </c>
      <c r="H247" s="487"/>
      <c r="I247" s="488"/>
      <c r="J247" s="488"/>
      <c r="K247" s="489"/>
      <c r="L247" s="419"/>
      <c r="M247" s="419"/>
      <c r="N247" s="419"/>
      <c r="O247" s="419"/>
      <c r="P247" s="343"/>
      <c r="Q247" s="343"/>
      <c r="R247" s="343"/>
      <c r="S247" s="343"/>
      <c r="T247" s="422"/>
      <c r="U247" s="422"/>
      <c r="V247" s="343"/>
      <c r="W247" s="343"/>
      <c r="X247" s="343"/>
      <c r="Y247" s="295"/>
      <c r="Z247" s="295"/>
    </row>
    <row r="248" spans="1:26" x14ac:dyDescent="0.2">
      <c r="A248" s="84"/>
      <c r="B248" s="179" t="s">
        <v>679</v>
      </c>
      <c r="C248" s="244" t="str">
        <f>IFERROR(C$105/Sheet1!C366,"")</f>
        <v/>
      </c>
      <c r="D248" s="244" t="str">
        <f>IFERROR(D$105/Sheet1!D366,"")</f>
        <v/>
      </c>
      <c r="E248" s="244" t="str">
        <f>IFERROR(E$105/Sheet1!E366,"")</f>
        <v/>
      </c>
      <c r="F248" s="244" t="str">
        <f>IFERROR(F$105/Sheet1!F366,"")</f>
        <v/>
      </c>
      <c r="G248" s="244" t="str">
        <f>IFERROR(G$105/Sheet1!G366,"")</f>
        <v/>
      </c>
      <c r="H248" s="487"/>
      <c r="I248" s="488"/>
      <c r="J248" s="488"/>
      <c r="K248" s="489"/>
      <c r="L248" s="419"/>
      <c r="M248" s="419"/>
      <c r="N248" s="419"/>
      <c r="O248" s="419"/>
      <c r="P248" s="343"/>
      <c r="Q248" s="343"/>
      <c r="R248" s="343"/>
      <c r="S248" s="343"/>
      <c r="T248" s="422"/>
      <c r="U248" s="422"/>
      <c r="V248" s="343"/>
      <c r="W248" s="343"/>
      <c r="X248" s="343"/>
      <c r="Y248" s="295"/>
      <c r="Z248" s="295"/>
    </row>
    <row r="249" spans="1:26" x14ac:dyDescent="0.2">
      <c r="A249" s="84"/>
      <c r="B249" s="179" t="s">
        <v>682</v>
      </c>
      <c r="C249" s="244" t="str">
        <f>IFERROR((Sheet1!C366)/Sheet1!C365,"")</f>
        <v/>
      </c>
      <c r="D249" s="244" t="str">
        <f>IFERROR((Sheet1!D366)/Sheet1!D365,"")</f>
        <v/>
      </c>
      <c r="E249" s="244" t="str">
        <f>IFERROR((Sheet1!E366)/Sheet1!E365,"")</f>
        <v/>
      </c>
      <c r="F249" s="244">
        <f>IFERROR((Sheet1!F366)/Sheet1!F365,"")</f>
        <v>0</v>
      </c>
      <c r="G249" s="244">
        <f>IFERROR((Sheet1!G366)/Sheet1!G365,"")</f>
        <v>0</v>
      </c>
      <c r="H249" s="487"/>
      <c r="I249" s="488"/>
      <c r="J249" s="488"/>
      <c r="K249" s="489"/>
      <c r="L249" s="419"/>
      <c r="M249" s="419"/>
      <c r="N249" s="419"/>
      <c r="O249" s="419"/>
      <c r="P249" s="343"/>
      <c r="Q249" s="343"/>
      <c r="R249" s="343"/>
      <c r="S249" s="343"/>
      <c r="T249" s="422"/>
      <c r="U249" s="422"/>
      <c r="V249" s="343"/>
      <c r="W249" s="343"/>
      <c r="X249" s="343"/>
      <c r="Y249" s="295"/>
      <c r="Z249" s="295"/>
    </row>
    <row r="250" spans="1:26" x14ac:dyDescent="0.2">
      <c r="A250" s="84"/>
      <c r="B250" s="179" t="s">
        <v>683</v>
      </c>
      <c r="C250" s="244" t="str">
        <f>IFERROR((Sheet1!C366)/Sheet1!C364,"")</f>
        <v/>
      </c>
      <c r="D250" s="244" t="str">
        <f>IFERROR((Sheet1!D366)/Sheet1!D364,"")</f>
        <v/>
      </c>
      <c r="E250" s="244" t="str">
        <f>IFERROR((Sheet1!E366)/Sheet1!E364,"")</f>
        <v/>
      </c>
      <c r="F250" s="244" t="str">
        <f>IFERROR((Sheet1!F366)/Sheet1!F364,"")</f>
        <v/>
      </c>
      <c r="G250" s="244" t="str">
        <f>IFERROR((Sheet1!G366)/Sheet1!G364,"")</f>
        <v/>
      </c>
      <c r="H250" s="487"/>
      <c r="I250" s="488"/>
      <c r="J250" s="488"/>
      <c r="K250" s="489"/>
      <c r="L250" s="419"/>
      <c r="M250" s="419"/>
      <c r="N250" s="419"/>
      <c r="O250" s="419"/>
      <c r="P250" s="343"/>
      <c r="Q250" s="343"/>
      <c r="R250" s="343"/>
      <c r="S250" s="343"/>
      <c r="T250" s="422"/>
      <c r="U250" s="422"/>
      <c r="V250" s="343"/>
      <c r="W250" s="343"/>
      <c r="X250" s="343"/>
      <c r="Y250" s="295"/>
      <c r="Z250" s="295"/>
    </row>
    <row r="251" spans="1:26" x14ac:dyDescent="0.2">
      <c r="A251" s="84"/>
      <c r="B251" s="179"/>
      <c r="C251" s="233"/>
      <c r="D251" s="233"/>
      <c r="E251" s="233"/>
      <c r="F251" s="233"/>
      <c r="G251" s="233"/>
      <c r="H251" s="487"/>
      <c r="I251" s="488"/>
      <c r="J251" s="488"/>
      <c r="K251" s="489"/>
      <c r="L251" s="419"/>
      <c r="M251" s="419"/>
      <c r="N251" s="419"/>
      <c r="O251" s="419"/>
      <c r="P251" s="343"/>
      <c r="Q251" s="343"/>
      <c r="R251" s="343"/>
      <c r="S251" s="343"/>
      <c r="T251" s="422"/>
      <c r="U251" s="422"/>
      <c r="V251" s="343"/>
      <c r="W251" s="343"/>
      <c r="X251" s="343"/>
      <c r="Y251" s="295"/>
      <c r="Z251" s="295"/>
    </row>
    <row r="252" spans="1:26" x14ac:dyDescent="0.2">
      <c r="A252" s="84"/>
      <c r="B252" s="179"/>
      <c r="C252" s="233"/>
      <c r="D252" s="233"/>
      <c r="E252" s="233"/>
      <c r="F252" s="233"/>
      <c r="G252" s="233"/>
      <c r="H252" s="487"/>
      <c r="I252" s="488"/>
      <c r="J252" s="488"/>
      <c r="K252" s="489"/>
      <c r="L252" s="419"/>
      <c r="M252" s="419"/>
      <c r="N252" s="419"/>
      <c r="O252" s="419"/>
      <c r="P252" s="343"/>
      <c r="Q252" s="343"/>
      <c r="R252" s="343"/>
      <c r="S252" s="343"/>
      <c r="T252" s="422"/>
      <c r="U252" s="422"/>
      <c r="V252" s="343"/>
      <c r="W252" s="343"/>
      <c r="X252" s="343"/>
      <c r="Y252" s="295"/>
      <c r="Z252" s="295"/>
    </row>
    <row r="253" spans="1:26" x14ac:dyDescent="0.2">
      <c r="A253" s="84"/>
      <c r="B253" s="188" t="s">
        <v>2</v>
      </c>
      <c r="C253" s="149"/>
      <c r="D253" s="149"/>
      <c r="E253" s="149"/>
      <c r="F253" s="149"/>
      <c r="G253" s="149"/>
      <c r="H253" s="487"/>
      <c r="I253" s="488"/>
      <c r="J253" s="488"/>
      <c r="K253" s="489"/>
      <c r="L253" s="419"/>
      <c r="M253" s="419"/>
      <c r="N253" s="419"/>
      <c r="O253" s="419"/>
      <c r="P253" s="343"/>
      <c r="Q253" s="343"/>
      <c r="R253" s="343"/>
      <c r="S253" s="343"/>
      <c r="T253" s="422"/>
      <c r="U253" s="422"/>
      <c r="V253" s="343"/>
      <c r="W253" s="343"/>
      <c r="X253" s="343"/>
      <c r="Y253" s="295"/>
      <c r="Z253" s="295"/>
    </row>
    <row r="254" spans="1:26" x14ac:dyDescent="0.2">
      <c r="A254" s="84"/>
      <c r="B254" s="179" t="s">
        <v>678</v>
      </c>
      <c r="C254" s="233">
        <f>IFERROR(Sheet1!C362/Sheet1!C135,"")</f>
        <v>0</v>
      </c>
      <c r="D254" s="233">
        <f>IFERROR(Sheet1!D362/Sheet1!D135,"")</f>
        <v>0</v>
      </c>
      <c r="E254" s="233">
        <f>IFERROR(Sheet1!E362/Sheet1!E135,"")</f>
        <v>0</v>
      </c>
      <c r="F254" s="233">
        <f>IFERROR(Sheet1!F362/Sheet1!F135,"")</f>
        <v>1.2845932586779858E-3</v>
      </c>
      <c r="G254" s="233">
        <f>IFERROR(Sheet1!G362/Sheet1!G135,"")</f>
        <v>8.5024797765684356E-7</v>
      </c>
      <c r="H254" s="487"/>
      <c r="I254" s="488"/>
      <c r="J254" s="488"/>
      <c r="K254" s="489"/>
      <c r="L254" s="419"/>
      <c r="M254" s="419"/>
      <c r="N254" s="419"/>
      <c r="O254" s="419"/>
      <c r="P254" s="343"/>
      <c r="Q254" s="343"/>
      <c r="R254" s="343"/>
      <c r="S254" s="343"/>
      <c r="T254" s="422"/>
      <c r="U254" s="422"/>
      <c r="V254" s="343"/>
      <c r="W254" s="343"/>
      <c r="X254" s="343"/>
      <c r="Y254" s="295"/>
      <c r="Z254" s="295"/>
    </row>
    <row r="255" spans="1:26" x14ac:dyDescent="0.2">
      <c r="A255" s="84"/>
      <c r="B255" s="179" t="s">
        <v>689</v>
      </c>
      <c r="C255" s="244" t="str">
        <f>IFERROR(Sheet1!C579/(Sheet1!C366*10^6),"")</f>
        <v/>
      </c>
      <c r="D255" s="244" t="str">
        <f>IFERROR(Sheet1!D579/(Sheet1!D366*10^6),"")</f>
        <v/>
      </c>
      <c r="E255" s="244" t="str">
        <f>IFERROR(Sheet1!E579/(Sheet1!E366*10^6),"")</f>
        <v/>
      </c>
      <c r="F255" s="244" t="str">
        <f>IFERROR(Sheet1!F579/(Sheet1!F366*10^6),"")</f>
        <v/>
      </c>
      <c r="G255" s="244" t="str">
        <f>IFERROR(Sheet1!G579/(Sheet1!G366*10^6),"")</f>
        <v/>
      </c>
      <c r="H255" s="487"/>
      <c r="I255" s="488"/>
      <c r="J255" s="488"/>
      <c r="K255" s="489"/>
      <c r="L255" s="419"/>
      <c r="M255" s="419"/>
      <c r="N255" s="419"/>
      <c r="O255" s="419"/>
      <c r="P255" s="343"/>
      <c r="Q255" s="343"/>
      <c r="R255" s="343"/>
      <c r="S255" s="343"/>
      <c r="T255" s="422"/>
      <c r="U255" s="422"/>
      <c r="V255" s="343"/>
      <c r="W255" s="343"/>
      <c r="X255" s="343"/>
      <c r="Y255" s="295"/>
      <c r="Z255" s="295"/>
    </row>
    <row r="256" spans="1:26" x14ac:dyDescent="0.2">
      <c r="A256" s="84"/>
      <c r="B256" s="179" t="s">
        <v>690</v>
      </c>
      <c r="C256" s="244" t="str">
        <f>IFERROR(C105/Sheet1!C579,"")</f>
        <v/>
      </c>
      <c r="D256" s="244" t="str">
        <f>IFERROR(D105/Sheet1!D579,"")</f>
        <v/>
      </c>
      <c r="E256" s="244" t="str">
        <f>IFERROR(E105/Sheet1!E579,"")</f>
        <v/>
      </c>
      <c r="F256" s="244">
        <f>IFERROR(F105/Sheet1!F579,"")</f>
        <v>223.24962630792231</v>
      </c>
      <c r="G256" s="244">
        <f>IFERROR(G105/Sheet1!G579,"")</f>
        <v>201.24471445929524</v>
      </c>
      <c r="H256" s="487"/>
      <c r="I256" s="488"/>
      <c r="J256" s="488"/>
      <c r="K256" s="489"/>
      <c r="L256" s="419"/>
      <c r="M256" s="419"/>
      <c r="N256" s="419"/>
      <c r="O256" s="419"/>
      <c r="P256" s="343"/>
      <c r="Q256" s="343"/>
      <c r="R256" s="343"/>
      <c r="S256" s="343"/>
      <c r="T256" s="422"/>
      <c r="U256" s="422"/>
      <c r="V256" s="343"/>
      <c r="W256" s="343"/>
      <c r="X256" s="343"/>
      <c r="Y256" s="295"/>
      <c r="Z256" s="295"/>
    </row>
    <row r="257" spans="1:26" x14ac:dyDescent="0.2">
      <c r="A257" s="84"/>
      <c r="B257" s="576" t="s">
        <v>727</v>
      </c>
      <c r="C257" s="233">
        <f>Sheet1!C320/'New Fin Ratios'!C100</f>
        <v>0.37350682212850406</v>
      </c>
      <c r="D257" s="233">
        <f>Sheet1!D320/'New Fin Ratios'!D100</f>
        <v>0.49771232279269267</v>
      </c>
      <c r="E257" s="233">
        <f>Sheet1!E320/'New Fin Ratios'!E100</f>
        <v>16.921144005847953</v>
      </c>
      <c r="F257" s="233">
        <f>Sheet1!F320/'New Fin Ratios'!F100</f>
        <v>16.150063308311477</v>
      </c>
      <c r="G257" s="233">
        <f>Sheet1!G320/'New Fin Ratios'!G100</f>
        <v>149.05727228145594</v>
      </c>
      <c r="H257" s="487"/>
      <c r="I257" s="488"/>
      <c r="J257" s="488"/>
      <c r="K257" s="489"/>
      <c r="L257" s="419"/>
      <c r="M257" s="419"/>
      <c r="N257" s="419"/>
      <c r="O257" s="419"/>
      <c r="P257" s="343"/>
      <c r="Q257" s="343"/>
      <c r="R257" s="343"/>
      <c r="S257" s="343"/>
      <c r="T257" s="422"/>
      <c r="U257" s="422"/>
      <c r="V257" s="343"/>
      <c r="W257" s="343"/>
      <c r="X257" s="343"/>
      <c r="Y257" s="295"/>
      <c r="Z257" s="295"/>
    </row>
    <row r="258" spans="1:26" ht="13.5" thickBot="1" x14ac:dyDescent="0.25">
      <c r="A258" s="87"/>
      <c r="B258" s="192"/>
      <c r="C258" s="153"/>
      <c r="D258" s="153"/>
      <c r="E258" s="153"/>
      <c r="F258" s="153"/>
      <c r="G258" s="153"/>
      <c r="H258" s="490"/>
      <c r="I258" s="491"/>
      <c r="J258" s="491"/>
      <c r="K258" s="492"/>
      <c r="L258" s="419"/>
      <c r="M258" s="419"/>
      <c r="N258" s="419"/>
      <c r="O258" s="419"/>
      <c r="P258" s="343"/>
      <c r="Q258" s="343"/>
      <c r="R258" s="343"/>
      <c r="S258" s="343"/>
      <c r="T258" s="422"/>
      <c r="U258" s="422"/>
      <c r="V258" s="343"/>
      <c r="W258" s="343"/>
      <c r="X258" s="343"/>
      <c r="Y258" s="295"/>
      <c r="Z258" s="295"/>
    </row>
    <row r="259" spans="1:26" x14ac:dyDescent="0.2">
      <c r="B259" s="234"/>
      <c r="C259" s="151"/>
      <c r="D259" s="151"/>
      <c r="E259" s="151"/>
      <c r="F259" s="151"/>
      <c r="G259" s="151"/>
      <c r="H259" s="151"/>
      <c r="I259" s="151"/>
      <c r="J259" s="151"/>
      <c r="K259" s="151"/>
      <c r="O259" s="291"/>
      <c r="P259" s="291"/>
      <c r="T259" s="353"/>
      <c r="U259" s="353"/>
    </row>
    <row r="260" spans="1:26" x14ac:dyDescent="0.2">
      <c r="B260" s="234"/>
      <c r="C260" s="151"/>
      <c r="D260" s="151"/>
      <c r="E260" s="151"/>
      <c r="F260" s="151"/>
      <c r="G260" s="151"/>
      <c r="H260" s="151"/>
      <c r="I260" s="151"/>
      <c r="J260" s="151"/>
      <c r="K260" s="151"/>
      <c r="O260" s="291"/>
      <c r="P260" s="291"/>
      <c r="T260" s="353"/>
      <c r="U260" s="353"/>
    </row>
    <row r="261" spans="1:26" s="287" customFormat="1" ht="13.5" thickBot="1" x14ac:dyDescent="0.25">
      <c r="B261" s="288"/>
      <c r="C261" s="289"/>
      <c r="D261" s="289"/>
      <c r="E261" s="289"/>
      <c r="F261" s="289"/>
      <c r="G261" s="289"/>
      <c r="H261" s="289"/>
      <c r="T261" s="353"/>
      <c r="U261" s="353"/>
    </row>
    <row r="262" spans="1:26" s="287" customFormat="1" ht="19.5" thickBot="1" x14ac:dyDescent="0.25">
      <c r="A262" s="7"/>
      <c r="B262" s="493" t="s">
        <v>235</v>
      </c>
      <c r="C262" s="218"/>
      <c r="D262" s="218"/>
      <c r="E262" s="218"/>
      <c r="F262" s="218"/>
      <c r="G262" s="218"/>
      <c r="H262" s="494"/>
      <c r="I262" s="495"/>
      <c r="J262" s="495"/>
      <c r="K262" s="495"/>
      <c r="L262" s="495"/>
      <c r="M262" s="495"/>
      <c r="T262" s="353"/>
      <c r="U262" s="353"/>
    </row>
    <row r="263" spans="1:26" s="287" customFormat="1" x14ac:dyDescent="0.2">
      <c r="A263" s="4"/>
      <c r="B263" s="157" t="s">
        <v>285</v>
      </c>
      <c r="C263" s="229" t="str">
        <f>G21</f>
        <v>31/03/2021</v>
      </c>
      <c r="D263" s="213"/>
      <c r="E263" s="213"/>
      <c r="F263" s="213"/>
      <c r="G263" s="213"/>
      <c r="H263" s="14"/>
      <c r="I263" s="14"/>
      <c r="J263" s="14"/>
      <c r="K263" s="14"/>
      <c r="L263" s="14"/>
      <c r="M263" s="15"/>
      <c r="T263" s="353"/>
      <c r="U263" s="353"/>
    </row>
    <row r="264" spans="1:26" s="287" customFormat="1" ht="51" x14ac:dyDescent="0.2">
      <c r="A264" s="2"/>
      <c r="B264" s="66" t="s">
        <v>236</v>
      </c>
      <c r="C264" s="161" t="s">
        <v>237</v>
      </c>
      <c r="D264" s="161" t="s">
        <v>238</v>
      </c>
      <c r="E264" s="161" t="s">
        <v>239</v>
      </c>
      <c r="F264" s="161" t="s">
        <v>240</v>
      </c>
      <c r="G264" s="161" t="s">
        <v>241</v>
      </c>
      <c r="H264" s="161" t="s">
        <v>242</v>
      </c>
      <c r="I264" s="161" t="s">
        <v>243</v>
      </c>
      <c r="J264" s="161" t="s">
        <v>244</v>
      </c>
      <c r="K264" s="161" t="s">
        <v>245</v>
      </c>
      <c r="L264" s="161" t="s">
        <v>246</v>
      </c>
      <c r="M264" s="162" t="s">
        <v>247</v>
      </c>
      <c r="T264" s="353"/>
      <c r="U264" s="353"/>
    </row>
    <row r="265" spans="1:26" s="287" customFormat="1" ht="15" x14ac:dyDescent="0.2">
      <c r="A265" s="2"/>
      <c r="B265" s="66"/>
      <c r="C265" s="158"/>
      <c r="D265" s="158"/>
      <c r="E265" s="158"/>
      <c r="F265" s="158"/>
      <c r="G265" s="158"/>
      <c r="H265" s="158"/>
      <c r="I265" s="158"/>
      <c r="J265" s="158"/>
      <c r="K265" s="158"/>
      <c r="L265" s="158"/>
      <c r="M265" s="159"/>
      <c r="T265" s="353"/>
      <c r="U265" s="353"/>
    </row>
    <row r="266" spans="1:26" s="287" customFormat="1" ht="15" x14ac:dyDescent="0.2">
      <c r="A266" s="2"/>
      <c r="B266" s="66" t="s">
        <v>248</v>
      </c>
      <c r="C266" s="158"/>
      <c r="D266" s="158"/>
      <c r="E266" s="158"/>
      <c r="F266" s="158"/>
      <c r="G266" s="158"/>
      <c r="H266" s="158"/>
      <c r="I266" s="158"/>
      <c r="J266" s="158"/>
      <c r="K266" s="158"/>
      <c r="L266" s="158"/>
      <c r="M266" s="159"/>
      <c r="T266" s="353"/>
      <c r="U266" s="353"/>
    </row>
    <row r="267" spans="1:26" s="287" customFormat="1" x14ac:dyDescent="0.2">
      <c r="A267" s="2"/>
      <c r="B267" s="179" t="s">
        <v>702</v>
      </c>
      <c r="C267" s="244">
        <f>Sheet1!C385</f>
        <v>31686.9</v>
      </c>
      <c r="D267" s="244">
        <f>Sheet1!D385</f>
        <v>23563.7</v>
      </c>
      <c r="E267" s="244">
        <f>Sheet1!E385</f>
        <v>29633.200000000001</v>
      </c>
      <c r="F267" s="244">
        <f>Sheet1!F385</f>
        <v>88943.6</v>
      </c>
      <c r="G267" s="244">
        <f>Sheet1!G385</f>
        <v>120044.4</v>
      </c>
      <c r="H267" s="244">
        <f>Sheet1!H385</f>
        <v>243240.8</v>
      </c>
      <c r="I267" s="244">
        <f>Sheet1!I385</f>
        <v>84845.4</v>
      </c>
      <c r="J267" s="244">
        <f>Sheet1!J385</f>
        <v>59157.8</v>
      </c>
      <c r="K267" s="244">
        <f>Sheet1!K385</f>
        <v>0</v>
      </c>
      <c r="L267" s="244">
        <f>Sheet1!L385</f>
        <v>0</v>
      </c>
      <c r="M267" s="205">
        <f>Sheet1!M385</f>
        <v>681115.80000000016</v>
      </c>
      <c r="T267" s="353"/>
      <c r="U267" s="353"/>
    </row>
    <row r="268" spans="1:26" s="287" customFormat="1" x14ac:dyDescent="0.2">
      <c r="A268" s="2"/>
      <c r="B268" s="179" t="s">
        <v>249</v>
      </c>
      <c r="C268" s="244">
        <f>Sheet1!C386</f>
        <v>0</v>
      </c>
      <c r="D268" s="244">
        <f>Sheet1!D386</f>
        <v>0</v>
      </c>
      <c r="E268" s="244">
        <f>Sheet1!E386</f>
        <v>0</v>
      </c>
      <c r="F268" s="244">
        <f>Sheet1!F386</f>
        <v>0</v>
      </c>
      <c r="G268" s="244">
        <f>Sheet1!G386</f>
        <v>0</v>
      </c>
      <c r="H268" s="244">
        <f>Sheet1!H386</f>
        <v>0</v>
      </c>
      <c r="I268" s="244">
        <f>Sheet1!I386</f>
        <v>0</v>
      </c>
      <c r="J268" s="244">
        <f>Sheet1!J386</f>
        <v>0</v>
      </c>
      <c r="K268" s="244">
        <f>Sheet1!K386</f>
        <v>0</v>
      </c>
      <c r="L268" s="244">
        <f>Sheet1!L386</f>
        <v>0</v>
      </c>
      <c r="M268" s="205">
        <f>Sheet1!M386</f>
        <v>0</v>
      </c>
      <c r="T268" s="353"/>
      <c r="U268" s="353"/>
    </row>
    <row r="269" spans="1:26" s="287" customFormat="1" x14ac:dyDescent="0.2">
      <c r="A269" s="2"/>
      <c r="B269" s="179" t="s">
        <v>250</v>
      </c>
      <c r="C269" s="244">
        <f>Sheet1!C387</f>
        <v>3605.3999999999996</v>
      </c>
      <c r="D269" s="244">
        <f>Sheet1!D387</f>
        <v>2050.6</v>
      </c>
      <c r="E269" s="244">
        <f>Sheet1!E387</f>
        <v>3114.9</v>
      </c>
      <c r="F269" s="244">
        <f>Sheet1!F387</f>
        <v>13577.4</v>
      </c>
      <c r="G269" s="244">
        <f>Sheet1!G387</f>
        <v>33172.400000000001</v>
      </c>
      <c r="H269" s="244">
        <f>Sheet1!H387</f>
        <v>76898.399999999994</v>
      </c>
      <c r="I269" s="244">
        <f>Sheet1!I387</f>
        <v>30476.5</v>
      </c>
      <c r="J269" s="244">
        <f>Sheet1!J387</f>
        <v>0</v>
      </c>
      <c r="K269" s="244">
        <f>Sheet1!K387</f>
        <v>0</v>
      </c>
      <c r="L269" s="244">
        <f>Sheet1!L387</f>
        <v>0</v>
      </c>
      <c r="M269" s="205">
        <f>Sheet1!M387</f>
        <v>162895.59999999998</v>
      </c>
      <c r="T269" s="353"/>
      <c r="U269" s="353"/>
    </row>
    <row r="270" spans="1:26" s="287" customFormat="1" x14ac:dyDescent="0.2">
      <c r="A270" s="2"/>
      <c r="B270" s="179" t="s">
        <v>251</v>
      </c>
      <c r="C270" s="244">
        <f>Sheet1!C388</f>
        <v>2466.6999999999998</v>
      </c>
      <c r="D270" s="244">
        <f>Sheet1!D388</f>
        <v>0</v>
      </c>
      <c r="E270" s="244">
        <f>Sheet1!E388</f>
        <v>220.9</v>
      </c>
      <c r="F270" s="244">
        <f>Sheet1!F388</f>
        <v>2287.6</v>
      </c>
      <c r="G270" s="244">
        <f>Sheet1!G388</f>
        <v>29915.5</v>
      </c>
      <c r="H270" s="244">
        <f>Sheet1!H388</f>
        <v>175623.2</v>
      </c>
      <c r="I270" s="244">
        <f>Sheet1!I388</f>
        <v>5350.3</v>
      </c>
      <c r="J270" s="244">
        <f>Sheet1!J388</f>
        <v>3156.2</v>
      </c>
      <c r="K270" s="244">
        <f>Sheet1!K388</f>
        <v>0</v>
      </c>
      <c r="L270" s="244">
        <f>Sheet1!L388</f>
        <v>0</v>
      </c>
      <c r="M270" s="205">
        <f>Sheet1!M388</f>
        <v>219020.40000000002</v>
      </c>
      <c r="T270" s="353"/>
      <c r="U270" s="353"/>
    </row>
    <row r="271" spans="1:26" s="287" customFormat="1" x14ac:dyDescent="0.2">
      <c r="A271" s="2"/>
      <c r="B271" s="179" t="s">
        <v>283</v>
      </c>
      <c r="C271" s="244">
        <f>Sheet1!C389</f>
        <v>0</v>
      </c>
      <c r="D271" s="244">
        <f>Sheet1!D389</f>
        <v>0</v>
      </c>
      <c r="E271" s="244">
        <f>Sheet1!E389</f>
        <v>0</v>
      </c>
      <c r="F271" s="244">
        <f>Sheet1!F389</f>
        <v>0</v>
      </c>
      <c r="G271" s="244">
        <f>Sheet1!G389</f>
        <v>0</v>
      </c>
      <c r="H271" s="244">
        <f>Sheet1!H389</f>
        <v>0</v>
      </c>
      <c r="I271" s="244">
        <f>Sheet1!I389</f>
        <v>0</v>
      </c>
      <c r="J271" s="244">
        <f>Sheet1!J389</f>
        <v>0</v>
      </c>
      <c r="K271" s="244">
        <f>Sheet1!K389</f>
        <v>0</v>
      </c>
      <c r="L271" s="244">
        <f>Sheet1!L389</f>
        <v>0</v>
      </c>
      <c r="M271" s="205">
        <f>Sheet1!M389</f>
        <v>0</v>
      </c>
      <c r="T271" s="353"/>
      <c r="U271" s="353"/>
    </row>
    <row r="272" spans="1:26" s="287" customFormat="1" x14ac:dyDescent="0.2">
      <c r="A272" s="2"/>
      <c r="B272" s="179" t="s">
        <v>703</v>
      </c>
      <c r="C272" s="244">
        <f>Sheet1!C390</f>
        <v>0</v>
      </c>
      <c r="D272" s="244">
        <f>Sheet1!D390</f>
        <v>0</v>
      </c>
      <c r="E272" s="244">
        <f>Sheet1!E390</f>
        <v>0</v>
      </c>
      <c r="F272" s="244">
        <f>Sheet1!F390</f>
        <v>0</v>
      </c>
      <c r="G272" s="244">
        <f>Sheet1!G390</f>
        <v>0</v>
      </c>
      <c r="H272" s="244">
        <f>Sheet1!H390</f>
        <v>0</v>
      </c>
      <c r="I272" s="244">
        <f>Sheet1!I390</f>
        <v>0</v>
      </c>
      <c r="J272" s="244">
        <f>Sheet1!J390</f>
        <v>0</v>
      </c>
      <c r="K272" s="244">
        <f>Sheet1!K390</f>
        <v>0</v>
      </c>
      <c r="L272" s="244">
        <f>Sheet1!L390</f>
        <v>0</v>
      </c>
      <c r="M272" s="205">
        <f>Sheet1!M390</f>
        <v>0</v>
      </c>
      <c r="T272" s="353"/>
      <c r="U272" s="353"/>
    </row>
    <row r="273" spans="1:21" s="287" customFormat="1" x14ac:dyDescent="0.2">
      <c r="A273" s="2"/>
      <c r="B273" s="179" t="s">
        <v>2</v>
      </c>
      <c r="C273" s="244">
        <f>Sheet1!C391</f>
        <v>0</v>
      </c>
      <c r="D273" s="244">
        <f>Sheet1!D391</f>
        <v>0</v>
      </c>
      <c r="E273" s="244">
        <f>Sheet1!E391</f>
        <v>0</v>
      </c>
      <c r="F273" s="244">
        <f>Sheet1!F391</f>
        <v>0</v>
      </c>
      <c r="G273" s="244">
        <f>Sheet1!G391</f>
        <v>0</v>
      </c>
      <c r="H273" s="244">
        <f>Sheet1!H391</f>
        <v>0</v>
      </c>
      <c r="I273" s="244">
        <f>Sheet1!I391</f>
        <v>0</v>
      </c>
      <c r="J273" s="244">
        <f>Sheet1!J391</f>
        <v>0</v>
      </c>
      <c r="K273" s="244">
        <f>Sheet1!K391</f>
        <v>0</v>
      </c>
      <c r="L273" s="244">
        <f>Sheet1!L391</f>
        <v>0</v>
      </c>
      <c r="M273" s="205">
        <f>Sheet1!M391</f>
        <v>0</v>
      </c>
      <c r="T273" s="353"/>
      <c r="U273" s="353"/>
    </row>
    <row r="274" spans="1:21" s="287" customFormat="1" x14ac:dyDescent="0.2">
      <c r="A274" s="2"/>
      <c r="B274" s="179"/>
      <c r="C274" s="244"/>
      <c r="D274" s="244"/>
      <c r="E274" s="244"/>
      <c r="F274" s="244"/>
      <c r="G274" s="244"/>
      <c r="H274" s="244"/>
      <c r="I274" s="244"/>
      <c r="J274" s="244"/>
      <c r="K274" s="244"/>
      <c r="L274" s="244"/>
      <c r="M274" s="205"/>
      <c r="T274" s="353"/>
      <c r="U274" s="353"/>
    </row>
    <row r="275" spans="1:21" s="287" customFormat="1" x14ac:dyDescent="0.2">
      <c r="A275" s="2"/>
      <c r="B275" s="203" t="s">
        <v>247</v>
      </c>
      <c r="C275" s="276">
        <f>Sheet1!C393</f>
        <v>37759</v>
      </c>
      <c r="D275" s="276">
        <f>Sheet1!D393</f>
        <v>25614.3</v>
      </c>
      <c r="E275" s="276">
        <f>Sheet1!E393</f>
        <v>32969</v>
      </c>
      <c r="F275" s="276">
        <f>Sheet1!F393</f>
        <v>104808.6</v>
      </c>
      <c r="G275" s="276">
        <f>Sheet1!G393</f>
        <v>183132.3</v>
      </c>
      <c r="H275" s="276">
        <f>Sheet1!H393</f>
        <v>495762.39999999997</v>
      </c>
      <c r="I275" s="276">
        <f>Sheet1!I393</f>
        <v>120672.2</v>
      </c>
      <c r="J275" s="276">
        <f>Sheet1!J393</f>
        <v>62314</v>
      </c>
      <c r="K275" s="276">
        <f>Sheet1!K393</f>
        <v>0</v>
      </c>
      <c r="L275" s="276">
        <f>Sheet1!L393</f>
        <v>0</v>
      </c>
      <c r="M275" s="205">
        <f>Sheet1!M393</f>
        <v>1063031.8000000003</v>
      </c>
      <c r="T275" s="353"/>
      <c r="U275" s="353"/>
    </row>
    <row r="276" spans="1:21" s="287" customFormat="1" x14ac:dyDescent="0.2">
      <c r="A276" s="2"/>
      <c r="B276" s="203"/>
      <c r="C276" s="276"/>
      <c r="D276" s="276"/>
      <c r="E276" s="276"/>
      <c r="F276" s="276"/>
      <c r="G276" s="276"/>
      <c r="H276" s="276"/>
      <c r="I276" s="276"/>
      <c r="J276" s="276"/>
      <c r="K276" s="276"/>
      <c r="L276" s="276"/>
      <c r="M276" s="205"/>
      <c r="T276" s="353"/>
      <c r="U276" s="353"/>
    </row>
    <row r="277" spans="1:21" s="287" customFormat="1" ht="15" x14ac:dyDescent="0.2">
      <c r="A277" s="2"/>
      <c r="B277" s="66" t="s">
        <v>252</v>
      </c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1"/>
      <c r="T277" s="353"/>
      <c r="U277" s="353"/>
    </row>
    <row r="278" spans="1:21" s="287" customFormat="1" x14ac:dyDescent="0.2">
      <c r="A278" s="2"/>
      <c r="B278" s="179" t="s">
        <v>253</v>
      </c>
      <c r="C278" s="244">
        <f>Sheet1!C396</f>
        <v>0</v>
      </c>
      <c r="D278" s="244">
        <f>Sheet1!D396</f>
        <v>32068.400000000001</v>
      </c>
      <c r="E278" s="244">
        <f>Sheet1!E396</f>
        <v>31657.3</v>
      </c>
      <c r="F278" s="244">
        <f>Sheet1!F396</f>
        <v>96769.2</v>
      </c>
      <c r="G278" s="244">
        <f>Sheet1!G396</f>
        <v>1787.5</v>
      </c>
      <c r="H278" s="244">
        <f>Sheet1!H396</f>
        <v>513974.9</v>
      </c>
      <c r="I278" s="244">
        <f>Sheet1!I396</f>
        <v>159383.29999999999</v>
      </c>
      <c r="J278" s="244">
        <f>Sheet1!J396</f>
        <v>30370.3</v>
      </c>
      <c r="K278" s="244">
        <f>Sheet1!K396</f>
        <v>0</v>
      </c>
      <c r="L278" s="244">
        <f>Sheet1!L396</f>
        <v>0</v>
      </c>
      <c r="M278" s="205">
        <f>Sheet1!M396</f>
        <v>866010.90000000014</v>
      </c>
      <c r="T278" s="353"/>
      <c r="U278" s="353"/>
    </row>
    <row r="279" spans="1:21" s="287" customFormat="1" x14ac:dyDescent="0.2">
      <c r="A279" s="2"/>
      <c r="B279" s="179" t="s">
        <v>75</v>
      </c>
      <c r="C279" s="244">
        <f>Sheet1!C397</f>
        <v>0</v>
      </c>
      <c r="D279" s="244">
        <f>Sheet1!D397</f>
        <v>587.79999999999995</v>
      </c>
      <c r="E279" s="244">
        <f>Sheet1!E397</f>
        <v>496.9</v>
      </c>
      <c r="F279" s="244">
        <f>Sheet1!F397</f>
        <v>1342.6</v>
      </c>
      <c r="G279" s="244">
        <f>Sheet1!G397</f>
        <v>2357.6</v>
      </c>
      <c r="H279" s="244">
        <f>Sheet1!H397</f>
        <v>7940.4</v>
      </c>
      <c r="I279" s="244">
        <f>Sheet1!I397</f>
        <v>1691.5</v>
      </c>
      <c r="J279" s="244">
        <f>Sheet1!J397</f>
        <v>17114.599999999999</v>
      </c>
      <c r="K279" s="244">
        <f>Sheet1!K397</f>
        <v>0</v>
      </c>
      <c r="L279" s="244">
        <f>Sheet1!L397</f>
        <v>0</v>
      </c>
      <c r="M279" s="205">
        <f>Sheet1!M397</f>
        <v>31531.399999999998</v>
      </c>
      <c r="T279" s="353"/>
      <c r="U279" s="353"/>
    </row>
    <row r="280" spans="1:21" s="287" customFormat="1" x14ac:dyDescent="0.2">
      <c r="A280" s="2"/>
      <c r="B280" s="179" t="s">
        <v>250</v>
      </c>
      <c r="C280" s="244">
        <f>Sheet1!C398</f>
        <v>0</v>
      </c>
      <c r="D280" s="244">
        <f>Sheet1!D398</f>
        <v>0</v>
      </c>
      <c r="E280" s="244">
        <f>Sheet1!E398</f>
        <v>0</v>
      </c>
      <c r="F280" s="244">
        <f>Sheet1!F398</f>
        <v>0</v>
      </c>
      <c r="G280" s="244">
        <f>Sheet1!G398</f>
        <v>0</v>
      </c>
      <c r="H280" s="244">
        <f>Sheet1!H398</f>
        <v>0</v>
      </c>
      <c r="I280" s="244">
        <f>Sheet1!I398</f>
        <v>0</v>
      </c>
      <c r="J280" s="244">
        <f>Sheet1!J398</f>
        <v>0</v>
      </c>
      <c r="K280" s="244">
        <f>Sheet1!K398</f>
        <v>0</v>
      </c>
      <c r="L280" s="244">
        <f>Sheet1!L398</f>
        <v>0</v>
      </c>
      <c r="M280" s="205">
        <f>Sheet1!M398</f>
        <v>0</v>
      </c>
      <c r="T280" s="353"/>
      <c r="U280" s="353"/>
    </row>
    <row r="281" spans="1:21" s="287" customFormat="1" x14ac:dyDescent="0.2">
      <c r="A281" s="2"/>
      <c r="B281" s="179" t="s">
        <v>254</v>
      </c>
      <c r="C281" s="244">
        <f>Sheet1!C399</f>
        <v>0</v>
      </c>
      <c r="D281" s="244">
        <f>Sheet1!D399</f>
        <v>0</v>
      </c>
      <c r="E281" s="244">
        <f>Sheet1!E399</f>
        <v>0</v>
      </c>
      <c r="F281" s="244">
        <f>Sheet1!F399</f>
        <v>0</v>
      </c>
      <c r="G281" s="244">
        <f>Sheet1!G399</f>
        <v>0</v>
      </c>
      <c r="H281" s="244">
        <f>Sheet1!H399</f>
        <v>0</v>
      </c>
      <c r="I281" s="244">
        <f>Sheet1!I399</f>
        <v>0</v>
      </c>
      <c r="J281" s="244">
        <f>Sheet1!J399</f>
        <v>0</v>
      </c>
      <c r="K281" s="244">
        <f>Sheet1!K399</f>
        <v>0</v>
      </c>
      <c r="L281" s="244">
        <f>Sheet1!L399</f>
        <v>0</v>
      </c>
      <c r="M281" s="205">
        <f>Sheet1!M399</f>
        <v>0</v>
      </c>
      <c r="T281" s="353"/>
      <c r="U281" s="353"/>
    </row>
    <row r="282" spans="1:21" s="287" customFormat="1" x14ac:dyDescent="0.2">
      <c r="A282" s="2"/>
      <c r="B282" s="179" t="s">
        <v>704</v>
      </c>
      <c r="C282" s="244">
        <f>Sheet1!C400</f>
        <v>0</v>
      </c>
      <c r="D282" s="244">
        <f>Sheet1!D400</f>
        <v>0</v>
      </c>
      <c r="E282" s="244">
        <f>Sheet1!E400</f>
        <v>0</v>
      </c>
      <c r="F282" s="244">
        <f>Sheet1!F400</f>
        <v>0</v>
      </c>
      <c r="G282" s="244">
        <f>Sheet1!G400</f>
        <v>0</v>
      </c>
      <c r="H282" s="244">
        <f>Sheet1!H400</f>
        <v>0</v>
      </c>
      <c r="I282" s="244">
        <f>Sheet1!I400</f>
        <v>0</v>
      </c>
      <c r="J282" s="244">
        <f>Sheet1!J400</f>
        <v>0</v>
      </c>
      <c r="K282" s="244">
        <f>Sheet1!K400</f>
        <v>0</v>
      </c>
      <c r="L282" s="244">
        <f>Sheet1!L400</f>
        <v>0</v>
      </c>
      <c r="M282" s="205">
        <f>Sheet1!M400</f>
        <v>0</v>
      </c>
      <c r="T282" s="353"/>
      <c r="U282" s="353"/>
    </row>
    <row r="283" spans="1:21" s="287" customFormat="1" x14ac:dyDescent="0.2">
      <c r="A283" s="2"/>
      <c r="B283" s="179" t="s">
        <v>2</v>
      </c>
      <c r="C283" s="244">
        <f>Sheet1!C401</f>
        <v>0</v>
      </c>
      <c r="D283" s="244">
        <f>Sheet1!D401</f>
        <v>0</v>
      </c>
      <c r="E283" s="244">
        <f>Sheet1!E401</f>
        <v>0</v>
      </c>
      <c r="F283" s="244">
        <f>Sheet1!F401</f>
        <v>0</v>
      </c>
      <c r="G283" s="244">
        <f>Sheet1!G401</f>
        <v>0</v>
      </c>
      <c r="H283" s="244">
        <f>Sheet1!H401</f>
        <v>0</v>
      </c>
      <c r="I283" s="244">
        <f>Sheet1!I401</f>
        <v>0</v>
      </c>
      <c r="J283" s="244">
        <f>Sheet1!J401</f>
        <v>0</v>
      </c>
      <c r="K283" s="244">
        <f>Sheet1!K401</f>
        <v>0</v>
      </c>
      <c r="L283" s="244">
        <f>Sheet1!L401</f>
        <v>0</v>
      </c>
      <c r="M283" s="205">
        <f>Sheet1!M401</f>
        <v>0</v>
      </c>
      <c r="T283" s="353"/>
      <c r="U283" s="353"/>
    </row>
    <row r="284" spans="1:21" s="287" customFormat="1" x14ac:dyDescent="0.2">
      <c r="A284" s="2"/>
      <c r="B284" s="179"/>
      <c r="C284" s="244"/>
      <c r="D284" s="244"/>
      <c r="E284" s="244"/>
      <c r="F284" s="244"/>
      <c r="G284" s="244"/>
      <c r="H284" s="244"/>
      <c r="I284" s="244"/>
      <c r="J284" s="244"/>
      <c r="K284" s="244"/>
      <c r="L284" s="244"/>
      <c r="M284" s="205"/>
      <c r="T284" s="353"/>
      <c r="U284" s="353"/>
    </row>
    <row r="285" spans="1:21" s="287" customFormat="1" x14ac:dyDescent="0.2">
      <c r="A285" s="2"/>
      <c r="B285" s="179"/>
      <c r="C285" s="244"/>
      <c r="D285" s="244"/>
      <c r="E285" s="244"/>
      <c r="F285" s="244"/>
      <c r="G285" s="244"/>
      <c r="H285" s="244"/>
      <c r="I285" s="244"/>
      <c r="J285" s="244"/>
      <c r="K285" s="244"/>
      <c r="L285" s="244"/>
      <c r="M285" s="205"/>
      <c r="T285" s="353"/>
      <c r="U285" s="353"/>
    </row>
    <row r="286" spans="1:21" s="287" customFormat="1" x14ac:dyDescent="0.2">
      <c r="A286" s="2"/>
      <c r="B286" s="203" t="s">
        <v>247</v>
      </c>
      <c r="C286" s="276">
        <f>Sheet1!C404</f>
        <v>0</v>
      </c>
      <c r="D286" s="276">
        <f>Sheet1!D404</f>
        <v>32656.2</v>
      </c>
      <c r="E286" s="276">
        <f>Sheet1!E404</f>
        <v>32154.2</v>
      </c>
      <c r="F286" s="276">
        <f>Sheet1!F404</f>
        <v>98111.8</v>
      </c>
      <c r="G286" s="276">
        <f>Sheet1!G404</f>
        <v>4145.1000000000004</v>
      </c>
      <c r="H286" s="276">
        <f>Sheet1!H404</f>
        <v>521915.30000000005</v>
      </c>
      <c r="I286" s="276">
        <f>Sheet1!I404</f>
        <v>161074.79999999999</v>
      </c>
      <c r="J286" s="276">
        <f>Sheet1!J404</f>
        <v>47484.899999999994</v>
      </c>
      <c r="K286" s="276">
        <f>Sheet1!K404</f>
        <v>0</v>
      </c>
      <c r="L286" s="276">
        <f>Sheet1!L404</f>
        <v>0</v>
      </c>
      <c r="M286" s="205">
        <f>Sheet1!M404</f>
        <v>897542.30000000016</v>
      </c>
      <c r="T286" s="353"/>
      <c r="U286" s="353"/>
    </row>
    <row r="287" spans="1:21" s="287" customFormat="1" x14ac:dyDescent="0.2">
      <c r="A287" s="2"/>
      <c r="B287" s="203"/>
      <c r="C287" s="276"/>
      <c r="D287" s="276"/>
      <c r="E287" s="276"/>
      <c r="F287" s="276"/>
      <c r="G287" s="276"/>
      <c r="H287" s="276"/>
      <c r="I287" s="276"/>
      <c r="J287" s="276"/>
      <c r="K287" s="276"/>
      <c r="L287" s="276"/>
      <c r="M287" s="205"/>
      <c r="T287" s="353"/>
      <c r="U287" s="353"/>
    </row>
    <row r="288" spans="1:21" s="287" customFormat="1" ht="15" x14ac:dyDescent="0.2">
      <c r="A288" s="2"/>
      <c r="B288" s="66" t="s">
        <v>452</v>
      </c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5"/>
      <c r="T288" s="353"/>
      <c r="U288" s="353"/>
    </row>
    <row r="289" spans="1:21" s="287" customFormat="1" x14ac:dyDescent="0.2">
      <c r="A289" s="2"/>
      <c r="B289" s="179" t="s">
        <v>684</v>
      </c>
      <c r="C289" s="244">
        <f>SUM(C278:C279)+Sheet1!G293+Sheet1!G294</f>
        <v>96846.200000000012</v>
      </c>
      <c r="D289" s="244">
        <f>SUM(D278:D279)+C289</f>
        <v>129502.40000000001</v>
      </c>
      <c r="E289" s="244">
        <f t="shared" ref="E289:L289" si="64">SUM(E278:E279)+D289</f>
        <v>161656.6</v>
      </c>
      <c r="F289" s="244">
        <f t="shared" si="64"/>
        <v>259768.40000000002</v>
      </c>
      <c r="G289" s="244">
        <f t="shared" si="64"/>
        <v>263913.5</v>
      </c>
      <c r="H289" s="244">
        <f t="shared" si="64"/>
        <v>785828.8</v>
      </c>
      <c r="I289" s="244">
        <f t="shared" si="64"/>
        <v>946903.60000000009</v>
      </c>
      <c r="J289" s="244">
        <f t="shared" si="64"/>
        <v>994388.50000000012</v>
      </c>
      <c r="K289" s="244">
        <f t="shared" si="64"/>
        <v>994388.50000000012</v>
      </c>
      <c r="L289" s="244">
        <f t="shared" si="64"/>
        <v>994388.50000000012</v>
      </c>
      <c r="M289" s="205">
        <f>L289</f>
        <v>994388.50000000012</v>
      </c>
      <c r="T289" s="353"/>
      <c r="U289" s="353"/>
    </row>
    <row r="290" spans="1:21" s="287" customFormat="1" x14ac:dyDescent="0.2">
      <c r="A290" s="2"/>
      <c r="B290" s="179" t="s">
        <v>685</v>
      </c>
      <c r="C290" s="244">
        <f>SUM(C267:C270)</f>
        <v>37759</v>
      </c>
      <c r="D290" s="244">
        <f>SUM(D267:D270)+C290</f>
        <v>63373.3</v>
      </c>
      <c r="E290" s="244">
        <f t="shared" ref="E290:L290" si="65">SUM(E267:E270)+D290</f>
        <v>96342.3</v>
      </c>
      <c r="F290" s="244">
        <f t="shared" si="65"/>
        <v>201150.90000000002</v>
      </c>
      <c r="G290" s="244">
        <f t="shared" si="65"/>
        <v>384283.2</v>
      </c>
      <c r="H290" s="244">
        <f t="shared" si="65"/>
        <v>880045.6</v>
      </c>
      <c r="I290" s="244">
        <f t="shared" si="65"/>
        <v>1000717.7999999999</v>
      </c>
      <c r="J290" s="244">
        <f t="shared" si="65"/>
        <v>1063031.7999999998</v>
      </c>
      <c r="K290" s="244">
        <f t="shared" si="65"/>
        <v>1063031.7999999998</v>
      </c>
      <c r="L290" s="244">
        <f t="shared" si="65"/>
        <v>1063031.7999999998</v>
      </c>
      <c r="M290" s="205">
        <f>L290</f>
        <v>1063031.7999999998</v>
      </c>
      <c r="T290" s="353"/>
      <c r="U290" s="353"/>
    </row>
    <row r="291" spans="1:21" s="287" customFormat="1" x14ac:dyDescent="0.2">
      <c r="A291" s="2"/>
      <c r="B291" s="179" t="s">
        <v>687</v>
      </c>
      <c r="C291" s="244">
        <f>C289-C290</f>
        <v>59087.200000000012</v>
      </c>
      <c r="D291" s="244">
        <f t="shared" ref="D291:L291" si="66">D289-D290</f>
        <v>66129.100000000006</v>
      </c>
      <c r="E291" s="244">
        <f t="shared" si="66"/>
        <v>65314.3</v>
      </c>
      <c r="F291" s="244">
        <f t="shared" si="66"/>
        <v>58617.5</v>
      </c>
      <c r="G291" s="244">
        <f t="shared" si="66"/>
        <v>-120369.70000000001</v>
      </c>
      <c r="H291" s="244">
        <f t="shared" si="66"/>
        <v>-94216.79999999993</v>
      </c>
      <c r="I291" s="244">
        <f t="shared" si="66"/>
        <v>-53814.199999999837</v>
      </c>
      <c r="J291" s="244">
        <f t="shared" si="66"/>
        <v>-68643.299999999697</v>
      </c>
      <c r="K291" s="244">
        <f t="shared" si="66"/>
        <v>-68643.299999999697</v>
      </c>
      <c r="L291" s="244">
        <f t="shared" si="66"/>
        <v>-68643.299999999697</v>
      </c>
      <c r="M291" s="205"/>
      <c r="T291" s="353"/>
      <c r="U291" s="353"/>
    </row>
    <row r="292" spans="1:21" s="287" customFormat="1" x14ac:dyDescent="0.2">
      <c r="A292" s="2"/>
      <c r="B292" s="281" t="s">
        <v>686</v>
      </c>
      <c r="C292" s="272">
        <f>IFERROR(C291/C290,"")</f>
        <v>1.5648507640562519</v>
      </c>
      <c r="D292" s="272">
        <f t="shared" ref="D292:L292" si="67">IFERROR(D291/D290,"")</f>
        <v>1.0434851901352777</v>
      </c>
      <c r="E292" s="272">
        <f t="shared" si="67"/>
        <v>0.67794001181204933</v>
      </c>
      <c r="F292" s="272">
        <f t="shared" si="67"/>
        <v>0.29141057782987795</v>
      </c>
      <c r="G292" s="272">
        <f t="shared" si="67"/>
        <v>-0.31323175199956699</v>
      </c>
      <c r="H292" s="272">
        <f t="shared" si="67"/>
        <v>-0.10705899785192942</v>
      </c>
      <c r="I292" s="272">
        <f t="shared" si="67"/>
        <v>-5.3775599874409989E-2</v>
      </c>
      <c r="J292" s="272">
        <f t="shared" si="67"/>
        <v>-6.4573138828019738E-2</v>
      </c>
      <c r="K292" s="272">
        <f t="shared" si="67"/>
        <v>-6.4573138828019738E-2</v>
      </c>
      <c r="L292" s="272">
        <f t="shared" si="67"/>
        <v>-6.4573138828019738E-2</v>
      </c>
      <c r="M292" s="273"/>
      <c r="T292" s="353"/>
      <c r="U292" s="353"/>
    </row>
    <row r="293" spans="1:21" s="287" customFormat="1" x14ac:dyDescent="0.2">
      <c r="A293" s="2"/>
      <c r="B293" s="277"/>
      <c r="C293" s="155"/>
      <c r="D293" s="155"/>
      <c r="E293" s="155"/>
      <c r="F293" s="155"/>
      <c r="G293" s="155"/>
      <c r="H293" s="155"/>
      <c r="I293" s="155"/>
      <c r="J293" s="155"/>
      <c r="K293" s="155"/>
      <c r="L293" s="155"/>
      <c r="M293" s="273"/>
      <c r="T293" s="353"/>
      <c r="U293" s="353"/>
    </row>
    <row r="294" spans="1:21" s="287" customFormat="1" ht="15" x14ac:dyDescent="0.2">
      <c r="A294" s="2"/>
      <c r="B294" s="66" t="s">
        <v>688</v>
      </c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5"/>
      <c r="T294" s="353"/>
      <c r="U294" s="353"/>
    </row>
    <row r="295" spans="1:21" s="287" customFormat="1" x14ac:dyDescent="0.2">
      <c r="A295" s="2"/>
      <c r="B295" s="179" t="s">
        <v>684</v>
      </c>
      <c r="C295" s="244">
        <f>SUM(C286)+Sheet1!G293</f>
        <v>10038.5</v>
      </c>
      <c r="D295" s="244">
        <f>SUM(D286)+C295</f>
        <v>42694.7</v>
      </c>
      <c r="E295" s="244">
        <f t="shared" ref="E295:L295" si="68">SUM(E286)+D295</f>
        <v>74848.899999999994</v>
      </c>
      <c r="F295" s="244">
        <f t="shared" si="68"/>
        <v>172960.7</v>
      </c>
      <c r="G295" s="244">
        <f t="shared" si="68"/>
        <v>177105.80000000002</v>
      </c>
      <c r="H295" s="244">
        <f t="shared" si="68"/>
        <v>699021.10000000009</v>
      </c>
      <c r="I295" s="244">
        <f t="shared" si="68"/>
        <v>860095.90000000014</v>
      </c>
      <c r="J295" s="244">
        <f t="shared" si="68"/>
        <v>907580.80000000016</v>
      </c>
      <c r="K295" s="244">
        <f t="shared" si="68"/>
        <v>907580.80000000016</v>
      </c>
      <c r="L295" s="244">
        <f t="shared" si="68"/>
        <v>907580.80000000016</v>
      </c>
      <c r="M295" s="205">
        <f>L295</f>
        <v>907580.80000000016</v>
      </c>
      <c r="T295" s="353"/>
      <c r="U295" s="353"/>
    </row>
    <row r="296" spans="1:21" s="287" customFormat="1" x14ac:dyDescent="0.2">
      <c r="A296" s="2"/>
      <c r="B296" s="179" t="s">
        <v>685</v>
      </c>
      <c r="C296" s="244">
        <f>SUM(C275)</f>
        <v>37759</v>
      </c>
      <c r="D296" s="244">
        <f>SUM(D275)+C296</f>
        <v>63373.3</v>
      </c>
      <c r="E296" s="244">
        <f t="shared" ref="E296:L296" si="69">SUM(E275)+D296</f>
        <v>96342.3</v>
      </c>
      <c r="F296" s="244">
        <f t="shared" si="69"/>
        <v>201150.90000000002</v>
      </c>
      <c r="G296" s="244">
        <f t="shared" si="69"/>
        <v>384283.2</v>
      </c>
      <c r="H296" s="244">
        <f t="shared" si="69"/>
        <v>880045.6</v>
      </c>
      <c r="I296" s="244">
        <f t="shared" si="69"/>
        <v>1000717.7999999999</v>
      </c>
      <c r="J296" s="244">
        <f t="shared" si="69"/>
        <v>1063031.7999999998</v>
      </c>
      <c r="K296" s="244">
        <f t="shared" si="69"/>
        <v>1063031.7999999998</v>
      </c>
      <c r="L296" s="244">
        <f t="shared" si="69"/>
        <v>1063031.7999999998</v>
      </c>
      <c r="M296" s="205">
        <f>L296</f>
        <v>1063031.7999999998</v>
      </c>
      <c r="T296" s="353"/>
      <c r="U296" s="353"/>
    </row>
    <row r="297" spans="1:21" s="287" customFormat="1" x14ac:dyDescent="0.2">
      <c r="A297" s="2"/>
      <c r="B297" s="179" t="s">
        <v>687</v>
      </c>
      <c r="C297" s="244">
        <f>C295-C296</f>
        <v>-27720.5</v>
      </c>
      <c r="D297" s="244">
        <f t="shared" ref="D297" si="70">D295-D296</f>
        <v>-20678.600000000006</v>
      </c>
      <c r="E297" s="244">
        <f t="shared" ref="E297" si="71">E295-E296</f>
        <v>-21493.400000000009</v>
      </c>
      <c r="F297" s="244">
        <f t="shared" ref="F297" si="72">F295-F296</f>
        <v>-28190.200000000012</v>
      </c>
      <c r="G297" s="244">
        <f t="shared" ref="G297" si="73">G295-G296</f>
        <v>-207177.4</v>
      </c>
      <c r="H297" s="244">
        <f t="shared" ref="H297" si="74">H295-H296</f>
        <v>-181024.49999999988</v>
      </c>
      <c r="I297" s="244">
        <f t="shared" ref="I297" si="75">I295-I296</f>
        <v>-140621.89999999979</v>
      </c>
      <c r="J297" s="244">
        <f t="shared" ref="J297" si="76">J295-J296</f>
        <v>-155450.99999999965</v>
      </c>
      <c r="K297" s="244">
        <f t="shared" ref="K297" si="77">K295-K296</f>
        <v>-155450.99999999965</v>
      </c>
      <c r="L297" s="244">
        <f t="shared" ref="L297" si="78">L295-L296</f>
        <v>-155450.99999999965</v>
      </c>
      <c r="M297" s="205"/>
      <c r="T297" s="353"/>
      <c r="U297" s="353"/>
    </row>
    <row r="298" spans="1:21" s="287" customFormat="1" x14ac:dyDescent="0.2">
      <c r="A298" s="2"/>
      <c r="B298" s="281" t="s">
        <v>686</v>
      </c>
      <c r="C298" s="272">
        <f>IFERROR(C297/C296,"")</f>
        <v>-0.73414285335946394</v>
      </c>
      <c r="D298" s="272">
        <f t="shared" ref="D298" si="79">IFERROR(D297/D296,"")</f>
        <v>-0.32629829912597269</v>
      </c>
      <c r="E298" s="272">
        <f t="shared" ref="E298" si="80">IFERROR(E297/E296,"")</f>
        <v>-0.22309411338529397</v>
      </c>
      <c r="F298" s="272">
        <f t="shared" ref="F298" si="81">IFERROR(F297/F296,"")</f>
        <v>-0.14014453825461387</v>
      </c>
      <c r="G298" s="272">
        <f t="shared" ref="G298" si="82">IFERROR(G297/G296,"")</f>
        <v>-0.53912687309775709</v>
      </c>
      <c r="H298" s="272">
        <f t="shared" ref="H298" si="83">IFERROR(H297/H296,"")</f>
        <v>-0.20569900014271975</v>
      </c>
      <c r="I298" s="272">
        <f t="shared" ref="I298" si="84">IFERROR(I297/I296,"")</f>
        <v>-0.1405210340017933</v>
      </c>
      <c r="J298" s="272">
        <f t="shared" ref="J298" si="85">IFERROR(J297/J296,"")</f>
        <v>-0.14623363101649423</v>
      </c>
      <c r="K298" s="272">
        <f t="shared" ref="K298" si="86">IFERROR(K297/K296,"")</f>
        <v>-0.14623363101649423</v>
      </c>
      <c r="L298" s="272">
        <f t="shared" ref="L298" si="87">IFERROR(L297/L296,"")</f>
        <v>-0.14623363101649423</v>
      </c>
      <c r="M298" s="273"/>
      <c r="T298" s="353"/>
      <c r="U298" s="353"/>
    </row>
    <row r="299" spans="1:21" s="287" customFormat="1" x14ac:dyDescent="0.2">
      <c r="A299" s="2"/>
      <c r="B299" s="277"/>
      <c r="C299" s="155"/>
      <c r="D299" s="155"/>
      <c r="E299" s="155"/>
      <c r="F299" s="155"/>
      <c r="G299" s="155"/>
      <c r="H299" s="155"/>
      <c r="I299" s="155"/>
      <c r="J299" s="155"/>
      <c r="K299" s="155"/>
      <c r="L299" s="155"/>
      <c r="M299" s="273"/>
      <c r="T299" s="353"/>
      <c r="U299" s="353"/>
    </row>
    <row r="300" spans="1:21" s="287" customFormat="1" ht="15.75" thickBot="1" x14ac:dyDescent="0.25">
      <c r="A300" s="496"/>
      <c r="B300" s="278"/>
      <c r="C300" s="279"/>
      <c r="D300" s="279"/>
      <c r="E300" s="279"/>
      <c r="F300" s="279"/>
      <c r="G300" s="279"/>
      <c r="H300" s="279"/>
      <c r="I300" s="279"/>
      <c r="J300" s="279"/>
      <c r="K300" s="279"/>
      <c r="L300" s="279"/>
      <c r="M300" s="280"/>
      <c r="T300" s="353"/>
      <c r="U300" s="353"/>
    </row>
    <row r="301" spans="1:21" s="287" customFormat="1" ht="13.5" thickBot="1" x14ac:dyDescent="0.25">
      <c r="B301" s="288"/>
      <c r="C301" s="290"/>
      <c r="D301" s="290"/>
      <c r="E301" s="290"/>
      <c r="F301" s="290"/>
      <c r="G301" s="290"/>
      <c r="T301" s="353"/>
      <c r="U301" s="353"/>
    </row>
    <row r="302" spans="1:21" ht="19.5" thickBot="1" x14ac:dyDescent="0.25">
      <c r="A302" s="41"/>
      <c r="B302" s="34" t="s">
        <v>447</v>
      </c>
      <c r="G302" s="292"/>
      <c r="H302" s="292"/>
      <c r="I302" s="338"/>
      <c r="J302" s="180"/>
      <c r="K302" s="180"/>
      <c r="O302" s="291"/>
      <c r="P302" s="291"/>
      <c r="T302" s="353"/>
      <c r="U302" s="353"/>
    </row>
    <row r="303" spans="1:21" ht="38.25" x14ac:dyDescent="0.2">
      <c r="A303" s="169"/>
      <c r="B303" s="283" t="s">
        <v>448</v>
      </c>
      <c r="C303" s="171"/>
      <c r="D303" s="497" t="s">
        <v>450</v>
      </c>
      <c r="E303" s="497"/>
      <c r="F303" s="498"/>
      <c r="G303" s="295"/>
      <c r="H303" s="499" t="s">
        <v>449</v>
      </c>
      <c r="I303" s="500"/>
      <c r="J303" s="180"/>
      <c r="K303" s="242"/>
      <c r="L303" s="343"/>
      <c r="M303" s="343"/>
      <c r="N303" s="315"/>
      <c r="O303" s="291"/>
      <c r="P303" s="291"/>
      <c r="T303" s="353"/>
      <c r="U303" s="353"/>
    </row>
    <row r="304" spans="1:21" x14ac:dyDescent="0.2">
      <c r="A304" s="169"/>
      <c r="B304" s="283" t="s">
        <v>450</v>
      </c>
      <c r="C304" s="235"/>
      <c r="D304" s="501"/>
      <c r="E304" s="501"/>
      <c r="F304" s="502"/>
      <c r="G304" s="295"/>
      <c r="H304" s="503" t="s">
        <v>451</v>
      </c>
      <c r="I304" s="489">
        <v>1</v>
      </c>
      <c r="J304" s="180"/>
      <c r="K304" s="242"/>
      <c r="L304" s="343"/>
      <c r="M304" s="343"/>
      <c r="N304" s="315"/>
      <c r="O304" s="291"/>
      <c r="P304" s="291"/>
      <c r="T304" s="353"/>
      <c r="U304" s="353"/>
    </row>
    <row r="305" spans="1:21" x14ac:dyDescent="0.2">
      <c r="A305" s="169"/>
      <c r="B305" s="283" t="s">
        <v>452</v>
      </c>
      <c r="C305" s="211" t="s">
        <v>613</v>
      </c>
      <c r="D305" s="504" t="s">
        <v>614</v>
      </c>
      <c r="E305" s="504" t="s">
        <v>453</v>
      </c>
      <c r="F305" s="500" t="s">
        <v>454</v>
      </c>
      <c r="G305" s="295"/>
      <c r="H305" s="503" t="s">
        <v>455</v>
      </c>
      <c r="I305" s="489">
        <v>0.9</v>
      </c>
      <c r="J305" s="504" t="s">
        <v>120</v>
      </c>
      <c r="K305" s="504" t="s">
        <v>121</v>
      </c>
      <c r="L305" s="504" t="s">
        <v>122</v>
      </c>
      <c r="M305" s="504" t="s">
        <v>123</v>
      </c>
      <c r="N305" s="315"/>
      <c r="O305" s="291"/>
      <c r="P305" s="291"/>
      <c r="T305" s="353"/>
      <c r="U305" s="353"/>
    </row>
    <row r="306" spans="1:21" x14ac:dyDescent="0.2">
      <c r="A306" s="169"/>
      <c r="B306" s="67" t="s">
        <v>456</v>
      </c>
      <c r="C306" s="301">
        <f>SUM(Sheet1!C385:E387,Sheet1!C391:E391)</f>
        <v>93654.7</v>
      </c>
      <c r="D306" s="236"/>
      <c r="E306" s="301">
        <f t="shared" ref="E306:E311" si="88">D306</f>
        <v>0</v>
      </c>
      <c r="F306" s="505">
        <f t="shared" ref="F306:F311" si="89">D306</f>
        <v>0</v>
      </c>
      <c r="G306" s="295"/>
      <c r="H306" s="503" t="s">
        <v>457</v>
      </c>
      <c r="I306" s="489">
        <v>0.6</v>
      </c>
      <c r="J306" s="236"/>
      <c r="K306" s="236"/>
      <c r="L306" s="236"/>
      <c r="M306" s="236"/>
      <c r="N306" s="315"/>
      <c r="O306" s="291"/>
      <c r="P306" s="291"/>
      <c r="T306" s="353"/>
      <c r="U306" s="353"/>
    </row>
    <row r="307" spans="1:21" x14ac:dyDescent="0.2">
      <c r="A307" s="169"/>
      <c r="B307" s="67" t="s">
        <v>458</v>
      </c>
      <c r="C307" s="301">
        <f>SUM(Sheet1!F385:F387,Sheet1!F391)</f>
        <v>102521</v>
      </c>
      <c r="D307" s="237"/>
      <c r="E307" s="301">
        <f t="shared" si="88"/>
        <v>0</v>
      </c>
      <c r="F307" s="505">
        <f t="shared" si="89"/>
        <v>0</v>
      </c>
      <c r="G307" s="295"/>
      <c r="H307" s="503" t="s">
        <v>459</v>
      </c>
      <c r="I307" s="489">
        <v>1</v>
      </c>
      <c r="J307" s="237"/>
      <c r="K307" s="237"/>
      <c r="L307" s="237"/>
      <c r="M307" s="237"/>
      <c r="N307" s="315"/>
      <c r="O307" s="291"/>
      <c r="P307" s="291"/>
      <c r="T307" s="353"/>
      <c r="U307" s="353"/>
    </row>
    <row r="308" spans="1:21" x14ac:dyDescent="0.2">
      <c r="A308" s="169"/>
      <c r="B308" s="67" t="s">
        <v>460</v>
      </c>
      <c r="C308" s="301">
        <f>SUM(Sheet1!G385:G387,Sheet1!G391)</f>
        <v>153216.79999999999</v>
      </c>
      <c r="D308" s="237"/>
      <c r="E308" s="301">
        <f t="shared" si="88"/>
        <v>0</v>
      </c>
      <c r="F308" s="505">
        <f t="shared" si="89"/>
        <v>0</v>
      </c>
      <c r="G308" s="295"/>
      <c r="H308" s="503" t="s">
        <v>461</v>
      </c>
      <c r="I308" s="489">
        <v>0.9</v>
      </c>
      <c r="J308" s="237"/>
      <c r="K308" s="237"/>
      <c r="L308" s="237"/>
      <c r="M308" s="237"/>
      <c r="N308" s="315"/>
      <c r="O308" s="291"/>
      <c r="P308" s="291"/>
      <c r="T308" s="353"/>
      <c r="U308" s="353"/>
    </row>
    <row r="309" spans="1:21" x14ac:dyDescent="0.2">
      <c r="A309" s="169"/>
      <c r="B309" s="67" t="s">
        <v>462</v>
      </c>
      <c r="C309" s="301">
        <f>SUM(Sheet1!C390:E390,Sheet1!C388:E388)</f>
        <v>2687.6</v>
      </c>
      <c r="D309" s="236"/>
      <c r="E309" s="301">
        <f t="shared" si="88"/>
        <v>0</v>
      </c>
      <c r="F309" s="505">
        <f t="shared" si="89"/>
        <v>0</v>
      </c>
      <c r="G309" s="295"/>
      <c r="H309" s="503" t="s">
        <v>463</v>
      </c>
      <c r="I309" s="489">
        <v>0.75</v>
      </c>
      <c r="J309" s="236"/>
      <c r="K309" s="236"/>
      <c r="L309" s="236"/>
      <c r="M309" s="236"/>
      <c r="N309" s="315"/>
      <c r="O309" s="291"/>
      <c r="P309" s="291"/>
      <c r="T309" s="353"/>
      <c r="U309" s="353"/>
    </row>
    <row r="310" spans="1:21" x14ac:dyDescent="0.2">
      <c r="A310" s="169"/>
      <c r="B310" s="67" t="s">
        <v>464</v>
      </c>
      <c r="C310" s="301">
        <f>Sheet1!F390+Sheet1!F388</f>
        <v>2287.6</v>
      </c>
      <c r="D310" s="237"/>
      <c r="E310" s="301">
        <f t="shared" si="88"/>
        <v>0</v>
      </c>
      <c r="F310" s="505">
        <f t="shared" si="89"/>
        <v>0</v>
      </c>
      <c r="G310" s="295"/>
      <c r="H310" s="503" t="s">
        <v>465</v>
      </c>
      <c r="I310" s="489">
        <v>1</v>
      </c>
      <c r="J310" s="237"/>
      <c r="K310" s="237"/>
      <c r="L310" s="237"/>
      <c r="M310" s="237"/>
      <c r="N310" s="315"/>
      <c r="O310" s="291"/>
      <c r="P310" s="291"/>
      <c r="T310" s="353"/>
      <c r="U310" s="353"/>
    </row>
    <row r="311" spans="1:21" x14ac:dyDescent="0.2">
      <c r="A311" s="169"/>
      <c r="B311" s="67" t="s">
        <v>466</v>
      </c>
      <c r="C311" s="301">
        <f>Sheet1!G390+Sheet1!G388</f>
        <v>29915.5</v>
      </c>
      <c r="D311" s="237"/>
      <c r="E311" s="301">
        <f t="shared" si="88"/>
        <v>0</v>
      </c>
      <c r="F311" s="505">
        <f t="shared" si="89"/>
        <v>0</v>
      </c>
      <c r="G311" s="295"/>
      <c r="H311" s="503" t="s">
        <v>467</v>
      </c>
      <c r="I311" s="489">
        <v>0.5</v>
      </c>
      <c r="J311" s="237"/>
      <c r="K311" s="237"/>
      <c r="L311" s="237"/>
      <c r="M311" s="237"/>
      <c r="N311" s="315"/>
      <c r="O311" s="291"/>
      <c r="P311" s="291"/>
      <c r="T311" s="353"/>
      <c r="U311" s="353"/>
    </row>
    <row r="312" spans="1:21" x14ac:dyDescent="0.2">
      <c r="A312" s="169"/>
      <c r="B312" s="67" t="s">
        <v>468</v>
      </c>
      <c r="C312" s="301">
        <f>SUM(Sheet1!C389:E389)</f>
        <v>0</v>
      </c>
      <c r="D312" s="237"/>
      <c r="E312" s="301">
        <f>D312*I$311</f>
        <v>0</v>
      </c>
      <c r="F312" s="505">
        <f>D312*I$312</f>
        <v>0</v>
      </c>
      <c r="G312" s="295"/>
      <c r="H312" s="503" t="s">
        <v>469</v>
      </c>
      <c r="I312" s="489">
        <v>0</v>
      </c>
      <c r="J312" s="237"/>
      <c r="K312" s="237"/>
      <c r="L312" s="237"/>
      <c r="M312" s="237"/>
      <c r="N312" s="315"/>
      <c r="O312" s="291"/>
      <c r="P312" s="291"/>
      <c r="T312" s="353"/>
      <c r="U312" s="353"/>
    </row>
    <row r="313" spans="1:21" x14ac:dyDescent="0.2">
      <c r="A313" s="169"/>
      <c r="B313" s="67" t="s">
        <v>470</v>
      </c>
      <c r="C313" s="301">
        <f>Sheet1!F389</f>
        <v>0</v>
      </c>
      <c r="D313" s="237"/>
      <c r="E313" s="301">
        <f>D313*I$311</f>
        <v>0</v>
      </c>
      <c r="F313" s="505">
        <f>D313*I$312</f>
        <v>0</v>
      </c>
      <c r="G313" s="295"/>
      <c r="H313" s="503" t="s">
        <v>471</v>
      </c>
      <c r="I313" s="489">
        <v>1</v>
      </c>
      <c r="J313" s="237"/>
      <c r="K313" s="237"/>
      <c r="L313" s="237"/>
      <c r="M313" s="237"/>
      <c r="N313" s="315"/>
      <c r="O313" s="291"/>
      <c r="P313" s="291"/>
      <c r="T313" s="353"/>
      <c r="U313" s="353"/>
    </row>
    <row r="314" spans="1:21" x14ac:dyDescent="0.2">
      <c r="A314" s="169"/>
      <c r="B314" s="67" t="s">
        <v>472</v>
      </c>
      <c r="C314" s="301">
        <f>Sheet1!G389</f>
        <v>0</v>
      </c>
      <c r="D314" s="237"/>
      <c r="E314" s="301">
        <f>D314*I$311</f>
        <v>0</v>
      </c>
      <c r="F314" s="505">
        <f>D314*I$312</f>
        <v>0</v>
      </c>
      <c r="G314" s="295"/>
      <c r="H314" s="503" t="s">
        <v>473</v>
      </c>
      <c r="I314" s="489">
        <v>1</v>
      </c>
      <c r="J314" s="237"/>
      <c r="K314" s="237"/>
      <c r="L314" s="237"/>
      <c r="M314" s="237"/>
      <c r="N314" s="315"/>
      <c r="O314" s="291"/>
      <c r="P314" s="291"/>
      <c r="T314" s="353"/>
      <c r="U314" s="353"/>
    </row>
    <row r="315" spans="1:21" x14ac:dyDescent="0.2">
      <c r="A315" s="169"/>
      <c r="B315" s="67" t="s">
        <v>474</v>
      </c>
      <c r="C315" s="301">
        <f>SUM(Sheet1!C396:E399,Sheet1!C401:E401)</f>
        <v>64810.400000000001</v>
      </c>
      <c r="D315" s="237"/>
      <c r="E315" s="301">
        <f>D315*I$305</f>
        <v>0</v>
      </c>
      <c r="F315" s="505">
        <f>D315*I$306</f>
        <v>0</v>
      </c>
      <c r="G315" s="295"/>
      <c r="H315" s="503" t="s">
        <v>475</v>
      </c>
      <c r="I315" s="489">
        <v>0.5</v>
      </c>
      <c r="J315" s="237"/>
      <c r="K315" s="237"/>
      <c r="L315" s="237"/>
      <c r="M315" s="237"/>
      <c r="N315" s="315"/>
      <c r="O315" s="291"/>
      <c r="P315" s="291"/>
      <c r="T315" s="353"/>
      <c r="U315" s="353"/>
    </row>
    <row r="316" spans="1:21" x14ac:dyDescent="0.2">
      <c r="A316" s="169"/>
      <c r="B316" s="67" t="s">
        <v>476</v>
      </c>
      <c r="C316" s="301">
        <f>SUM(Sheet1!F396:F399,Sheet1!F401)</f>
        <v>98111.8</v>
      </c>
      <c r="D316" s="237"/>
      <c r="E316" s="301">
        <f>D316*I$305</f>
        <v>0</v>
      </c>
      <c r="F316" s="505">
        <f>D316*I$306</f>
        <v>0</v>
      </c>
      <c r="G316" s="295"/>
      <c r="H316" s="503" t="s">
        <v>477</v>
      </c>
      <c r="I316" s="489">
        <v>1</v>
      </c>
      <c r="J316" s="237"/>
      <c r="K316" s="237"/>
      <c r="L316" s="237"/>
      <c r="M316" s="237"/>
      <c r="N316" s="315"/>
      <c r="O316" s="291"/>
      <c r="P316" s="291"/>
      <c r="T316" s="353"/>
      <c r="U316" s="353"/>
    </row>
    <row r="317" spans="1:21" x14ac:dyDescent="0.2">
      <c r="A317" s="169"/>
      <c r="B317" s="67" t="s">
        <v>478</v>
      </c>
      <c r="C317" s="301">
        <f>SUM(Sheet1!G396:G399,Sheet1!G401)</f>
        <v>4145.1000000000004</v>
      </c>
      <c r="D317" s="237"/>
      <c r="E317" s="301">
        <f>D317*I$305</f>
        <v>0</v>
      </c>
      <c r="F317" s="505">
        <f>D317*I$306</f>
        <v>0</v>
      </c>
      <c r="G317" s="295"/>
      <c r="H317" s="503" t="s">
        <v>479</v>
      </c>
      <c r="I317" s="489">
        <v>0.5</v>
      </c>
      <c r="J317" s="237"/>
      <c r="K317" s="237"/>
      <c r="L317" s="237"/>
      <c r="M317" s="237"/>
      <c r="N317" s="315"/>
      <c r="O317" s="291"/>
      <c r="P317" s="291"/>
      <c r="T317" s="353"/>
      <c r="U317" s="353"/>
    </row>
    <row r="318" spans="1:21" ht="13.5" thickBot="1" x14ac:dyDescent="0.25">
      <c r="A318" s="169"/>
      <c r="B318" s="67" t="s">
        <v>480</v>
      </c>
      <c r="C318" s="301">
        <f>SUM(Sheet1!C400:E400)</f>
        <v>0</v>
      </c>
      <c r="D318" s="237"/>
      <c r="E318" s="301">
        <f>D318*I$308</f>
        <v>0</v>
      </c>
      <c r="F318" s="505">
        <f>D318*I$309</f>
        <v>0</v>
      </c>
      <c r="G318" s="295"/>
      <c r="H318" s="506" t="s">
        <v>481</v>
      </c>
      <c r="I318" s="507">
        <v>0</v>
      </c>
      <c r="J318" s="237"/>
      <c r="K318" s="237"/>
      <c r="L318" s="237"/>
      <c r="M318" s="237"/>
      <c r="N318" s="315"/>
      <c r="O318" s="291"/>
      <c r="P318" s="291"/>
      <c r="T318" s="353"/>
      <c r="U318" s="353"/>
    </row>
    <row r="319" spans="1:21" x14ac:dyDescent="0.2">
      <c r="A319" s="169"/>
      <c r="B319" s="67" t="s">
        <v>482</v>
      </c>
      <c r="C319" s="301">
        <f>Sheet1!F400</f>
        <v>0</v>
      </c>
      <c r="D319" s="237"/>
      <c r="E319" s="301">
        <f>D319*I$308</f>
        <v>0</v>
      </c>
      <c r="F319" s="505">
        <f>D319*I$309</f>
        <v>0</v>
      </c>
      <c r="G319" s="295"/>
      <c r="H319" s="295"/>
      <c r="I319" s="295"/>
      <c r="J319" s="237"/>
      <c r="K319" s="237"/>
      <c r="L319" s="237"/>
      <c r="M319" s="237"/>
      <c r="N319" s="315"/>
      <c r="O319" s="291"/>
      <c r="P319" s="291"/>
      <c r="T319" s="353"/>
      <c r="U319" s="353"/>
    </row>
    <row r="320" spans="1:21" x14ac:dyDescent="0.2">
      <c r="A320" s="169"/>
      <c r="B320" s="67" t="s">
        <v>483</v>
      </c>
      <c r="C320" s="301">
        <f>Sheet1!G400</f>
        <v>0</v>
      </c>
      <c r="D320" s="237"/>
      <c r="E320" s="301">
        <f>D320*I$308</f>
        <v>0</v>
      </c>
      <c r="F320" s="505">
        <f>D320*I$309</f>
        <v>0</v>
      </c>
      <c r="G320" s="295"/>
      <c r="H320" s="295"/>
      <c r="I320" s="295"/>
      <c r="J320" s="237"/>
      <c r="K320" s="237"/>
      <c r="L320" s="237"/>
      <c r="M320" s="237"/>
      <c r="N320" s="315"/>
      <c r="O320" s="291"/>
      <c r="P320" s="291"/>
      <c r="T320" s="353"/>
      <c r="U320" s="353"/>
    </row>
    <row r="321" spans="1:21" x14ac:dyDescent="0.2">
      <c r="A321" s="169"/>
      <c r="B321" s="67" t="s">
        <v>484</v>
      </c>
      <c r="C321" s="236">
        <f>G62</f>
        <v>96846.200000000012</v>
      </c>
      <c r="D321" s="237"/>
      <c r="E321" s="301">
        <f>D321</f>
        <v>0</v>
      </c>
      <c r="F321" s="505">
        <f>D321</f>
        <v>0</v>
      </c>
      <c r="G321" s="295"/>
      <c r="H321" s="295"/>
      <c r="I321" s="295"/>
      <c r="J321" s="237"/>
      <c r="K321" s="237"/>
      <c r="L321" s="237"/>
      <c r="M321" s="237"/>
      <c r="N321" s="315"/>
      <c r="O321" s="291"/>
      <c r="P321" s="291"/>
      <c r="T321" s="353"/>
      <c r="U321" s="353"/>
    </row>
    <row r="322" spans="1:21" x14ac:dyDescent="0.2">
      <c r="A322" s="169"/>
      <c r="B322" s="67" t="s">
        <v>485</v>
      </c>
      <c r="C322" s="237">
        <f>Sheet1!G287</f>
        <v>0</v>
      </c>
      <c r="D322" s="237"/>
      <c r="E322" s="301">
        <f>D322</f>
        <v>0</v>
      </c>
      <c r="F322" s="505">
        <f>D322</f>
        <v>0</v>
      </c>
      <c r="G322" s="295"/>
      <c r="H322" s="295"/>
      <c r="I322" s="295"/>
      <c r="J322" s="237"/>
      <c r="K322" s="237"/>
      <c r="L322" s="237"/>
      <c r="M322" s="237"/>
      <c r="N322" s="315"/>
      <c r="O322" s="291"/>
      <c r="P322" s="291"/>
      <c r="T322" s="353"/>
      <c r="U322" s="353"/>
    </row>
    <row r="323" spans="1:21" x14ac:dyDescent="0.2">
      <c r="A323" s="169"/>
      <c r="B323" s="67" t="s">
        <v>486</v>
      </c>
      <c r="C323" s="237"/>
      <c r="D323" s="237"/>
      <c r="E323" s="301">
        <f>D323</f>
        <v>0</v>
      </c>
      <c r="F323" s="505">
        <f>D323</f>
        <v>0</v>
      </c>
      <c r="G323" s="295"/>
      <c r="H323" s="295"/>
      <c r="I323" s="295"/>
      <c r="J323" s="237"/>
      <c r="K323" s="237"/>
      <c r="L323" s="237"/>
      <c r="M323" s="237"/>
      <c r="N323" s="315"/>
      <c r="O323" s="291"/>
      <c r="P323" s="291"/>
      <c r="T323" s="353"/>
      <c r="U323" s="353"/>
    </row>
    <row r="324" spans="1:21" x14ac:dyDescent="0.2">
      <c r="A324" s="169"/>
      <c r="B324" s="67" t="s">
        <v>487</v>
      </c>
      <c r="C324" s="237"/>
      <c r="D324" s="237"/>
      <c r="E324" s="301">
        <f>D324*I314</f>
        <v>0</v>
      </c>
      <c r="F324" s="505">
        <f>D324*I315</f>
        <v>0</v>
      </c>
      <c r="G324" s="295"/>
      <c r="H324" s="508"/>
      <c r="I324" s="508"/>
      <c r="J324" s="237"/>
      <c r="K324" s="237"/>
      <c r="L324" s="237"/>
      <c r="M324" s="237"/>
      <c r="N324" s="315"/>
      <c r="O324" s="291"/>
      <c r="P324" s="291"/>
      <c r="T324" s="353"/>
      <c r="U324" s="353"/>
    </row>
    <row r="325" spans="1:21" x14ac:dyDescent="0.2">
      <c r="A325" s="169"/>
      <c r="B325" s="67" t="s">
        <v>488</v>
      </c>
      <c r="C325" s="238"/>
      <c r="D325" s="238"/>
      <c r="E325" s="301">
        <f>D325*I317</f>
        <v>0</v>
      </c>
      <c r="F325" s="505">
        <f>D325*I318</f>
        <v>0</v>
      </c>
      <c r="G325" s="295"/>
      <c r="H325" s="508"/>
      <c r="I325" s="508"/>
      <c r="J325" s="238"/>
      <c r="K325" s="238"/>
      <c r="L325" s="238"/>
      <c r="M325" s="238"/>
      <c r="N325" s="315"/>
      <c r="O325" s="291"/>
      <c r="P325" s="291"/>
      <c r="T325" s="353"/>
      <c r="U325" s="353"/>
    </row>
    <row r="326" spans="1:21" x14ac:dyDescent="0.2">
      <c r="A326" s="169"/>
      <c r="B326" s="283"/>
      <c r="C326" s="211"/>
      <c r="D326" s="504"/>
      <c r="E326" s="504"/>
      <c r="F326" s="500"/>
      <c r="G326" s="295"/>
      <c r="H326" s="508"/>
      <c r="I326" s="508"/>
      <c r="J326" s="301"/>
      <c r="K326" s="509"/>
      <c r="L326" s="343"/>
      <c r="M326" s="343"/>
      <c r="N326" s="315"/>
      <c r="O326" s="291"/>
      <c r="P326" s="291"/>
      <c r="T326" s="353"/>
      <c r="U326" s="353"/>
    </row>
    <row r="327" spans="1:21" x14ac:dyDescent="0.2">
      <c r="A327" s="84"/>
      <c r="B327" s="179"/>
      <c r="C327" s="151"/>
      <c r="D327" s="301"/>
      <c r="E327" s="301"/>
      <c r="F327" s="505"/>
      <c r="G327" s="295"/>
      <c r="H327" s="508"/>
      <c r="I327" s="508"/>
      <c r="J327" s="301"/>
      <c r="K327" s="509"/>
      <c r="L327" s="343"/>
      <c r="M327" s="343"/>
      <c r="N327" s="315"/>
      <c r="O327" s="291"/>
      <c r="P327" s="291"/>
      <c r="T327" s="353"/>
      <c r="U327" s="353"/>
    </row>
    <row r="328" spans="1:21" x14ac:dyDescent="0.2">
      <c r="A328" s="84"/>
      <c r="B328" s="179" t="s">
        <v>489</v>
      </c>
      <c r="C328" s="151">
        <f>C315+C318-C306-C309-C312+C321+C322+C323+C324+(C325*I316)</f>
        <v>65314.300000000017</v>
      </c>
      <c r="D328" s="301">
        <f>D315+D318-D306-D309-D312+D321+D322+D323+D324+(D325*I316)</f>
        <v>0</v>
      </c>
      <c r="E328" s="301">
        <f>E315+E318-E306-E309-E312+E321+E322+E323+E324+(E325)</f>
        <v>0</v>
      </c>
      <c r="F328" s="505">
        <f>F315+F318-F306-F309-F312+F321+F322+F323+F324+E407+E407+(F325)</f>
        <v>0</v>
      </c>
      <c r="G328" s="295"/>
      <c r="H328" s="508"/>
      <c r="I328" s="508"/>
      <c r="J328" s="301">
        <f>J315+J318-J306-J309-J312+J321+J322+J323+J324+I407+I407+(J325*P316)</f>
        <v>0</v>
      </c>
      <c r="K328" s="301">
        <f t="shared" ref="K328:M328" si="90">K315+K318-K306-K309-K312+K321+K322+K323+K324+J407+J407+(K325*Q316)</f>
        <v>0</v>
      </c>
      <c r="L328" s="301">
        <f t="shared" si="90"/>
        <v>0</v>
      </c>
      <c r="M328" s="301">
        <f t="shared" si="90"/>
        <v>0</v>
      </c>
      <c r="N328" s="315"/>
      <c r="O328" s="291"/>
      <c r="P328" s="291"/>
      <c r="T328" s="353"/>
      <c r="U328" s="353"/>
    </row>
    <row r="329" spans="1:21" x14ac:dyDescent="0.2">
      <c r="A329" s="84"/>
      <c r="B329" s="179" t="s">
        <v>490</v>
      </c>
      <c r="C329" s="151">
        <f>C316+C319-C307-C310-C313</f>
        <v>-6696.7999999999975</v>
      </c>
      <c r="D329" s="301">
        <f>D316+D319-D307-D310-D313</f>
        <v>0</v>
      </c>
      <c r="E329" s="301">
        <f>E316+E319-E307-E310-E312</f>
        <v>0</v>
      </c>
      <c r="F329" s="505">
        <f>F316+F319-F307-F310-F312</f>
        <v>0</v>
      </c>
      <c r="G329" s="295"/>
      <c r="H329" s="508"/>
      <c r="I329" s="508"/>
      <c r="J329" s="301">
        <f>J316+J319-J307-J310-J313</f>
        <v>0</v>
      </c>
      <c r="K329" s="301">
        <f t="shared" ref="K329:M329" si="91">K316+K319-K307-K310-K313</f>
        <v>0</v>
      </c>
      <c r="L329" s="301">
        <f t="shared" si="91"/>
        <v>0</v>
      </c>
      <c r="M329" s="301">
        <f t="shared" si="91"/>
        <v>0</v>
      </c>
      <c r="N329" s="315"/>
      <c r="O329" s="291"/>
      <c r="P329" s="291"/>
      <c r="T329" s="353"/>
      <c r="U329" s="353"/>
    </row>
    <row r="330" spans="1:21" x14ac:dyDescent="0.2">
      <c r="A330" s="84"/>
      <c r="B330" s="179" t="s">
        <v>491</v>
      </c>
      <c r="C330" s="151">
        <f>C317+C320-C308-C311-C314</f>
        <v>-178987.19999999998</v>
      </c>
      <c r="D330" s="301">
        <f>D317+D320-D308-D311-D314</f>
        <v>0</v>
      </c>
      <c r="E330" s="301">
        <f>E317+E320-E308-E311-E314</f>
        <v>0</v>
      </c>
      <c r="F330" s="505">
        <f>F317+F320-F308-F311-F314</f>
        <v>0</v>
      </c>
      <c r="G330" s="295"/>
      <c r="H330" s="508"/>
      <c r="I330" s="508"/>
      <c r="J330" s="301">
        <f>J317+J320-J308-J311-J314</f>
        <v>0</v>
      </c>
      <c r="K330" s="301">
        <f t="shared" ref="K330:M330" si="92">K317+K320-K308-K311-K314</f>
        <v>0</v>
      </c>
      <c r="L330" s="301">
        <f t="shared" si="92"/>
        <v>0</v>
      </c>
      <c r="M330" s="301">
        <f t="shared" si="92"/>
        <v>0</v>
      </c>
      <c r="N330" s="315"/>
      <c r="O330" s="291"/>
      <c r="P330" s="291"/>
      <c r="T330" s="353"/>
      <c r="U330" s="353"/>
    </row>
    <row r="331" spans="1:21" x14ac:dyDescent="0.2">
      <c r="A331" s="84"/>
      <c r="B331" s="179" t="s">
        <v>492</v>
      </c>
      <c r="C331" s="151">
        <f t="shared" ref="C331:D333" si="93">C328/(C306+C309+C312)</f>
        <v>0.67794001181204944</v>
      </c>
      <c r="D331" s="301" t="e">
        <f t="shared" si="93"/>
        <v>#DIV/0!</v>
      </c>
      <c r="E331" s="301" t="e">
        <f t="shared" ref="E331:F333" si="94">E328/(E306+E309+E312)</f>
        <v>#DIV/0!</v>
      </c>
      <c r="F331" s="489" t="e">
        <f t="shared" si="94"/>
        <v>#DIV/0!</v>
      </c>
      <c r="G331" s="295"/>
      <c r="H331" s="508"/>
      <c r="I331" s="508"/>
      <c r="J331" s="301" t="e">
        <f t="shared" ref="J331:M331" si="95">J328/(J306+J309+J312)</f>
        <v>#DIV/0!</v>
      </c>
      <c r="K331" s="301" t="e">
        <f t="shared" si="95"/>
        <v>#DIV/0!</v>
      </c>
      <c r="L331" s="301" t="e">
        <f t="shared" si="95"/>
        <v>#DIV/0!</v>
      </c>
      <c r="M331" s="301" t="e">
        <f t="shared" si="95"/>
        <v>#DIV/0!</v>
      </c>
      <c r="N331" s="315"/>
      <c r="O331" s="291"/>
      <c r="P331" s="291"/>
      <c r="T331" s="353"/>
      <c r="U331" s="353"/>
    </row>
    <row r="332" spans="1:21" x14ac:dyDescent="0.2">
      <c r="A332" s="84"/>
      <c r="B332" s="179" t="s">
        <v>493</v>
      </c>
      <c r="C332" s="151">
        <f t="shared" si="93"/>
        <v>-6.3895520024120134E-2</v>
      </c>
      <c r="D332" s="301" t="e">
        <f t="shared" si="93"/>
        <v>#DIV/0!</v>
      </c>
      <c r="E332" s="301" t="e">
        <f t="shared" si="94"/>
        <v>#DIV/0!</v>
      </c>
      <c r="F332" s="489" t="e">
        <f t="shared" si="94"/>
        <v>#DIV/0!</v>
      </c>
      <c r="G332" s="295"/>
      <c r="H332" s="508"/>
      <c r="I332" s="508"/>
      <c r="J332" s="301" t="e">
        <f t="shared" ref="J332:M332" si="96">J329/(J307+J310+J313)</f>
        <v>#DIV/0!</v>
      </c>
      <c r="K332" s="301" t="e">
        <f t="shared" si="96"/>
        <v>#DIV/0!</v>
      </c>
      <c r="L332" s="301" t="e">
        <f t="shared" si="96"/>
        <v>#DIV/0!</v>
      </c>
      <c r="M332" s="301" t="e">
        <f t="shared" si="96"/>
        <v>#DIV/0!</v>
      </c>
      <c r="N332" s="315"/>
      <c r="O332" s="291"/>
      <c r="P332" s="291"/>
      <c r="T332" s="353"/>
      <c r="U332" s="353"/>
    </row>
    <row r="333" spans="1:21" x14ac:dyDescent="0.2">
      <c r="A333" s="84"/>
      <c r="B333" s="179" t="s">
        <v>494</v>
      </c>
      <c r="C333" s="151">
        <f t="shared" si="93"/>
        <v>-0.97736554392644004</v>
      </c>
      <c r="D333" s="301" t="e">
        <f t="shared" si="93"/>
        <v>#DIV/0!</v>
      </c>
      <c r="E333" s="301" t="e">
        <f t="shared" si="94"/>
        <v>#DIV/0!</v>
      </c>
      <c r="F333" s="489" t="e">
        <f t="shared" si="94"/>
        <v>#DIV/0!</v>
      </c>
      <c r="G333" s="295"/>
      <c r="H333" s="508"/>
      <c r="I333" s="508"/>
      <c r="J333" s="301" t="e">
        <f t="shared" ref="J333:M333" si="97">J330/(J308+J311+J314)</f>
        <v>#DIV/0!</v>
      </c>
      <c r="K333" s="301" t="e">
        <f t="shared" si="97"/>
        <v>#DIV/0!</v>
      </c>
      <c r="L333" s="301" t="e">
        <f t="shared" si="97"/>
        <v>#DIV/0!</v>
      </c>
      <c r="M333" s="301" t="e">
        <f t="shared" si="97"/>
        <v>#DIV/0!</v>
      </c>
      <c r="N333" s="315"/>
      <c r="O333" s="291"/>
      <c r="P333" s="291"/>
      <c r="T333" s="353"/>
      <c r="U333" s="353"/>
    </row>
    <row r="334" spans="1:21" x14ac:dyDescent="0.2">
      <c r="A334" s="84"/>
      <c r="B334" s="179"/>
      <c r="C334" s="151"/>
      <c r="D334" s="301"/>
      <c r="E334" s="301"/>
      <c r="F334" s="489"/>
      <c r="G334" s="295"/>
      <c r="H334" s="508"/>
      <c r="I334" s="508"/>
      <c r="J334" s="301"/>
      <c r="K334" s="301"/>
      <c r="L334" s="301"/>
      <c r="M334" s="301"/>
      <c r="N334" s="315"/>
      <c r="O334" s="291"/>
      <c r="P334" s="291"/>
      <c r="T334" s="353"/>
      <c r="U334" s="353"/>
    </row>
    <row r="335" spans="1:21" x14ac:dyDescent="0.2">
      <c r="A335" s="84"/>
      <c r="B335" s="179" t="s">
        <v>495</v>
      </c>
      <c r="C335" s="151">
        <f t="shared" ref="C335" si="98">C328</f>
        <v>65314.300000000017</v>
      </c>
      <c r="D335" s="301">
        <f t="shared" ref="D335:F335" si="99">D328</f>
        <v>0</v>
      </c>
      <c r="E335" s="301">
        <f t="shared" si="99"/>
        <v>0</v>
      </c>
      <c r="F335" s="505">
        <f t="shared" si="99"/>
        <v>0</v>
      </c>
      <c r="G335" s="295"/>
      <c r="H335" s="508"/>
      <c r="I335" s="508"/>
      <c r="J335" s="301">
        <f t="shared" ref="J335:M335" si="100">J328</f>
        <v>0</v>
      </c>
      <c r="K335" s="301">
        <f t="shared" si="100"/>
        <v>0</v>
      </c>
      <c r="L335" s="301">
        <f t="shared" si="100"/>
        <v>0</v>
      </c>
      <c r="M335" s="301">
        <f t="shared" si="100"/>
        <v>0</v>
      </c>
      <c r="N335" s="315"/>
      <c r="O335" s="291"/>
      <c r="P335" s="291"/>
      <c r="T335" s="353"/>
      <c r="U335" s="353"/>
    </row>
    <row r="336" spans="1:21" x14ac:dyDescent="0.2">
      <c r="A336" s="84"/>
      <c r="B336" s="179" t="s">
        <v>496</v>
      </c>
      <c r="C336" s="151">
        <f t="shared" ref="C336" si="101">C335+C329</f>
        <v>58617.500000000022</v>
      </c>
      <c r="D336" s="301">
        <f t="shared" ref="D336:F337" si="102">D335+D329</f>
        <v>0</v>
      </c>
      <c r="E336" s="301">
        <f t="shared" si="102"/>
        <v>0</v>
      </c>
      <c r="F336" s="505">
        <f t="shared" si="102"/>
        <v>0</v>
      </c>
      <c r="G336" s="295"/>
      <c r="H336" s="508"/>
      <c r="I336" s="508"/>
      <c r="J336" s="301">
        <f t="shared" ref="J336:M337" si="103">J335+J329</f>
        <v>0</v>
      </c>
      <c r="K336" s="301">
        <f t="shared" si="103"/>
        <v>0</v>
      </c>
      <c r="L336" s="301">
        <f t="shared" si="103"/>
        <v>0</v>
      </c>
      <c r="M336" s="301">
        <f t="shared" si="103"/>
        <v>0</v>
      </c>
      <c r="N336" s="315"/>
      <c r="O336" s="291"/>
      <c r="P336" s="291"/>
      <c r="T336" s="353"/>
      <c r="U336" s="353"/>
    </row>
    <row r="337" spans="1:21" x14ac:dyDescent="0.2">
      <c r="A337" s="84"/>
      <c r="B337" s="179" t="s">
        <v>497</v>
      </c>
      <c r="C337" s="151">
        <f t="shared" ref="C337" si="104">C336+C330</f>
        <v>-120369.69999999995</v>
      </c>
      <c r="D337" s="301">
        <f t="shared" si="102"/>
        <v>0</v>
      </c>
      <c r="E337" s="301">
        <f t="shared" si="102"/>
        <v>0</v>
      </c>
      <c r="F337" s="505">
        <f t="shared" si="102"/>
        <v>0</v>
      </c>
      <c r="G337" s="295"/>
      <c r="H337" s="508"/>
      <c r="I337" s="508"/>
      <c r="J337" s="301">
        <f t="shared" si="103"/>
        <v>0</v>
      </c>
      <c r="K337" s="301">
        <f t="shared" si="103"/>
        <v>0</v>
      </c>
      <c r="L337" s="301">
        <f t="shared" si="103"/>
        <v>0</v>
      </c>
      <c r="M337" s="301">
        <f t="shared" si="103"/>
        <v>0</v>
      </c>
      <c r="N337" s="315"/>
      <c r="O337" s="291"/>
      <c r="P337" s="291"/>
      <c r="T337" s="353"/>
      <c r="U337" s="353"/>
    </row>
    <row r="338" spans="1:21" x14ac:dyDescent="0.2">
      <c r="A338" s="84"/>
      <c r="B338" s="179" t="s">
        <v>498</v>
      </c>
      <c r="C338" s="151">
        <f>C306+C309+C312</f>
        <v>96342.3</v>
      </c>
      <c r="D338" s="301">
        <f>D306+D309+D312</f>
        <v>0</v>
      </c>
      <c r="E338" s="301">
        <f t="shared" ref="E338:F338" si="105">E306+E309+E312</f>
        <v>0</v>
      </c>
      <c r="F338" s="505">
        <f t="shared" si="105"/>
        <v>0</v>
      </c>
      <c r="G338" s="295"/>
      <c r="H338" s="508"/>
      <c r="I338" s="508"/>
      <c r="J338" s="301">
        <f>J306+J309+J312</f>
        <v>0</v>
      </c>
      <c r="K338" s="301">
        <f t="shared" ref="K338:M338" si="106">K306+K309+K312</f>
        <v>0</v>
      </c>
      <c r="L338" s="301">
        <f t="shared" si="106"/>
        <v>0</v>
      </c>
      <c r="M338" s="301">
        <f t="shared" si="106"/>
        <v>0</v>
      </c>
      <c r="N338" s="315"/>
      <c r="O338" s="291"/>
      <c r="P338" s="291"/>
      <c r="T338" s="353"/>
      <c r="U338" s="353"/>
    </row>
    <row r="339" spans="1:21" x14ac:dyDescent="0.2">
      <c r="A339" s="84"/>
      <c r="B339" s="179" t="s">
        <v>499</v>
      </c>
      <c r="C339" s="151">
        <f>C338+C307+C310+C313</f>
        <v>201150.9</v>
      </c>
      <c r="D339" s="301">
        <f>D338+D307+D310+D313</f>
        <v>0</v>
      </c>
      <c r="E339" s="301">
        <f t="shared" ref="E339:F340" si="107">E338+E307+E310+E313</f>
        <v>0</v>
      </c>
      <c r="F339" s="505">
        <f t="shared" si="107"/>
        <v>0</v>
      </c>
      <c r="G339" s="295"/>
      <c r="H339" s="508"/>
      <c r="I339" s="508"/>
      <c r="J339" s="301">
        <f>J338+J307+J310+J313</f>
        <v>0</v>
      </c>
      <c r="K339" s="301">
        <f t="shared" ref="K339:M339" si="108">K338+K307+K310+K313</f>
        <v>0</v>
      </c>
      <c r="L339" s="301">
        <f t="shared" si="108"/>
        <v>0</v>
      </c>
      <c r="M339" s="301">
        <f t="shared" si="108"/>
        <v>0</v>
      </c>
      <c r="N339" s="315"/>
      <c r="O339" s="291"/>
      <c r="P339" s="291"/>
      <c r="T339" s="353"/>
      <c r="U339" s="353"/>
    </row>
    <row r="340" spans="1:21" x14ac:dyDescent="0.2">
      <c r="A340" s="84"/>
      <c r="B340" s="179" t="s">
        <v>500</v>
      </c>
      <c r="C340" s="151">
        <f>C339+C308+C311+C314</f>
        <v>384283.19999999995</v>
      </c>
      <c r="D340" s="301">
        <f>D339+D308+D311+D314</f>
        <v>0</v>
      </c>
      <c r="E340" s="301">
        <f t="shared" si="107"/>
        <v>0</v>
      </c>
      <c r="F340" s="505">
        <f t="shared" si="107"/>
        <v>0</v>
      </c>
      <c r="G340" s="295"/>
      <c r="H340" s="295"/>
      <c r="I340" s="295"/>
      <c r="J340" s="301">
        <f>J339+J308+J311+J314</f>
        <v>0</v>
      </c>
      <c r="K340" s="301">
        <f t="shared" ref="K340:M340" si="109">K339+K308+K311+K314</f>
        <v>0</v>
      </c>
      <c r="L340" s="301">
        <f t="shared" si="109"/>
        <v>0</v>
      </c>
      <c r="M340" s="301">
        <f t="shared" si="109"/>
        <v>0</v>
      </c>
      <c r="N340" s="315"/>
      <c r="O340" s="291"/>
      <c r="P340" s="291"/>
      <c r="T340" s="353"/>
      <c r="U340" s="353"/>
    </row>
    <row r="341" spans="1:21" x14ac:dyDescent="0.2">
      <c r="A341" s="84"/>
      <c r="B341" s="179"/>
      <c r="C341" s="151"/>
      <c r="D341" s="301"/>
      <c r="E341" s="301"/>
      <c r="F341" s="505"/>
      <c r="G341" s="295"/>
      <c r="H341" s="295"/>
      <c r="I341" s="295"/>
      <c r="J341" s="301"/>
      <c r="K341" s="301"/>
      <c r="L341" s="301"/>
      <c r="M341" s="301"/>
      <c r="N341" s="315"/>
      <c r="O341" s="291"/>
      <c r="P341" s="291"/>
      <c r="T341" s="353"/>
      <c r="U341" s="353"/>
    </row>
    <row r="342" spans="1:21" ht="25.5" x14ac:dyDescent="0.2">
      <c r="A342" s="84"/>
      <c r="B342" s="179" t="s">
        <v>672</v>
      </c>
      <c r="C342" s="151">
        <f t="shared" ref="C342" si="110">C335/C338</f>
        <v>0.67794001181204944</v>
      </c>
      <c r="D342" s="301" t="e">
        <f t="shared" ref="D342:F344" si="111">D335/D338</f>
        <v>#DIV/0!</v>
      </c>
      <c r="E342" s="301" t="e">
        <f t="shared" si="111"/>
        <v>#DIV/0!</v>
      </c>
      <c r="F342" s="489" t="e">
        <f t="shared" si="111"/>
        <v>#DIV/0!</v>
      </c>
      <c r="G342" s="295"/>
      <c r="H342" s="295"/>
      <c r="I342" s="295"/>
      <c r="J342" s="301" t="e">
        <f t="shared" ref="J342:M344" si="112">J335/J338</f>
        <v>#DIV/0!</v>
      </c>
      <c r="K342" s="301" t="e">
        <f t="shared" si="112"/>
        <v>#DIV/0!</v>
      </c>
      <c r="L342" s="301" t="e">
        <f t="shared" si="112"/>
        <v>#DIV/0!</v>
      </c>
      <c r="M342" s="301" t="e">
        <f t="shared" si="112"/>
        <v>#DIV/0!</v>
      </c>
      <c r="N342" s="315"/>
      <c r="O342" s="291"/>
      <c r="P342" s="291"/>
      <c r="T342" s="353"/>
      <c r="U342" s="353"/>
    </row>
    <row r="343" spans="1:21" x14ac:dyDescent="0.2">
      <c r="A343" s="84"/>
      <c r="B343" s="584" t="s">
        <v>502</v>
      </c>
      <c r="C343" s="583">
        <f t="shared" ref="C343" si="113">C336/C339</f>
        <v>0.29141057782987806</v>
      </c>
      <c r="D343" s="301" t="e">
        <f t="shared" si="111"/>
        <v>#DIV/0!</v>
      </c>
      <c r="E343" s="301" t="e">
        <f t="shared" si="111"/>
        <v>#DIV/0!</v>
      </c>
      <c r="F343" s="489" t="e">
        <f t="shared" si="111"/>
        <v>#DIV/0!</v>
      </c>
      <c r="G343" s="295"/>
      <c r="H343" s="295"/>
      <c r="I343" s="295"/>
      <c r="J343" s="301" t="e">
        <f t="shared" si="112"/>
        <v>#DIV/0!</v>
      </c>
      <c r="K343" s="301" t="e">
        <f t="shared" si="112"/>
        <v>#DIV/0!</v>
      </c>
      <c r="L343" s="301" t="e">
        <f t="shared" si="112"/>
        <v>#DIV/0!</v>
      </c>
      <c r="M343" s="301" t="e">
        <f t="shared" si="112"/>
        <v>#DIV/0!</v>
      </c>
      <c r="N343" s="315"/>
      <c r="O343" s="291"/>
      <c r="P343" s="291"/>
      <c r="T343" s="353"/>
      <c r="U343" s="353"/>
    </row>
    <row r="344" spans="1:21" x14ac:dyDescent="0.2">
      <c r="A344" s="84"/>
      <c r="B344" s="179" t="s">
        <v>503</v>
      </c>
      <c r="C344" s="151">
        <f t="shared" ref="C344" si="114">C337/C340</f>
        <v>-0.31323175199956688</v>
      </c>
      <c r="D344" s="301" t="e">
        <f t="shared" si="111"/>
        <v>#DIV/0!</v>
      </c>
      <c r="E344" s="301" t="e">
        <f t="shared" si="111"/>
        <v>#DIV/0!</v>
      </c>
      <c r="F344" s="489" t="e">
        <f t="shared" si="111"/>
        <v>#DIV/0!</v>
      </c>
      <c r="G344" s="295"/>
      <c r="H344" s="295"/>
      <c r="I344" s="295"/>
      <c r="J344" s="301" t="e">
        <f t="shared" si="112"/>
        <v>#DIV/0!</v>
      </c>
      <c r="K344" s="301" t="e">
        <f t="shared" si="112"/>
        <v>#DIV/0!</v>
      </c>
      <c r="L344" s="301" t="e">
        <f t="shared" si="112"/>
        <v>#DIV/0!</v>
      </c>
      <c r="M344" s="301" t="e">
        <f t="shared" si="112"/>
        <v>#DIV/0!</v>
      </c>
      <c r="N344" s="315"/>
      <c r="O344" s="291"/>
      <c r="P344" s="291"/>
      <c r="T344" s="353"/>
      <c r="U344" s="353"/>
    </row>
    <row r="345" spans="1:21" x14ac:dyDescent="0.2">
      <c r="A345" s="84"/>
      <c r="B345" s="179"/>
      <c r="C345" s="151"/>
      <c r="D345" s="301"/>
      <c r="E345" s="301"/>
      <c r="F345" s="505"/>
      <c r="G345" s="295"/>
      <c r="H345" s="295"/>
      <c r="I345" s="295"/>
      <c r="J345" s="301"/>
      <c r="K345" s="301"/>
      <c r="L345" s="301"/>
      <c r="M345" s="301"/>
      <c r="N345" s="315"/>
      <c r="O345" s="291"/>
      <c r="P345" s="291"/>
      <c r="T345" s="353"/>
      <c r="U345" s="353"/>
    </row>
    <row r="346" spans="1:21" x14ac:dyDescent="0.2">
      <c r="A346" s="84"/>
      <c r="B346" s="284" t="s">
        <v>452</v>
      </c>
      <c r="C346" s="151"/>
      <c r="D346" s="301"/>
      <c r="E346" s="301"/>
      <c r="F346" s="505"/>
      <c r="G346" s="295"/>
      <c r="H346" s="295"/>
      <c r="I346" s="295"/>
      <c r="J346" s="301"/>
      <c r="K346" s="301"/>
      <c r="L346" s="301"/>
      <c r="M346" s="301"/>
      <c r="N346" s="315"/>
      <c r="O346" s="291"/>
      <c r="P346" s="291"/>
      <c r="T346" s="353"/>
      <c r="U346" s="353"/>
    </row>
    <row r="347" spans="1:21" x14ac:dyDescent="0.2">
      <c r="A347" s="84"/>
      <c r="B347" s="179" t="s">
        <v>489</v>
      </c>
      <c r="C347" s="151">
        <f>C315-C306+C321+C322+C323+C324</f>
        <v>68001.900000000023</v>
      </c>
      <c r="D347" s="301">
        <f>D315-D306+D321+D322+D323+D324</f>
        <v>0</v>
      </c>
      <c r="E347" s="301">
        <f t="shared" ref="E347:F347" si="115">E315-E306+E321+E322+E323+E324</f>
        <v>0</v>
      </c>
      <c r="F347" s="505">
        <f t="shared" si="115"/>
        <v>0</v>
      </c>
      <c r="G347" s="295"/>
      <c r="H347" s="295"/>
      <c r="I347" s="295"/>
      <c r="J347" s="301">
        <f>J315-J306+J321+J322+J323+J324</f>
        <v>0</v>
      </c>
      <c r="K347" s="301">
        <f t="shared" ref="K347:M347" si="116">K315-K306+K321+K322+K323+K324</f>
        <v>0</v>
      </c>
      <c r="L347" s="301">
        <f t="shared" si="116"/>
        <v>0</v>
      </c>
      <c r="M347" s="301">
        <f t="shared" si="116"/>
        <v>0</v>
      </c>
      <c r="N347" s="315"/>
      <c r="O347" s="291"/>
      <c r="P347" s="291"/>
      <c r="T347" s="353"/>
      <c r="U347" s="353"/>
    </row>
    <row r="348" spans="1:21" x14ac:dyDescent="0.2">
      <c r="A348" s="84"/>
      <c r="B348" s="179" t="s">
        <v>490</v>
      </c>
      <c r="C348" s="151">
        <f t="shared" ref="C348" si="117">C316-C307</f>
        <v>-4409.1999999999971</v>
      </c>
      <c r="D348" s="301">
        <f t="shared" ref="D348:F349" si="118">D316-D307</f>
        <v>0</v>
      </c>
      <c r="E348" s="301">
        <f t="shared" si="118"/>
        <v>0</v>
      </c>
      <c r="F348" s="505">
        <f t="shared" si="118"/>
        <v>0</v>
      </c>
      <c r="G348" s="295"/>
      <c r="H348" s="295"/>
      <c r="I348" s="295"/>
      <c r="J348" s="301">
        <f t="shared" ref="J348:M349" si="119">J316-J307</f>
        <v>0</v>
      </c>
      <c r="K348" s="301">
        <f t="shared" si="119"/>
        <v>0</v>
      </c>
      <c r="L348" s="301">
        <f t="shared" si="119"/>
        <v>0</v>
      </c>
      <c r="M348" s="301">
        <f t="shared" si="119"/>
        <v>0</v>
      </c>
      <c r="N348" s="315"/>
      <c r="O348" s="291"/>
      <c r="P348" s="291"/>
      <c r="T348" s="353"/>
      <c r="U348" s="353"/>
    </row>
    <row r="349" spans="1:21" x14ac:dyDescent="0.2">
      <c r="A349" s="84"/>
      <c r="B349" s="179" t="s">
        <v>491</v>
      </c>
      <c r="C349" s="151">
        <f t="shared" ref="C349" si="120">C317-C308</f>
        <v>-149071.69999999998</v>
      </c>
      <c r="D349" s="301">
        <f t="shared" si="118"/>
        <v>0</v>
      </c>
      <c r="E349" s="301">
        <f t="shared" si="118"/>
        <v>0</v>
      </c>
      <c r="F349" s="505">
        <f t="shared" si="118"/>
        <v>0</v>
      </c>
      <c r="G349" s="295"/>
      <c r="H349" s="295"/>
      <c r="I349" s="295"/>
      <c r="J349" s="301">
        <f t="shared" si="119"/>
        <v>0</v>
      </c>
      <c r="K349" s="301">
        <f t="shared" si="119"/>
        <v>0</v>
      </c>
      <c r="L349" s="301">
        <f t="shared" si="119"/>
        <v>0</v>
      </c>
      <c r="M349" s="301">
        <f t="shared" si="119"/>
        <v>0</v>
      </c>
      <c r="N349" s="315"/>
      <c r="O349" s="291"/>
      <c r="P349" s="291"/>
      <c r="T349" s="353"/>
      <c r="U349" s="353"/>
    </row>
    <row r="350" spans="1:21" x14ac:dyDescent="0.2">
      <c r="A350" s="84"/>
      <c r="B350" s="179" t="s">
        <v>492</v>
      </c>
      <c r="C350" s="151">
        <f t="shared" ref="C350:D352" si="121">C347/(C306)</f>
        <v>0.72609169641246007</v>
      </c>
      <c r="D350" s="301" t="e">
        <f t="shared" si="121"/>
        <v>#DIV/0!</v>
      </c>
      <c r="E350" s="301" t="e">
        <f t="shared" ref="E350:F350" si="122">E347/(E306)</f>
        <v>#DIV/0!</v>
      </c>
      <c r="F350" s="489" t="e">
        <f t="shared" si="122"/>
        <v>#DIV/0!</v>
      </c>
      <c r="G350" s="295"/>
      <c r="H350" s="295"/>
      <c r="I350" s="295"/>
      <c r="J350" s="301" t="e">
        <f t="shared" ref="J350:M350" si="123">J347/(J306)</f>
        <v>#DIV/0!</v>
      </c>
      <c r="K350" s="301" t="e">
        <f t="shared" si="123"/>
        <v>#DIV/0!</v>
      </c>
      <c r="L350" s="301" t="e">
        <f t="shared" si="123"/>
        <v>#DIV/0!</v>
      </c>
      <c r="M350" s="301" t="e">
        <f t="shared" si="123"/>
        <v>#DIV/0!</v>
      </c>
      <c r="N350" s="315"/>
      <c r="O350" s="291"/>
      <c r="P350" s="291"/>
      <c r="T350" s="353"/>
      <c r="U350" s="353"/>
    </row>
    <row r="351" spans="1:21" x14ac:dyDescent="0.2">
      <c r="A351" s="84"/>
      <c r="B351" s="179" t="s">
        <v>493</v>
      </c>
      <c r="C351" s="151">
        <f t="shared" si="121"/>
        <v>-4.3007774017030626E-2</v>
      </c>
      <c r="D351" s="301" t="e">
        <f t="shared" si="121"/>
        <v>#DIV/0!</v>
      </c>
      <c r="E351" s="301" t="e">
        <f>E348/(E307)</f>
        <v>#DIV/0!</v>
      </c>
      <c r="F351" s="489" t="e">
        <f>F348/(F307)</f>
        <v>#DIV/0!</v>
      </c>
      <c r="G351" s="295"/>
      <c r="H351" s="295"/>
      <c r="I351" s="295"/>
      <c r="J351" s="301" t="e">
        <f t="shared" ref="J351:M351" si="124">J348/(J307)</f>
        <v>#DIV/0!</v>
      </c>
      <c r="K351" s="301" t="e">
        <f t="shared" si="124"/>
        <v>#DIV/0!</v>
      </c>
      <c r="L351" s="301" t="e">
        <f t="shared" si="124"/>
        <v>#DIV/0!</v>
      </c>
      <c r="M351" s="301" t="e">
        <f t="shared" si="124"/>
        <v>#DIV/0!</v>
      </c>
      <c r="N351" s="315"/>
      <c r="O351" s="291"/>
      <c r="P351" s="291"/>
      <c r="T351" s="353"/>
      <c r="U351" s="353"/>
    </row>
    <row r="352" spans="1:21" x14ac:dyDescent="0.2">
      <c r="A352" s="84"/>
      <c r="B352" s="584" t="s">
        <v>494</v>
      </c>
      <c r="C352" s="580">
        <f t="shared" si="121"/>
        <v>-0.97294617822588647</v>
      </c>
      <c r="D352" s="301" t="e">
        <f t="shared" si="121"/>
        <v>#DIV/0!</v>
      </c>
      <c r="E352" s="301" t="e">
        <f>E349/(E308)</f>
        <v>#DIV/0!</v>
      </c>
      <c r="F352" s="489" t="e">
        <f>F349/(F308)</f>
        <v>#DIV/0!</v>
      </c>
      <c r="G352" s="295"/>
      <c r="H352" s="295"/>
      <c r="I352" s="295"/>
      <c r="J352" s="301" t="e">
        <f t="shared" ref="J352:M352" si="125">J349/(J308)</f>
        <v>#DIV/0!</v>
      </c>
      <c r="K352" s="301" t="e">
        <f t="shared" si="125"/>
        <v>#DIV/0!</v>
      </c>
      <c r="L352" s="301" t="e">
        <f t="shared" si="125"/>
        <v>#DIV/0!</v>
      </c>
      <c r="M352" s="301" t="e">
        <f t="shared" si="125"/>
        <v>#DIV/0!</v>
      </c>
      <c r="N352" s="315"/>
      <c r="O352" s="291"/>
      <c r="P352" s="291"/>
      <c r="T352" s="353"/>
      <c r="U352" s="353"/>
    </row>
    <row r="353" spans="1:21" x14ac:dyDescent="0.2">
      <c r="A353" s="84"/>
      <c r="B353" s="179"/>
      <c r="C353" s="151"/>
      <c r="D353" s="301"/>
      <c r="E353" s="301"/>
      <c r="F353" s="489"/>
      <c r="G353" s="295"/>
      <c r="H353" s="295"/>
      <c r="I353" s="295"/>
      <c r="J353" s="301"/>
      <c r="K353" s="301"/>
      <c r="L353" s="301"/>
      <c r="M353" s="301"/>
      <c r="N353" s="315"/>
      <c r="O353" s="291"/>
      <c r="P353" s="291"/>
      <c r="T353" s="353"/>
      <c r="U353" s="353"/>
    </row>
    <row r="354" spans="1:21" x14ac:dyDescent="0.2">
      <c r="A354" s="84"/>
      <c r="B354" s="179" t="s">
        <v>495</v>
      </c>
      <c r="C354" s="151">
        <f t="shared" ref="C354" si="126">C347</f>
        <v>68001.900000000023</v>
      </c>
      <c r="D354" s="301">
        <f t="shared" ref="D354:F354" si="127">D347</f>
        <v>0</v>
      </c>
      <c r="E354" s="301">
        <f t="shared" si="127"/>
        <v>0</v>
      </c>
      <c r="F354" s="505">
        <f t="shared" si="127"/>
        <v>0</v>
      </c>
      <c r="G354" s="295"/>
      <c r="H354" s="295"/>
      <c r="I354" s="295"/>
      <c r="J354" s="301">
        <f t="shared" ref="J354:M354" si="128">J347</f>
        <v>0</v>
      </c>
      <c r="K354" s="301">
        <f t="shared" si="128"/>
        <v>0</v>
      </c>
      <c r="L354" s="301">
        <f t="shared" si="128"/>
        <v>0</v>
      </c>
      <c r="M354" s="301">
        <f t="shared" si="128"/>
        <v>0</v>
      </c>
      <c r="N354" s="315"/>
      <c r="O354" s="291"/>
      <c r="P354" s="291"/>
      <c r="T354" s="353"/>
      <c r="U354" s="353"/>
    </row>
    <row r="355" spans="1:21" x14ac:dyDescent="0.2">
      <c r="A355" s="84"/>
      <c r="B355" s="179" t="s">
        <v>496</v>
      </c>
      <c r="C355" s="151">
        <f t="shared" ref="C355" si="129">C354+C348</f>
        <v>63592.700000000026</v>
      </c>
      <c r="D355" s="301">
        <f t="shared" ref="D355:F356" si="130">D354+D348</f>
        <v>0</v>
      </c>
      <c r="E355" s="301">
        <f t="shared" si="130"/>
        <v>0</v>
      </c>
      <c r="F355" s="505">
        <f t="shared" si="130"/>
        <v>0</v>
      </c>
      <c r="G355" s="295"/>
      <c r="H355" s="295"/>
      <c r="I355" s="295"/>
      <c r="J355" s="301">
        <f t="shared" ref="J355:M356" si="131">J354+J348</f>
        <v>0</v>
      </c>
      <c r="K355" s="301">
        <f t="shared" si="131"/>
        <v>0</v>
      </c>
      <c r="L355" s="301">
        <f t="shared" si="131"/>
        <v>0</v>
      </c>
      <c r="M355" s="301">
        <f t="shared" si="131"/>
        <v>0</v>
      </c>
      <c r="N355" s="315"/>
      <c r="O355" s="291"/>
      <c r="P355" s="291"/>
      <c r="T355" s="353"/>
      <c r="U355" s="353"/>
    </row>
    <row r="356" spans="1:21" x14ac:dyDescent="0.2">
      <c r="A356" s="84"/>
      <c r="B356" s="179" t="s">
        <v>497</v>
      </c>
      <c r="C356" s="151">
        <f t="shared" ref="C356" si="132">C355+C349</f>
        <v>-85478.999999999956</v>
      </c>
      <c r="D356" s="301">
        <f t="shared" si="130"/>
        <v>0</v>
      </c>
      <c r="E356" s="301">
        <f t="shared" si="130"/>
        <v>0</v>
      </c>
      <c r="F356" s="505">
        <f t="shared" si="130"/>
        <v>0</v>
      </c>
      <c r="G356" s="295"/>
      <c r="H356" s="295"/>
      <c r="I356" s="295"/>
      <c r="J356" s="301">
        <f t="shared" si="131"/>
        <v>0</v>
      </c>
      <c r="K356" s="301">
        <f t="shared" si="131"/>
        <v>0</v>
      </c>
      <c r="L356" s="301">
        <f t="shared" si="131"/>
        <v>0</v>
      </c>
      <c r="M356" s="301">
        <f t="shared" si="131"/>
        <v>0</v>
      </c>
      <c r="N356" s="315"/>
      <c r="O356" s="291"/>
      <c r="P356" s="291"/>
      <c r="T356" s="353"/>
      <c r="U356" s="353"/>
    </row>
    <row r="357" spans="1:21" x14ac:dyDescent="0.2">
      <c r="A357" s="84"/>
      <c r="B357" s="179" t="s">
        <v>498</v>
      </c>
      <c r="C357" s="151">
        <f>C306</f>
        <v>93654.7</v>
      </c>
      <c r="D357" s="301">
        <f>D306</f>
        <v>0</v>
      </c>
      <c r="E357" s="301">
        <f t="shared" ref="E357:F357" si="133">E306</f>
        <v>0</v>
      </c>
      <c r="F357" s="505">
        <f t="shared" si="133"/>
        <v>0</v>
      </c>
      <c r="G357" s="295"/>
      <c r="H357" s="295"/>
      <c r="I357" s="295"/>
      <c r="J357" s="301">
        <f>J306</f>
        <v>0</v>
      </c>
      <c r="K357" s="301">
        <f t="shared" ref="K357:M357" si="134">K306</f>
        <v>0</v>
      </c>
      <c r="L357" s="301">
        <f t="shared" si="134"/>
        <v>0</v>
      </c>
      <c r="M357" s="301">
        <f t="shared" si="134"/>
        <v>0</v>
      </c>
      <c r="N357" s="315"/>
      <c r="O357" s="291"/>
      <c r="P357" s="291"/>
      <c r="T357" s="353"/>
      <c r="U357" s="353"/>
    </row>
    <row r="358" spans="1:21" x14ac:dyDescent="0.2">
      <c r="A358" s="84"/>
      <c r="B358" s="179" t="s">
        <v>499</v>
      </c>
      <c r="C358" s="151">
        <f t="shared" ref="C358" si="135">C357+C307</f>
        <v>196175.7</v>
      </c>
      <c r="D358" s="301">
        <f t="shared" ref="D358:F359" si="136">D357+D307</f>
        <v>0</v>
      </c>
      <c r="E358" s="301">
        <f t="shared" si="136"/>
        <v>0</v>
      </c>
      <c r="F358" s="505">
        <f t="shared" si="136"/>
        <v>0</v>
      </c>
      <c r="G358" s="295"/>
      <c r="H358" s="295"/>
      <c r="I358" s="295"/>
      <c r="J358" s="301">
        <f t="shared" ref="J358:M359" si="137">J357+J307</f>
        <v>0</v>
      </c>
      <c r="K358" s="301">
        <f t="shared" si="137"/>
        <v>0</v>
      </c>
      <c r="L358" s="301">
        <f t="shared" si="137"/>
        <v>0</v>
      </c>
      <c r="M358" s="301">
        <f t="shared" si="137"/>
        <v>0</v>
      </c>
      <c r="N358" s="315"/>
      <c r="O358" s="291"/>
      <c r="P358" s="291"/>
      <c r="T358" s="353"/>
      <c r="U358" s="353"/>
    </row>
    <row r="359" spans="1:21" x14ac:dyDescent="0.2">
      <c r="A359" s="84"/>
      <c r="B359" s="179" t="s">
        <v>500</v>
      </c>
      <c r="C359" s="151">
        <f t="shared" ref="C359" si="138">C358+C308</f>
        <v>349392.5</v>
      </c>
      <c r="D359" s="301">
        <f t="shared" si="136"/>
        <v>0</v>
      </c>
      <c r="E359" s="301">
        <f t="shared" si="136"/>
        <v>0</v>
      </c>
      <c r="F359" s="505">
        <f t="shared" si="136"/>
        <v>0</v>
      </c>
      <c r="G359" s="295"/>
      <c r="H359" s="295"/>
      <c r="I359" s="295"/>
      <c r="J359" s="301">
        <f t="shared" si="137"/>
        <v>0</v>
      </c>
      <c r="K359" s="301">
        <f t="shared" si="137"/>
        <v>0</v>
      </c>
      <c r="L359" s="301">
        <f t="shared" si="137"/>
        <v>0</v>
      </c>
      <c r="M359" s="301">
        <f t="shared" si="137"/>
        <v>0</v>
      </c>
      <c r="N359" s="315"/>
      <c r="O359" s="291"/>
      <c r="P359" s="291"/>
      <c r="T359" s="353"/>
      <c r="U359" s="353"/>
    </row>
    <row r="360" spans="1:21" x14ac:dyDescent="0.2">
      <c r="A360" s="84"/>
      <c r="B360" s="179"/>
      <c r="C360" s="151"/>
      <c r="D360" s="301"/>
      <c r="E360" s="301"/>
      <c r="F360" s="505"/>
      <c r="G360" s="295"/>
      <c r="H360" s="295"/>
      <c r="I360" s="295"/>
      <c r="J360" s="301"/>
      <c r="K360" s="301"/>
      <c r="L360" s="301"/>
      <c r="M360" s="301"/>
      <c r="N360" s="315"/>
      <c r="O360" s="291"/>
      <c r="P360" s="291"/>
      <c r="T360" s="353"/>
      <c r="U360" s="353"/>
    </row>
    <row r="361" spans="1:21" ht="25.5" x14ac:dyDescent="0.2">
      <c r="A361" s="84"/>
      <c r="B361" s="179" t="s">
        <v>672</v>
      </c>
      <c r="C361" s="151">
        <f t="shared" ref="C361" si="139">C354/C357</f>
        <v>0.72609169641246007</v>
      </c>
      <c r="D361" s="301" t="e">
        <f t="shared" ref="D361:F363" si="140">D354/D357</f>
        <v>#DIV/0!</v>
      </c>
      <c r="E361" s="301" t="e">
        <f t="shared" si="140"/>
        <v>#DIV/0!</v>
      </c>
      <c r="F361" s="489" t="e">
        <f t="shared" si="140"/>
        <v>#DIV/0!</v>
      </c>
      <c r="G361" s="295"/>
      <c r="H361" s="295"/>
      <c r="I361" s="295"/>
      <c r="J361" s="301" t="e">
        <f t="shared" ref="J361:M363" si="141">J354/J357</f>
        <v>#DIV/0!</v>
      </c>
      <c r="K361" s="301" t="e">
        <f t="shared" si="141"/>
        <v>#DIV/0!</v>
      </c>
      <c r="L361" s="301" t="e">
        <f t="shared" si="141"/>
        <v>#DIV/0!</v>
      </c>
      <c r="M361" s="301" t="e">
        <f t="shared" si="141"/>
        <v>#DIV/0!</v>
      </c>
      <c r="N361" s="315"/>
      <c r="O361" s="291"/>
      <c r="P361" s="291"/>
      <c r="T361" s="353"/>
      <c r="U361" s="353"/>
    </row>
    <row r="362" spans="1:21" x14ac:dyDescent="0.2">
      <c r="A362" s="84"/>
      <c r="B362" s="179" t="s">
        <v>502</v>
      </c>
      <c r="C362" s="151">
        <f t="shared" ref="C362" si="142">C355/C358</f>
        <v>0.32416196297502708</v>
      </c>
      <c r="D362" s="301" t="e">
        <f t="shared" si="140"/>
        <v>#DIV/0!</v>
      </c>
      <c r="E362" s="301" t="e">
        <f t="shared" si="140"/>
        <v>#DIV/0!</v>
      </c>
      <c r="F362" s="489" t="e">
        <f t="shared" si="140"/>
        <v>#DIV/0!</v>
      </c>
      <c r="G362" s="295"/>
      <c r="H362" s="295"/>
      <c r="I362" s="295"/>
      <c r="J362" s="301" t="e">
        <f t="shared" si="141"/>
        <v>#DIV/0!</v>
      </c>
      <c r="K362" s="301" t="e">
        <f t="shared" si="141"/>
        <v>#DIV/0!</v>
      </c>
      <c r="L362" s="301" t="e">
        <f t="shared" si="141"/>
        <v>#DIV/0!</v>
      </c>
      <c r="M362" s="301" t="e">
        <f t="shared" si="141"/>
        <v>#DIV/0!</v>
      </c>
      <c r="N362" s="315"/>
      <c r="O362" s="291"/>
      <c r="P362" s="291"/>
      <c r="T362" s="353"/>
      <c r="U362" s="353"/>
    </row>
    <row r="363" spans="1:21" x14ac:dyDescent="0.2">
      <c r="A363" s="84"/>
      <c r="B363" s="179" t="s">
        <v>503</v>
      </c>
      <c r="C363" s="151">
        <f t="shared" ref="C363" si="143">C356/C359</f>
        <v>-0.24465035740606897</v>
      </c>
      <c r="D363" s="301" t="e">
        <f t="shared" si="140"/>
        <v>#DIV/0!</v>
      </c>
      <c r="E363" s="301" t="e">
        <f t="shared" si="140"/>
        <v>#DIV/0!</v>
      </c>
      <c r="F363" s="489" t="e">
        <f t="shared" si="140"/>
        <v>#DIV/0!</v>
      </c>
      <c r="G363" s="295"/>
      <c r="H363" s="295"/>
      <c r="I363" s="295"/>
      <c r="J363" s="301" t="e">
        <f t="shared" si="141"/>
        <v>#DIV/0!</v>
      </c>
      <c r="K363" s="301" t="e">
        <f t="shared" si="141"/>
        <v>#DIV/0!</v>
      </c>
      <c r="L363" s="301" t="e">
        <f t="shared" si="141"/>
        <v>#DIV/0!</v>
      </c>
      <c r="M363" s="301" t="e">
        <f t="shared" si="141"/>
        <v>#DIV/0!</v>
      </c>
      <c r="N363" s="315"/>
      <c r="O363" s="291"/>
      <c r="P363" s="291"/>
      <c r="T363" s="353"/>
      <c r="U363" s="353"/>
    </row>
    <row r="364" spans="1:21" x14ac:dyDescent="0.2">
      <c r="A364" s="84"/>
      <c r="B364" s="179"/>
      <c r="C364" s="151"/>
      <c r="D364" s="301"/>
      <c r="E364" s="301"/>
      <c r="F364" s="505"/>
      <c r="G364" s="295"/>
      <c r="H364" s="295"/>
      <c r="I364" s="295"/>
      <c r="J364" s="301"/>
      <c r="K364" s="301"/>
      <c r="L364" s="301"/>
      <c r="M364" s="301"/>
      <c r="N364" s="315"/>
      <c r="O364" s="291"/>
      <c r="P364" s="291"/>
      <c r="T364" s="353"/>
      <c r="U364" s="353"/>
    </row>
    <row r="365" spans="1:21" ht="25.5" x14ac:dyDescent="0.2">
      <c r="A365" s="84"/>
      <c r="B365" s="179" t="s">
        <v>504</v>
      </c>
      <c r="C365" s="151">
        <f>(SUM(C321:C323))/SUM(C306:C308)*12</f>
        <v>3.326214500883677</v>
      </c>
      <c r="D365" s="301" t="e">
        <f>(SUM(D321:D323))/SUM(D306:D308)*12</f>
        <v>#DIV/0!</v>
      </c>
      <c r="E365" s="301" t="e">
        <f>(SUM(E321:E323))/SUM(E306:E308)*12</f>
        <v>#DIV/0!</v>
      </c>
      <c r="F365" s="505" t="e">
        <f>(SUM(F321:F323))/SUM(F306:F308)*12</f>
        <v>#DIV/0!</v>
      </c>
      <c r="G365" s="295"/>
      <c r="H365" s="295"/>
      <c r="I365" s="295"/>
      <c r="J365" s="301" t="e">
        <f>(SUM(J321:J323))/SUM(J306:J308)*12</f>
        <v>#DIV/0!</v>
      </c>
      <c r="K365" s="301" t="e">
        <f t="shared" ref="K365:M365" si="144">(SUM(K321:K323))/SUM(K306:K308)*12</f>
        <v>#DIV/0!</v>
      </c>
      <c r="L365" s="301" t="e">
        <f t="shared" si="144"/>
        <v>#DIV/0!</v>
      </c>
      <c r="M365" s="301" t="e">
        <f t="shared" si="144"/>
        <v>#DIV/0!</v>
      </c>
      <c r="N365" s="315"/>
      <c r="O365" s="291"/>
      <c r="P365" s="291"/>
      <c r="T365" s="353"/>
      <c r="U365" s="353"/>
    </row>
    <row r="366" spans="1:21" ht="25.5" x14ac:dyDescent="0.2">
      <c r="A366" s="84"/>
      <c r="B366" s="179" t="s">
        <v>505</v>
      </c>
      <c r="C366" s="151">
        <f>(SUM(C321:C323)+(C324*$I313)+(C325*$I316))/SUM(C306:C308)*12</f>
        <v>3.326214500883677</v>
      </c>
      <c r="D366" s="301" t="e">
        <f>(SUM(D321:D323)+(D324*I313)+(D325*I316))/SUM(D306:D308)*12</f>
        <v>#DIV/0!</v>
      </c>
      <c r="E366" s="301" t="e">
        <f>(SUM(E321:E324)+(E325))/SUM(E306:E308)*12</f>
        <v>#DIV/0!</v>
      </c>
      <c r="F366" s="505" t="e">
        <f>(SUM(F321:F324)+(F325))/SUM(F306:F308)*12</f>
        <v>#DIV/0!</v>
      </c>
      <c r="G366" s="295"/>
      <c r="H366" s="295"/>
      <c r="I366" s="295"/>
      <c r="J366" s="301" t="e">
        <f>(SUM(J321:J323)+(J324*$I313)+(J325*$I316))/SUM(J306:J308)*12</f>
        <v>#DIV/0!</v>
      </c>
      <c r="K366" s="301" t="e">
        <f t="shared" ref="K366:M366" si="145">(SUM(K321:K323)+(K324*$I313)+(K325*$I316))/SUM(K306:K308)*12</f>
        <v>#DIV/0!</v>
      </c>
      <c r="L366" s="301" t="e">
        <f t="shared" si="145"/>
        <v>#DIV/0!</v>
      </c>
      <c r="M366" s="301" t="e">
        <f t="shared" si="145"/>
        <v>#DIV/0!</v>
      </c>
      <c r="N366" s="315"/>
      <c r="O366" s="291"/>
      <c r="P366" s="291"/>
      <c r="T366" s="353"/>
      <c r="U366" s="353"/>
    </row>
    <row r="367" spans="1:21" ht="25.5" x14ac:dyDescent="0.2">
      <c r="A367" s="84"/>
      <c r="B367" s="179" t="s">
        <v>506</v>
      </c>
      <c r="C367" s="151">
        <f>(SUM(C321:C323)+(C324*$I313)+(C325*$I316)+SUM(C315:C317)*$I304+SUM(C318:C320)*$I307)/SUM(C306:C308)*12</f>
        <v>9.0641957111271712</v>
      </c>
      <c r="D367" s="301" t="e">
        <f>(SUM(D321:D323)+(D324*I313)+(D325*I316)+SUM(D315:D317)*I304+SUM(D318:D320)*I307)/SUM(D306:D308)*12</f>
        <v>#DIV/0!</v>
      </c>
      <c r="E367" s="301" t="e">
        <f>(SUM(E321:E324)+(E325)+SUM(E315:E320))/SUM(E306:E308)*12</f>
        <v>#DIV/0!</v>
      </c>
      <c r="F367" s="505" t="e">
        <f>(SUM(F321:F324)+(F325)+SUM(F315:F320))/SUM(F306:F308)*12</f>
        <v>#DIV/0!</v>
      </c>
      <c r="G367" s="295"/>
      <c r="H367" s="295"/>
      <c r="I367" s="295"/>
      <c r="J367" s="301" t="e">
        <f>(SUM(J321:J323)+(J324*$I313)+(J325*$I316)+SUM(J315:J317)*$I304+SUM(J318:J320)*$I307)/SUM(J306:J308)*12</f>
        <v>#DIV/0!</v>
      </c>
      <c r="K367" s="301" t="e">
        <f t="shared" ref="K367:M367" si="146">(SUM(K321:K323)+(K324*$I313)+(K325*$I316)+SUM(K315:K317)*$I304+SUM(K318:K320)*$I307)/SUM(K306:K308)*12</f>
        <v>#DIV/0!</v>
      </c>
      <c r="L367" s="301" t="e">
        <f t="shared" si="146"/>
        <v>#DIV/0!</v>
      </c>
      <c r="M367" s="301" t="e">
        <f t="shared" si="146"/>
        <v>#DIV/0!</v>
      </c>
      <c r="N367" s="315"/>
      <c r="O367" s="291"/>
      <c r="P367" s="291"/>
      <c r="T367" s="353"/>
      <c r="U367" s="353"/>
    </row>
    <row r="368" spans="1:21" ht="25.5" x14ac:dyDescent="0.2">
      <c r="A368" s="84"/>
      <c r="B368" s="179" t="s">
        <v>507</v>
      </c>
      <c r="C368" s="151">
        <f>(SUM(C321:C323)+(C324*$I313)+(C325*$I316)+SUM(C315:C317)*$I304+SUM(C318:C320)*$I307)/SUM(C306:C311)*12</f>
        <v>8.2412189760051966</v>
      </c>
      <c r="D368" s="301" t="e">
        <f>(SUM(D321:D323)+(D324*I313)+(D325*I316)+SUM(D315:D317)*I304+SUM(D318:D320)*I307)/SUM(D306:D311)*12</f>
        <v>#DIV/0!</v>
      </c>
      <c r="E368" s="301" t="e">
        <f>(SUM(E321:E324)+(E325)+SUM(E315:E320))/SUM(E306:E311)*12</f>
        <v>#DIV/0!</v>
      </c>
      <c r="F368" s="505" t="e">
        <f>(SUM(F321:F324)+(F325)+SUM(F315:F320))/SUM(F306:F311)*12</f>
        <v>#DIV/0!</v>
      </c>
      <c r="G368" s="295"/>
      <c r="H368" s="295"/>
      <c r="I368" s="295"/>
      <c r="J368" s="301" t="e">
        <f>(SUM(J321:J323)+(J324*$I313)+(J325*$I316)+SUM(J315:J317)*$I304+SUM(J318:J320)*$I307)/SUM(J306:J311)*12</f>
        <v>#DIV/0!</v>
      </c>
      <c r="K368" s="301" t="e">
        <f t="shared" ref="K368:M368" si="147">(SUM(K321:K323)+(K324*$I313)+(K325*$I316)+SUM(K315:K317)*$I304+SUM(K318:K320)*$I307)/SUM(K306:K311)*12</f>
        <v>#DIV/0!</v>
      </c>
      <c r="L368" s="301" t="e">
        <f t="shared" si="147"/>
        <v>#DIV/0!</v>
      </c>
      <c r="M368" s="301" t="e">
        <f t="shared" si="147"/>
        <v>#DIV/0!</v>
      </c>
      <c r="N368" s="315"/>
      <c r="O368" s="291"/>
      <c r="P368" s="291"/>
      <c r="T368" s="353"/>
      <c r="U368" s="353"/>
    </row>
    <row r="369" spans="1:21" ht="38.25" x14ac:dyDescent="0.2">
      <c r="A369" s="84"/>
      <c r="B369" s="179" t="s">
        <v>508</v>
      </c>
      <c r="C369" s="151">
        <f>(SUM(C321:C323)+(C324*$I313)+(C325*$I316)+SUM(C315:C317)*$I304+SUM(C318:C320)*$I307)/(SUM(C306:C311)+SUM(C312:C314)*$I310)*12</f>
        <v>8.2412189760051966</v>
      </c>
      <c r="D369" s="301" t="e">
        <f>(SUM(D321:D323)+(D324*I313)+(D325*I316)+SUM(D315:D317)*I304+SUM(D318:D320)*I307)/(SUM(D306:D311)+SUM(D312:D314)*I310)*12</f>
        <v>#DIV/0!</v>
      </c>
      <c r="E369" s="301" t="e">
        <f>(SUM(E321:E325)+SUM(E315:E320))/SUM(E306:E314)*12</f>
        <v>#DIV/0!</v>
      </c>
      <c r="F369" s="505" t="e">
        <f>(SUM(F321:F325)+SUM(F315:F320))/SUM(F306:F314)*12</f>
        <v>#DIV/0!</v>
      </c>
      <c r="G369" s="295"/>
      <c r="H369" s="295"/>
      <c r="I369" s="295"/>
      <c r="J369" s="301" t="e">
        <f>(SUM(J321:J323)+(J324*$I313)+(J325*$I316)+SUM(J315:J317)*$I304+SUM(J318:J320)*$I307)/(SUM(J306:J311)+SUM(J312:J314)*$I310)*12</f>
        <v>#DIV/0!</v>
      </c>
      <c r="K369" s="301" t="e">
        <f t="shared" ref="K369:M369" si="148">(SUM(K321:K323)+(K324*$I313)+(K325*$I316)+SUM(K315:K317)*$I304+SUM(K318:K320)*$I307)/(SUM(K306:K311)+SUM(K312:K314)*$I310)*12</f>
        <v>#DIV/0!</v>
      </c>
      <c r="L369" s="301" t="e">
        <f t="shared" si="148"/>
        <v>#DIV/0!</v>
      </c>
      <c r="M369" s="301" t="e">
        <f t="shared" si="148"/>
        <v>#DIV/0!</v>
      </c>
      <c r="N369" s="315"/>
      <c r="O369" s="291"/>
      <c r="P369" s="291"/>
      <c r="T369" s="353"/>
      <c r="U369" s="353"/>
    </row>
    <row r="370" spans="1:21" x14ac:dyDescent="0.2">
      <c r="A370" s="84"/>
      <c r="B370" s="179"/>
      <c r="C370" s="151"/>
      <c r="D370" s="151"/>
      <c r="E370" s="151"/>
      <c r="F370" s="152"/>
      <c r="H370" s="291"/>
      <c r="J370" s="233"/>
      <c r="K370" s="243"/>
      <c r="L370" s="315"/>
      <c r="M370" s="315"/>
      <c r="N370" s="315"/>
      <c r="O370" s="291"/>
      <c r="P370" s="291"/>
      <c r="T370" s="353"/>
      <c r="U370" s="353"/>
    </row>
    <row r="371" spans="1:21" ht="13.5" thickBot="1" x14ac:dyDescent="0.25">
      <c r="A371" s="87"/>
      <c r="B371" s="192"/>
      <c r="C371" s="153"/>
      <c r="D371" s="153"/>
      <c r="E371" s="153"/>
      <c r="F371" s="154"/>
      <c r="H371" s="291"/>
      <c r="J371" s="233"/>
      <c r="K371" s="243"/>
      <c r="L371" s="315"/>
      <c r="M371" s="315"/>
      <c r="N371" s="315"/>
      <c r="O371" s="291"/>
      <c r="P371" s="291"/>
      <c r="T371" s="353"/>
      <c r="U371" s="353"/>
    </row>
    <row r="372" spans="1:21" x14ac:dyDescent="0.2">
      <c r="C372" s="151"/>
      <c r="D372" s="151"/>
      <c r="E372" s="151"/>
      <c r="F372" s="151"/>
      <c r="G372" s="151"/>
      <c r="H372" s="151"/>
      <c r="I372" s="151"/>
      <c r="J372" s="151"/>
      <c r="K372" s="231"/>
      <c r="L372" s="315"/>
      <c r="M372" s="315"/>
      <c r="N372" s="315"/>
      <c r="O372" s="291"/>
      <c r="P372" s="291"/>
      <c r="T372" s="353"/>
      <c r="U372" s="353"/>
    </row>
    <row r="373" spans="1:21" x14ac:dyDescent="0.2">
      <c r="C373" s="151"/>
      <c r="D373" s="151"/>
      <c r="E373" s="151"/>
      <c r="F373" s="151"/>
      <c r="G373" s="151"/>
      <c r="H373" s="231"/>
      <c r="I373" s="231"/>
      <c r="J373" s="231"/>
      <c r="K373" s="231"/>
      <c r="L373" s="315"/>
      <c r="M373" s="315"/>
      <c r="N373" s="315"/>
      <c r="O373" s="291"/>
      <c r="P373" s="291"/>
      <c r="T373" s="353"/>
      <c r="U373" s="353"/>
    </row>
    <row r="374" spans="1:21" ht="13.5" thickBot="1" x14ac:dyDescent="0.25">
      <c r="B374" s="234"/>
      <c r="C374" s="151"/>
      <c r="D374" s="151"/>
      <c r="E374" s="151"/>
      <c r="F374" s="151"/>
      <c r="G374" s="151"/>
      <c r="H374" s="151"/>
      <c r="I374" s="151"/>
      <c r="J374" s="151"/>
      <c r="K374" s="231"/>
      <c r="L374" s="315"/>
      <c r="M374" s="315"/>
      <c r="N374" s="315"/>
      <c r="O374" s="291"/>
      <c r="P374" s="291"/>
      <c r="T374" s="353"/>
      <c r="U374" s="353"/>
    </row>
    <row r="375" spans="1:21" ht="19.5" thickBot="1" x14ac:dyDescent="0.25">
      <c r="A375" s="41"/>
      <c r="B375" s="34" t="s">
        <v>284</v>
      </c>
      <c r="H375" s="291"/>
      <c r="O375" s="291"/>
      <c r="P375" s="291"/>
      <c r="T375" s="353"/>
      <c r="U375" s="353"/>
    </row>
    <row r="376" spans="1:21" x14ac:dyDescent="0.2">
      <c r="A376" s="169"/>
      <c r="B376" s="170" t="s">
        <v>285</v>
      </c>
      <c r="C376" s="171" t="str">
        <f t="shared" ref="C376:H376" si="149">C21</f>
        <v>31/03/2017</v>
      </c>
      <c r="D376" s="171" t="str">
        <f t="shared" si="149"/>
        <v>31/03/2018</v>
      </c>
      <c r="E376" s="171" t="str">
        <f t="shared" si="149"/>
        <v>31/03/2019</v>
      </c>
      <c r="F376" s="171" t="str">
        <f t="shared" si="149"/>
        <v>31/03/2020</v>
      </c>
      <c r="G376" s="172" t="str">
        <f t="shared" si="149"/>
        <v>31/03/2021</v>
      </c>
      <c r="H376" s="240" t="str">
        <f t="shared" si="149"/>
        <v>YTD</v>
      </c>
      <c r="I376" s="240" t="s">
        <v>120</v>
      </c>
      <c r="J376" s="240" t="s">
        <v>121</v>
      </c>
      <c r="K376" s="240" t="s">
        <v>122</v>
      </c>
      <c r="L376" s="291" t="s">
        <v>123</v>
      </c>
      <c r="O376" s="291"/>
      <c r="P376" s="291"/>
      <c r="T376" s="353"/>
      <c r="U376" s="353"/>
    </row>
    <row r="377" spans="1:21" x14ac:dyDescent="0.2">
      <c r="A377" s="84"/>
      <c r="B377" s="179" t="s">
        <v>286</v>
      </c>
      <c r="C377" s="244">
        <f>Sheet1!C411</f>
        <v>0</v>
      </c>
      <c r="D377" s="244">
        <f>Sheet1!D411</f>
        <v>0</v>
      </c>
      <c r="E377" s="244">
        <f>Sheet1!E411</f>
        <v>324234</v>
      </c>
      <c r="F377" s="244">
        <f>Sheet1!F411</f>
        <v>883196.3</v>
      </c>
      <c r="G377" s="245">
        <f>Sheet1!G411</f>
        <v>952169.3</v>
      </c>
      <c r="H377" s="339"/>
      <c r="I377" s="339"/>
      <c r="J377" s="339"/>
      <c r="K377" s="339"/>
      <c r="O377" s="291"/>
      <c r="P377" s="291"/>
      <c r="T377" s="353"/>
      <c r="U377" s="353"/>
    </row>
    <row r="378" spans="1:21" x14ac:dyDescent="0.2">
      <c r="A378" s="84"/>
      <c r="B378" s="179" t="s">
        <v>287</v>
      </c>
      <c r="C378" s="244">
        <f>Sheet1!C412</f>
        <v>0</v>
      </c>
      <c r="D378" s="244">
        <f>Sheet1!D412</f>
        <v>0</v>
      </c>
      <c r="E378" s="244">
        <f>Sheet1!E412</f>
        <v>4323432</v>
      </c>
      <c r="F378" s="244">
        <f>Sheet1!F412</f>
        <v>21968.3</v>
      </c>
      <c r="G378" s="245">
        <f>Sheet1!G412</f>
        <v>30950.6</v>
      </c>
      <c r="H378" s="339"/>
      <c r="I378" s="339"/>
      <c r="J378" s="339"/>
      <c r="K378" s="339"/>
      <c r="O378" s="291"/>
      <c r="P378" s="291"/>
      <c r="T378" s="353"/>
      <c r="U378" s="353"/>
    </row>
    <row r="379" spans="1:21" x14ac:dyDescent="0.2">
      <c r="A379" s="84"/>
      <c r="B379" s="179" t="s">
        <v>288</v>
      </c>
      <c r="C379" s="244">
        <f>Sheet1!C413</f>
        <v>0</v>
      </c>
      <c r="D379" s="244">
        <f>Sheet1!D413</f>
        <v>0</v>
      </c>
      <c r="E379" s="244">
        <f>Sheet1!E413</f>
        <v>234342</v>
      </c>
      <c r="F379" s="244">
        <f>Sheet1!F413</f>
        <v>123123.3</v>
      </c>
      <c r="G379" s="245">
        <f>Sheet1!G413</f>
        <v>1398312</v>
      </c>
      <c r="H379" s="339"/>
      <c r="I379" s="339"/>
      <c r="J379" s="339"/>
      <c r="K379" s="339"/>
      <c r="O379" s="291"/>
      <c r="P379" s="291"/>
      <c r="T379" s="353"/>
      <c r="U379" s="353"/>
    </row>
    <row r="380" spans="1:21" x14ac:dyDescent="0.2">
      <c r="A380" s="84"/>
      <c r="B380" s="179" t="s">
        <v>289</v>
      </c>
      <c r="C380" s="244">
        <f>Sheet1!C414</f>
        <v>0</v>
      </c>
      <c r="D380" s="244">
        <f>Sheet1!D414</f>
        <v>0</v>
      </c>
      <c r="E380" s="244">
        <f>Sheet1!E414</f>
        <v>34234223</v>
      </c>
      <c r="F380" s="244">
        <f>Sheet1!F414</f>
        <v>9465.1</v>
      </c>
      <c r="G380" s="245">
        <f>Sheet1!G414</f>
        <v>13560.7</v>
      </c>
      <c r="H380" s="242"/>
      <c r="I380" s="242"/>
      <c r="J380" s="242"/>
      <c r="K380" s="242"/>
      <c r="O380" s="291"/>
      <c r="P380" s="291"/>
      <c r="T380" s="353"/>
      <c r="U380" s="353"/>
    </row>
    <row r="381" spans="1:21" x14ac:dyDescent="0.2">
      <c r="A381" s="84"/>
      <c r="B381" s="179" t="s">
        <v>290</v>
      </c>
      <c r="C381" s="244">
        <f>Sheet1!C415</f>
        <v>0</v>
      </c>
      <c r="D381" s="244">
        <f>Sheet1!D415</f>
        <v>0</v>
      </c>
      <c r="E381" s="244">
        <f>Sheet1!E415</f>
        <v>558576</v>
      </c>
      <c r="F381" s="244">
        <f>Sheet1!F415</f>
        <v>1006319.6000000001</v>
      </c>
      <c r="G381" s="245">
        <f>Sheet1!G415</f>
        <v>2350481.2999999998</v>
      </c>
      <c r="H381" s="340">
        <f>H377+H379</f>
        <v>0</v>
      </c>
      <c r="I381" s="340">
        <f t="shared" ref="I381:L381" si="150">I377+I379</f>
        <v>0</v>
      </c>
      <c r="J381" s="340">
        <f t="shared" si="150"/>
        <v>0</v>
      </c>
      <c r="K381" s="340">
        <f t="shared" si="150"/>
        <v>0</v>
      </c>
      <c r="L381" s="340">
        <f t="shared" si="150"/>
        <v>0</v>
      </c>
      <c r="O381" s="291"/>
      <c r="P381" s="291"/>
      <c r="T381" s="353"/>
      <c r="U381" s="353"/>
    </row>
    <row r="382" spans="1:21" x14ac:dyDescent="0.2">
      <c r="A382" s="84"/>
      <c r="B382" s="179" t="s">
        <v>291</v>
      </c>
      <c r="C382" s="244">
        <f>Sheet1!C416</f>
        <v>0</v>
      </c>
      <c r="D382" s="244">
        <f>Sheet1!D416</f>
        <v>0</v>
      </c>
      <c r="E382" s="244">
        <f>Sheet1!E416</f>
        <v>38557655</v>
      </c>
      <c r="F382" s="244">
        <f>Sheet1!F416</f>
        <v>31433.4</v>
      </c>
      <c r="G382" s="245">
        <f>Sheet1!G416</f>
        <v>44511.3</v>
      </c>
      <c r="H382" s="340">
        <f>H378+H380</f>
        <v>0</v>
      </c>
      <c r="I382" s="340">
        <f t="shared" ref="I382:L382" si="151">I378+I380</f>
        <v>0</v>
      </c>
      <c r="J382" s="340">
        <f t="shared" si="151"/>
        <v>0</v>
      </c>
      <c r="K382" s="340">
        <f t="shared" si="151"/>
        <v>0</v>
      </c>
      <c r="L382" s="340">
        <f t="shared" si="151"/>
        <v>0</v>
      </c>
      <c r="O382" s="291"/>
      <c r="P382" s="291"/>
      <c r="T382" s="353"/>
      <c r="U382" s="353"/>
    </row>
    <row r="383" spans="1:21" x14ac:dyDescent="0.2">
      <c r="A383" s="84"/>
      <c r="B383" s="179" t="s">
        <v>292</v>
      </c>
      <c r="C383" s="244">
        <f>Sheet1!C417</f>
        <v>0</v>
      </c>
      <c r="D383" s="244">
        <f>Sheet1!D417</f>
        <v>0</v>
      </c>
      <c r="E383" s="244">
        <f>Sheet1!E417</f>
        <v>2231231231</v>
      </c>
      <c r="F383" s="244">
        <f>Sheet1!F417</f>
        <v>91797.1</v>
      </c>
      <c r="G383" s="245">
        <f>Sheet1!G417</f>
        <v>82952</v>
      </c>
      <c r="H383" s="339"/>
      <c r="I383" s="339"/>
      <c r="J383" s="339"/>
      <c r="K383" s="339"/>
      <c r="O383" s="291"/>
      <c r="P383" s="291"/>
      <c r="T383" s="353"/>
      <c r="U383" s="353"/>
    </row>
    <row r="384" spans="1:21" x14ac:dyDescent="0.2">
      <c r="A384" s="84"/>
      <c r="B384" s="179" t="s">
        <v>293</v>
      </c>
      <c r="C384" s="244">
        <f>Sheet1!C418</f>
        <v>0</v>
      </c>
      <c r="D384" s="244">
        <f>Sheet1!D418</f>
        <v>0</v>
      </c>
      <c r="E384" s="244">
        <f>Sheet1!E418</f>
        <v>232343232</v>
      </c>
      <c r="F384" s="244">
        <f>Sheet1!F418</f>
        <v>31886.5</v>
      </c>
      <c r="G384" s="245">
        <f>Sheet1!G418</f>
        <v>34885.199999999997</v>
      </c>
      <c r="H384" s="242"/>
      <c r="I384" s="242"/>
      <c r="J384" s="242"/>
      <c r="K384" s="242"/>
      <c r="O384" s="291"/>
      <c r="P384" s="291"/>
      <c r="T384" s="353"/>
      <c r="U384" s="353"/>
    </row>
    <row r="385" spans="1:21" x14ac:dyDescent="0.2">
      <c r="A385" s="84"/>
      <c r="B385" s="179"/>
      <c r="C385" s="180"/>
      <c r="D385" s="180"/>
      <c r="E385" s="180"/>
      <c r="F385" s="180"/>
      <c r="G385" s="181"/>
      <c r="H385" s="242"/>
      <c r="I385" s="242"/>
      <c r="J385" s="242"/>
      <c r="K385" s="242"/>
      <c r="O385" s="291"/>
      <c r="P385" s="291"/>
      <c r="T385" s="353"/>
      <c r="U385" s="353"/>
    </row>
    <row r="386" spans="1:21" x14ac:dyDescent="0.2">
      <c r="A386" s="182"/>
      <c r="B386" s="179" t="s">
        <v>294</v>
      </c>
      <c r="C386" s="183" t="e">
        <f>C377/C$395</f>
        <v>#DIV/0!</v>
      </c>
      <c r="D386" s="183" t="e">
        <f t="shared" ref="D386:H386" si="152">D377/D$395</f>
        <v>#DIV/0!</v>
      </c>
      <c r="E386" s="183">
        <f t="shared" si="152"/>
        <v>1.4527981039390059E-4</v>
      </c>
      <c r="F386" s="183">
        <f t="shared" si="152"/>
        <v>0.80428273242725468</v>
      </c>
      <c r="G386" s="184">
        <f t="shared" si="152"/>
        <v>0.39128637715280717</v>
      </c>
      <c r="H386" s="341" t="e">
        <f t="shared" si="152"/>
        <v>#DIV/0!</v>
      </c>
      <c r="I386" s="341" t="e">
        <f t="shared" ref="I386:L386" si="153">I377/I$395</f>
        <v>#DIV/0!</v>
      </c>
      <c r="J386" s="341" t="e">
        <f t="shared" si="153"/>
        <v>#DIV/0!</v>
      </c>
      <c r="K386" s="341" t="e">
        <f t="shared" si="153"/>
        <v>#DIV/0!</v>
      </c>
      <c r="L386" s="341" t="e">
        <f t="shared" si="153"/>
        <v>#DIV/0!</v>
      </c>
      <c r="O386" s="291"/>
      <c r="P386" s="291"/>
      <c r="T386" s="353"/>
      <c r="U386" s="353"/>
    </row>
    <row r="387" spans="1:21" x14ac:dyDescent="0.2">
      <c r="A387" s="182"/>
      <c r="B387" s="179" t="s">
        <v>295</v>
      </c>
      <c r="C387" s="183" t="e">
        <f>C379/C$395</f>
        <v>#DIV/0!</v>
      </c>
      <c r="D387" s="183" t="e">
        <f t="shared" ref="D387:H387" si="154">D379/D$395</f>
        <v>#DIV/0!</v>
      </c>
      <c r="E387" s="183">
        <f t="shared" si="154"/>
        <v>1.0500182376717881E-4</v>
      </c>
      <c r="F387" s="183">
        <f t="shared" si="154"/>
        <v>0.11212223618855809</v>
      </c>
      <c r="G387" s="184">
        <f t="shared" si="154"/>
        <v>0.57462516026225174</v>
      </c>
      <c r="H387" s="341" t="e">
        <f t="shared" si="154"/>
        <v>#DIV/0!</v>
      </c>
      <c r="I387" s="341" t="e">
        <f t="shared" ref="I387:L387" si="155">I379/I$395</f>
        <v>#DIV/0!</v>
      </c>
      <c r="J387" s="341" t="e">
        <f t="shared" si="155"/>
        <v>#DIV/0!</v>
      </c>
      <c r="K387" s="341" t="e">
        <f t="shared" si="155"/>
        <v>#DIV/0!</v>
      </c>
      <c r="L387" s="341" t="e">
        <f t="shared" si="155"/>
        <v>#DIV/0!</v>
      </c>
      <c r="O387" s="291"/>
      <c r="P387" s="291"/>
      <c r="T387" s="353"/>
      <c r="U387" s="353"/>
    </row>
    <row r="388" spans="1:21" x14ac:dyDescent="0.2">
      <c r="A388" s="182"/>
      <c r="B388" s="179" t="s">
        <v>296</v>
      </c>
      <c r="C388" s="183" t="e">
        <f>C381/C$395</f>
        <v>#DIV/0!</v>
      </c>
      <c r="D388" s="183" t="e">
        <f t="shared" ref="D388:H388" si="156">D381/D$395</f>
        <v>#DIV/0!</v>
      </c>
      <c r="E388" s="183">
        <f t="shared" si="156"/>
        <v>2.5028163416107937E-4</v>
      </c>
      <c r="F388" s="183">
        <f t="shared" si="156"/>
        <v>0.91640496861581278</v>
      </c>
      <c r="G388" s="184">
        <f t="shared" si="156"/>
        <v>0.96591153741505875</v>
      </c>
      <c r="H388" s="341" t="e">
        <f t="shared" si="156"/>
        <v>#DIV/0!</v>
      </c>
      <c r="I388" s="341" t="e">
        <f t="shared" ref="I388:L388" si="157">I381/I$395</f>
        <v>#DIV/0!</v>
      </c>
      <c r="J388" s="341" t="e">
        <f t="shared" si="157"/>
        <v>#DIV/0!</v>
      </c>
      <c r="K388" s="341" t="e">
        <f t="shared" si="157"/>
        <v>#DIV/0!</v>
      </c>
      <c r="L388" s="341" t="e">
        <f t="shared" si="157"/>
        <v>#DIV/0!</v>
      </c>
      <c r="O388" s="291"/>
      <c r="P388" s="291"/>
      <c r="T388" s="353"/>
      <c r="U388" s="353"/>
    </row>
    <row r="389" spans="1:21" x14ac:dyDescent="0.2">
      <c r="A389" s="182"/>
      <c r="B389" s="576" t="s">
        <v>297</v>
      </c>
      <c r="C389" s="183" t="e">
        <f>C383/C$395</f>
        <v>#DIV/0!</v>
      </c>
      <c r="D389" s="183" t="e">
        <f t="shared" ref="D389:H389" si="158">D383/D$395</f>
        <v>#DIV/0!</v>
      </c>
      <c r="E389" s="183">
        <f t="shared" si="158"/>
        <v>0.99974971836583892</v>
      </c>
      <c r="F389" s="183">
        <f t="shared" si="158"/>
        <v>8.3595031384187113E-2</v>
      </c>
      <c r="G389" s="184">
        <f t="shared" si="158"/>
        <v>3.4088462584941207E-2</v>
      </c>
      <c r="H389" s="341" t="e">
        <f t="shared" si="158"/>
        <v>#DIV/0!</v>
      </c>
      <c r="I389" s="341" t="e">
        <f t="shared" ref="I389:L389" si="159">I383/I$395</f>
        <v>#DIV/0!</v>
      </c>
      <c r="J389" s="341" t="e">
        <f t="shared" si="159"/>
        <v>#DIV/0!</v>
      </c>
      <c r="K389" s="341" t="e">
        <f t="shared" si="159"/>
        <v>#DIV/0!</v>
      </c>
      <c r="L389" s="341" t="e">
        <f t="shared" si="159"/>
        <v>#DIV/0!</v>
      </c>
      <c r="O389" s="291"/>
      <c r="P389" s="291"/>
      <c r="T389" s="353"/>
      <c r="U389" s="353"/>
    </row>
    <row r="390" spans="1:21" x14ac:dyDescent="0.2">
      <c r="A390" s="182"/>
      <c r="B390" s="179" t="s">
        <v>298</v>
      </c>
      <c r="C390" s="185" t="e">
        <f>C378/C377</f>
        <v>#DIV/0!</v>
      </c>
      <c r="D390" s="185" t="e">
        <f t="shared" ref="D390:H390" si="160">D378/D377</f>
        <v>#DIV/0!</v>
      </c>
      <c r="E390" s="185">
        <f t="shared" si="160"/>
        <v>13.334295601324969</v>
      </c>
      <c r="F390" s="185">
        <f t="shared" si="160"/>
        <v>2.4873632283106257E-2</v>
      </c>
      <c r="G390" s="186">
        <f t="shared" si="160"/>
        <v>3.2505353827307806E-2</v>
      </c>
      <c r="H390" s="337" t="e">
        <f t="shared" si="160"/>
        <v>#DIV/0!</v>
      </c>
      <c r="I390" s="337" t="e">
        <f t="shared" ref="I390:L390" si="161">I378/I377</f>
        <v>#DIV/0!</v>
      </c>
      <c r="J390" s="337" t="e">
        <f t="shared" si="161"/>
        <v>#DIV/0!</v>
      </c>
      <c r="K390" s="337" t="e">
        <f t="shared" si="161"/>
        <v>#DIV/0!</v>
      </c>
      <c r="L390" s="337" t="e">
        <f t="shared" si="161"/>
        <v>#DIV/0!</v>
      </c>
      <c r="O390" s="291"/>
      <c r="P390" s="291"/>
      <c r="T390" s="353"/>
      <c r="U390" s="353"/>
    </row>
    <row r="391" spans="1:21" x14ac:dyDescent="0.2">
      <c r="A391" s="182"/>
      <c r="B391" s="179" t="s">
        <v>299</v>
      </c>
      <c r="C391" s="185" t="e">
        <f>C380/C379</f>
        <v>#DIV/0!</v>
      </c>
      <c r="D391" s="185" t="e">
        <f t="shared" ref="D391:H391" si="162">D380/D379</f>
        <v>#DIV/0!</v>
      </c>
      <c r="E391" s="185">
        <f t="shared" si="162"/>
        <v>146.0865871248005</v>
      </c>
      <c r="F391" s="185">
        <f t="shared" si="162"/>
        <v>7.6874970050347907E-2</v>
      </c>
      <c r="G391" s="186">
        <f t="shared" si="162"/>
        <v>9.6979071909559528E-3</v>
      </c>
      <c r="H391" s="337" t="e">
        <f t="shared" si="162"/>
        <v>#DIV/0!</v>
      </c>
      <c r="I391" s="337" t="e">
        <f t="shared" ref="I391:L391" si="163">I380/I379</f>
        <v>#DIV/0!</v>
      </c>
      <c r="J391" s="337" t="e">
        <f t="shared" si="163"/>
        <v>#DIV/0!</v>
      </c>
      <c r="K391" s="337" t="e">
        <f t="shared" si="163"/>
        <v>#DIV/0!</v>
      </c>
      <c r="L391" s="337" t="e">
        <f t="shared" si="163"/>
        <v>#DIV/0!</v>
      </c>
      <c r="O391" s="291"/>
      <c r="P391" s="291"/>
      <c r="T391" s="353"/>
      <c r="U391" s="353"/>
    </row>
    <row r="392" spans="1:21" x14ac:dyDescent="0.2">
      <c r="A392" s="182"/>
      <c r="B392" s="179" t="s">
        <v>300</v>
      </c>
      <c r="C392" s="185" t="e">
        <f>C382/C381</f>
        <v>#DIV/0!</v>
      </c>
      <c r="D392" s="185" t="e">
        <f t="shared" ref="D392:H392" si="164">D382/D381</f>
        <v>#DIV/0!</v>
      </c>
      <c r="E392" s="185">
        <f t="shared" si="164"/>
        <v>69.028484933115635</v>
      </c>
      <c r="F392" s="185">
        <f t="shared" si="164"/>
        <v>3.1236000968280851E-2</v>
      </c>
      <c r="G392" s="186">
        <f t="shared" si="164"/>
        <v>1.8937100244107455E-2</v>
      </c>
      <c r="H392" s="337" t="e">
        <f t="shared" si="164"/>
        <v>#DIV/0!</v>
      </c>
      <c r="I392" s="337" t="e">
        <f t="shared" ref="I392:L392" si="165">I382/I381</f>
        <v>#DIV/0!</v>
      </c>
      <c r="J392" s="337" t="e">
        <f t="shared" si="165"/>
        <v>#DIV/0!</v>
      </c>
      <c r="K392" s="337" t="e">
        <f t="shared" si="165"/>
        <v>#DIV/0!</v>
      </c>
      <c r="L392" s="337" t="e">
        <f t="shared" si="165"/>
        <v>#DIV/0!</v>
      </c>
      <c r="O392" s="291"/>
      <c r="P392" s="291"/>
      <c r="T392" s="353"/>
      <c r="U392" s="353"/>
    </row>
    <row r="393" spans="1:21" x14ac:dyDescent="0.2">
      <c r="A393" s="182"/>
      <c r="B393" s="179" t="s">
        <v>301</v>
      </c>
      <c r="C393" s="185" t="e">
        <f>C384/C383</f>
        <v>#DIV/0!</v>
      </c>
      <c r="D393" s="185" t="e">
        <f t="shared" ref="D393:H393" si="166">D384/D383</f>
        <v>#DIV/0!</v>
      </c>
      <c r="E393" s="185">
        <f t="shared" si="166"/>
        <v>0.1041322964522452</v>
      </c>
      <c r="F393" s="185">
        <f t="shared" si="166"/>
        <v>0.34735846775115986</v>
      </c>
      <c r="G393" s="186">
        <f t="shared" si="166"/>
        <v>0.42054682225865558</v>
      </c>
      <c r="H393" s="337" t="e">
        <f t="shared" si="166"/>
        <v>#DIV/0!</v>
      </c>
      <c r="I393" s="337" t="e">
        <f t="shared" ref="I393:L393" si="167">I384/I383</f>
        <v>#DIV/0!</v>
      </c>
      <c r="J393" s="337" t="e">
        <f t="shared" si="167"/>
        <v>#DIV/0!</v>
      </c>
      <c r="K393" s="337" t="e">
        <f t="shared" si="167"/>
        <v>#DIV/0!</v>
      </c>
      <c r="L393" s="337" t="e">
        <f t="shared" si="167"/>
        <v>#DIV/0!</v>
      </c>
      <c r="O393" s="291"/>
      <c r="P393" s="291"/>
      <c r="T393" s="353"/>
      <c r="U393" s="353"/>
    </row>
    <row r="394" spans="1:21" x14ac:dyDescent="0.2">
      <c r="A394" s="84"/>
      <c r="B394" s="179"/>
      <c r="C394" s="151"/>
      <c r="D394" s="151"/>
      <c r="E394" s="151"/>
      <c r="F394" s="151"/>
      <c r="G394" s="152"/>
      <c r="H394" s="231"/>
      <c r="I394" s="231"/>
      <c r="J394" s="231"/>
      <c r="K394" s="231"/>
      <c r="L394" s="231"/>
      <c r="O394" s="291"/>
      <c r="P394" s="291"/>
      <c r="T394" s="353"/>
      <c r="U394" s="353"/>
    </row>
    <row r="395" spans="1:21" x14ac:dyDescent="0.2">
      <c r="A395" s="84"/>
      <c r="B395" s="179" t="s">
        <v>302</v>
      </c>
      <c r="C395" s="151">
        <f>C381+C383</f>
        <v>0</v>
      </c>
      <c r="D395" s="151">
        <f t="shared" ref="D395:H396" si="168">D381+D383</f>
        <v>0</v>
      </c>
      <c r="E395" s="151">
        <f t="shared" si="168"/>
        <v>2231789807</v>
      </c>
      <c r="F395" s="151">
        <f t="shared" si="168"/>
        <v>1098116.7000000002</v>
      </c>
      <c r="G395" s="152">
        <f t="shared" si="168"/>
        <v>2433433.2999999998</v>
      </c>
      <c r="H395" s="231">
        <f t="shared" si="168"/>
        <v>0</v>
      </c>
      <c r="I395" s="231">
        <f t="shared" ref="I395:L395" si="169">I381+I383</f>
        <v>0</v>
      </c>
      <c r="J395" s="231">
        <f t="shared" si="169"/>
        <v>0</v>
      </c>
      <c r="K395" s="231">
        <f t="shared" si="169"/>
        <v>0</v>
      </c>
      <c r="L395" s="231">
        <f t="shared" si="169"/>
        <v>0</v>
      </c>
      <c r="O395" s="291"/>
      <c r="P395" s="291"/>
      <c r="T395" s="353"/>
      <c r="U395" s="353"/>
    </row>
    <row r="396" spans="1:21" x14ac:dyDescent="0.2">
      <c r="A396" s="84"/>
      <c r="B396" s="179" t="s">
        <v>303</v>
      </c>
      <c r="C396" s="151">
        <f>C382+C384</f>
        <v>0</v>
      </c>
      <c r="D396" s="151">
        <f t="shared" si="168"/>
        <v>0</v>
      </c>
      <c r="E396" s="151">
        <f t="shared" si="168"/>
        <v>270900887</v>
      </c>
      <c r="F396" s="151">
        <f t="shared" si="168"/>
        <v>63319.9</v>
      </c>
      <c r="G396" s="152">
        <f t="shared" si="168"/>
        <v>79396.5</v>
      </c>
      <c r="H396" s="231">
        <f t="shared" si="168"/>
        <v>0</v>
      </c>
      <c r="I396" s="231">
        <f t="shared" ref="I396:L396" si="170">I382+I384</f>
        <v>0</v>
      </c>
      <c r="J396" s="231">
        <f t="shared" si="170"/>
        <v>0</v>
      </c>
      <c r="K396" s="231">
        <f t="shared" si="170"/>
        <v>0</v>
      </c>
      <c r="L396" s="231">
        <f t="shared" si="170"/>
        <v>0</v>
      </c>
      <c r="O396" s="291"/>
      <c r="P396" s="291"/>
      <c r="T396" s="353"/>
      <c r="U396" s="353"/>
    </row>
    <row r="397" spans="1:21" x14ac:dyDescent="0.2">
      <c r="A397" s="84"/>
      <c r="B397" s="179" t="s">
        <v>304</v>
      </c>
      <c r="C397" s="151">
        <f>C395-C396</f>
        <v>0</v>
      </c>
      <c r="D397" s="151">
        <f t="shared" ref="D397:H397" si="171">D395-D396</f>
        <v>0</v>
      </c>
      <c r="E397" s="151">
        <f t="shared" si="171"/>
        <v>1960888920</v>
      </c>
      <c r="F397" s="151">
        <f t="shared" si="171"/>
        <v>1034796.8000000002</v>
      </c>
      <c r="G397" s="152">
        <f t="shared" si="171"/>
        <v>2354036.7999999998</v>
      </c>
      <c r="H397" s="231">
        <f t="shared" si="171"/>
        <v>0</v>
      </c>
      <c r="I397" s="231">
        <f t="shared" ref="I397:L397" si="172">I395-I396</f>
        <v>0</v>
      </c>
      <c r="J397" s="231">
        <f t="shared" si="172"/>
        <v>0</v>
      </c>
      <c r="K397" s="231">
        <f t="shared" si="172"/>
        <v>0</v>
      </c>
      <c r="L397" s="231">
        <f t="shared" si="172"/>
        <v>0</v>
      </c>
      <c r="O397" s="291"/>
      <c r="P397" s="291"/>
      <c r="T397" s="353"/>
      <c r="U397" s="353"/>
    </row>
    <row r="398" spans="1:21" x14ac:dyDescent="0.2">
      <c r="A398" s="84"/>
      <c r="B398" s="576" t="s">
        <v>305</v>
      </c>
      <c r="C398" s="185" t="e">
        <f>C396/C395</f>
        <v>#DIV/0!</v>
      </c>
      <c r="D398" s="185" t="e">
        <f t="shared" ref="D398:H398" si="173">D396/D395</f>
        <v>#DIV/0!</v>
      </c>
      <c r="E398" s="185">
        <f t="shared" si="173"/>
        <v>0.12138279606364381</v>
      </c>
      <c r="F398" s="185">
        <f t="shared" si="173"/>
        <v>5.7662268500242267E-2</v>
      </c>
      <c r="G398" s="186">
        <f t="shared" si="173"/>
        <v>3.2627358226749018E-2</v>
      </c>
      <c r="H398" s="337" t="e">
        <f t="shared" si="173"/>
        <v>#DIV/0!</v>
      </c>
      <c r="I398" s="337" t="e">
        <f t="shared" ref="I398:L398" si="174">I396/I395</f>
        <v>#DIV/0!</v>
      </c>
      <c r="J398" s="337" t="e">
        <f t="shared" si="174"/>
        <v>#DIV/0!</v>
      </c>
      <c r="K398" s="337" t="e">
        <f t="shared" si="174"/>
        <v>#DIV/0!</v>
      </c>
      <c r="L398" s="337" t="e">
        <f t="shared" si="174"/>
        <v>#DIV/0!</v>
      </c>
      <c r="O398" s="291"/>
      <c r="P398" s="291"/>
      <c r="T398" s="353"/>
      <c r="U398" s="353"/>
    </row>
    <row r="399" spans="1:21" x14ac:dyDescent="0.2">
      <c r="A399" s="84"/>
      <c r="B399" s="179"/>
      <c r="C399" s="151"/>
      <c r="D399" s="151"/>
      <c r="E399" s="151"/>
      <c r="F399" s="151"/>
      <c r="G399" s="152"/>
      <c r="H399" s="231"/>
      <c r="I399" s="231"/>
      <c r="J399" s="231"/>
      <c r="K399" s="231"/>
      <c r="L399" s="231"/>
      <c r="O399" s="291"/>
      <c r="P399" s="291"/>
      <c r="T399" s="353"/>
      <c r="U399" s="353"/>
    </row>
    <row r="400" spans="1:21" x14ac:dyDescent="0.2">
      <c r="A400" s="84"/>
      <c r="B400" s="203" t="s">
        <v>303</v>
      </c>
      <c r="C400" s="204">
        <f>C396</f>
        <v>0</v>
      </c>
      <c r="D400" s="204">
        <f t="shared" ref="D400:H400" si="175">D396</f>
        <v>0</v>
      </c>
      <c r="E400" s="204">
        <f t="shared" si="175"/>
        <v>270900887</v>
      </c>
      <c r="F400" s="204">
        <f t="shared" si="175"/>
        <v>63319.9</v>
      </c>
      <c r="G400" s="205">
        <f t="shared" si="175"/>
        <v>79396.5</v>
      </c>
      <c r="H400" s="340">
        <f t="shared" si="175"/>
        <v>0</v>
      </c>
      <c r="I400" s="340">
        <f t="shared" ref="I400:L400" si="176">I396</f>
        <v>0</v>
      </c>
      <c r="J400" s="340">
        <f t="shared" si="176"/>
        <v>0</v>
      </c>
      <c r="K400" s="340">
        <f t="shared" si="176"/>
        <v>0</v>
      </c>
      <c r="L400" s="340">
        <f t="shared" si="176"/>
        <v>0</v>
      </c>
      <c r="O400" s="291"/>
      <c r="P400" s="291"/>
      <c r="T400" s="353"/>
      <c r="U400" s="353"/>
    </row>
    <row r="401" spans="1:21" x14ac:dyDescent="0.2">
      <c r="A401" s="84"/>
      <c r="B401" s="179" t="s">
        <v>364</v>
      </c>
      <c r="C401" s="151"/>
      <c r="D401" s="151"/>
      <c r="E401" s="151"/>
      <c r="F401" s="151"/>
      <c r="G401" s="152"/>
      <c r="H401" s="339"/>
      <c r="I401" s="339"/>
      <c r="J401" s="339"/>
      <c r="K401" s="339"/>
      <c r="L401" s="339"/>
      <c r="O401" s="291"/>
      <c r="P401" s="291"/>
      <c r="T401" s="353"/>
      <c r="U401" s="353"/>
    </row>
    <row r="402" spans="1:21" x14ac:dyDescent="0.2">
      <c r="A402" s="84"/>
      <c r="B402" s="179" t="s">
        <v>673</v>
      </c>
      <c r="C402" s="185" t="e">
        <f>C401/C400</f>
        <v>#DIV/0!</v>
      </c>
      <c r="D402" s="185" t="e">
        <f t="shared" ref="D402:G402" si="177">D401/D400</f>
        <v>#DIV/0!</v>
      </c>
      <c r="E402" s="185">
        <f t="shared" si="177"/>
        <v>0</v>
      </c>
      <c r="F402" s="185">
        <f t="shared" si="177"/>
        <v>0</v>
      </c>
      <c r="G402" s="186">
        <f t="shared" si="177"/>
        <v>0</v>
      </c>
      <c r="H402" s="242"/>
      <c r="I402" s="242"/>
      <c r="J402" s="242"/>
      <c r="K402" s="242"/>
      <c r="L402" s="242"/>
      <c r="O402" s="291"/>
      <c r="P402" s="291"/>
      <c r="T402" s="353"/>
      <c r="U402" s="353"/>
    </row>
    <row r="403" spans="1:21" x14ac:dyDescent="0.2">
      <c r="A403" s="84"/>
      <c r="B403" s="179"/>
      <c r="C403" s="185"/>
      <c r="D403" s="185"/>
      <c r="E403" s="185"/>
      <c r="F403" s="185"/>
      <c r="G403" s="186"/>
      <c r="H403" s="242"/>
      <c r="I403" s="242"/>
      <c r="J403" s="242"/>
      <c r="K403" s="242"/>
      <c r="L403" s="242"/>
      <c r="O403" s="291"/>
      <c r="P403" s="291"/>
      <c r="T403" s="353"/>
      <c r="U403" s="353"/>
    </row>
    <row r="404" spans="1:21" x14ac:dyDescent="0.2">
      <c r="A404" s="84"/>
      <c r="B404" s="179" t="s">
        <v>804</v>
      </c>
      <c r="C404" s="244">
        <f>C383-C384</f>
        <v>0</v>
      </c>
      <c r="D404" s="244">
        <f t="shared" ref="D404:G404" si="178">D383-D384</f>
        <v>0</v>
      </c>
      <c r="E404" s="244">
        <f t="shared" si="178"/>
        <v>1998887999</v>
      </c>
      <c r="F404" s="244">
        <f t="shared" si="178"/>
        <v>59910.600000000006</v>
      </c>
      <c r="G404" s="245">
        <f t="shared" si="178"/>
        <v>48066.8</v>
      </c>
      <c r="H404" s="242"/>
      <c r="I404" s="242"/>
      <c r="J404" s="242"/>
      <c r="K404" s="242"/>
      <c r="L404" s="242"/>
      <c r="O404" s="291"/>
      <c r="P404" s="291"/>
      <c r="T404" s="353"/>
      <c r="U404" s="353"/>
    </row>
    <row r="405" spans="1:21" x14ac:dyDescent="0.2">
      <c r="A405" s="84"/>
      <c r="B405" s="179" t="s">
        <v>805</v>
      </c>
      <c r="C405" s="185" t="e">
        <f>C404/C397</f>
        <v>#DIV/0!</v>
      </c>
      <c r="D405" s="185" t="e">
        <f t="shared" ref="D405:G405" si="179">D404/D397</f>
        <v>#DIV/0!</v>
      </c>
      <c r="E405" s="185">
        <f t="shared" si="179"/>
        <v>1.0193784964627166</v>
      </c>
      <c r="F405" s="185">
        <f t="shared" si="179"/>
        <v>5.7896004316982809E-2</v>
      </c>
      <c r="G405" s="186">
        <f t="shared" si="179"/>
        <v>2.041888215171488E-2</v>
      </c>
      <c r="H405" s="242"/>
      <c r="I405" s="242"/>
      <c r="J405" s="242"/>
      <c r="K405" s="242"/>
      <c r="L405" s="242"/>
      <c r="O405" s="291"/>
      <c r="P405" s="291"/>
      <c r="T405" s="353"/>
      <c r="U405" s="353"/>
    </row>
    <row r="406" spans="1:21" ht="13.5" thickBot="1" x14ac:dyDescent="0.25">
      <c r="A406" s="87"/>
      <c r="B406" s="192"/>
      <c r="C406" s="153"/>
      <c r="D406" s="153"/>
      <c r="E406" s="153"/>
      <c r="F406" s="153"/>
      <c r="G406" s="154"/>
      <c r="H406" s="340"/>
      <c r="I406" s="340"/>
      <c r="J406" s="340"/>
      <c r="K406" s="340"/>
      <c r="L406" s="340"/>
      <c r="O406" s="291"/>
      <c r="P406" s="291"/>
      <c r="T406" s="353"/>
      <c r="U406" s="353"/>
    </row>
    <row r="407" spans="1:21" x14ac:dyDescent="0.2">
      <c r="B407" s="234"/>
      <c r="C407" s="151"/>
      <c r="D407" s="151"/>
      <c r="E407" s="151"/>
      <c r="F407" s="151"/>
      <c r="G407" s="151"/>
      <c r="H407" s="231"/>
      <c r="I407" s="231"/>
      <c r="J407" s="231"/>
      <c r="K407" s="231"/>
      <c r="L407" s="317"/>
      <c r="M407" s="317"/>
      <c r="N407" s="317"/>
      <c r="O407" s="293"/>
      <c r="P407" s="293"/>
      <c r="Q407" s="317"/>
      <c r="R407" s="317"/>
      <c r="S407" s="317"/>
      <c r="T407" s="353"/>
      <c r="U407" s="353"/>
    </row>
    <row r="408" spans="1:21" s="287" customFormat="1" ht="13.5" thickBot="1" x14ac:dyDescent="0.25">
      <c r="B408" s="294"/>
      <c r="C408" s="290"/>
      <c r="D408" s="290"/>
      <c r="E408" s="290"/>
      <c r="F408" s="290"/>
      <c r="G408" s="290"/>
      <c r="T408" s="353"/>
      <c r="U408" s="353"/>
    </row>
    <row r="409" spans="1:21" s="287" customFormat="1" ht="19.5" thickBot="1" x14ac:dyDescent="0.25">
      <c r="A409" s="41"/>
      <c r="B409" s="34" t="s">
        <v>306</v>
      </c>
      <c r="C409" s="318"/>
      <c r="D409" s="318"/>
      <c r="E409" s="318"/>
      <c r="F409" s="318"/>
      <c r="G409" s="318"/>
      <c r="T409" s="353"/>
      <c r="U409" s="353"/>
    </row>
    <row r="410" spans="1:21" s="287" customFormat="1" x14ac:dyDescent="0.2">
      <c r="A410" s="169"/>
      <c r="B410" s="170"/>
      <c r="C410" s="171"/>
      <c r="D410" s="171"/>
      <c r="E410" s="171"/>
      <c r="F410" s="171"/>
      <c r="G410" s="171"/>
      <c r="H410" s="171"/>
      <c r="I410" s="171"/>
      <c r="J410" s="172"/>
      <c r="T410" s="353"/>
      <c r="U410" s="353"/>
    </row>
    <row r="411" spans="1:21" s="287" customFormat="1" x14ac:dyDescent="0.2">
      <c r="A411" s="169"/>
      <c r="B411" s="170" t="s">
        <v>285</v>
      </c>
      <c r="C411" s="193" t="str">
        <f>G21</f>
        <v>31/03/2021</v>
      </c>
      <c r="D411" s="193"/>
      <c r="E411" s="193"/>
      <c r="F411" s="193"/>
      <c r="G411" s="193"/>
      <c r="H411" s="193"/>
      <c r="I411" s="193"/>
      <c r="J411" s="194"/>
      <c r="T411" s="353"/>
      <c r="U411" s="353"/>
    </row>
    <row r="412" spans="1:21" s="287" customFormat="1" ht="15" x14ac:dyDescent="0.2">
      <c r="A412" s="84"/>
      <c r="B412" s="66"/>
      <c r="C412" s="193" t="s">
        <v>308</v>
      </c>
      <c r="D412" s="193"/>
      <c r="E412" s="193"/>
      <c r="F412" s="193"/>
      <c r="G412" s="193" t="s">
        <v>326</v>
      </c>
      <c r="H412" s="193"/>
      <c r="I412" s="193"/>
      <c r="J412" s="194"/>
      <c r="T412" s="353"/>
      <c r="U412" s="353"/>
    </row>
    <row r="413" spans="1:21" s="287" customFormat="1" ht="15" x14ac:dyDescent="0.2">
      <c r="A413" s="84"/>
      <c r="B413" s="66" t="s">
        <v>307</v>
      </c>
      <c r="C413" s="193" t="s">
        <v>309</v>
      </c>
      <c r="D413" s="193" t="s">
        <v>310</v>
      </c>
      <c r="E413" s="193" t="s">
        <v>311</v>
      </c>
      <c r="F413" s="193" t="s">
        <v>247</v>
      </c>
      <c r="G413" s="193" t="s">
        <v>309</v>
      </c>
      <c r="H413" s="193" t="s">
        <v>310</v>
      </c>
      <c r="I413" s="193" t="s">
        <v>311</v>
      </c>
      <c r="J413" s="194" t="s">
        <v>247</v>
      </c>
      <c r="T413" s="353"/>
      <c r="U413" s="353"/>
    </row>
    <row r="414" spans="1:21" s="287" customFormat="1" x14ac:dyDescent="0.2">
      <c r="A414" s="84"/>
      <c r="B414" s="195" t="s">
        <v>324</v>
      </c>
      <c r="C414" s="271">
        <f>Sheet1!C431</f>
        <v>870649.7</v>
      </c>
      <c r="D414" s="271">
        <f>Sheet1!D431</f>
        <v>122596.6</v>
      </c>
      <c r="E414" s="271">
        <f>Sheet1!E431</f>
        <v>91770.8</v>
      </c>
      <c r="F414" s="271">
        <f>Sheet1!F431</f>
        <v>1085017.0999999999</v>
      </c>
      <c r="G414" s="271">
        <f>Sheet1!G431</f>
        <v>21560.5</v>
      </c>
      <c r="H414" s="271">
        <f>Sheet1!H431</f>
        <v>9280.7999999999993</v>
      </c>
      <c r="I414" s="271">
        <f>Sheet1!I431</f>
        <v>31859.5</v>
      </c>
      <c r="J414" s="270">
        <f>Sheet1!J431</f>
        <v>62700.800000000003</v>
      </c>
      <c r="T414" s="353"/>
      <c r="U414" s="353"/>
    </row>
    <row r="415" spans="1:21" s="287" customFormat="1" ht="25.5" x14ac:dyDescent="0.2">
      <c r="A415" s="84"/>
      <c r="B415" s="67" t="s">
        <v>312</v>
      </c>
      <c r="C415" s="180">
        <f>Sheet1!C432</f>
        <v>213</v>
      </c>
      <c r="D415" s="180">
        <f>Sheet1!D432</f>
        <v>435</v>
      </c>
      <c r="E415" s="180">
        <f>Sheet1!E432</f>
        <v>657</v>
      </c>
      <c r="F415" s="180">
        <f>Sheet1!F432</f>
        <v>1305</v>
      </c>
      <c r="G415" s="180">
        <f>Sheet1!G432</f>
        <v>10101.299999999999</v>
      </c>
      <c r="H415" s="180">
        <f>Sheet1!H432</f>
        <v>4022</v>
      </c>
      <c r="I415" s="180">
        <f>Sheet1!I432</f>
        <v>5566.5</v>
      </c>
      <c r="J415" s="181">
        <f>Sheet1!J432</f>
        <v>19689.8</v>
      </c>
      <c r="T415" s="353"/>
      <c r="U415" s="353"/>
    </row>
    <row r="416" spans="1:21" s="287" customFormat="1" x14ac:dyDescent="0.2">
      <c r="A416" s="84"/>
      <c r="B416" s="67" t="s">
        <v>313</v>
      </c>
      <c r="C416" s="180">
        <f>Sheet1!C433</f>
        <v>-225924.1</v>
      </c>
      <c r="D416" s="180">
        <f>Sheet1!D433</f>
        <v>-35316.5</v>
      </c>
      <c r="E416" s="180">
        <f>Sheet1!E433</f>
        <v>-21578.400000000001</v>
      </c>
      <c r="F416" s="180">
        <f>Sheet1!F433</f>
        <v>-282819</v>
      </c>
      <c r="G416" s="180">
        <f>Sheet1!G433</f>
        <v>0</v>
      </c>
      <c r="H416" s="180">
        <f>Sheet1!H433</f>
        <v>0</v>
      </c>
      <c r="I416" s="180">
        <f>Sheet1!I433</f>
        <v>0</v>
      </c>
      <c r="J416" s="181">
        <f>Sheet1!J433</f>
        <v>0</v>
      </c>
      <c r="T416" s="353"/>
      <c r="U416" s="353"/>
    </row>
    <row r="417" spans="1:21" s="287" customFormat="1" x14ac:dyDescent="0.2">
      <c r="A417" s="84"/>
      <c r="B417" s="67" t="s">
        <v>314</v>
      </c>
      <c r="C417" s="180">
        <f>Sheet1!C434</f>
        <v>0</v>
      </c>
      <c r="D417" s="180">
        <f>Sheet1!D434</f>
        <v>0</v>
      </c>
      <c r="E417" s="180">
        <f>Sheet1!E434</f>
        <v>0</v>
      </c>
      <c r="F417" s="180">
        <f>Sheet1!F434</f>
        <v>0</v>
      </c>
      <c r="G417" s="180">
        <f>Sheet1!G434</f>
        <v>0</v>
      </c>
      <c r="H417" s="180">
        <f>Sheet1!H434</f>
        <v>0</v>
      </c>
      <c r="I417" s="180">
        <f>Sheet1!I434</f>
        <v>0</v>
      </c>
      <c r="J417" s="181">
        <f>Sheet1!J434</f>
        <v>0</v>
      </c>
      <c r="T417" s="353"/>
      <c r="U417" s="353"/>
    </row>
    <row r="418" spans="1:21" s="287" customFormat="1" x14ac:dyDescent="0.2">
      <c r="A418" s="84"/>
      <c r="B418" s="67" t="s">
        <v>315</v>
      </c>
      <c r="C418" s="180">
        <f>Sheet1!C435</f>
        <v>99586.5</v>
      </c>
      <c r="D418" s="180">
        <f>Sheet1!D435</f>
        <v>-77267</v>
      </c>
      <c r="E418" s="180">
        <f>Sheet1!E435</f>
        <v>-22319.5</v>
      </c>
      <c r="F418" s="180">
        <f>Sheet1!F435</f>
        <v>0</v>
      </c>
      <c r="G418" s="180">
        <f>Sheet1!G435</f>
        <v>13811.3</v>
      </c>
      <c r="H418" s="180">
        <f>Sheet1!H435</f>
        <v>-6025.4</v>
      </c>
      <c r="I418" s="180">
        <f>Sheet1!I435</f>
        <v>-7785.9</v>
      </c>
      <c r="J418" s="181">
        <f>Sheet1!J435</f>
        <v>0</v>
      </c>
      <c r="T418" s="353"/>
      <c r="U418" s="353"/>
    </row>
    <row r="419" spans="1:21" s="287" customFormat="1" x14ac:dyDescent="0.2">
      <c r="A419" s="84"/>
      <c r="B419" s="67" t="s">
        <v>316</v>
      </c>
      <c r="C419" s="180">
        <f>Sheet1!C436</f>
        <v>-97663.5</v>
      </c>
      <c r="D419" s="180">
        <f>Sheet1!D436</f>
        <v>107229.3</v>
      </c>
      <c r="E419" s="180">
        <f>Sheet1!E436</f>
        <v>-9565.7999999999993</v>
      </c>
      <c r="F419" s="180">
        <f>Sheet1!F436</f>
        <v>0</v>
      </c>
      <c r="G419" s="180">
        <f>Sheet1!G436</f>
        <v>-2607.5</v>
      </c>
      <c r="H419" s="180">
        <f>Sheet1!H436</f>
        <v>5989.6</v>
      </c>
      <c r="I419" s="180">
        <f>Sheet1!I436</f>
        <v>-3382.1</v>
      </c>
      <c r="J419" s="181">
        <f>Sheet1!J436</f>
        <v>0</v>
      </c>
      <c r="T419" s="353"/>
      <c r="U419" s="353"/>
    </row>
    <row r="420" spans="1:21" s="287" customFormat="1" x14ac:dyDescent="0.2">
      <c r="A420" s="84"/>
      <c r="B420" s="67" t="s">
        <v>317</v>
      </c>
      <c r="C420" s="180">
        <f>Sheet1!C437</f>
        <v>-24490.799999999999</v>
      </c>
      <c r="D420" s="180">
        <f>Sheet1!D437</f>
        <v>-16931.2</v>
      </c>
      <c r="E420" s="180">
        <f>Sheet1!E437</f>
        <v>41422</v>
      </c>
      <c r="F420" s="180">
        <f>Sheet1!F437</f>
        <v>0</v>
      </c>
      <c r="G420" s="180">
        <f>Sheet1!G437</f>
        <v>-654.20000000000005</v>
      </c>
      <c r="H420" s="180">
        <f>Sheet1!H437</f>
        <v>-1452.9</v>
      </c>
      <c r="I420" s="180">
        <f>Sheet1!I437</f>
        <v>2107.1</v>
      </c>
      <c r="J420" s="181">
        <f>Sheet1!J437</f>
        <v>0</v>
      </c>
      <c r="T420" s="353"/>
      <c r="U420" s="353"/>
    </row>
    <row r="421" spans="1:21" s="287" customFormat="1" x14ac:dyDescent="0.2">
      <c r="A421" s="182"/>
      <c r="B421" s="67" t="s">
        <v>318</v>
      </c>
      <c r="C421" s="180">
        <f>Sheet1!C438</f>
        <v>-4005.4</v>
      </c>
      <c r="D421" s="180">
        <f>Sheet1!D438</f>
        <v>-1104.7</v>
      </c>
      <c r="E421" s="180">
        <f>Sheet1!E438</f>
        <v>-9986</v>
      </c>
      <c r="F421" s="180">
        <f>Sheet1!F438</f>
        <v>-15096.1</v>
      </c>
      <c r="G421" s="180">
        <f>Sheet1!G438</f>
        <v>-4005.4</v>
      </c>
      <c r="H421" s="180">
        <f>Sheet1!H438</f>
        <v>-1104.7</v>
      </c>
      <c r="I421" s="180">
        <f>Sheet1!I438</f>
        <v>-9986.4</v>
      </c>
      <c r="J421" s="181">
        <f>Sheet1!J438</f>
        <v>-15096.5</v>
      </c>
      <c r="T421" s="353"/>
      <c r="U421" s="353"/>
    </row>
    <row r="422" spans="1:21" s="287" customFormat="1" ht="25.5" x14ac:dyDescent="0.2">
      <c r="A422" s="182"/>
      <c r="B422" s="67" t="s">
        <v>319</v>
      </c>
      <c r="C422" s="180">
        <f>Sheet1!C439</f>
        <v>0</v>
      </c>
      <c r="D422" s="180">
        <f>Sheet1!D439</f>
        <v>0</v>
      </c>
      <c r="E422" s="180">
        <f>Sheet1!E439</f>
        <v>0</v>
      </c>
      <c r="F422" s="180">
        <f>Sheet1!F439</f>
        <v>0</v>
      </c>
      <c r="G422" s="180">
        <f>Sheet1!G439</f>
        <v>-7742.5</v>
      </c>
      <c r="H422" s="180">
        <f>Sheet1!H439</f>
        <v>2851.3</v>
      </c>
      <c r="I422" s="180">
        <f>Sheet1!I439</f>
        <v>16482.2</v>
      </c>
      <c r="J422" s="181">
        <f>Sheet1!J439</f>
        <v>11591</v>
      </c>
      <c r="T422" s="353"/>
      <c r="U422" s="353"/>
    </row>
    <row r="423" spans="1:21" s="287" customFormat="1" x14ac:dyDescent="0.2">
      <c r="A423" s="182"/>
      <c r="B423" s="67" t="s">
        <v>320</v>
      </c>
      <c r="C423" s="180">
        <f>Sheet1!C440</f>
        <v>0</v>
      </c>
      <c r="D423" s="180">
        <f>Sheet1!D440</f>
        <v>0</v>
      </c>
      <c r="E423" s="180">
        <f>Sheet1!E440</f>
        <v>0</v>
      </c>
      <c r="F423" s="180">
        <f>Sheet1!F440</f>
        <v>0</v>
      </c>
      <c r="G423" s="180">
        <f>Sheet1!G440</f>
        <v>0</v>
      </c>
      <c r="H423" s="180">
        <f>Sheet1!H440</f>
        <v>0</v>
      </c>
      <c r="I423" s="180">
        <f>Sheet1!I440</f>
        <v>0</v>
      </c>
      <c r="J423" s="181">
        <f>Sheet1!J440</f>
        <v>0</v>
      </c>
      <c r="T423" s="353"/>
      <c r="U423" s="353"/>
    </row>
    <row r="424" spans="1:21" s="287" customFormat="1" x14ac:dyDescent="0.2">
      <c r="A424" s="182"/>
      <c r="B424" s="67" t="s">
        <v>321</v>
      </c>
      <c r="C424" s="180">
        <f>Sheet1!C441</f>
        <v>0</v>
      </c>
      <c r="D424" s="180">
        <f>Sheet1!D441</f>
        <v>0</v>
      </c>
      <c r="E424" s="180">
        <f>Sheet1!E441</f>
        <v>0</v>
      </c>
      <c r="F424" s="180">
        <f>Sheet1!F441</f>
        <v>0</v>
      </c>
      <c r="G424" s="180">
        <f>Sheet1!G441</f>
        <v>0</v>
      </c>
      <c r="H424" s="180">
        <f>Sheet1!H441</f>
        <v>0</v>
      </c>
      <c r="I424" s="180">
        <f>Sheet1!I441</f>
        <v>0</v>
      </c>
      <c r="J424" s="181">
        <f>Sheet1!J441</f>
        <v>0</v>
      </c>
      <c r="T424" s="353"/>
      <c r="U424" s="353"/>
    </row>
    <row r="425" spans="1:21" s="287" customFormat="1" x14ac:dyDescent="0.2">
      <c r="A425" s="182"/>
      <c r="B425" s="67" t="s">
        <v>322</v>
      </c>
      <c r="C425" s="180">
        <f>Sheet1!C442</f>
        <v>0</v>
      </c>
      <c r="D425" s="180">
        <f>Sheet1!D442</f>
        <v>0</v>
      </c>
      <c r="E425" s="180">
        <f>Sheet1!E442</f>
        <v>0</v>
      </c>
      <c r="F425" s="180">
        <f>Sheet1!F442</f>
        <v>0</v>
      </c>
      <c r="G425" s="180">
        <f>Sheet1!G442</f>
        <v>0</v>
      </c>
      <c r="H425" s="180">
        <f>Sheet1!H442</f>
        <v>0</v>
      </c>
      <c r="I425" s="180">
        <f>Sheet1!I442</f>
        <v>0</v>
      </c>
      <c r="J425" s="181">
        <f>Sheet1!J442</f>
        <v>0</v>
      </c>
      <c r="T425" s="353"/>
      <c r="U425" s="353"/>
    </row>
    <row r="426" spans="1:21" s="287" customFormat="1" ht="25.5" x14ac:dyDescent="0.2">
      <c r="A426" s="182"/>
      <c r="B426" s="67" t="s">
        <v>323</v>
      </c>
      <c r="C426" s="180">
        <f>Sheet1!C443</f>
        <v>0</v>
      </c>
      <c r="D426" s="180">
        <f>Sheet1!D443</f>
        <v>0</v>
      </c>
      <c r="E426" s="180">
        <f>Sheet1!E443</f>
        <v>0</v>
      </c>
      <c r="F426" s="180">
        <f>Sheet1!F443</f>
        <v>0</v>
      </c>
      <c r="G426" s="180">
        <f>Sheet1!G443</f>
        <v>0</v>
      </c>
      <c r="H426" s="180">
        <f>Sheet1!H443</f>
        <v>0</v>
      </c>
      <c r="I426" s="180">
        <f>Sheet1!I443</f>
        <v>0</v>
      </c>
      <c r="J426" s="181">
        <f>Sheet1!J443</f>
        <v>0</v>
      </c>
      <c r="T426" s="353"/>
      <c r="U426" s="353"/>
    </row>
    <row r="427" spans="1:21" s="287" customFormat="1" x14ac:dyDescent="0.2">
      <c r="A427" s="182"/>
      <c r="B427" s="195" t="s">
        <v>325</v>
      </c>
      <c r="C427" s="271">
        <f>Sheet1!C444</f>
        <v>618365.39999999991</v>
      </c>
      <c r="D427" s="271">
        <f>Sheet1!D444</f>
        <v>99641.500000000015</v>
      </c>
      <c r="E427" s="271">
        <f>Sheet1!E444</f>
        <v>70400.099999999991</v>
      </c>
      <c r="F427" s="271">
        <f>Sheet1!F444</f>
        <v>788406.99999999988</v>
      </c>
      <c r="G427" s="271">
        <f>Sheet1!G444</f>
        <v>30463.5</v>
      </c>
      <c r="H427" s="271">
        <f>Sheet1!H444</f>
        <v>13560.7</v>
      </c>
      <c r="I427" s="271">
        <f>Sheet1!I444</f>
        <v>34860.899999999994</v>
      </c>
      <c r="J427" s="270">
        <f>Sheet1!J444</f>
        <v>78885.100000000006</v>
      </c>
      <c r="T427" s="353"/>
      <c r="U427" s="353"/>
    </row>
    <row r="428" spans="1:21" s="295" customFormat="1" x14ac:dyDescent="0.2">
      <c r="A428" s="84"/>
      <c r="B428" s="179"/>
      <c r="C428" s="151"/>
      <c r="D428" s="151"/>
      <c r="E428" s="151"/>
      <c r="F428" s="151"/>
      <c r="G428" s="151"/>
      <c r="H428" s="151"/>
      <c r="I428" s="151"/>
      <c r="J428" s="152"/>
      <c r="T428" s="353"/>
      <c r="U428" s="353"/>
    </row>
    <row r="429" spans="1:21" s="295" customFormat="1" x14ac:dyDescent="0.2">
      <c r="A429" s="84"/>
      <c r="B429" s="179" t="s">
        <v>622</v>
      </c>
      <c r="C429" s="155">
        <f>D419/D414</f>
        <v>0.87465149930748487</v>
      </c>
      <c r="D429" s="151"/>
      <c r="E429" s="151"/>
      <c r="F429" s="151"/>
      <c r="G429" s="151"/>
      <c r="H429" s="151"/>
      <c r="I429" s="151"/>
      <c r="J429" s="152"/>
      <c r="T429" s="353"/>
      <c r="U429" s="353"/>
    </row>
    <row r="430" spans="1:21" s="295" customFormat="1" x14ac:dyDescent="0.2">
      <c r="A430" s="84"/>
      <c r="B430" s="179" t="s">
        <v>623</v>
      </c>
      <c r="C430" s="155">
        <f>E420/E414</f>
        <v>0.45136361457021185</v>
      </c>
      <c r="D430" s="151"/>
      <c r="E430" s="151"/>
      <c r="F430" s="151"/>
      <c r="G430" s="151"/>
      <c r="H430" s="151"/>
      <c r="I430" s="151"/>
      <c r="J430" s="152"/>
      <c r="T430" s="353"/>
      <c r="U430" s="353"/>
    </row>
    <row r="431" spans="1:21" s="295" customFormat="1" x14ac:dyDescent="0.2">
      <c r="A431" s="84"/>
      <c r="B431" s="179" t="s">
        <v>624</v>
      </c>
      <c r="C431" s="574">
        <f>SUM(D419,E420)/F414</f>
        <v>0.1370036472236244</v>
      </c>
      <c r="D431" s="155"/>
      <c r="E431" s="151"/>
      <c r="F431" s="151"/>
      <c r="G431" s="151"/>
      <c r="H431" s="151"/>
      <c r="I431" s="151"/>
      <c r="J431" s="152"/>
      <c r="T431" s="353"/>
      <c r="U431" s="353"/>
    </row>
    <row r="432" spans="1:21" s="295" customFormat="1" x14ac:dyDescent="0.2">
      <c r="A432" s="84"/>
      <c r="B432" s="179" t="s">
        <v>625</v>
      </c>
      <c r="C432" s="574">
        <f>C421/F414</f>
        <v>-3.6915547229624313E-3</v>
      </c>
      <c r="D432" s="151"/>
      <c r="E432" s="151"/>
      <c r="F432" s="151"/>
      <c r="G432" s="151"/>
      <c r="H432" s="151"/>
      <c r="I432" s="151"/>
      <c r="J432" s="152"/>
      <c r="T432" s="353"/>
      <c r="U432" s="353"/>
    </row>
    <row r="433" spans="1:21" s="295" customFormat="1" ht="25.5" x14ac:dyDescent="0.2">
      <c r="A433" s="84"/>
      <c r="B433" s="179" t="s">
        <v>626</v>
      </c>
      <c r="C433" s="155">
        <f>SUM(C418)/SUM(D414:E414)</f>
        <v>0.46455990976239853</v>
      </c>
      <c r="D433" s="151"/>
      <c r="E433" s="151"/>
      <c r="F433" s="151"/>
      <c r="G433" s="151"/>
      <c r="H433" s="151"/>
      <c r="I433" s="151"/>
      <c r="J433" s="152"/>
      <c r="T433" s="353"/>
      <c r="U433" s="353"/>
    </row>
    <row r="434" spans="1:21" s="295" customFormat="1" x14ac:dyDescent="0.2">
      <c r="A434" s="84"/>
      <c r="B434" s="179" t="s">
        <v>615</v>
      </c>
      <c r="C434" s="155">
        <f>C415/C414</f>
        <v>2.4464488990233387E-4</v>
      </c>
      <c r="D434" s="151"/>
      <c r="E434" s="151"/>
      <c r="F434" s="151"/>
      <c r="G434" s="151"/>
      <c r="H434" s="151"/>
      <c r="I434" s="151"/>
      <c r="J434" s="152"/>
      <c r="T434" s="353"/>
      <c r="U434" s="353"/>
    </row>
    <row r="435" spans="1:21" s="295" customFormat="1" x14ac:dyDescent="0.2">
      <c r="A435" s="84"/>
      <c r="B435" s="179" t="s">
        <v>616</v>
      </c>
      <c r="C435" s="155">
        <f>C415/C427</f>
        <v>3.4445653007105512E-4</v>
      </c>
      <c r="D435" s="151"/>
      <c r="E435" s="151"/>
      <c r="F435" s="151"/>
      <c r="G435" s="151"/>
      <c r="H435" s="151"/>
      <c r="I435" s="151"/>
      <c r="J435" s="152"/>
      <c r="T435" s="353"/>
      <c r="U435" s="353"/>
    </row>
    <row r="436" spans="1:21" s="295" customFormat="1" x14ac:dyDescent="0.2">
      <c r="A436" s="84"/>
      <c r="B436" s="179" t="s">
        <v>617</v>
      </c>
      <c r="C436" s="155">
        <f>D415/D427</f>
        <v>4.3656508583271017E-3</v>
      </c>
      <c r="E436" s="151"/>
      <c r="F436" s="151"/>
      <c r="G436" s="151"/>
      <c r="H436" s="151"/>
      <c r="I436" s="151"/>
      <c r="J436" s="152"/>
      <c r="T436" s="353"/>
      <c r="U436" s="353"/>
    </row>
    <row r="437" spans="1:21" s="295" customFormat="1" x14ac:dyDescent="0.2">
      <c r="A437" s="84"/>
      <c r="B437" s="179" t="s">
        <v>618</v>
      </c>
      <c r="C437" s="155">
        <f>E415/E427</f>
        <v>9.3323731074245637E-3</v>
      </c>
      <c r="D437" s="151"/>
      <c r="E437" s="151"/>
      <c r="F437" s="151"/>
      <c r="G437" s="151"/>
      <c r="H437" s="151"/>
      <c r="I437" s="151"/>
      <c r="J437" s="152"/>
      <c r="T437" s="353"/>
      <c r="U437" s="353"/>
    </row>
    <row r="438" spans="1:21" s="295" customFormat="1" x14ac:dyDescent="0.2">
      <c r="A438" s="84"/>
      <c r="B438" s="179" t="s">
        <v>619</v>
      </c>
      <c r="C438" s="574">
        <f>D415/F415</f>
        <v>0.33333333333333331</v>
      </c>
      <c r="D438" s="151"/>
      <c r="E438" s="151"/>
      <c r="F438" s="151"/>
      <c r="G438" s="151"/>
      <c r="H438" s="151"/>
      <c r="I438" s="151"/>
      <c r="J438" s="152"/>
      <c r="T438" s="353"/>
      <c r="U438" s="353"/>
    </row>
    <row r="439" spans="1:21" s="295" customFormat="1" x14ac:dyDescent="0.2">
      <c r="A439" s="84"/>
      <c r="B439" s="179" t="s">
        <v>620</v>
      </c>
      <c r="C439" s="574">
        <f>E415/F415</f>
        <v>0.50344827586206897</v>
      </c>
      <c r="D439" s="151"/>
      <c r="E439" s="151"/>
      <c r="F439" s="151"/>
      <c r="G439" s="151"/>
      <c r="H439" s="151"/>
      <c r="I439" s="151"/>
      <c r="J439" s="152"/>
      <c r="T439" s="353"/>
      <c r="U439" s="353"/>
    </row>
    <row r="440" spans="1:21" s="295" customFormat="1" x14ac:dyDescent="0.2">
      <c r="A440" s="84"/>
      <c r="B440" s="179" t="s">
        <v>621</v>
      </c>
      <c r="C440" s="155">
        <f>C438+C439</f>
        <v>0.83678160919540234</v>
      </c>
      <c r="D440" s="151"/>
      <c r="E440" s="151"/>
      <c r="F440" s="151"/>
      <c r="G440" s="151"/>
      <c r="H440" s="151"/>
      <c r="I440" s="151"/>
      <c r="J440" s="152"/>
      <c r="T440" s="353"/>
      <c r="U440" s="353"/>
    </row>
    <row r="441" spans="1:21" s="295" customFormat="1" x14ac:dyDescent="0.2">
      <c r="A441" s="84"/>
      <c r="B441" s="179"/>
      <c r="C441" s="151"/>
      <c r="D441" s="151"/>
      <c r="E441" s="151"/>
      <c r="F441" s="151"/>
      <c r="G441" s="151"/>
      <c r="H441" s="151"/>
      <c r="I441" s="151"/>
      <c r="J441" s="152"/>
      <c r="T441" s="353"/>
      <c r="U441" s="353"/>
    </row>
    <row r="442" spans="1:21" s="295" customFormat="1" ht="13.5" thickBot="1" x14ac:dyDescent="0.25">
      <c r="A442" s="87"/>
      <c r="B442" s="192"/>
      <c r="C442" s="153"/>
      <c r="D442" s="153"/>
      <c r="E442" s="153"/>
      <c r="F442" s="153"/>
      <c r="G442" s="153"/>
      <c r="H442" s="153"/>
      <c r="I442" s="153"/>
      <c r="J442" s="154"/>
      <c r="T442" s="353"/>
      <c r="U442" s="353"/>
    </row>
    <row r="443" spans="1:21" s="295" customFormat="1" x14ac:dyDescent="0.2">
      <c r="A443" s="287"/>
      <c r="B443" s="288"/>
      <c r="C443" s="289"/>
      <c r="D443" s="289"/>
      <c r="E443" s="289"/>
      <c r="F443" s="289"/>
      <c r="G443" s="289"/>
      <c r="T443" s="353"/>
      <c r="U443" s="353"/>
    </row>
    <row r="444" spans="1:21" s="287" customFormat="1" ht="13.5" thickBot="1" x14ac:dyDescent="0.25">
      <c r="B444" s="294"/>
      <c r="C444" s="290"/>
      <c r="D444" s="290"/>
      <c r="E444" s="290"/>
      <c r="F444" s="290"/>
      <c r="G444" s="290"/>
      <c r="T444" s="353"/>
      <c r="U444" s="353"/>
    </row>
    <row r="445" spans="1:21" s="287" customFormat="1" ht="19.5" thickBot="1" x14ac:dyDescent="0.25">
      <c r="A445" s="41"/>
      <c r="B445" s="34" t="s">
        <v>306</v>
      </c>
      <c r="C445" s="318"/>
      <c r="D445" s="318"/>
      <c r="E445" s="318"/>
      <c r="F445" s="318"/>
      <c r="G445" s="318"/>
      <c r="T445" s="353"/>
      <c r="U445" s="353"/>
    </row>
    <row r="446" spans="1:21" s="287" customFormat="1" x14ac:dyDescent="0.2">
      <c r="A446" s="169"/>
      <c r="B446" s="170"/>
      <c r="C446" s="171"/>
      <c r="D446" s="171"/>
      <c r="E446" s="171"/>
      <c r="F446" s="171"/>
      <c r="G446" s="171"/>
      <c r="H446" s="171"/>
      <c r="I446" s="171"/>
      <c r="J446" s="172"/>
      <c r="T446" s="353"/>
      <c r="U446" s="353"/>
    </row>
    <row r="447" spans="1:21" s="287" customFormat="1" x14ac:dyDescent="0.2">
      <c r="A447" s="169"/>
      <c r="B447" s="170" t="s">
        <v>285</v>
      </c>
      <c r="C447" s="193">
        <f>G57</f>
        <v>379890.10000000003</v>
      </c>
      <c r="D447" s="193"/>
      <c r="E447" s="193"/>
      <c r="F447" s="193"/>
      <c r="G447" s="193"/>
      <c r="H447" s="193"/>
      <c r="I447" s="193"/>
      <c r="J447" s="194"/>
      <c r="T447" s="353"/>
      <c r="U447" s="353"/>
    </row>
    <row r="448" spans="1:21" s="287" customFormat="1" ht="15" x14ac:dyDescent="0.2">
      <c r="A448" s="84"/>
      <c r="B448" s="66"/>
      <c r="C448" s="193" t="s">
        <v>308</v>
      </c>
      <c r="D448" s="193"/>
      <c r="E448" s="193"/>
      <c r="F448" s="193"/>
      <c r="G448" s="193" t="s">
        <v>326</v>
      </c>
      <c r="H448" s="193"/>
      <c r="I448" s="193"/>
      <c r="J448" s="194"/>
      <c r="T448" s="353"/>
      <c r="U448" s="353"/>
    </row>
    <row r="449" spans="1:21" s="287" customFormat="1" ht="15" x14ac:dyDescent="0.2">
      <c r="A449" s="84"/>
      <c r="B449" s="66" t="s">
        <v>307</v>
      </c>
      <c r="C449" s="193" t="s">
        <v>309</v>
      </c>
      <c r="D449" s="193" t="s">
        <v>310</v>
      </c>
      <c r="E449" s="193" t="s">
        <v>311</v>
      </c>
      <c r="F449" s="193" t="s">
        <v>247</v>
      </c>
      <c r="G449" s="193" t="s">
        <v>309</v>
      </c>
      <c r="H449" s="193" t="s">
        <v>310</v>
      </c>
      <c r="I449" s="193" t="s">
        <v>311</v>
      </c>
      <c r="J449" s="194" t="s">
        <v>247</v>
      </c>
      <c r="T449" s="353"/>
      <c r="U449" s="353"/>
    </row>
    <row r="450" spans="1:21" s="287" customFormat="1" x14ac:dyDescent="0.2">
      <c r="A450" s="84"/>
      <c r="B450" s="195" t="s">
        <v>324</v>
      </c>
      <c r="C450" s="271">
        <f>Sheet1!C453</f>
        <v>740998.9</v>
      </c>
      <c r="D450" s="271">
        <f>Sheet1!D453</f>
        <v>195913.3</v>
      </c>
      <c r="E450" s="271">
        <f>Sheet1!E453</f>
        <v>86162.7</v>
      </c>
      <c r="F450" s="271">
        <f>Sheet1!F453</f>
        <v>1023074.8999999999</v>
      </c>
      <c r="G450" s="271">
        <f>Sheet1!G453</f>
        <v>14728</v>
      </c>
      <c r="H450" s="271">
        <f>Sheet1!H453</f>
        <v>11134.6</v>
      </c>
      <c r="I450" s="271">
        <f>Sheet1!I453</f>
        <v>29697.4</v>
      </c>
      <c r="J450" s="270">
        <f>Sheet1!J453</f>
        <v>55560</v>
      </c>
      <c r="T450" s="353"/>
      <c r="U450" s="353"/>
    </row>
    <row r="451" spans="1:21" s="287" customFormat="1" ht="25.5" x14ac:dyDescent="0.2">
      <c r="A451" s="84"/>
      <c r="B451" s="67" t="s">
        <v>312</v>
      </c>
      <c r="C451" s="180">
        <f>Sheet1!C454</f>
        <v>430058.2</v>
      </c>
      <c r="D451" s="180">
        <f>Sheet1!D454</f>
        <v>73565.8</v>
      </c>
      <c r="E451" s="180">
        <f>Sheet1!E454</f>
        <v>11134.7</v>
      </c>
      <c r="F451" s="180">
        <f>Sheet1!F454</f>
        <v>514758.7</v>
      </c>
      <c r="G451" s="180">
        <f>Sheet1!G454</f>
        <v>8878.2999999999993</v>
      </c>
      <c r="H451" s="180">
        <f>Sheet1!H454</f>
        <v>4895.5</v>
      </c>
      <c r="I451" s="180">
        <f>Sheet1!I454</f>
        <v>3827.2</v>
      </c>
      <c r="J451" s="181">
        <f>Sheet1!J454</f>
        <v>17601</v>
      </c>
      <c r="T451" s="353"/>
      <c r="U451" s="353"/>
    </row>
    <row r="452" spans="1:21" s="287" customFormat="1" x14ac:dyDescent="0.2">
      <c r="A452" s="84"/>
      <c r="B452" s="67" t="s">
        <v>313</v>
      </c>
      <c r="C452" s="180">
        <f>Sheet1!C455</f>
        <v>-334638.5</v>
      </c>
      <c r="D452" s="180">
        <f>Sheet1!D455</f>
        <v>-63062.3</v>
      </c>
      <c r="E452" s="180">
        <f>Sheet1!E455</f>
        <v>-34762.199999999997</v>
      </c>
      <c r="F452" s="180">
        <f>Sheet1!F455</f>
        <v>-432463</v>
      </c>
      <c r="G452" s="180">
        <f>Sheet1!G455</f>
        <v>0</v>
      </c>
      <c r="H452" s="180">
        <f>Sheet1!H455</f>
        <v>0</v>
      </c>
      <c r="I452" s="180">
        <f>Sheet1!I455</f>
        <v>0</v>
      </c>
      <c r="J452" s="181">
        <f>Sheet1!J455</f>
        <v>0</v>
      </c>
      <c r="T452" s="353"/>
      <c r="U452" s="353"/>
    </row>
    <row r="453" spans="1:21" s="287" customFormat="1" x14ac:dyDescent="0.2">
      <c r="A453" s="84"/>
      <c r="B453" s="67" t="s">
        <v>314</v>
      </c>
      <c r="C453" s="180">
        <f>Sheet1!C456</f>
        <v>0</v>
      </c>
      <c r="D453" s="180">
        <f>Sheet1!D456</f>
        <v>0</v>
      </c>
      <c r="E453" s="180">
        <f>Sheet1!E456</f>
        <v>0</v>
      </c>
      <c r="F453" s="180">
        <f>Sheet1!F456</f>
        <v>0</v>
      </c>
      <c r="G453" s="180">
        <f>Sheet1!G456</f>
        <v>0</v>
      </c>
      <c r="H453" s="180">
        <f>Sheet1!H456</f>
        <v>0</v>
      </c>
      <c r="I453" s="180">
        <f>Sheet1!I456</f>
        <v>0</v>
      </c>
      <c r="J453" s="181">
        <f>Sheet1!J456</f>
        <v>0</v>
      </c>
      <c r="T453" s="353"/>
      <c r="U453" s="353"/>
    </row>
    <row r="454" spans="1:21" s="287" customFormat="1" x14ac:dyDescent="0.2">
      <c r="A454" s="84"/>
      <c r="B454" s="67" t="s">
        <v>315</v>
      </c>
      <c r="C454" s="180">
        <f>Sheet1!C457</f>
        <v>153783.5</v>
      </c>
      <c r="D454" s="180">
        <f>Sheet1!D457</f>
        <v>-136549.9</v>
      </c>
      <c r="E454" s="180">
        <f>Sheet1!E457</f>
        <v>-17233.599999999999</v>
      </c>
      <c r="F454" s="180">
        <f>Sheet1!F457</f>
        <v>0</v>
      </c>
      <c r="G454" s="180">
        <f>Sheet1!G457</f>
        <v>14083.2</v>
      </c>
      <c r="H454" s="180">
        <f>Sheet1!H457</f>
        <v>-8290.7999999999993</v>
      </c>
      <c r="I454" s="180">
        <f>Sheet1!I457</f>
        <v>-5792.4</v>
      </c>
      <c r="J454" s="181">
        <f>Sheet1!J457</f>
        <v>0</v>
      </c>
      <c r="T454" s="353"/>
      <c r="U454" s="353"/>
    </row>
    <row r="455" spans="1:21" s="287" customFormat="1" x14ac:dyDescent="0.2">
      <c r="A455" s="84"/>
      <c r="B455" s="67" t="s">
        <v>316</v>
      </c>
      <c r="C455" s="180">
        <f>Sheet1!C458</f>
        <v>-77128.800000000003</v>
      </c>
      <c r="D455" s="180">
        <f>Sheet1!D458</f>
        <v>86834.5</v>
      </c>
      <c r="E455" s="180">
        <f>Sheet1!E458</f>
        <v>-9705.7000000000007</v>
      </c>
      <c r="F455" s="180">
        <f>Sheet1!F458</f>
        <v>0</v>
      </c>
      <c r="G455" s="180">
        <f>Sheet1!G458</f>
        <v>-1597.3</v>
      </c>
      <c r="H455" s="180">
        <f>Sheet1!H458</f>
        <v>4776.5</v>
      </c>
      <c r="I455" s="180">
        <f>Sheet1!I458</f>
        <v>-3179.2</v>
      </c>
      <c r="J455" s="181">
        <f>Sheet1!J458</f>
        <v>0</v>
      </c>
      <c r="T455" s="353"/>
      <c r="U455" s="353"/>
    </row>
    <row r="456" spans="1:21" s="287" customFormat="1" x14ac:dyDescent="0.2">
      <c r="A456" s="84"/>
      <c r="B456" s="67" t="s">
        <v>317</v>
      </c>
      <c r="C456" s="180">
        <f>Sheet1!C459</f>
        <v>-36724.800000000003</v>
      </c>
      <c r="D456" s="180">
        <f>Sheet1!D459</f>
        <v>-31573</v>
      </c>
      <c r="E456" s="180">
        <f>Sheet1!E459</f>
        <v>68297.8</v>
      </c>
      <c r="F456" s="180">
        <f>Sheet1!F459</f>
        <v>0</v>
      </c>
      <c r="G456" s="180">
        <f>Sheet1!G459</f>
        <v>-789.4</v>
      </c>
      <c r="H456" s="180">
        <f>Sheet1!H459</f>
        <v>-2009.3</v>
      </c>
      <c r="I456" s="180">
        <f>Sheet1!I459</f>
        <v>2978.7</v>
      </c>
      <c r="J456" s="181">
        <f>Sheet1!J459</f>
        <v>180</v>
      </c>
      <c r="T456" s="353"/>
      <c r="U456" s="353"/>
    </row>
    <row r="457" spans="1:21" s="287" customFormat="1" x14ac:dyDescent="0.2">
      <c r="A457" s="182"/>
      <c r="B457" s="67" t="s">
        <v>318</v>
      </c>
      <c r="C457" s="180">
        <f>Sheet1!C460</f>
        <v>-5698.8</v>
      </c>
      <c r="D457" s="180">
        <f>Sheet1!D460</f>
        <v>-2531.8000000000002</v>
      </c>
      <c r="E457" s="180">
        <f>Sheet1!E460</f>
        <v>-12122.9</v>
      </c>
      <c r="F457" s="180">
        <f>Sheet1!F460</f>
        <v>-20353.5</v>
      </c>
      <c r="G457" s="180">
        <f>Sheet1!G460</f>
        <v>-5698.8</v>
      </c>
      <c r="H457" s="180">
        <f>Sheet1!H460</f>
        <v>-2531.8000000000002</v>
      </c>
      <c r="I457" s="180">
        <f>Sheet1!I460</f>
        <v>-12122.9</v>
      </c>
      <c r="J457" s="181">
        <f>Sheet1!J460</f>
        <v>-20353.5</v>
      </c>
      <c r="T457" s="353"/>
      <c r="U457" s="353"/>
    </row>
    <row r="458" spans="1:21" s="287" customFormat="1" ht="25.5" x14ac:dyDescent="0.2">
      <c r="A458" s="182"/>
      <c r="B458" s="67" t="s">
        <v>319</v>
      </c>
      <c r="C458" s="180">
        <f>Sheet1!C461</f>
        <v>0</v>
      </c>
      <c r="D458" s="180">
        <f>Sheet1!D461</f>
        <v>0</v>
      </c>
      <c r="E458" s="180">
        <f>Sheet1!E461</f>
        <v>0</v>
      </c>
      <c r="F458" s="180">
        <f>Sheet1!F461</f>
        <v>0</v>
      </c>
      <c r="G458" s="180">
        <f>Sheet1!G461</f>
        <v>-8043.5</v>
      </c>
      <c r="H458" s="180">
        <f>Sheet1!H461</f>
        <v>1306.0999999999999</v>
      </c>
      <c r="I458" s="180">
        <f>Sheet1!I461</f>
        <v>16630.7</v>
      </c>
      <c r="J458" s="181">
        <f>Sheet1!J461</f>
        <v>9893.3000000000011</v>
      </c>
      <c r="T458" s="353"/>
      <c r="U458" s="353"/>
    </row>
    <row r="459" spans="1:21" s="287" customFormat="1" x14ac:dyDescent="0.2">
      <c r="A459" s="182"/>
      <c r="B459" s="67" t="s">
        <v>320</v>
      </c>
      <c r="C459" s="180">
        <f>Sheet1!C462</f>
        <v>0</v>
      </c>
      <c r="D459" s="180">
        <f>Sheet1!D462</f>
        <v>0</v>
      </c>
      <c r="E459" s="180">
        <f>Sheet1!E462</f>
        <v>0</v>
      </c>
      <c r="F459" s="180">
        <f>Sheet1!F462</f>
        <v>0</v>
      </c>
      <c r="G459" s="180">
        <f>Sheet1!G462</f>
        <v>0</v>
      </c>
      <c r="H459" s="180">
        <f>Sheet1!H462</f>
        <v>0</v>
      </c>
      <c r="I459" s="180">
        <f>Sheet1!I462</f>
        <v>0</v>
      </c>
      <c r="J459" s="181">
        <f>Sheet1!J462</f>
        <v>0</v>
      </c>
      <c r="T459" s="353"/>
      <c r="U459" s="353"/>
    </row>
    <row r="460" spans="1:21" s="287" customFormat="1" x14ac:dyDescent="0.2">
      <c r="A460" s="182"/>
      <c r="B460" s="67" t="s">
        <v>321</v>
      </c>
      <c r="C460" s="180">
        <f>Sheet1!C463</f>
        <v>0</v>
      </c>
      <c r="D460" s="180">
        <f>Sheet1!D463</f>
        <v>0</v>
      </c>
      <c r="E460" s="180">
        <f>Sheet1!E463</f>
        <v>0</v>
      </c>
      <c r="F460" s="180">
        <f>Sheet1!F463</f>
        <v>0</v>
      </c>
      <c r="G460" s="180">
        <f>Sheet1!G463</f>
        <v>0</v>
      </c>
      <c r="H460" s="180">
        <f>Sheet1!H463</f>
        <v>0</v>
      </c>
      <c r="I460" s="180">
        <f>Sheet1!I463</f>
        <v>0</v>
      </c>
      <c r="J460" s="181">
        <f>Sheet1!J463</f>
        <v>0</v>
      </c>
      <c r="T460" s="353"/>
      <c r="U460" s="353"/>
    </row>
    <row r="461" spans="1:21" s="287" customFormat="1" x14ac:dyDescent="0.2">
      <c r="A461" s="182"/>
      <c r="B461" s="67" t="s">
        <v>322</v>
      </c>
      <c r="C461" s="180">
        <f>Sheet1!C464</f>
        <v>0</v>
      </c>
      <c r="D461" s="180">
        <f>Sheet1!D464</f>
        <v>0</v>
      </c>
      <c r="E461" s="180">
        <f>Sheet1!E464</f>
        <v>0</v>
      </c>
      <c r="F461" s="180">
        <f>Sheet1!F464</f>
        <v>0</v>
      </c>
      <c r="G461" s="180">
        <f>Sheet1!G464</f>
        <v>0</v>
      </c>
      <c r="H461" s="180">
        <f>Sheet1!H464</f>
        <v>0</v>
      </c>
      <c r="I461" s="180">
        <f>Sheet1!I464</f>
        <v>0</v>
      </c>
      <c r="J461" s="181">
        <f>Sheet1!J464</f>
        <v>0</v>
      </c>
      <c r="T461" s="353"/>
      <c r="U461" s="353"/>
    </row>
    <row r="462" spans="1:21" s="287" customFormat="1" ht="25.5" x14ac:dyDescent="0.2">
      <c r="A462" s="182"/>
      <c r="B462" s="67" t="s">
        <v>323</v>
      </c>
      <c r="C462" s="180">
        <f>Sheet1!C465</f>
        <v>0</v>
      </c>
      <c r="D462" s="180">
        <f>Sheet1!D465</f>
        <v>0</v>
      </c>
      <c r="E462" s="180">
        <f>Sheet1!E465</f>
        <v>0</v>
      </c>
      <c r="F462" s="180">
        <f>Sheet1!F465</f>
        <v>0</v>
      </c>
      <c r="G462" s="180">
        <f>Sheet1!G465</f>
        <v>0</v>
      </c>
      <c r="H462" s="180">
        <f>Sheet1!H465</f>
        <v>0</v>
      </c>
      <c r="I462" s="180">
        <f>Sheet1!I465</f>
        <v>0</v>
      </c>
      <c r="J462" s="181">
        <f>Sheet1!J465</f>
        <v>0</v>
      </c>
      <c r="T462" s="353"/>
      <c r="U462" s="353"/>
    </row>
    <row r="463" spans="1:21" s="287" customFormat="1" x14ac:dyDescent="0.2">
      <c r="A463" s="182"/>
      <c r="B463" s="195" t="s">
        <v>325</v>
      </c>
      <c r="C463" s="271">
        <f>Sheet1!C466</f>
        <v>870649.7</v>
      </c>
      <c r="D463" s="271">
        <f>Sheet1!D466</f>
        <v>122596.59999999999</v>
      </c>
      <c r="E463" s="271">
        <f>Sheet1!E466</f>
        <v>91770.8</v>
      </c>
      <c r="F463" s="271">
        <f>Sheet1!F466</f>
        <v>1085017.0999999999</v>
      </c>
      <c r="G463" s="271">
        <f>Sheet1!G466</f>
        <v>21560.499999999996</v>
      </c>
      <c r="H463" s="271">
        <f>Sheet1!H466</f>
        <v>9280.8000000000011</v>
      </c>
      <c r="I463" s="271">
        <f>Sheet1!I466</f>
        <v>32039.5</v>
      </c>
      <c r="J463" s="270">
        <f>Sheet1!J466</f>
        <v>62880.800000000003</v>
      </c>
      <c r="T463" s="353"/>
      <c r="U463" s="353"/>
    </row>
    <row r="464" spans="1:21" s="295" customFormat="1" x14ac:dyDescent="0.2">
      <c r="A464" s="84"/>
      <c r="B464" s="179"/>
      <c r="C464" s="151"/>
      <c r="D464" s="151"/>
      <c r="E464" s="151"/>
      <c r="F464" s="151"/>
      <c r="G464" s="151"/>
      <c r="H464" s="151"/>
      <c r="I464" s="151"/>
      <c r="J464" s="152"/>
      <c r="T464" s="353"/>
      <c r="U464" s="353"/>
    </row>
    <row r="465" spans="1:21" s="295" customFormat="1" x14ac:dyDescent="0.2">
      <c r="A465" s="84"/>
      <c r="B465" s="179" t="s">
        <v>622</v>
      </c>
      <c r="C465" s="155">
        <f>D455/D450</f>
        <v>0.44322922435587581</v>
      </c>
      <c r="D465" s="151"/>
      <c r="E465" s="151"/>
      <c r="F465" s="151"/>
      <c r="G465" s="151"/>
      <c r="H465" s="151"/>
      <c r="I465" s="151"/>
      <c r="J465" s="152"/>
      <c r="T465" s="353"/>
      <c r="U465" s="353"/>
    </row>
    <row r="466" spans="1:21" s="295" customFormat="1" x14ac:dyDescent="0.2">
      <c r="A466" s="84"/>
      <c r="B466" s="179" t="s">
        <v>623</v>
      </c>
      <c r="C466" s="155">
        <f>E456/E450</f>
        <v>0.79266086137040748</v>
      </c>
      <c r="D466" s="151"/>
      <c r="E466" s="151"/>
      <c r="F466" s="151"/>
      <c r="G466" s="151"/>
      <c r="H466" s="151"/>
      <c r="I466" s="151"/>
      <c r="J466" s="152"/>
      <c r="T466" s="353"/>
      <c r="U466" s="353"/>
    </row>
    <row r="467" spans="1:21" s="295" customFormat="1" x14ac:dyDescent="0.2">
      <c r="A467" s="84"/>
      <c r="B467" s="179" t="s">
        <v>624</v>
      </c>
      <c r="C467" s="155">
        <f>SUM(D455,E456)/F450</f>
        <v>0.15163337503441832</v>
      </c>
      <c r="D467" s="151"/>
      <c r="E467" s="151"/>
      <c r="F467" s="151"/>
      <c r="G467" s="151"/>
      <c r="H467" s="151"/>
      <c r="I467" s="151"/>
      <c r="J467" s="152"/>
      <c r="T467" s="353"/>
      <c r="U467" s="353"/>
    </row>
    <row r="468" spans="1:21" s="295" customFormat="1" x14ac:dyDescent="0.2">
      <c r="A468" s="84"/>
      <c r="B468" s="179" t="s">
        <v>625</v>
      </c>
      <c r="C468" s="155">
        <f>C457/F450</f>
        <v>-5.5702666539859409E-3</v>
      </c>
      <c r="D468" s="151"/>
      <c r="E468" s="151"/>
      <c r="F468" s="151"/>
      <c r="G468" s="151"/>
      <c r="H468" s="151"/>
      <c r="I468" s="151"/>
      <c r="J468" s="152"/>
      <c r="T468" s="353"/>
      <c r="U468" s="353"/>
    </row>
    <row r="469" spans="1:21" s="295" customFormat="1" ht="25.5" x14ac:dyDescent="0.2">
      <c r="A469" s="84"/>
      <c r="B469" s="179" t="s">
        <v>626</v>
      </c>
      <c r="C469" s="155">
        <f>SUM(C454)/SUM(D450:E450)</f>
        <v>0.54518463109232973</v>
      </c>
      <c r="D469" s="151"/>
      <c r="E469" s="151"/>
      <c r="F469" s="151"/>
      <c r="G469" s="151"/>
      <c r="H469" s="151"/>
      <c r="I469" s="151"/>
      <c r="J469" s="152"/>
      <c r="T469" s="353"/>
      <c r="U469" s="353"/>
    </row>
    <row r="470" spans="1:21" s="295" customFormat="1" x14ac:dyDescent="0.2">
      <c r="A470" s="84"/>
      <c r="B470" s="179" t="s">
        <v>615</v>
      </c>
      <c r="C470" s="155">
        <f>C451/C450</f>
        <v>0.58037630015375197</v>
      </c>
      <c r="D470" s="151"/>
      <c r="E470" s="151"/>
      <c r="F470" s="151"/>
      <c r="G470" s="151"/>
      <c r="H470" s="151"/>
      <c r="I470" s="151"/>
      <c r="J470" s="152"/>
      <c r="T470" s="353"/>
      <c r="U470" s="353"/>
    </row>
    <row r="471" spans="1:21" s="295" customFormat="1" x14ac:dyDescent="0.2">
      <c r="A471" s="84"/>
      <c r="B471" s="179" t="s">
        <v>616</v>
      </c>
      <c r="C471" s="155">
        <f>C451/C463</f>
        <v>0.49395089666946423</v>
      </c>
      <c r="D471" s="151"/>
      <c r="E471" s="151"/>
      <c r="F471" s="151"/>
      <c r="G471" s="151"/>
      <c r="H471" s="151"/>
      <c r="I471" s="151"/>
      <c r="J471" s="152"/>
      <c r="T471" s="353"/>
      <c r="U471" s="353"/>
    </row>
    <row r="472" spans="1:21" s="295" customFormat="1" x14ac:dyDescent="0.2">
      <c r="A472" s="84"/>
      <c r="B472" s="179" t="s">
        <v>617</v>
      </c>
      <c r="C472" s="155">
        <f>D451/D463</f>
        <v>0.60006394957119535</v>
      </c>
      <c r="E472" s="151"/>
      <c r="F472" s="151"/>
      <c r="G472" s="151"/>
      <c r="H472" s="151"/>
      <c r="I472" s="151"/>
      <c r="J472" s="152"/>
      <c r="T472" s="353"/>
      <c r="U472" s="353"/>
    </row>
    <row r="473" spans="1:21" s="295" customFormat="1" x14ac:dyDescent="0.2">
      <c r="A473" s="84"/>
      <c r="B473" s="179" t="s">
        <v>618</v>
      </c>
      <c r="C473" s="155">
        <f>E451/E463</f>
        <v>0.12133162182306355</v>
      </c>
      <c r="D473" s="151"/>
      <c r="E473" s="151"/>
      <c r="F473" s="151"/>
      <c r="G473" s="151"/>
      <c r="H473" s="151"/>
      <c r="I473" s="151"/>
      <c r="J473" s="152"/>
      <c r="T473" s="353"/>
      <c r="U473" s="353"/>
    </row>
    <row r="474" spans="1:21" s="295" customFormat="1" x14ac:dyDescent="0.2">
      <c r="A474" s="84"/>
      <c r="B474" s="179" t="s">
        <v>619</v>
      </c>
      <c r="C474" s="155">
        <f>D451/F451</f>
        <v>0.14291317465833991</v>
      </c>
      <c r="D474" s="151"/>
      <c r="E474" s="151"/>
      <c r="F474" s="151"/>
      <c r="G474" s="151"/>
      <c r="H474" s="151"/>
      <c r="I474" s="151"/>
      <c r="J474" s="152"/>
      <c r="T474" s="353"/>
      <c r="U474" s="353"/>
    </row>
    <row r="475" spans="1:21" s="295" customFormat="1" x14ac:dyDescent="0.2">
      <c r="A475" s="84"/>
      <c r="B475" s="179" t="s">
        <v>620</v>
      </c>
      <c r="C475" s="155">
        <f>E451/F451</f>
        <v>2.163091172621269E-2</v>
      </c>
      <c r="D475" s="151"/>
      <c r="E475" s="151"/>
      <c r="F475" s="151"/>
      <c r="G475" s="151"/>
      <c r="H475" s="151"/>
      <c r="I475" s="151"/>
      <c r="J475" s="152"/>
      <c r="T475" s="353"/>
      <c r="U475" s="353"/>
    </row>
    <row r="476" spans="1:21" s="295" customFormat="1" x14ac:dyDescent="0.2">
      <c r="A476" s="84"/>
      <c r="B476" s="179" t="s">
        <v>621</v>
      </c>
      <c r="C476" s="155">
        <f>C474+C475</f>
        <v>0.16454408638455259</v>
      </c>
      <c r="D476" s="151"/>
      <c r="E476" s="151"/>
      <c r="F476" s="151"/>
      <c r="G476" s="151"/>
      <c r="H476" s="151"/>
      <c r="I476" s="151"/>
      <c r="J476" s="152"/>
      <c r="T476" s="353"/>
      <c r="U476" s="353"/>
    </row>
    <row r="477" spans="1:21" s="295" customFormat="1" x14ac:dyDescent="0.2">
      <c r="A477" s="84"/>
      <c r="B477" s="179"/>
      <c r="C477" s="151"/>
      <c r="D477" s="151"/>
      <c r="E477" s="151"/>
      <c r="F477" s="151"/>
      <c r="G477" s="151"/>
      <c r="H477" s="151"/>
      <c r="I477" s="151"/>
      <c r="J477" s="152"/>
      <c r="T477" s="353"/>
      <c r="U477" s="353"/>
    </row>
    <row r="478" spans="1:21" s="295" customFormat="1" ht="13.5" thickBot="1" x14ac:dyDescent="0.25">
      <c r="A478" s="87"/>
      <c r="B478" s="192"/>
      <c r="C478" s="153"/>
      <c r="D478" s="153"/>
      <c r="E478" s="153"/>
      <c r="F478" s="153"/>
      <c r="G478" s="153"/>
      <c r="H478" s="153"/>
      <c r="I478" s="153"/>
      <c r="J478" s="154"/>
      <c r="T478" s="353"/>
      <c r="U478" s="353"/>
    </row>
    <row r="479" spans="1:21" s="295" customFormat="1" ht="13.5" thickBot="1" x14ac:dyDescent="0.25">
      <c r="A479" s="287"/>
      <c r="B479" s="288"/>
      <c r="C479" s="289"/>
      <c r="D479" s="289"/>
      <c r="E479" s="289"/>
      <c r="F479" s="289"/>
      <c r="G479" s="289"/>
      <c r="T479" s="353"/>
      <c r="U479" s="353"/>
    </row>
    <row r="480" spans="1:21" ht="19.5" thickBot="1" x14ac:dyDescent="0.25">
      <c r="A480" s="41"/>
      <c r="B480" s="34" t="s">
        <v>327</v>
      </c>
      <c r="H480" s="291"/>
      <c r="L480" s="317"/>
      <c r="M480" s="317"/>
      <c r="N480" s="317"/>
      <c r="O480" s="293"/>
      <c r="P480" s="293"/>
      <c r="Q480" s="317"/>
      <c r="R480" s="317"/>
      <c r="S480" s="317"/>
      <c r="T480" s="353"/>
      <c r="U480" s="353"/>
    </row>
    <row r="481" spans="1:21" x14ac:dyDescent="0.2">
      <c r="A481" s="169"/>
      <c r="B481" s="200"/>
      <c r="C481" s="259"/>
      <c r="D481" s="259"/>
      <c r="E481" s="259"/>
      <c r="F481" s="259"/>
      <c r="G481" s="260"/>
      <c r="H481" s="240"/>
      <c r="I481" s="240"/>
      <c r="J481" s="240"/>
      <c r="K481" s="240"/>
      <c r="L481" s="317"/>
      <c r="M481" s="317"/>
      <c r="N481" s="317"/>
      <c r="O481" s="293"/>
      <c r="P481" s="293"/>
      <c r="Q481" s="317"/>
      <c r="R481" s="317"/>
      <c r="S481" s="317"/>
      <c r="T481" s="353"/>
      <c r="U481" s="353"/>
    </row>
    <row r="482" spans="1:21" x14ac:dyDescent="0.2">
      <c r="A482" s="84"/>
      <c r="B482" s="188" t="s">
        <v>544</v>
      </c>
      <c r="C482" s="149"/>
      <c r="D482" s="149"/>
      <c r="E482" s="149"/>
      <c r="F482" s="149"/>
      <c r="G482" s="150"/>
      <c r="H482" s="240"/>
      <c r="I482" s="240"/>
      <c r="J482" s="240"/>
      <c r="K482" s="240"/>
      <c r="L482" s="317"/>
      <c r="M482" s="317"/>
      <c r="N482" s="317"/>
      <c r="O482" s="293"/>
      <c r="P482" s="293"/>
      <c r="Q482" s="317"/>
      <c r="R482" s="317"/>
      <c r="S482" s="317"/>
      <c r="T482" s="353"/>
      <c r="U482" s="353"/>
    </row>
    <row r="483" spans="1:21" x14ac:dyDescent="0.2">
      <c r="A483" s="84"/>
      <c r="B483" s="179" t="s">
        <v>328</v>
      </c>
      <c r="C483" s="177">
        <f>Sheet1!C474</f>
        <v>0</v>
      </c>
      <c r="D483" s="177">
        <f>Sheet1!D474</f>
        <v>0</v>
      </c>
      <c r="E483" s="177">
        <f>Sheet1!E474</f>
        <v>0</v>
      </c>
      <c r="F483" s="177">
        <f>Sheet1!F474</f>
        <v>86162.7</v>
      </c>
      <c r="G483" s="178">
        <f>Sheet1!G474</f>
        <v>91770.8</v>
      </c>
      <c r="H483" s="240"/>
      <c r="I483" s="240"/>
      <c r="J483" s="240"/>
      <c r="K483" s="240"/>
      <c r="L483" s="317"/>
      <c r="M483" s="317"/>
      <c r="N483" s="317"/>
      <c r="O483" s="293"/>
      <c r="P483" s="293"/>
      <c r="Q483" s="317"/>
      <c r="R483" s="317"/>
      <c r="S483" s="317"/>
      <c r="T483" s="353"/>
      <c r="U483" s="353"/>
    </row>
    <row r="484" spans="1:21" x14ac:dyDescent="0.2">
      <c r="A484" s="84"/>
      <c r="B484" s="179" t="s">
        <v>329</v>
      </c>
      <c r="C484" s="177">
        <f>Sheet1!C475</f>
        <v>0</v>
      </c>
      <c r="D484" s="177">
        <f>Sheet1!D475</f>
        <v>0</v>
      </c>
      <c r="E484" s="177">
        <f>Sheet1!E475</f>
        <v>0</v>
      </c>
      <c r="F484" s="177">
        <f>Sheet1!F475</f>
        <v>79432.5</v>
      </c>
      <c r="G484" s="178">
        <f>Sheet1!G475</f>
        <v>54607</v>
      </c>
      <c r="H484" s="240"/>
      <c r="I484" s="240"/>
      <c r="J484" s="240"/>
      <c r="K484" s="240"/>
      <c r="L484" s="317"/>
      <c r="M484" s="317"/>
      <c r="N484" s="317"/>
      <c r="O484" s="293"/>
      <c r="P484" s="293"/>
      <c r="Q484" s="317"/>
      <c r="R484" s="317"/>
      <c r="S484" s="317"/>
      <c r="T484" s="353"/>
      <c r="U484" s="353"/>
    </row>
    <row r="485" spans="1:21" x14ac:dyDescent="0.2">
      <c r="A485" s="84"/>
      <c r="B485" s="179" t="s">
        <v>330</v>
      </c>
      <c r="C485" s="177">
        <f>Sheet1!C476</f>
        <v>0</v>
      </c>
      <c r="D485" s="177">
        <f>Sheet1!D476</f>
        <v>0</v>
      </c>
      <c r="E485" s="177">
        <f>Sheet1!E476</f>
        <v>0</v>
      </c>
      <c r="F485" s="177">
        <f>Sheet1!F476</f>
        <v>73824.399999999994</v>
      </c>
      <c r="G485" s="178">
        <f>Sheet1!G476</f>
        <v>63449.7</v>
      </c>
      <c r="H485" s="240"/>
      <c r="I485" s="240"/>
      <c r="J485" s="240"/>
      <c r="K485" s="240"/>
      <c r="L485" s="317"/>
      <c r="M485" s="317"/>
      <c r="N485" s="317"/>
      <c r="O485" s="293"/>
      <c r="P485" s="293"/>
      <c r="Q485" s="317"/>
      <c r="R485" s="317"/>
      <c r="S485" s="317"/>
      <c r="T485" s="353"/>
      <c r="U485" s="353"/>
    </row>
    <row r="486" spans="1:21" x14ac:dyDescent="0.2">
      <c r="A486" s="84"/>
      <c r="B486" s="179" t="s">
        <v>331</v>
      </c>
      <c r="C486" s="177">
        <f>Sheet1!C477</f>
        <v>0</v>
      </c>
      <c r="D486" s="177">
        <f>Sheet1!D477</f>
        <v>0</v>
      </c>
      <c r="E486" s="177">
        <f>Sheet1!E477</f>
        <v>0</v>
      </c>
      <c r="F486" s="177">
        <f>Sheet1!F477</f>
        <v>91770.800000000017</v>
      </c>
      <c r="G486" s="178">
        <f>Sheet1!G477</f>
        <v>82928.099999999991</v>
      </c>
      <c r="H486" s="240"/>
      <c r="I486" s="240"/>
      <c r="J486" s="240"/>
      <c r="K486" s="240"/>
      <c r="L486" s="317"/>
      <c r="M486" s="317"/>
      <c r="N486" s="317"/>
      <c r="O486" s="293"/>
      <c r="P486" s="293"/>
      <c r="Q486" s="317"/>
      <c r="R486" s="317"/>
      <c r="S486" s="317"/>
      <c r="T486" s="353"/>
      <c r="U486" s="353"/>
    </row>
    <row r="487" spans="1:21" x14ac:dyDescent="0.2">
      <c r="A487" s="84"/>
      <c r="B487" s="179" t="s">
        <v>627</v>
      </c>
      <c r="C487" s="155" t="e">
        <f>C484/C483</f>
        <v>#DIV/0!</v>
      </c>
      <c r="D487" s="155" t="e">
        <f t="shared" ref="D487:G487" si="180">D484/D483</f>
        <v>#DIV/0!</v>
      </c>
      <c r="E487" s="155" t="e">
        <f t="shared" si="180"/>
        <v>#DIV/0!</v>
      </c>
      <c r="F487" s="155">
        <f t="shared" si="180"/>
        <v>0.92188963437775284</v>
      </c>
      <c r="G487" s="156">
        <f t="shared" si="180"/>
        <v>0.59503676550711115</v>
      </c>
      <c r="H487" s="240"/>
      <c r="I487" s="240"/>
      <c r="J487" s="240"/>
      <c r="K487" s="240"/>
      <c r="L487" s="317"/>
      <c r="M487" s="317"/>
      <c r="N487" s="317"/>
      <c r="O487" s="293"/>
      <c r="P487" s="293"/>
      <c r="Q487" s="317"/>
      <c r="R487" s="317"/>
      <c r="S487" s="317"/>
      <c r="T487" s="353"/>
      <c r="U487" s="353"/>
    </row>
    <row r="488" spans="1:21" x14ac:dyDescent="0.2">
      <c r="A488" s="84"/>
      <c r="B488" s="179" t="s">
        <v>628</v>
      </c>
      <c r="C488" s="155" t="e">
        <f>C485/C483</f>
        <v>#DIV/0!</v>
      </c>
      <c r="D488" s="155" t="e">
        <f t="shared" ref="D488:G488" si="181">D485/D483</f>
        <v>#DIV/0!</v>
      </c>
      <c r="E488" s="155" t="e">
        <f t="shared" si="181"/>
        <v>#DIV/0!</v>
      </c>
      <c r="F488" s="155">
        <f t="shared" si="181"/>
        <v>0.85680230540593549</v>
      </c>
      <c r="G488" s="156">
        <f t="shared" si="181"/>
        <v>0.69139312286696852</v>
      </c>
      <c r="H488" s="240"/>
      <c r="I488" s="240"/>
      <c r="J488" s="240"/>
      <c r="K488" s="240"/>
      <c r="L488" s="317"/>
      <c r="M488" s="317"/>
      <c r="N488" s="317"/>
      <c r="O488" s="293"/>
      <c r="P488" s="293"/>
      <c r="Q488" s="317"/>
      <c r="R488" s="317"/>
      <c r="S488" s="317"/>
      <c r="T488" s="353"/>
      <c r="U488" s="353"/>
    </row>
    <row r="489" spans="1:21" x14ac:dyDescent="0.2">
      <c r="A489" s="84"/>
      <c r="B489" s="179"/>
      <c r="C489" s="177"/>
      <c r="D489" s="177"/>
      <c r="E489" s="177"/>
      <c r="F489" s="177"/>
      <c r="G489" s="178"/>
      <c r="H489" s="240"/>
      <c r="I489" s="240"/>
      <c r="J489" s="240"/>
      <c r="K489" s="240"/>
      <c r="L489" s="317"/>
      <c r="M489" s="317"/>
      <c r="N489" s="317"/>
      <c r="O489" s="293"/>
      <c r="P489" s="293"/>
      <c r="Q489" s="317"/>
      <c r="R489" s="317"/>
      <c r="S489" s="317"/>
      <c r="T489" s="353"/>
      <c r="U489" s="353"/>
    </row>
    <row r="490" spans="1:21" x14ac:dyDescent="0.2">
      <c r="A490" s="84"/>
      <c r="B490" s="188" t="s">
        <v>545</v>
      </c>
      <c r="C490" s="206"/>
      <c r="D490" s="206"/>
      <c r="E490" s="206"/>
      <c r="F490" s="206"/>
      <c r="G490" s="207"/>
      <c r="H490" s="240"/>
      <c r="I490" s="240"/>
      <c r="J490" s="240"/>
      <c r="K490" s="240"/>
      <c r="L490" s="317"/>
      <c r="M490" s="317"/>
      <c r="N490" s="317"/>
      <c r="O490" s="293"/>
      <c r="P490" s="293"/>
      <c r="Q490" s="317"/>
      <c r="R490" s="317"/>
      <c r="S490" s="317"/>
      <c r="T490" s="353"/>
      <c r="U490" s="353"/>
    </row>
    <row r="491" spans="1:21" x14ac:dyDescent="0.2">
      <c r="A491" s="208"/>
      <c r="B491" s="179" t="s">
        <v>328</v>
      </c>
      <c r="C491" s="177">
        <f>Sheet1!C480</f>
        <v>0</v>
      </c>
      <c r="D491" s="177">
        <f>Sheet1!D480</f>
        <v>0</v>
      </c>
      <c r="E491" s="177">
        <f>Sheet1!E480</f>
        <v>0</v>
      </c>
      <c r="F491" s="177">
        <f>Sheet1!F480</f>
        <v>56465.3</v>
      </c>
      <c r="G491" s="178">
        <f>Sheet1!G480</f>
        <v>59911.3</v>
      </c>
      <c r="H491" s="240"/>
      <c r="I491" s="240"/>
      <c r="J491" s="240"/>
      <c r="K491" s="240"/>
      <c r="L491" s="317"/>
      <c r="M491" s="317"/>
      <c r="N491" s="317"/>
      <c r="O491" s="293"/>
      <c r="P491" s="293"/>
      <c r="Q491" s="317"/>
      <c r="R491" s="317"/>
      <c r="S491" s="317"/>
      <c r="T491" s="353"/>
      <c r="U491" s="353"/>
    </row>
    <row r="492" spans="1:21" x14ac:dyDescent="0.2">
      <c r="A492" s="208"/>
      <c r="B492" s="179" t="s">
        <v>329</v>
      </c>
      <c r="C492" s="177">
        <f>Sheet1!C481</f>
        <v>0</v>
      </c>
      <c r="D492" s="177">
        <f>Sheet1!D481</f>
        <v>0</v>
      </c>
      <c r="E492" s="177">
        <f>Sheet1!E481</f>
        <v>0</v>
      </c>
      <c r="F492" s="177">
        <f>Sheet1!F481</f>
        <v>56175.9</v>
      </c>
      <c r="G492" s="178">
        <f>Sheet1!G481</f>
        <v>30451.200000000001</v>
      </c>
      <c r="H492" s="240"/>
      <c r="I492" s="240"/>
      <c r="J492" s="240"/>
      <c r="K492" s="240"/>
      <c r="L492" s="317"/>
      <c r="M492" s="317"/>
      <c r="N492" s="317"/>
      <c r="O492" s="293"/>
      <c r="P492" s="293"/>
      <c r="Q492" s="317"/>
      <c r="R492" s="317"/>
      <c r="S492" s="317"/>
      <c r="T492" s="353"/>
      <c r="U492" s="353"/>
    </row>
    <row r="493" spans="1:21" x14ac:dyDescent="0.2">
      <c r="A493" s="208"/>
      <c r="B493" s="179" t="s">
        <v>330</v>
      </c>
      <c r="C493" s="177">
        <f>Sheet1!C482</f>
        <v>0</v>
      </c>
      <c r="D493" s="177">
        <f>Sheet1!D482</f>
        <v>0</v>
      </c>
      <c r="E493" s="177">
        <f>Sheet1!E482</f>
        <v>0</v>
      </c>
      <c r="F493" s="177">
        <f>Sheet1!F482</f>
        <v>52729.9</v>
      </c>
      <c r="G493" s="178">
        <f>Sheet1!G482</f>
        <v>42295.7</v>
      </c>
      <c r="H493" s="240"/>
      <c r="I493" s="240"/>
      <c r="J493" s="240"/>
      <c r="K493" s="240"/>
      <c r="L493" s="317"/>
      <c r="M493" s="317"/>
      <c r="N493" s="317"/>
      <c r="O493" s="293"/>
      <c r="P493" s="293"/>
      <c r="Q493" s="317"/>
      <c r="R493" s="317"/>
      <c r="S493" s="317"/>
      <c r="T493" s="353"/>
      <c r="U493" s="353"/>
    </row>
    <row r="494" spans="1:21" x14ac:dyDescent="0.2">
      <c r="A494" s="208"/>
      <c r="B494" s="179" t="s">
        <v>331</v>
      </c>
      <c r="C494" s="177">
        <f>Sheet1!C483</f>
        <v>0</v>
      </c>
      <c r="D494" s="177">
        <f>Sheet1!D483</f>
        <v>0</v>
      </c>
      <c r="E494" s="177">
        <f>Sheet1!E483</f>
        <v>0</v>
      </c>
      <c r="F494" s="177">
        <f>Sheet1!F483</f>
        <v>59911.30000000001</v>
      </c>
      <c r="G494" s="178">
        <f>Sheet1!G483</f>
        <v>48066.8</v>
      </c>
      <c r="H494" s="240"/>
      <c r="I494" s="240"/>
      <c r="J494" s="240"/>
      <c r="K494" s="240"/>
      <c r="L494" s="317"/>
      <c r="M494" s="317"/>
      <c r="N494" s="317"/>
      <c r="O494" s="293"/>
      <c r="P494" s="293"/>
      <c r="Q494" s="317"/>
      <c r="R494" s="317"/>
      <c r="S494" s="317"/>
      <c r="T494" s="353"/>
      <c r="U494" s="353"/>
    </row>
    <row r="495" spans="1:21" x14ac:dyDescent="0.2">
      <c r="A495" s="84"/>
      <c r="B495" s="576" t="s">
        <v>627</v>
      </c>
      <c r="C495" s="155" t="e">
        <f>C492/C491</f>
        <v>#DIV/0!</v>
      </c>
      <c r="D495" s="155" t="e">
        <f t="shared" ref="D495:G495" si="182">D492/D491</f>
        <v>#DIV/0!</v>
      </c>
      <c r="E495" s="155" t="e">
        <f t="shared" si="182"/>
        <v>#DIV/0!</v>
      </c>
      <c r="F495" s="155">
        <f t="shared" si="182"/>
        <v>0.99487472837300073</v>
      </c>
      <c r="G495" s="156">
        <f t="shared" si="182"/>
        <v>0.50827139454493553</v>
      </c>
      <c r="H495" s="240"/>
      <c r="I495" s="240"/>
      <c r="J495" s="240"/>
      <c r="K495" s="240"/>
      <c r="L495" s="317"/>
      <c r="M495" s="317"/>
      <c r="N495" s="317"/>
      <c r="O495" s="293"/>
      <c r="P495" s="293"/>
      <c r="Q495" s="317"/>
      <c r="R495" s="317"/>
      <c r="S495" s="317"/>
      <c r="T495" s="353"/>
      <c r="U495" s="353"/>
    </row>
    <row r="496" spans="1:21" x14ac:dyDescent="0.2">
      <c r="A496" s="84"/>
      <c r="B496" s="179" t="s">
        <v>628</v>
      </c>
      <c r="C496" s="155" t="e">
        <f>C493/C491</f>
        <v>#DIV/0!</v>
      </c>
      <c r="D496" s="155" t="e">
        <f t="shared" ref="D496:G496" si="183">D493/D491</f>
        <v>#DIV/0!</v>
      </c>
      <c r="E496" s="155" t="e">
        <f t="shared" si="183"/>
        <v>#DIV/0!</v>
      </c>
      <c r="F496" s="155">
        <f t="shared" si="183"/>
        <v>0.93384609662925722</v>
      </c>
      <c r="G496" s="156">
        <f t="shared" si="183"/>
        <v>0.70597199526633536</v>
      </c>
      <c r="H496" s="240"/>
      <c r="I496" s="240"/>
      <c r="J496" s="240"/>
      <c r="K496" s="240"/>
      <c r="L496" s="317"/>
      <c r="M496" s="317"/>
      <c r="N496" s="317"/>
      <c r="O496" s="293"/>
      <c r="P496" s="293"/>
      <c r="Q496" s="317"/>
      <c r="R496" s="317"/>
      <c r="S496" s="317"/>
      <c r="T496" s="353"/>
      <c r="U496" s="353"/>
    </row>
    <row r="497" spans="1:21" x14ac:dyDescent="0.2">
      <c r="A497" s="208"/>
      <c r="B497" s="179"/>
      <c r="C497" s="177"/>
      <c r="D497" s="177"/>
      <c r="E497" s="177"/>
      <c r="F497" s="177"/>
      <c r="G497" s="178"/>
      <c r="H497" s="240"/>
      <c r="I497" s="240"/>
      <c r="J497" s="240"/>
      <c r="K497" s="240"/>
      <c r="L497" s="317"/>
      <c r="M497" s="317"/>
      <c r="N497" s="317"/>
      <c r="O497" s="293"/>
      <c r="P497" s="293"/>
      <c r="Q497" s="317"/>
      <c r="R497" s="317"/>
      <c r="S497" s="317"/>
      <c r="T497" s="353"/>
      <c r="U497" s="353"/>
    </row>
    <row r="498" spans="1:21" ht="25.5" x14ac:dyDescent="0.2">
      <c r="A498" s="208"/>
      <c r="B498" s="188" t="s">
        <v>546</v>
      </c>
      <c r="C498" s="206"/>
      <c r="D498" s="206"/>
      <c r="E498" s="206"/>
      <c r="F498" s="206"/>
      <c r="G498" s="207"/>
      <c r="H498" s="240"/>
      <c r="I498" s="240"/>
      <c r="J498" s="240"/>
      <c r="K498" s="240"/>
      <c r="L498" s="317"/>
      <c r="M498" s="317"/>
      <c r="N498" s="317"/>
      <c r="O498" s="293"/>
      <c r="P498" s="293"/>
      <c r="Q498" s="317"/>
      <c r="R498" s="317"/>
      <c r="S498" s="317"/>
      <c r="T498" s="353"/>
      <c r="U498" s="353"/>
    </row>
    <row r="499" spans="1:21" x14ac:dyDescent="0.2">
      <c r="A499" s="208"/>
      <c r="B499" s="179" t="s">
        <v>328</v>
      </c>
      <c r="C499" s="177">
        <f>Sheet1!C486</f>
        <v>0</v>
      </c>
      <c r="D499" s="177">
        <f>Sheet1!D486</f>
        <v>0</v>
      </c>
      <c r="E499" s="177">
        <f>Sheet1!E486</f>
        <v>0</v>
      </c>
      <c r="F499" s="177">
        <f>Sheet1!F486</f>
        <v>29697.4</v>
      </c>
      <c r="G499" s="178">
        <f>Sheet1!G486</f>
        <v>31859.5</v>
      </c>
      <c r="H499" s="240"/>
      <c r="I499" s="240"/>
      <c r="J499" s="240"/>
      <c r="K499" s="240"/>
      <c r="L499" s="317"/>
      <c r="M499" s="317"/>
      <c r="N499" s="317"/>
      <c r="O499" s="293"/>
      <c r="P499" s="293"/>
      <c r="Q499" s="317"/>
      <c r="R499" s="317"/>
      <c r="S499" s="317"/>
      <c r="T499" s="353"/>
      <c r="U499" s="353"/>
    </row>
    <row r="500" spans="1:21" x14ac:dyDescent="0.2">
      <c r="A500" s="208"/>
      <c r="B500" s="179" t="s">
        <v>329</v>
      </c>
      <c r="C500" s="177">
        <f>Sheet1!C487</f>
        <v>0</v>
      </c>
      <c r="D500" s="177">
        <f>Sheet1!D487</f>
        <v>0</v>
      </c>
      <c r="E500" s="177">
        <f>Sheet1!E487</f>
        <v>0</v>
      </c>
      <c r="F500" s="177">
        <f>Sheet1!F487</f>
        <v>23256.6</v>
      </c>
      <c r="G500" s="178">
        <f>Sheet1!G487</f>
        <v>24155.8</v>
      </c>
      <c r="H500" s="240"/>
      <c r="I500" s="240"/>
      <c r="J500" s="240"/>
      <c r="K500" s="240"/>
      <c r="L500" s="317"/>
      <c r="M500" s="317"/>
      <c r="N500" s="317"/>
      <c r="O500" s="293"/>
      <c r="P500" s="293"/>
      <c r="Q500" s="317"/>
      <c r="R500" s="317"/>
      <c r="S500" s="317"/>
      <c r="T500" s="353"/>
      <c r="U500" s="353"/>
    </row>
    <row r="501" spans="1:21" x14ac:dyDescent="0.2">
      <c r="A501" s="208"/>
      <c r="B501" s="179" t="s">
        <v>330</v>
      </c>
      <c r="C501" s="177">
        <f>Sheet1!C488</f>
        <v>0</v>
      </c>
      <c r="D501" s="177">
        <f>Sheet1!D488</f>
        <v>0</v>
      </c>
      <c r="E501" s="177">
        <f>Sheet1!E488</f>
        <v>0</v>
      </c>
      <c r="F501" s="177">
        <f>Sheet1!F488</f>
        <v>21094.5</v>
      </c>
      <c r="G501" s="178">
        <f>Sheet1!G488</f>
        <v>21154</v>
      </c>
      <c r="H501" s="240"/>
      <c r="I501" s="240"/>
      <c r="J501" s="240"/>
      <c r="K501" s="240"/>
      <c r="L501" s="317"/>
      <c r="M501" s="317"/>
      <c r="N501" s="317"/>
      <c r="O501" s="293"/>
      <c r="P501" s="293"/>
      <c r="Q501" s="317"/>
      <c r="R501" s="317"/>
      <c r="S501" s="317"/>
      <c r="T501" s="353"/>
      <c r="U501" s="353"/>
    </row>
    <row r="502" spans="1:21" x14ac:dyDescent="0.2">
      <c r="A502" s="208"/>
      <c r="B502" s="179" t="s">
        <v>331</v>
      </c>
      <c r="C502" s="177">
        <f>Sheet1!C489</f>
        <v>0</v>
      </c>
      <c r="D502" s="177">
        <f>Sheet1!D489</f>
        <v>0</v>
      </c>
      <c r="E502" s="177">
        <f>Sheet1!E489</f>
        <v>0</v>
      </c>
      <c r="F502" s="177">
        <f>Sheet1!F489</f>
        <v>31859.5</v>
      </c>
      <c r="G502" s="178">
        <f>Sheet1!G489</f>
        <v>34861.300000000003</v>
      </c>
      <c r="H502" s="240"/>
      <c r="I502" s="240"/>
      <c r="J502" s="240"/>
      <c r="K502" s="240"/>
      <c r="L502" s="317"/>
      <c r="M502" s="317"/>
      <c r="N502" s="317"/>
      <c r="O502" s="293"/>
      <c r="P502" s="293"/>
      <c r="Q502" s="317"/>
      <c r="R502" s="317"/>
      <c r="S502" s="317"/>
      <c r="T502" s="353"/>
      <c r="U502" s="353"/>
    </row>
    <row r="503" spans="1:21" x14ac:dyDescent="0.2">
      <c r="A503" s="84"/>
      <c r="B503" s="179" t="s">
        <v>627</v>
      </c>
      <c r="C503" s="155" t="e">
        <f>C500/C499</f>
        <v>#DIV/0!</v>
      </c>
      <c r="D503" s="155" t="e">
        <f t="shared" ref="D503:G503" si="184">D500/D499</f>
        <v>#DIV/0!</v>
      </c>
      <c r="E503" s="155" t="e">
        <f t="shared" si="184"/>
        <v>#DIV/0!</v>
      </c>
      <c r="F503" s="155">
        <f t="shared" si="184"/>
        <v>0.78311906092789263</v>
      </c>
      <c r="G503" s="156">
        <f t="shared" si="184"/>
        <v>0.75819771182849693</v>
      </c>
      <c r="H503" s="240"/>
      <c r="I503" s="240"/>
      <c r="J503" s="240"/>
      <c r="K503" s="240"/>
      <c r="L503" s="317"/>
      <c r="M503" s="317"/>
      <c r="N503" s="317"/>
      <c r="O503" s="293"/>
      <c r="P503" s="293"/>
      <c r="Q503" s="317"/>
      <c r="R503" s="317"/>
      <c r="S503" s="317"/>
      <c r="T503" s="353"/>
      <c r="U503" s="353"/>
    </row>
    <row r="504" spans="1:21" x14ac:dyDescent="0.2">
      <c r="A504" s="84"/>
      <c r="B504" s="576" t="s">
        <v>628</v>
      </c>
      <c r="C504" s="155" t="e">
        <f>C501/C499</f>
        <v>#DIV/0!</v>
      </c>
      <c r="D504" s="155" t="e">
        <f t="shared" ref="D504:G504" si="185">D501/D499</f>
        <v>#DIV/0!</v>
      </c>
      <c r="E504" s="155" t="e">
        <f t="shared" si="185"/>
        <v>#DIV/0!</v>
      </c>
      <c r="F504" s="155">
        <f t="shared" si="185"/>
        <v>0.71031470768484783</v>
      </c>
      <c r="G504" s="156">
        <f t="shared" si="185"/>
        <v>0.66397777742902431</v>
      </c>
      <c r="H504" s="240"/>
      <c r="I504" s="240"/>
      <c r="J504" s="240"/>
      <c r="K504" s="240"/>
      <c r="L504" s="317"/>
      <c r="M504" s="317"/>
      <c r="N504" s="317"/>
      <c r="O504" s="293"/>
      <c r="P504" s="293"/>
      <c r="Q504" s="317"/>
      <c r="R504" s="317"/>
      <c r="S504" s="317"/>
      <c r="T504" s="353"/>
      <c r="U504" s="353"/>
    </row>
    <row r="505" spans="1:21" ht="13.5" thickBot="1" x14ac:dyDescent="0.25">
      <c r="A505" s="87"/>
      <c r="B505" s="192"/>
      <c r="C505" s="153"/>
      <c r="D505" s="153"/>
      <c r="E505" s="153"/>
      <c r="F505" s="153"/>
      <c r="G505" s="154"/>
      <c r="H505" s="240"/>
      <c r="I505" s="240"/>
      <c r="J505" s="240"/>
      <c r="K505" s="240"/>
      <c r="L505" s="317"/>
      <c r="M505" s="317"/>
      <c r="N505" s="317"/>
      <c r="O505" s="293"/>
      <c r="P505" s="293"/>
      <c r="Q505" s="317"/>
      <c r="R505" s="317"/>
      <c r="S505" s="317"/>
      <c r="T505" s="353"/>
      <c r="U505" s="353"/>
    </row>
    <row r="506" spans="1:21" x14ac:dyDescent="0.2">
      <c r="B506" s="234"/>
      <c r="C506" s="151"/>
      <c r="D506" s="151"/>
      <c r="E506" s="151"/>
      <c r="F506" s="151"/>
      <c r="G506" s="151"/>
      <c r="H506" s="240"/>
      <c r="I506" s="240"/>
      <c r="J506" s="240"/>
      <c r="K506" s="240"/>
      <c r="L506" s="317"/>
      <c r="M506" s="317"/>
      <c r="N506" s="317"/>
      <c r="O506" s="293"/>
      <c r="P506" s="293"/>
      <c r="Q506" s="317"/>
      <c r="R506" s="317"/>
      <c r="S506" s="317"/>
      <c r="T506" s="353"/>
      <c r="U506" s="353"/>
    </row>
    <row r="507" spans="1:21" s="295" customFormat="1" ht="13.5" thickBot="1" x14ac:dyDescent="0.25">
      <c r="B507" s="296"/>
      <c r="C507" s="297"/>
      <c r="D507" s="297"/>
      <c r="E507" s="297"/>
      <c r="F507" s="297"/>
      <c r="G507" s="297"/>
      <c r="T507" s="353"/>
      <c r="U507" s="353"/>
    </row>
    <row r="508" spans="1:21" s="298" customFormat="1" ht="38.25" thickBot="1" x14ac:dyDescent="0.25">
      <c r="A508" s="41"/>
      <c r="B508" s="34" t="s">
        <v>336</v>
      </c>
      <c r="C508" s="318"/>
      <c r="D508" s="318"/>
      <c r="E508" s="318"/>
      <c r="F508" s="318"/>
      <c r="G508" s="318"/>
      <c r="T508" s="353"/>
      <c r="U508" s="353"/>
    </row>
    <row r="509" spans="1:21" s="295" customFormat="1" x14ac:dyDescent="0.2">
      <c r="A509" s="169"/>
      <c r="B509" s="200"/>
      <c r="C509" s="225" t="str">
        <f>C$21</f>
        <v>31/03/2017</v>
      </c>
      <c r="D509" s="225" t="str">
        <f t="shared" ref="D509:G509" si="186">D$21</f>
        <v>31/03/2018</v>
      </c>
      <c r="E509" s="225" t="str">
        <f t="shared" si="186"/>
        <v>31/03/2019</v>
      </c>
      <c r="F509" s="225" t="str">
        <f t="shared" si="186"/>
        <v>31/03/2020</v>
      </c>
      <c r="G509" s="226" t="str">
        <f t="shared" si="186"/>
        <v>31/03/2021</v>
      </c>
      <c r="T509" s="353"/>
      <c r="U509" s="353"/>
    </row>
    <row r="510" spans="1:21" s="295" customFormat="1" ht="25.5" x14ac:dyDescent="0.2">
      <c r="A510" s="84"/>
      <c r="B510" s="188" t="s">
        <v>332</v>
      </c>
      <c r="C510" s="149"/>
      <c r="D510" s="149"/>
      <c r="E510" s="149"/>
      <c r="F510" s="149"/>
      <c r="G510" s="150"/>
      <c r="T510" s="353"/>
      <c r="U510" s="353"/>
    </row>
    <row r="511" spans="1:21" s="295" customFormat="1" x14ac:dyDescent="0.2">
      <c r="A511" s="84"/>
      <c r="B511" s="179" t="s">
        <v>333</v>
      </c>
      <c r="C511" s="177">
        <f>Sheet1!C496</f>
        <v>0</v>
      </c>
      <c r="D511" s="177">
        <f>Sheet1!D496</f>
        <v>0</v>
      </c>
      <c r="E511" s="177">
        <f>Sheet1!E496</f>
        <v>0</v>
      </c>
      <c r="F511" s="177">
        <f>Sheet1!F496</f>
        <v>0</v>
      </c>
      <c r="G511" s="178">
        <f>Sheet1!G496</f>
        <v>0</v>
      </c>
      <c r="T511" s="353"/>
      <c r="U511" s="353"/>
    </row>
    <row r="512" spans="1:21" s="295" customFormat="1" x14ac:dyDescent="0.2">
      <c r="A512" s="84"/>
      <c r="B512" s="179" t="s">
        <v>334</v>
      </c>
      <c r="C512" s="177">
        <f>Sheet1!C497</f>
        <v>0</v>
      </c>
      <c r="D512" s="177">
        <f>Sheet1!D497</f>
        <v>0</v>
      </c>
      <c r="E512" s="177">
        <f>Sheet1!E497</f>
        <v>0</v>
      </c>
      <c r="F512" s="177">
        <f>Sheet1!F497</f>
        <v>0</v>
      </c>
      <c r="G512" s="178">
        <f>Sheet1!G497</f>
        <v>0</v>
      </c>
      <c r="T512" s="353"/>
      <c r="U512" s="353"/>
    </row>
    <row r="513" spans="1:21" s="295" customFormat="1" x14ac:dyDescent="0.2">
      <c r="A513" s="84"/>
      <c r="B513" s="179" t="s">
        <v>335</v>
      </c>
      <c r="C513" s="177">
        <f>Sheet1!C498</f>
        <v>0</v>
      </c>
      <c r="D513" s="177">
        <f>Sheet1!D498</f>
        <v>0</v>
      </c>
      <c r="E513" s="177">
        <f>Sheet1!E498</f>
        <v>0</v>
      </c>
      <c r="F513" s="177">
        <f>Sheet1!F498</f>
        <v>0</v>
      </c>
      <c r="G513" s="178">
        <f>Sheet1!G498</f>
        <v>0</v>
      </c>
      <c r="T513" s="353"/>
      <c r="U513" s="353"/>
    </row>
    <row r="514" spans="1:21" s="295" customFormat="1" x14ac:dyDescent="0.2">
      <c r="A514" s="84"/>
      <c r="B514" s="179"/>
      <c r="C514" s="177"/>
      <c r="D514" s="177"/>
      <c r="E514" s="177"/>
      <c r="F514" s="177"/>
      <c r="G514" s="178"/>
      <c r="T514" s="353"/>
      <c r="U514" s="353"/>
    </row>
    <row r="515" spans="1:21" s="295" customFormat="1" x14ac:dyDescent="0.2">
      <c r="A515" s="84"/>
      <c r="B515" s="179"/>
      <c r="C515" s="177"/>
      <c r="D515" s="177"/>
      <c r="E515" s="177"/>
      <c r="F515" s="177"/>
      <c r="G515" s="178"/>
      <c r="T515" s="353"/>
      <c r="U515" s="353"/>
    </row>
    <row r="516" spans="1:21" s="298" customFormat="1" x14ac:dyDescent="0.2">
      <c r="A516" s="84"/>
      <c r="B516" s="188" t="s">
        <v>337</v>
      </c>
      <c r="C516" s="149"/>
      <c r="D516" s="149"/>
      <c r="E516" s="149"/>
      <c r="F516" s="149"/>
      <c r="G516" s="150"/>
      <c r="T516" s="353"/>
      <c r="U516" s="353"/>
    </row>
    <row r="517" spans="1:21" s="295" customFormat="1" x14ac:dyDescent="0.2">
      <c r="A517" s="208"/>
      <c r="B517" s="179" t="s">
        <v>333</v>
      </c>
      <c r="C517" s="177">
        <f>Sheet1!C502</f>
        <v>0</v>
      </c>
      <c r="D517" s="177">
        <f>Sheet1!D502</f>
        <v>0</v>
      </c>
      <c r="E517" s="177">
        <f>Sheet1!E502</f>
        <v>0</v>
      </c>
      <c r="F517" s="177">
        <f>Sheet1!F502</f>
        <v>0</v>
      </c>
      <c r="G517" s="178">
        <f>Sheet1!G502</f>
        <v>1</v>
      </c>
      <c r="T517" s="353"/>
      <c r="U517" s="353"/>
    </row>
    <row r="518" spans="1:21" s="298" customFormat="1" x14ac:dyDescent="0.2">
      <c r="A518" s="208"/>
      <c r="B518" s="179" t="s">
        <v>641</v>
      </c>
      <c r="C518" s="177">
        <f>Sheet1!C503</f>
        <v>0</v>
      </c>
      <c r="D518" s="177">
        <f>Sheet1!D503</f>
        <v>0</v>
      </c>
      <c r="E518" s="177">
        <f>Sheet1!E503</f>
        <v>0</v>
      </c>
      <c r="F518" s="177">
        <f>Sheet1!F503</f>
        <v>0</v>
      </c>
      <c r="G518" s="178">
        <f>Sheet1!G503</f>
        <v>4858.3</v>
      </c>
      <c r="T518" s="353"/>
      <c r="U518" s="353"/>
    </row>
    <row r="519" spans="1:21" s="295" customFormat="1" x14ac:dyDescent="0.2">
      <c r="A519" s="208"/>
      <c r="B519" s="179" t="s">
        <v>335</v>
      </c>
      <c r="C519" s="177">
        <f>Sheet1!C504</f>
        <v>0</v>
      </c>
      <c r="D519" s="177">
        <f>Sheet1!D504</f>
        <v>0</v>
      </c>
      <c r="E519" s="177">
        <f>Sheet1!E504</f>
        <v>0</v>
      </c>
      <c r="F519" s="177">
        <f>Sheet1!F504</f>
        <v>0</v>
      </c>
      <c r="G519" s="178">
        <f>Sheet1!G504</f>
        <v>21.5</v>
      </c>
      <c r="T519" s="353"/>
      <c r="U519" s="353"/>
    </row>
    <row r="520" spans="1:21" s="295" customFormat="1" x14ac:dyDescent="0.2">
      <c r="A520" s="208"/>
      <c r="B520" s="203"/>
      <c r="C520" s="204"/>
      <c r="D520" s="204"/>
      <c r="E520" s="204"/>
      <c r="F520" s="204"/>
      <c r="G520" s="205"/>
      <c r="T520" s="353"/>
      <c r="U520" s="353"/>
    </row>
    <row r="521" spans="1:21" s="295" customFormat="1" x14ac:dyDescent="0.2">
      <c r="A521" s="208"/>
      <c r="B521" s="179"/>
      <c r="C521" s="177"/>
      <c r="D521" s="177"/>
      <c r="E521" s="177"/>
      <c r="F521" s="177"/>
      <c r="G521" s="178"/>
      <c r="T521" s="353"/>
      <c r="U521" s="353"/>
    </row>
    <row r="522" spans="1:21" s="295" customFormat="1" x14ac:dyDescent="0.2">
      <c r="A522" s="208"/>
      <c r="B522" s="188" t="s">
        <v>338</v>
      </c>
      <c r="C522" s="149"/>
      <c r="D522" s="149"/>
      <c r="E522" s="149"/>
      <c r="F522" s="149"/>
      <c r="G522" s="150"/>
      <c r="T522" s="353"/>
      <c r="U522" s="353"/>
    </row>
    <row r="523" spans="1:21" s="295" customFormat="1" x14ac:dyDescent="0.2">
      <c r="A523" s="208"/>
      <c r="B523" s="179" t="s">
        <v>333</v>
      </c>
      <c r="C523" s="177">
        <f>Sheet1!C508</f>
        <v>0</v>
      </c>
      <c r="D523" s="177">
        <f>Sheet1!D508</f>
        <v>0</v>
      </c>
      <c r="E523" s="177">
        <f>Sheet1!E508</f>
        <v>0</v>
      </c>
      <c r="F523" s="177">
        <f>Sheet1!F508</f>
        <v>0</v>
      </c>
      <c r="G523" s="178">
        <f>Sheet1!G508</f>
        <v>0</v>
      </c>
      <c r="T523" s="353"/>
      <c r="U523" s="353"/>
    </row>
    <row r="524" spans="1:21" s="295" customFormat="1" x14ac:dyDescent="0.2">
      <c r="A524" s="208"/>
      <c r="B524" s="179" t="s">
        <v>640</v>
      </c>
      <c r="C524" s="177">
        <f>Sheet1!C509</f>
        <v>0</v>
      </c>
      <c r="D524" s="177">
        <f>Sheet1!D509</f>
        <v>0</v>
      </c>
      <c r="E524" s="177">
        <f>Sheet1!E509</f>
        <v>0</v>
      </c>
      <c r="F524" s="177">
        <f>Sheet1!F509</f>
        <v>0</v>
      </c>
      <c r="G524" s="178">
        <f>Sheet1!G509</f>
        <v>0</v>
      </c>
      <c r="T524" s="353"/>
      <c r="U524" s="353"/>
    </row>
    <row r="525" spans="1:21" s="295" customFormat="1" x14ac:dyDescent="0.2">
      <c r="A525" s="208"/>
      <c r="B525" s="179" t="s">
        <v>335</v>
      </c>
      <c r="C525" s="177">
        <f>Sheet1!C510</f>
        <v>0</v>
      </c>
      <c r="D525" s="177">
        <f>Sheet1!D510</f>
        <v>0</v>
      </c>
      <c r="E525" s="177">
        <f>Sheet1!E510</f>
        <v>0</v>
      </c>
      <c r="F525" s="177">
        <f>Sheet1!F510</f>
        <v>0</v>
      </c>
      <c r="G525" s="178">
        <f>Sheet1!G510</f>
        <v>0</v>
      </c>
      <c r="T525" s="353"/>
      <c r="U525" s="353"/>
    </row>
    <row r="526" spans="1:21" s="295" customFormat="1" x14ac:dyDescent="0.2">
      <c r="A526" s="208"/>
      <c r="B526" s="203"/>
      <c r="C526" s="204"/>
      <c r="D526" s="204"/>
      <c r="E526" s="204"/>
      <c r="F526" s="204"/>
      <c r="G526" s="205"/>
      <c r="T526" s="353"/>
      <c r="U526" s="353"/>
    </row>
    <row r="527" spans="1:21" s="295" customFormat="1" x14ac:dyDescent="0.2">
      <c r="A527" s="208"/>
      <c r="B527" s="203" t="s">
        <v>629</v>
      </c>
      <c r="C527" s="204"/>
      <c r="D527" s="272">
        <f>D512/C$55</f>
        <v>0</v>
      </c>
      <c r="E527" s="272">
        <f t="shared" ref="E527:G527" si="187">E512/D$55</f>
        <v>0</v>
      </c>
      <c r="F527" s="272">
        <f t="shared" si="187"/>
        <v>0</v>
      </c>
      <c r="G527" s="273">
        <f t="shared" si="187"/>
        <v>0</v>
      </c>
      <c r="T527" s="353"/>
      <c r="U527" s="353"/>
    </row>
    <row r="528" spans="1:21" s="295" customFormat="1" x14ac:dyDescent="0.2">
      <c r="A528" s="208"/>
      <c r="B528" s="203" t="s">
        <v>630</v>
      </c>
      <c r="C528" s="204"/>
      <c r="D528" s="272">
        <f>D518/C$55</f>
        <v>0</v>
      </c>
      <c r="E528" s="272">
        <f t="shared" ref="E528:G528" si="188">E518/D$55</f>
        <v>0</v>
      </c>
      <c r="F528" s="272">
        <f t="shared" si="188"/>
        <v>0</v>
      </c>
      <c r="G528" s="273">
        <f t="shared" si="188"/>
        <v>1.0842919060308617E-2</v>
      </c>
      <c r="T528" s="353"/>
      <c r="U528" s="353"/>
    </row>
    <row r="529" spans="1:21" s="295" customFormat="1" x14ac:dyDescent="0.2">
      <c r="A529" s="208"/>
      <c r="B529" s="203" t="s">
        <v>631</v>
      </c>
      <c r="C529" s="204"/>
      <c r="D529" s="272">
        <f>D524/C$55</f>
        <v>0</v>
      </c>
      <c r="E529" s="272">
        <f t="shared" ref="E529:G529" si="189">E524/D$55</f>
        <v>0</v>
      </c>
      <c r="F529" s="272">
        <f t="shared" si="189"/>
        <v>0</v>
      </c>
      <c r="G529" s="273">
        <f t="shared" si="189"/>
        <v>0</v>
      </c>
      <c r="T529" s="353"/>
      <c r="U529" s="353"/>
    </row>
    <row r="530" spans="1:21" s="295" customFormat="1" x14ac:dyDescent="0.2">
      <c r="A530" s="208"/>
      <c r="B530" s="203"/>
      <c r="C530" s="204"/>
      <c r="D530" s="204"/>
      <c r="E530" s="204"/>
      <c r="F530" s="204"/>
      <c r="G530" s="205"/>
      <c r="T530" s="353"/>
      <c r="U530" s="353"/>
    </row>
    <row r="531" spans="1:21" s="295" customFormat="1" ht="13.5" thickBot="1" x14ac:dyDescent="0.25">
      <c r="A531" s="87"/>
      <c r="B531" s="192"/>
      <c r="C531" s="153"/>
      <c r="D531" s="153"/>
      <c r="E531" s="153"/>
      <c r="F531" s="153"/>
      <c r="G531" s="154"/>
      <c r="T531" s="353"/>
      <c r="U531" s="353"/>
    </row>
    <row r="532" spans="1:21" s="295" customFormat="1" x14ac:dyDescent="0.2">
      <c r="B532" s="296"/>
      <c r="C532" s="297"/>
      <c r="D532" s="297"/>
      <c r="E532" s="297"/>
      <c r="F532" s="297"/>
      <c r="G532" s="297"/>
      <c r="T532" s="353"/>
      <c r="U532" s="353"/>
    </row>
    <row r="533" spans="1:21" s="298" customFormat="1" ht="13.5" thickBot="1" x14ac:dyDescent="0.25">
      <c r="B533" s="299"/>
      <c r="C533" s="300"/>
      <c r="D533" s="300"/>
      <c r="E533" s="300"/>
      <c r="F533" s="300"/>
      <c r="G533" s="300"/>
      <c r="T533" s="353"/>
      <c r="U533" s="353"/>
    </row>
    <row r="534" spans="1:21" s="295" customFormat="1" ht="38.25" thickBot="1" x14ac:dyDescent="0.25">
      <c r="A534" s="41"/>
      <c r="B534" s="34" t="s">
        <v>342</v>
      </c>
      <c r="C534" s="318"/>
      <c r="D534" s="318"/>
      <c r="E534" s="318"/>
      <c r="F534" s="318"/>
      <c r="G534" s="318"/>
      <c r="T534" s="353"/>
      <c r="U534" s="353"/>
    </row>
    <row r="535" spans="1:21" s="295" customFormat="1" x14ac:dyDescent="0.2">
      <c r="A535" s="169"/>
      <c r="B535" s="200"/>
      <c r="C535" s="225" t="str">
        <f>C$21</f>
        <v>31/03/2017</v>
      </c>
      <c r="D535" s="225" t="str">
        <f t="shared" ref="D535:G535" si="190">D$21</f>
        <v>31/03/2018</v>
      </c>
      <c r="E535" s="225" t="str">
        <f t="shared" si="190"/>
        <v>31/03/2019</v>
      </c>
      <c r="F535" s="225" t="str">
        <f t="shared" si="190"/>
        <v>31/03/2020</v>
      </c>
      <c r="G535" s="226" t="str">
        <f t="shared" si="190"/>
        <v>31/03/2021</v>
      </c>
      <c r="T535" s="353"/>
      <c r="U535" s="353"/>
    </row>
    <row r="536" spans="1:21" s="295" customFormat="1" ht="15" x14ac:dyDescent="0.2">
      <c r="A536" s="169"/>
      <c r="B536" s="66" t="s">
        <v>343</v>
      </c>
      <c r="C536" s="49"/>
      <c r="D536" s="49"/>
      <c r="E536" s="49"/>
      <c r="F536" s="49"/>
      <c r="G536" s="50"/>
      <c r="T536" s="353"/>
      <c r="U536" s="353"/>
    </row>
    <row r="537" spans="1:21" s="295" customFormat="1" ht="15" x14ac:dyDescent="0.2">
      <c r="A537" s="169"/>
      <c r="B537" s="66"/>
      <c r="C537" s="49"/>
      <c r="D537" s="49"/>
      <c r="E537" s="49"/>
      <c r="F537" s="49"/>
      <c r="G537" s="50"/>
      <c r="T537" s="353"/>
      <c r="U537" s="353"/>
    </row>
    <row r="538" spans="1:21" s="295" customFormat="1" x14ac:dyDescent="0.2">
      <c r="A538" s="84"/>
      <c r="B538" s="188" t="s">
        <v>344</v>
      </c>
      <c r="C538" s="149"/>
      <c r="D538" s="149"/>
      <c r="E538" s="149"/>
      <c r="F538" s="149"/>
      <c r="G538" s="150"/>
      <c r="T538" s="353"/>
      <c r="U538" s="353"/>
    </row>
    <row r="539" spans="1:21" s="295" customFormat="1" x14ac:dyDescent="0.2">
      <c r="A539" s="84"/>
      <c r="B539" s="179" t="s">
        <v>345</v>
      </c>
      <c r="C539" s="177">
        <f>Sheet1!C520</f>
        <v>0</v>
      </c>
      <c r="D539" s="177">
        <f>Sheet1!D520</f>
        <v>0</v>
      </c>
      <c r="E539" s="177">
        <f>Sheet1!E520</f>
        <v>0</v>
      </c>
      <c r="F539" s="177">
        <f>Sheet1!F520</f>
        <v>0</v>
      </c>
      <c r="G539" s="178">
        <f>Sheet1!G520</f>
        <v>0</v>
      </c>
      <c r="T539" s="353"/>
      <c r="U539" s="353"/>
    </row>
    <row r="540" spans="1:21" s="295" customFormat="1" x14ac:dyDescent="0.2">
      <c r="A540" s="84"/>
      <c r="B540" s="179" t="s">
        <v>346</v>
      </c>
      <c r="C540" s="177">
        <f>Sheet1!C521</f>
        <v>0</v>
      </c>
      <c r="D540" s="177">
        <f>Sheet1!D521</f>
        <v>0</v>
      </c>
      <c r="E540" s="177">
        <f>Sheet1!E521</f>
        <v>0</v>
      </c>
      <c r="F540" s="177">
        <f>Sheet1!F521</f>
        <v>0</v>
      </c>
      <c r="G540" s="178">
        <f>Sheet1!G521</f>
        <v>0</v>
      </c>
      <c r="T540" s="353"/>
      <c r="U540" s="353"/>
    </row>
    <row r="541" spans="1:21" s="295" customFormat="1" x14ac:dyDescent="0.2">
      <c r="A541" s="84"/>
      <c r="B541" s="179" t="s">
        <v>347</v>
      </c>
      <c r="C541" s="177">
        <f>Sheet1!C522</f>
        <v>0</v>
      </c>
      <c r="D541" s="177">
        <f>Sheet1!D522</f>
        <v>0</v>
      </c>
      <c r="E541" s="177">
        <f>Sheet1!E522</f>
        <v>0</v>
      </c>
      <c r="F541" s="177">
        <f>Sheet1!F522</f>
        <v>0</v>
      </c>
      <c r="G541" s="178">
        <f>Sheet1!G522</f>
        <v>0</v>
      </c>
      <c r="T541" s="353"/>
      <c r="U541" s="353"/>
    </row>
    <row r="542" spans="1:21" s="295" customFormat="1" x14ac:dyDescent="0.2">
      <c r="A542" s="84"/>
      <c r="B542" s="203"/>
      <c r="C542" s="204"/>
      <c r="D542" s="204"/>
      <c r="E542" s="204"/>
      <c r="F542" s="204"/>
      <c r="G542" s="205"/>
      <c r="T542" s="353"/>
      <c r="U542" s="353"/>
    </row>
    <row r="543" spans="1:21" s="295" customFormat="1" x14ac:dyDescent="0.2">
      <c r="A543" s="84"/>
      <c r="B543" s="179"/>
      <c r="C543" s="177"/>
      <c r="D543" s="177"/>
      <c r="E543" s="177"/>
      <c r="F543" s="177"/>
      <c r="G543" s="178"/>
      <c r="T543" s="353"/>
      <c r="U543" s="353"/>
    </row>
    <row r="544" spans="1:21" s="295" customFormat="1" x14ac:dyDescent="0.2">
      <c r="A544" s="84"/>
      <c r="B544" s="188" t="s">
        <v>348</v>
      </c>
      <c r="C544" s="149"/>
      <c r="D544" s="149"/>
      <c r="E544" s="149"/>
      <c r="F544" s="149"/>
      <c r="G544" s="150"/>
      <c r="T544" s="353"/>
      <c r="U544" s="353"/>
    </row>
    <row r="545" spans="1:21" s="295" customFormat="1" x14ac:dyDescent="0.2">
      <c r="A545" s="208"/>
      <c r="B545" s="179" t="s">
        <v>345</v>
      </c>
      <c r="C545" s="177">
        <f>Sheet1!C526</f>
        <v>0</v>
      </c>
      <c r="D545" s="177">
        <f>Sheet1!D526</f>
        <v>0</v>
      </c>
      <c r="E545" s="177">
        <f>Sheet1!E526</f>
        <v>0</v>
      </c>
      <c r="F545" s="177">
        <f>Sheet1!F526</f>
        <v>843</v>
      </c>
      <c r="G545" s="178">
        <f>Sheet1!G526</f>
        <v>1600</v>
      </c>
      <c r="T545" s="353"/>
      <c r="U545" s="353"/>
    </row>
    <row r="546" spans="1:21" s="295" customFormat="1" x14ac:dyDescent="0.2">
      <c r="A546" s="208"/>
      <c r="B546" s="179" t="s">
        <v>346</v>
      </c>
      <c r="C546" s="177">
        <f>Sheet1!C527</f>
        <v>0</v>
      </c>
      <c r="D546" s="177">
        <f>Sheet1!D527</f>
        <v>0</v>
      </c>
      <c r="E546" s="177">
        <f>Sheet1!E527</f>
        <v>0</v>
      </c>
      <c r="F546" s="177">
        <f>Sheet1!F527</f>
        <v>856</v>
      </c>
      <c r="G546" s="178">
        <f>Sheet1!G527</f>
        <v>1017.6</v>
      </c>
      <c r="T546" s="353"/>
      <c r="U546" s="353"/>
    </row>
    <row r="547" spans="1:21" s="295" customFormat="1" x14ac:dyDescent="0.2">
      <c r="A547" s="208"/>
      <c r="B547" s="179" t="s">
        <v>347</v>
      </c>
      <c r="C547" s="177">
        <f>Sheet1!C528</f>
        <v>0</v>
      </c>
      <c r="D547" s="177">
        <f>Sheet1!D528</f>
        <v>0</v>
      </c>
      <c r="E547" s="177">
        <f>Sheet1!E528</f>
        <v>0</v>
      </c>
      <c r="F547" s="177">
        <f>Sheet1!F528</f>
        <v>835.8</v>
      </c>
      <c r="G547" s="178">
        <f>Sheet1!G528</f>
        <v>710.9</v>
      </c>
      <c r="T547" s="353"/>
      <c r="U547" s="353"/>
    </row>
    <row r="548" spans="1:21" s="295" customFormat="1" x14ac:dyDescent="0.2">
      <c r="A548" s="208"/>
      <c r="B548" s="203"/>
      <c r="C548" s="204"/>
      <c r="D548" s="204"/>
      <c r="E548" s="204"/>
      <c r="F548" s="204"/>
      <c r="G548" s="205"/>
      <c r="T548" s="353"/>
      <c r="U548" s="353"/>
    </row>
    <row r="549" spans="1:21" s="295" customFormat="1" x14ac:dyDescent="0.2">
      <c r="A549" s="208"/>
      <c r="B549" s="179"/>
      <c r="C549" s="177"/>
      <c r="D549" s="177"/>
      <c r="E549" s="177"/>
      <c r="F549" s="177"/>
      <c r="G549" s="178"/>
      <c r="T549" s="353"/>
      <c r="U549" s="353"/>
    </row>
    <row r="550" spans="1:21" s="295" customFormat="1" x14ac:dyDescent="0.2">
      <c r="A550" s="208"/>
      <c r="B550" s="188" t="s">
        <v>706</v>
      </c>
      <c r="C550" s="149"/>
      <c r="D550" s="149"/>
      <c r="E550" s="149"/>
      <c r="F550" s="149"/>
      <c r="G550" s="150"/>
      <c r="T550" s="353"/>
      <c r="U550" s="353"/>
    </row>
    <row r="551" spans="1:21" s="295" customFormat="1" x14ac:dyDescent="0.2">
      <c r="A551" s="208"/>
      <c r="B551" s="179" t="s">
        <v>345</v>
      </c>
      <c r="C551" s="177">
        <f>Sheet1!C532</f>
        <v>0</v>
      </c>
      <c r="D551" s="177">
        <f>Sheet1!D532</f>
        <v>0</v>
      </c>
      <c r="E551" s="177">
        <f>Sheet1!E532</f>
        <v>0</v>
      </c>
      <c r="F551" s="177">
        <f>Sheet1!F532</f>
        <v>0</v>
      </c>
      <c r="G551" s="178">
        <f>Sheet1!G532</f>
        <v>0</v>
      </c>
      <c r="T551" s="353"/>
      <c r="U551" s="353"/>
    </row>
    <row r="552" spans="1:21" s="295" customFormat="1" x14ac:dyDescent="0.2">
      <c r="A552" s="208"/>
      <c r="B552" s="179" t="s">
        <v>346</v>
      </c>
      <c r="C552" s="177">
        <f>Sheet1!C533</f>
        <v>0</v>
      </c>
      <c r="D552" s="177">
        <f>Sheet1!D533</f>
        <v>0</v>
      </c>
      <c r="E552" s="177">
        <f>Sheet1!E533</f>
        <v>0</v>
      </c>
      <c r="F552" s="177">
        <f>Sheet1!F533</f>
        <v>0</v>
      </c>
      <c r="G552" s="178">
        <f>Sheet1!G533</f>
        <v>0</v>
      </c>
      <c r="T552" s="353"/>
      <c r="U552" s="353"/>
    </row>
    <row r="553" spans="1:21" s="295" customFormat="1" x14ac:dyDescent="0.2">
      <c r="A553" s="208"/>
      <c r="B553" s="179" t="s">
        <v>347</v>
      </c>
      <c r="C553" s="177">
        <f>Sheet1!C534</f>
        <v>0</v>
      </c>
      <c r="D553" s="177">
        <f>Sheet1!D534</f>
        <v>0</v>
      </c>
      <c r="E553" s="177">
        <f>Sheet1!E534</f>
        <v>0</v>
      </c>
      <c r="F553" s="177">
        <f>Sheet1!F534</f>
        <v>0</v>
      </c>
      <c r="G553" s="178">
        <f>Sheet1!G534</f>
        <v>0</v>
      </c>
      <c r="T553" s="353"/>
      <c r="U553" s="353"/>
    </row>
    <row r="554" spans="1:21" s="298" customFormat="1" x14ac:dyDescent="0.2">
      <c r="A554" s="208"/>
      <c r="B554" s="203"/>
      <c r="C554" s="204"/>
      <c r="D554" s="204"/>
      <c r="E554" s="204"/>
      <c r="F554" s="204"/>
      <c r="G554" s="205"/>
      <c r="T554" s="353"/>
      <c r="U554" s="353"/>
    </row>
    <row r="555" spans="1:21" s="298" customFormat="1" x14ac:dyDescent="0.2">
      <c r="A555" s="208"/>
      <c r="B555" s="203" t="s">
        <v>632</v>
      </c>
      <c r="C555" s="204"/>
      <c r="D555" s="272">
        <f>D540/C$55</f>
        <v>0</v>
      </c>
      <c r="E555" s="272">
        <f t="shared" ref="E555:G555" si="191">E540/D$55</f>
        <v>0</v>
      </c>
      <c r="F555" s="272">
        <f t="shared" si="191"/>
        <v>0</v>
      </c>
      <c r="G555" s="273">
        <f t="shared" si="191"/>
        <v>0</v>
      </c>
      <c r="T555" s="353"/>
      <c r="U555" s="353"/>
    </row>
    <row r="556" spans="1:21" s="298" customFormat="1" x14ac:dyDescent="0.2">
      <c r="A556" s="208"/>
      <c r="B556" s="203" t="s">
        <v>633</v>
      </c>
      <c r="C556" s="204"/>
      <c r="D556" s="272">
        <f>D546/C$55</f>
        <v>0</v>
      </c>
      <c r="E556" s="272">
        <f t="shared" ref="E556:G556" si="192">E546/D$55</f>
        <v>0</v>
      </c>
      <c r="F556" s="272">
        <f t="shared" si="192"/>
        <v>2.0958514139284507E-3</v>
      </c>
      <c r="G556" s="273">
        <f t="shared" si="192"/>
        <v>2.2711142654364795E-3</v>
      </c>
      <c r="T556" s="353"/>
      <c r="U556" s="353"/>
    </row>
    <row r="557" spans="1:21" s="298" customFormat="1" x14ac:dyDescent="0.2">
      <c r="A557" s="208"/>
      <c r="B557" s="203" t="s">
        <v>634</v>
      </c>
      <c r="C557" s="204"/>
      <c r="D557" s="272">
        <f>D552/C$55</f>
        <v>0</v>
      </c>
      <c r="E557" s="272">
        <f t="shared" ref="E557:G557" si="193">E552/D$55</f>
        <v>0</v>
      </c>
      <c r="F557" s="272">
        <f t="shared" si="193"/>
        <v>0</v>
      </c>
      <c r="G557" s="273">
        <f t="shared" si="193"/>
        <v>0</v>
      </c>
      <c r="T557" s="353"/>
      <c r="U557" s="353"/>
    </row>
    <row r="558" spans="1:21" s="298" customFormat="1" x14ac:dyDescent="0.2">
      <c r="A558" s="208"/>
      <c r="B558" s="203"/>
      <c r="C558" s="204"/>
      <c r="D558" s="204"/>
      <c r="E558" s="204"/>
      <c r="F558" s="204"/>
      <c r="G558" s="205"/>
      <c r="T558" s="353"/>
      <c r="U558" s="353"/>
    </row>
    <row r="559" spans="1:21" s="295" customFormat="1" ht="15" x14ac:dyDescent="0.2">
      <c r="A559" s="169"/>
      <c r="B559" s="66" t="s">
        <v>349</v>
      </c>
      <c r="C559" s="49"/>
      <c r="D559" s="49"/>
      <c r="E559" s="49"/>
      <c r="F559" s="49"/>
      <c r="G559" s="50"/>
      <c r="T559" s="353"/>
      <c r="U559" s="353"/>
    </row>
    <row r="560" spans="1:21" s="295" customFormat="1" ht="15" x14ac:dyDescent="0.2">
      <c r="A560" s="169"/>
      <c r="B560" s="66"/>
      <c r="C560" s="49"/>
      <c r="D560" s="49"/>
      <c r="E560" s="49"/>
      <c r="F560" s="49"/>
      <c r="G560" s="50"/>
      <c r="T560" s="353"/>
      <c r="U560" s="353"/>
    </row>
    <row r="561" spans="1:21" s="295" customFormat="1" x14ac:dyDescent="0.2">
      <c r="A561" s="84"/>
      <c r="B561" s="188" t="s">
        <v>344</v>
      </c>
      <c r="C561" s="149"/>
      <c r="D561" s="149"/>
      <c r="E561" s="149"/>
      <c r="F561" s="149"/>
      <c r="G561" s="150"/>
      <c r="T561" s="353"/>
      <c r="U561" s="353"/>
    </row>
    <row r="562" spans="1:21" s="295" customFormat="1" x14ac:dyDescent="0.2">
      <c r="A562" s="84"/>
      <c r="B562" s="179" t="s">
        <v>345</v>
      </c>
      <c r="C562" s="177">
        <f>Sheet1!C539</f>
        <v>0</v>
      </c>
      <c r="D562" s="177">
        <f>Sheet1!D539</f>
        <v>0</v>
      </c>
      <c r="E562" s="177">
        <f>Sheet1!E539</f>
        <v>0</v>
      </c>
      <c r="F562" s="177">
        <f>Sheet1!F539</f>
        <v>16497</v>
      </c>
      <c r="G562" s="178">
        <f>Sheet1!G539</f>
        <v>21404</v>
      </c>
      <c r="T562" s="353"/>
      <c r="U562" s="353"/>
    </row>
    <row r="563" spans="1:21" s="295" customFormat="1" x14ac:dyDescent="0.2">
      <c r="A563" s="84"/>
      <c r="B563" s="179" t="s">
        <v>346</v>
      </c>
      <c r="C563" s="177">
        <f>Sheet1!C540</f>
        <v>0</v>
      </c>
      <c r="D563" s="177">
        <f>Sheet1!D540</f>
        <v>0</v>
      </c>
      <c r="E563" s="177">
        <f>Sheet1!E540</f>
        <v>0</v>
      </c>
      <c r="F563" s="177">
        <f>Sheet1!F540</f>
        <v>7562</v>
      </c>
      <c r="G563" s="178">
        <f>Sheet1!G540</f>
        <v>8081.7</v>
      </c>
      <c r="T563" s="353"/>
      <c r="U563" s="353"/>
    </row>
    <row r="564" spans="1:21" s="295" customFormat="1" x14ac:dyDescent="0.2">
      <c r="A564" s="84"/>
      <c r="B564" s="179" t="s">
        <v>347</v>
      </c>
      <c r="C564" s="177">
        <f>Sheet1!C541</f>
        <v>0</v>
      </c>
      <c r="D564" s="177">
        <f>Sheet1!D541</f>
        <v>0</v>
      </c>
      <c r="E564" s="177">
        <f>Sheet1!E541</f>
        <v>0</v>
      </c>
      <c r="F564" s="177">
        <f>Sheet1!F541</f>
        <v>2543.3000000000002</v>
      </c>
      <c r="G564" s="178">
        <f>Sheet1!G541</f>
        <v>3430</v>
      </c>
      <c r="T564" s="353"/>
      <c r="U564" s="353"/>
    </row>
    <row r="565" spans="1:21" s="295" customFormat="1" x14ac:dyDescent="0.2">
      <c r="A565" s="84"/>
      <c r="B565" s="203"/>
      <c r="C565" s="204"/>
      <c r="D565" s="204"/>
      <c r="E565" s="204"/>
      <c r="F565" s="204"/>
      <c r="G565" s="205"/>
      <c r="T565" s="353"/>
      <c r="U565" s="353"/>
    </row>
    <row r="566" spans="1:21" s="295" customFormat="1" x14ac:dyDescent="0.2">
      <c r="A566" s="84"/>
      <c r="B566" s="179"/>
      <c r="C566" s="177"/>
      <c r="D566" s="177"/>
      <c r="E566" s="177"/>
      <c r="F566" s="177"/>
      <c r="G566" s="178"/>
      <c r="T566" s="353"/>
      <c r="U566" s="353"/>
    </row>
    <row r="567" spans="1:21" s="295" customFormat="1" x14ac:dyDescent="0.2">
      <c r="A567" s="84"/>
      <c r="B567" s="188" t="s">
        <v>348</v>
      </c>
      <c r="C567" s="149"/>
      <c r="D567" s="149"/>
      <c r="E567" s="149"/>
      <c r="F567" s="149"/>
      <c r="G567" s="150"/>
      <c r="T567" s="353"/>
      <c r="U567" s="353"/>
    </row>
    <row r="568" spans="1:21" s="295" customFormat="1" x14ac:dyDescent="0.2">
      <c r="A568" s="208"/>
      <c r="B568" s="179" t="s">
        <v>345</v>
      </c>
      <c r="C568" s="177">
        <f>Sheet1!C545</f>
        <v>0</v>
      </c>
      <c r="D568" s="177">
        <f>Sheet1!D545</f>
        <v>0</v>
      </c>
      <c r="E568" s="177">
        <f>Sheet1!E545</f>
        <v>0</v>
      </c>
      <c r="F568" s="177">
        <f>Sheet1!F545</f>
        <v>4765</v>
      </c>
      <c r="G568" s="178">
        <f>Sheet1!G545</f>
        <v>5013</v>
      </c>
      <c r="T568" s="353"/>
      <c r="U568" s="353"/>
    </row>
    <row r="569" spans="1:21" s="295" customFormat="1" x14ac:dyDescent="0.2">
      <c r="A569" s="208"/>
      <c r="B569" s="179" t="s">
        <v>346</v>
      </c>
      <c r="C569" s="177">
        <f>Sheet1!C546</f>
        <v>0</v>
      </c>
      <c r="D569" s="177">
        <f>Sheet1!D546</f>
        <v>0</v>
      </c>
      <c r="E569" s="177">
        <f>Sheet1!E546</f>
        <v>0</v>
      </c>
      <c r="F569" s="177">
        <f>Sheet1!F546</f>
        <v>2489.6</v>
      </c>
      <c r="G569" s="178">
        <f>Sheet1!G546</f>
        <v>2078.6</v>
      </c>
      <c r="T569" s="353"/>
      <c r="U569" s="353"/>
    </row>
    <row r="570" spans="1:21" s="295" customFormat="1" x14ac:dyDescent="0.2">
      <c r="A570" s="208"/>
      <c r="B570" s="179" t="s">
        <v>347</v>
      </c>
      <c r="C570" s="177">
        <f>Sheet1!C547</f>
        <v>0</v>
      </c>
      <c r="D570" s="177">
        <f>Sheet1!D547</f>
        <v>0</v>
      </c>
      <c r="E570" s="177">
        <f>Sheet1!E547</f>
        <v>0</v>
      </c>
      <c r="F570" s="177">
        <f>Sheet1!F547</f>
        <v>739.3</v>
      </c>
      <c r="G570" s="178">
        <f>Sheet1!G547</f>
        <v>436.00000000000011</v>
      </c>
      <c r="T570" s="353"/>
      <c r="U570" s="353"/>
    </row>
    <row r="571" spans="1:21" s="295" customFormat="1" x14ac:dyDescent="0.2">
      <c r="A571" s="208"/>
      <c r="B571" s="203"/>
      <c r="C571" s="204"/>
      <c r="D571" s="204"/>
      <c r="E571" s="204"/>
      <c r="F571" s="204"/>
      <c r="G571" s="205"/>
      <c r="T571" s="353"/>
      <c r="U571" s="353"/>
    </row>
    <row r="572" spans="1:21" s="295" customFormat="1" x14ac:dyDescent="0.2">
      <c r="A572" s="208"/>
      <c r="B572" s="179"/>
      <c r="C572" s="177"/>
      <c r="D572" s="177"/>
      <c r="E572" s="177"/>
      <c r="F572" s="177"/>
      <c r="G572" s="178"/>
      <c r="T572" s="353"/>
      <c r="U572" s="353"/>
    </row>
    <row r="573" spans="1:21" s="295" customFormat="1" x14ac:dyDescent="0.2">
      <c r="A573" s="208"/>
      <c r="B573" s="188" t="s">
        <v>706</v>
      </c>
      <c r="C573" s="149"/>
      <c r="D573" s="149"/>
      <c r="E573" s="149"/>
      <c r="F573" s="149"/>
      <c r="G573" s="150"/>
      <c r="T573" s="353"/>
      <c r="U573" s="353"/>
    </row>
    <row r="574" spans="1:21" s="295" customFormat="1" x14ac:dyDescent="0.2">
      <c r="A574" s="208"/>
      <c r="B574" s="179" t="s">
        <v>345</v>
      </c>
      <c r="C574" s="177">
        <f>Sheet1!C551</f>
        <v>0</v>
      </c>
      <c r="D574" s="177">
        <f>Sheet1!D551</f>
        <v>0</v>
      </c>
      <c r="E574" s="177">
        <f>Sheet1!E551</f>
        <v>0</v>
      </c>
      <c r="F574" s="177">
        <f>Sheet1!F551</f>
        <v>0</v>
      </c>
      <c r="G574" s="178">
        <f>Sheet1!G551</f>
        <v>0</v>
      </c>
      <c r="T574" s="353"/>
      <c r="U574" s="353"/>
    </row>
    <row r="575" spans="1:21" s="295" customFormat="1" x14ac:dyDescent="0.2">
      <c r="A575" s="208"/>
      <c r="B575" s="179" t="s">
        <v>346</v>
      </c>
      <c r="C575" s="177">
        <f>Sheet1!C552</f>
        <v>0</v>
      </c>
      <c r="D575" s="177">
        <f>Sheet1!D552</f>
        <v>0</v>
      </c>
      <c r="E575" s="177">
        <f>Sheet1!E552</f>
        <v>0</v>
      </c>
      <c r="F575" s="177">
        <f>Sheet1!F552</f>
        <v>0</v>
      </c>
      <c r="G575" s="178">
        <f>Sheet1!G552</f>
        <v>0</v>
      </c>
      <c r="T575" s="353"/>
      <c r="U575" s="353"/>
    </row>
    <row r="576" spans="1:21" s="295" customFormat="1" x14ac:dyDescent="0.2">
      <c r="A576" s="208"/>
      <c r="B576" s="179" t="s">
        <v>347</v>
      </c>
      <c r="C576" s="177">
        <f>Sheet1!C553</f>
        <v>0</v>
      </c>
      <c r="D576" s="177">
        <f>Sheet1!D553</f>
        <v>0</v>
      </c>
      <c r="E576" s="177">
        <f>Sheet1!E553</f>
        <v>0</v>
      </c>
      <c r="F576" s="177">
        <f>Sheet1!F553</f>
        <v>0</v>
      </c>
      <c r="G576" s="178">
        <f>Sheet1!G553</f>
        <v>0</v>
      </c>
      <c r="T576" s="353"/>
      <c r="U576" s="353"/>
    </row>
    <row r="577" spans="1:21" s="298" customFormat="1" x14ac:dyDescent="0.2">
      <c r="A577" s="208"/>
      <c r="B577" s="203"/>
      <c r="C577" s="204"/>
      <c r="D577" s="204"/>
      <c r="E577" s="204"/>
      <c r="F577" s="204"/>
      <c r="G577" s="205"/>
      <c r="T577" s="353"/>
      <c r="U577" s="353"/>
    </row>
    <row r="578" spans="1:21" s="298" customFormat="1" x14ac:dyDescent="0.2">
      <c r="A578" s="208"/>
      <c r="B578" s="203" t="s">
        <v>632</v>
      </c>
      <c r="C578" s="204"/>
      <c r="D578" s="272">
        <f>D563/C$55</f>
        <v>0</v>
      </c>
      <c r="E578" s="272">
        <f t="shared" ref="E578:G578" si="194">E563/D$55</f>
        <v>0</v>
      </c>
      <c r="F578" s="272">
        <f t="shared" si="194"/>
        <v>1.8514986439400635E-2</v>
      </c>
      <c r="G578" s="273">
        <f t="shared" si="194"/>
        <v>1.8037012734844728E-2</v>
      </c>
      <c r="T578" s="353"/>
      <c r="U578" s="353"/>
    </row>
    <row r="579" spans="1:21" s="298" customFormat="1" x14ac:dyDescent="0.2">
      <c r="A579" s="208"/>
      <c r="B579" s="203" t="s">
        <v>633</v>
      </c>
      <c r="C579" s="204"/>
      <c r="D579" s="272">
        <f>D569/C$55</f>
        <v>0</v>
      </c>
      <c r="E579" s="272">
        <f t="shared" ref="E579:G579" si="195">E569/D$55</f>
        <v>0</v>
      </c>
      <c r="F579" s="272">
        <f t="shared" si="195"/>
        <v>6.0955977571451759E-3</v>
      </c>
      <c r="G579" s="273">
        <f t="shared" si="195"/>
        <v>4.6390901259200723E-3</v>
      </c>
      <c r="T579" s="353"/>
      <c r="U579" s="353"/>
    </row>
    <row r="580" spans="1:21" s="298" customFormat="1" x14ac:dyDescent="0.2">
      <c r="A580" s="208"/>
      <c r="B580" s="203" t="s">
        <v>634</v>
      </c>
      <c r="C580" s="204"/>
      <c r="D580" s="272">
        <f>D575/C$55</f>
        <v>0</v>
      </c>
      <c r="E580" s="272">
        <f t="shared" ref="E580:G580" si="196">E575/D$55</f>
        <v>0</v>
      </c>
      <c r="F580" s="272">
        <f t="shared" si="196"/>
        <v>0</v>
      </c>
      <c r="G580" s="273">
        <f t="shared" si="196"/>
        <v>0</v>
      </c>
      <c r="T580" s="353"/>
      <c r="U580" s="353"/>
    </row>
    <row r="581" spans="1:21" s="298" customFormat="1" x14ac:dyDescent="0.2">
      <c r="A581" s="208"/>
      <c r="B581" s="203"/>
      <c r="C581" s="204"/>
      <c r="D581" s="204"/>
      <c r="E581" s="204"/>
      <c r="F581" s="204"/>
      <c r="G581" s="205"/>
      <c r="T581" s="353"/>
      <c r="U581" s="353"/>
    </row>
    <row r="582" spans="1:21" s="295" customFormat="1" ht="13.5" thickBot="1" x14ac:dyDescent="0.25">
      <c r="A582" s="87"/>
      <c r="B582" s="192"/>
      <c r="C582" s="153"/>
      <c r="D582" s="153"/>
      <c r="E582" s="153"/>
      <c r="F582" s="153"/>
      <c r="G582" s="154"/>
      <c r="H582" s="298"/>
      <c r="I582" s="298"/>
      <c r="J582" s="298"/>
      <c r="K582" s="298"/>
      <c r="T582" s="353"/>
      <c r="U582" s="353"/>
    </row>
    <row r="583" spans="1:21" s="295" customFormat="1" x14ac:dyDescent="0.2">
      <c r="A583" s="315"/>
      <c r="B583" s="315"/>
      <c r="C583" s="315"/>
      <c r="D583" s="315"/>
      <c r="E583" s="315"/>
      <c r="F583" s="315"/>
      <c r="G583" s="315"/>
      <c r="H583" s="298"/>
      <c r="I583" s="298"/>
      <c r="J583" s="298"/>
      <c r="K583" s="298"/>
      <c r="T583" s="353"/>
      <c r="U583" s="353"/>
    </row>
    <row r="584" spans="1:21" s="295" customFormat="1" ht="13.5" thickBot="1" x14ac:dyDescent="0.25">
      <c r="A584" s="315"/>
      <c r="B584" s="315"/>
      <c r="C584" s="315"/>
      <c r="D584" s="315"/>
      <c r="E584" s="315"/>
      <c r="F584" s="315"/>
      <c r="G584" s="315"/>
      <c r="H584" s="298"/>
      <c r="I584" s="298"/>
      <c r="J584" s="298"/>
      <c r="K584" s="298"/>
      <c r="T584" s="353"/>
      <c r="U584" s="353"/>
    </row>
    <row r="585" spans="1:21" ht="19.5" thickBot="1" x14ac:dyDescent="0.25">
      <c r="A585" s="510"/>
      <c r="B585" s="415" t="s">
        <v>509</v>
      </c>
      <c r="C585" s="295"/>
      <c r="D585" s="295"/>
      <c r="E585" s="295"/>
      <c r="F585" s="295"/>
      <c r="G585" s="295"/>
      <c r="H585" s="343"/>
      <c r="I585" s="343"/>
      <c r="J585" s="343"/>
      <c r="K585" s="343"/>
      <c r="L585" s="295"/>
      <c r="M585" s="295"/>
      <c r="O585" s="291"/>
      <c r="P585" s="291"/>
      <c r="T585" s="353"/>
      <c r="U585" s="353"/>
    </row>
    <row r="586" spans="1:21" x14ac:dyDescent="0.2">
      <c r="A586" s="511"/>
      <c r="B586" s="512"/>
      <c r="C586" s="513"/>
      <c r="D586" s="497"/>
      <c r="E586" s="497"/>
      <c r="F586" s="497"/>
      <c r="G586" s="498"/>
      <c r="H586" s="514" t="str">
        <f>H$21</f>
        <v>YTD</v>
      </c>
      <c r="I586" s="514"/>
      <c r="J586" s="514"/>
      <c r="K586" s="514"/>
      <c r="L586" s="295"/>
      <c r="M586" s="295"/>
      <c r="O586" s="291"/>
      <c r="P586" s="291"/>
      <c r="T586" s="353"/>
      <c r="U586" s="353"/>
    </row>
    <row r="587" spans="1:21" x14ac:dyDescent="0.2">
      <c r="A587" s="511"/>
      <c r="B587" s="512" t="s">
        <v>510</v>
      </c>
      <c r="C587" s="241" t="s">
        <v>511</v>
      </c>
      <c r="D587" s="504"/>
      <c r="E587" s="504"/>
      <c r="F587" s="504"/>
      <c r="G587" s="500"/>
      <c r="H587" s="515"/>
      <c r="I587" s="514"/>
      <c r="J587" s="514"/>
      <c r="K587" s="514"/>
      <c r="L587" s="295"/>
      <c r="M587" s="295"/>
      <c r="O587" s="291"/>
      <c r="P587" s="291"/>
      <c r="T587" s="353"/>
      <c r="U587" s="353"/>
    </row>
    <row r="588" spans="1:21" x14ac:dyDescent="0.2">
      <c r="A588" s="516"/>
      <c r="B588" s="517" t="s">
        <v>522</v>
      </c>
      <c r="C588" s="20"/>
      <c r="D588" s="20"/>
      <c r="E588" s="20"/>
      <c r="F588" s="68"/>
      <c r="G588" s="21"/>
      <c r="H588" s="242"/>
      <c r="I588" s="180"/>
      <c r="J588" s="180"/>
      <c r="K588" s="180"/>
      <c r="L588" s="295"/>
      <c r="M588" s="295"/>
      <c r="T588" s="353"/>
      <c r="U588" s="353"/>
    </row>
    <row r="589" spans="1:21" x14ac:dyDescent="0.2">
      <c r="A589" s="516"/>
      <c r="B589" s="517" t="s">
        <v>715</v>
      </c>
      <c r="C589" s="22"/>
      <c r="D589" s="22"/>
      <c r="E589" s="22"/>
      <c r="F589" s="23"/>
      <c r="G589" s="24"/>
      <c r="H589" s="242"/>
      <c r="I589" s="180"/>
      <c r="J589" s="180"/>
      <c r="K589" s="180"/>
      <c r="L589" s="295"/>
      <c r="M589" s="295"/>
      <c r="T589" s="353"/>
      <c r="U589" s="353"/>
    </row>
    <row r="590" spans="1:21" x14ac:dyDescent="0.2">
      <c r="A590" s="516"/>
      <c r="B590" s="517" t="s">
        <v>716</v>
      </c>
      <c r="C590" s="22"/>
      <c r="D590" s="22"/>
      <c r="E590" s="22"/>
      <c r="F590" s="23"/>
      <c r="G590" s="24"/>
      <c r="H590" s="242"/>
      <c r="I590" s="180"/>
      <c r="J590" s="180"/>
      <c r="K590" s="180"/>
      <c r="L590" s="295"/>
      <c r="M590" s="295"/>
      <c r="T590" s="353"/>
      <c r="U590" s="353"/>
    </row>
    <row r="591" spans="1:21" x14ac:dyDescent="0.2">
      <c r="A591" s="516"/>
      <c r="B591" s="517" t="s">
        <v>519</v>
      </c>
      <c r="C591" s="22"/>
      <c r="D591" s="22"/>
      <c r="E591" s="22"/>
      <c r="F591" s="23"/>
      <c r="G591" s="24"/>
      <c r="H591" s="242"/>
      <c r="I591" s="180"/>
      <c r="J591" s="180"/>
      <c r="K591" s="180"/>
      <c r="L591" s="295"/>
      <c r="M591" s="295"/>
      <c r="T591" s="353"/>
      <c r="U591" s="353"/>
    </row>
    <row r="592" spans="1:21" x14ac:dyDescent="0.2">
      <c r="A592" s="516"/>
      <c r="B592" s="517" t="s">
        <v>520</v>
      </c>
      <c r="C592" s="22"/>
      <c r="D592" s="22"/>
      <c r="E592" s="22"/>
      <c r="F592" s="23"/>
      <c r="G592" s="24"/>
      <c r="H592" s="242"/>
      <c r="I592" s="180"/>
      <c r="J592" s="180"/>
      <c r="K592" s="180"/>
      <c r="L592" s="295"/>
      <c r="M592" s="295"/>
      <c r="T592" s="353"/>
      <c r="U592" s="353"/>
    </row>
    <row r="593" spans="1:21" x14ac:dyDescent="0.2">
      <c r="A593" s="516"/>
      <c r="B593" s="517" t="s">
        <v>517</v>
      </c>
      <c r="C593" s="22"/>
      <c r="D593" s="22"/>
      <c r="E593" s="22"/>
      <c r="F593" s="23"/>
      <c r="G593" s="24"/>
      <c r="H593" s="242"/>
      <c r="I593" s="180"/>
      <c r="J593" s="180"/>
      <c r="K593" s="180"/>
      <c r="L593" s="295"/>
      <c r="M593" s="295"/>
      <c r="O593" s="291"/>
      <c r="P593" s="291"/>
      <c r="T593" s="353"/>
      <c r="U593" s="353"/>
    </row>
    <row r="594" spans="1:21" x14ac:dyDescent="0.2">
      <c r="A594" s="516"/>
      <c r="B594" s="517" t="s">
        <v>533</v>
      </c>
      <c r="C594" s="22"/>
      <c r="D594" s="22"/>
      <c r="E594" s="22"/>
      <c r="F594" s="23"/>
      <c r="G594" s="24"/>
      <c r="H594" s="242"/>
      <c r="I594" s="180"/>
      <c r="J594" s="180"/>
      <c r="K594" s="180"/>
      <c r="L594" s="295"/>
      <c r="M594" s="295"/>
      <c r="O594" s="291"/>
      <c r="P594" s="291"/>
      <c r="T594" s="353"/>
      <c r="U594" s="353"/>
    </row>
    <row r="595" spans="1:21" x14ac:dyDescent="0.2">
      <c r="A595" s="516"/>
      <c r="B595" s="517" t="s">
        <v>514</v>
      </c>
      <c r="C595" s="22"/>
      <c r="D595" s="22"/>
      <c r="E595" s="22"/>
      <c r="F595" s="23"/>
      <c r="G595" s="24"/>
      <c r="H595" s="242"/>
      <c r="I595" s="180"/>
      <c r="J595" s="180"/>
      <c r="K595" s="180"/>
      <c r="L595" s="295"/>
      <c r="M595" s="295"/>
      <c r="O595" s="291"/>
      <c r="P595" s="291"/>
      <c r="T595" s="353"/>
      <c r="U595" s="353"/>
    </row>
    <row r="596" spans="1:21" x14ac:dyDescent="0.2">
      <c r="A596" s="516"/>
      <c r="B596" s="517" t="s">
        <v>515</v>
      </c>
      <c r="C596" s="22"/>
      <c r="D596" s="22"/>
      <c r="E596" s="22"/>
      <c r="F596" s="23"/>
      <c r="G596" s="24"/>
      <c r="H596" s="242"/>
      <c r="I596" s="180"/>
      <c r="J596" s="180"/>
      <c r="K596" s="180"/>
      <c r="L596" s="295"/>
      <c r="M596" s="295"/>
      <c r="O596" s="291"/>
      <c r="P596" s="291"/>
      <c r="T596" s="353"/>
      <c r="U596" s="353"/>
    </row>
    <row r="597" spans="1:21" x14ac:dyDescent="0.2">
      <c r="A597" s="516"/>
      <c r="B597" s="517" t="s">
        <v>717</v>
      </c>
      <c r="C597" s="22"/>
      <c r="D597" s="22"/>
      <c r="E597" s="22"/>
      <c r="F597" s="23"/>
      <c r="G597" s="24"/>
      <c r="H597" s="242"/>
      <c r="I597" s="180"/>
      <c r="J597" s="180"/>
      <c r="K597" s="180"/>
      <c r="L597" s="295"/>
      <c r="M597" s="295"/>
      <c r="O597" s="291"/>
      <c r="P597" s="291"/>
      <c r="T597" s="353"/>
      <c r="U597" s="353"/>
    </row>
    <row r="598" spans="1:21" x14ac:dyDescent="0.2">
      <c r="A598" s="516"/>
      <c r="B598" s="517" t="s">
        <v>718</v>
      </c>
      <c r="C598" s="22"/>
      <c r="D598" s="22"/>
      <c r="E598" s="22"/>
      <c r="F598" s="23"/>
      <c r="G598" s="24"/>
      <c r="H598" s="242"/>
      <c r="I598" s="180"/>
      <c r="J598" s="180"/>
      <c r="K598" s="180"/>
      <c r="L598" s="295"/>
      <c r="M598" s="295"/>
      <c r="O598" s="291"/>
      <c r="P598" s="291"/>
      <c r="T598" s="353"/>
      <c r="U598" s="353"/>
    </row>
    <row r="599" spans="1:21" x14ac:dyDescent="0.2">
      <c r="A599" s="516"/>
      <c r="B599" s="517" t="s">
        <v>523</v>
      </c>
      <c r="C599" s="22"/>
      <c r="D599" s="22"/>
      <c r="E599" s="22"/>
      <c r="F599" s="23"/>
      <c r="G599" s="24"/>
      <c r="H599" s="242"/>
      <c r="I599" s="180"/>
      <c r="J599" s="180"/>
      <c r="K599" s="180"/>
      <c r="L599" s="295"/>
      <c r="M599" s="295"/>
      <c r="O599" s="291"/>
      <c r="P599" s="291"/>
      <c r="T599" s="353"/>
      <c r="U599" s="353"/>
    </row>
    <row r="600" spans="1:21" x14ac:dyDescent="0.2">
      <c r="A600" s="516"/>
      <c r="B600" s="517" t="s">
        <v>516</v>
      </c>
      <c r="C600" s="22"/>
      <c r="D600" s="22"/>
      <c r="E600" s="22"/>
      <c r="F600" s="23"/>
      <c r="G600" s="24"/>
      <c r="H600" s="242"/>
      <c r="I600" s="180"/>
      <c r="J600" s="180"/>
      <c r="K600" s="180"/>
      <c r="L600" s="295"/>
      <c r="M600" s="295"/>
      <c r="O600" s="291"/>
      <c r="P600" s="291"/>
      <c r="T600" s="353"/>
      <c r="U600" s="353"/>
    </row>
    <row r="601" spans="1:21" x14ac:dyDescent="0.2">
      <c r="A601" s="516"/>
      <c r="B601" s="517" t="s">
        <v>532</v>
      </c>
      <c r="C601" s="22"/>
      <c r="D601" s="22"/>
      <c r="E601" s="22"/>
      <c r="F601" s="23"/>
      <c r="G601" s="24"/>
      <c r="H601" s="242"/>
      <c r="I601" s="180"/>
      <c r="J601" s="180"/>
      <c r="K601" s="180"/>
      <c r="L601" s="295"/>
      <c r="M601" s="295"/>
      <c r="O601" s="291"/>
      <c r="P601" s="291"/>
      <c r="T601" s="353"/>
      <c r="U601" s="353"/>
    </row>
    <row r="602" spans="1:21" x14ac:dyDescent="0.2">
      <c r="A602" s="516"/>
      <c r="B602" s="517" t="s">
        <v>521</v>
      </c>
      <c r="C602" s="22"/>
      <c r="D602" s="22"/>
      <c r="E602" s="22"/>
      <c r="F602" s="23"/>
      <c r="G602" s="24"/>
      <c r="H602" s="242"/>
      <c r="I602" s="180"/>
      <c r="J602" s="180"/>
      <c r="K602" s="180"/>
      <c r="L602" s="295"/>
      <c r="M602" s="295"/>
      <c r="O602" s="291"/>
      <c r="P602" s="291"/>
      <c r="T602" s="353"/>
      <c r="U602" s="353"/>
    </row>
    <row r="603" spans="1:21" x14ac:dyDescent="0.2">
      <c r="A603" s="516"/>
      <c r="B603" s="517" t="s">
        <v>529</v>
      </c>
      <c r="C603" s="22"/>
      <c r="D603" s="22"/>
      <c r="E603" s="22"/>
      <c r="F603" s="23"/>
      <c r="G603" s="24"/>
      <c r="H603" s="242"/>
      <c r="I603" s="180"/>
      <c r="J603" s="180"/>
      <c r="K603" s="180"/>
      <c r="L603" s="295"/>
      <c r="M603" s="295"/>
      <c r="O603" s="291"/>
      <c r="P603" s="291"/>
      <c r="T603" s="353"/>
      <c r="U603" s="353"/>
    </row>
    <row r="604" spans="1:21" x14ac:dyDescent="0.2">
      <c r="A604" s="516"/>
      <c r="B604" s="517" t="s">
        <v>528</v>
      </c>
      <c r="C604" s="22"/>
      <c r="D604" s="22"/>
      <c r="E604" s="22"/>
      <c r="F604" s="23"/>
      <c r="G604" s="24"/>
      <c r="H604" s="242"/>
      <c r="I604" s="180"/>
      <c r="J604" s="180"/>
      <c r="K604" s="180"/>
      <c r="L604" s="295"/>
      <c r="M604" s="295"/>
      <c r="O604" s="291"/>
      <c r="P604" s="291"/>
      <c r="T604" s="353"/>
      <c r="U604" s="353"/>
    </row>
    <row r="605" spans="1:21" x14ac:dyDescent="0.2">
      <c r="A605" s="516"/>
      <c r="B605" s="517" t="s">
        <v>526</v>
      </c>
      <c r="C605" s="22"/>
      <c r="D605" s="22"/>
      <c r="E605" s="22"/>
      <c r="F605" s="23"/>
      <c r="G605" s="24"/>
      <c r="H605" s="242"/>
      <c r="I605" s="180"/>
      <c r="J605" s="180"/>
      <c r="K605" s="180"/>
      <c r="L605" s="295"/>
      <c r="M605" s="295"/>
      <c r="O605" s="291"/>
      <c r="P605" s="291"/>
      <c r="T605" s="353"/>
      <c r="U605" s="353"/>
    </row>
    <row r="606" spans="1:21" x14ac:dyDescent="0.2">
      <c r="A606" s="516"/>
      <c r="B606" s="517" t="s">
        <v>525</v>
      </c>
      <c r="C606" s="22"/>
      <c r="D606" s="22"/>
      <c r="E606" s="22"/>
      <c r="F606" s="23"/>
      <c r="G606" s="24"/>
      <c r="H606" s="242"/>
      <c r="I606" s="180"/>
      <c r="J606" s="180"/>
      <c r="K606" s="180"/>
      <c r="L606" s="295"/>
      <c r="M606" s="295"/>
      <c r="O606" s="291"/>
      <c r="P606" s="291"/>
      <c r="T606" s="353"/>
      <c r="U606" s="353"/>
    </row>
    <row r="607" spans="1:21" x14ac:dyDescent="0.2">
      <c r="A607" s="516"/>
      <c r="B607" s="517" t="s">
        <v>524</v>
      </c>
      <c r="C607" s="22"/>
      <c r="D607" s="22"/>
      <c r="E607" s="22"/>
      <c r="F607" s="23"/>
      <c r="G607" s="24"/>
      <c r="H607" s="242"/>
      <c r="I607" s="180"/>
      <c r="J607" s="180"/>
      <c r="K607" s="180"/>
      <c r="L607" s="295"/>
      <c r="M607" s="295"/>
      <c r="O607" s="291"/>
      <c r="P607" s="291"/>
      <c r="T607" s="353"/>
      <c r="U607" s="353"/>
    </row>
    <row r="608" spans="1:21" x14ac:dyDescent="0.2">
      <c r="A608" s="516"/>
      <c r="B608" s="517" t="s">
        <v>531</v>
      </c>
      <c r="C608" s="22"/>
      <c r="D608" s="22"/>
      <c r="E608" s="22"/>
      <c r="F608" s="23"/>
      <c r="G608" s="24"/>
      <c r="H608" s="242"/>
      <c r="I608" s="180"/>
      <c r="J608" s="180"/>
      <c r="K608" s="180"/>
      <c r="L608" s="295"/>
      <c r="M608" s="295"/>
      <c r="O608" s="291"/>
      <c r="P608" s="291"/>
      <c r="T608" s="353"/>
      <c r="U608" s="353"/>
    </row>
    <row r="609" spans="1:21" x14ac:dyDescent="0.2">
      <c r="A609" s="516"/>
      <c r="B609" s="517" t="s">
        <v>530</v>
      </c>
      <c r="C609" s="22"/>
      <c r="D609" s="22"/>
      <c r="E609" s="22"/>
      <c r="F609" s="23"/>
      <c r="G609" s="24"/>
      <c r="H609" s="242"/>
      <c r="I609" s="180"/>
      <c r="J609" s="180"/>
      <c r="K609" s="180"/>
      <c r="L609" s="295"/>
      <c r="M609" s="295"/>
      <c r="O609" s="291"/>
      <c r="P609" s="291"/>
      <c r="T609" s="353"/>
      <c r="U609" s="353"/>
    </row>
    <row r="610" spans="1:21" x14ac:dyDescent="0.2">
      <c r="A610" s="516"/>
      <c r="B610" s="517" t="s">
        <v>513</v>
      </c>
      <c r="C610" s="25"/>
      <c r="D610" s="25"/>
      <c r="E610" s="25"/>
      <c r="F610" s="26"/>
      <c r="G610" s="27"/>
      <c r="H610" s="242"/>
      <c r="I610" s="180"/>
      <c r="J610" s="180"/>
      <c r="K610" s="180"/>
      <c r="L610" s="295"/>
      <c r="M610" s="295"/>
      <c r="O610" s="291"/>
      <c r="P610" s="291"/>
      <c r="T610" s="353"/>
      <c r="U610" s="353"/>
    </row>
    <row r="611" spans="1:21" x14ac:dyDescent="0.2">
      <c r="A611" s="516"/>
      <c r="B611" s="517" t="s">
        <v>527</v>
      </c>
      <c r="C611" s="25"/>
      <c r="D611" s="25"/>
      <c r="E611" s="25"/>
      <c r="F611" s="26"/>
      <c r="G611" s="27"/>
      <c r="H611" s="242"/>
      <c r="I611" s="180"/>
      <c r="J611" s="180"/>
      <c r="K611" s="180"/>
      <c r="L611" s="295"/>
      <c r="M611" s="295"/>
      <c r="O611" s="291"/>
      <c r="P611" s="291"/>
      <c r="T611" s="353"/>
      <c r="U611" s="353"/>
    </row>
    <row r="612" spans="1:21" x14ac:dyDescent="0.2">
      <c r="A612" s="516"/>
      <c r="B612" s="517" t="s">
        <v>719</v>
      </c>
      <c r="C612" s="25"/>
      <c r="D612" s="25"/>
      <c r="E612" s="25"/>
      <c r="F612" s="26"/>
      <c r="G612" s="27"/>
      <c r="H612" s="242"/>
      <c r="I612" s="180"/>
      <c r="J612" s="180"/>
      <c r="K612" s="180"/>
      <c r="L612" s="295"/>
      <c r="M612" s="295"/>
      <c r="O612" s="291"/>
      <c r="P612" s="291"/>
      <c r="T612" s="353"/>
      <c r="U612" s="353"/>
    </row>
    <row r="613" spans="1:21" x14ac:dyDescent="0.2">
      <c r="A613" s="516"/>
      <c r="B613" s="517" t="s">
        <v>512</v>
      </c>
      <c r="C613" s="25"/>
      <c r="D613" s="25"/>
      <c r="E613" s="25"/>
      <c r="F613" s="26"/>
      <c r="G613" s="27"/>
      <c r="H613" s="242"/>
      <c r="I613" s="242"/>
      <c r="J613" s="242"/>
      <c r="K613" s="242"/>
      <c r="L613" s="343"/>
      <c r="M613" s="295"/>
      <c r="O613" s="291"/>
      <c r="P613" s="291"/>
      <c r="T613" s="353"/>
      <c r="U613" s="353"/>
    </row>
    <row r="614" spans="1:21" x14ac:dyDescent="0.2">
      <c r="A614" s="516"/>
      <c r="B614" s="517" t="s">
        <v>534</v>
      </c>
      <c r="C614" s="25"/>
      <c r="D614" s="25"/>
      <c r="E614" s="25"/>
      <c r="F614" s="26"/>
      <c r="G614" s="27"/>
      <c r="H614" s="242"/>
      <c r="I614" s="242"/>
      <c r="J614" s="242"/>
      <c r="K614" s="242"/>
      <c r="L614" s="343"/>
      <c r="M614" s="295"/>
      <c r="O614" s="291"/>
      <c r="P614" s="291"/>
      <c r="T614" s="353"/>
      <c r="U614" s="353"/>
    </row>
    <row r="615" spans="1:21" x14ac:dyDescent="0.2">
      <c r="A615" s="516"/>
      <c r="B615" s="517" t="s">
        <v>518</v>
      </c>
      <c r="C615" s="25"/>
      <c r="D615" s="25"/>
      <c r="E615" s="25"/>
      <c r="F615" s="26"/>
      <c r="G615" s="27"/>
      <c r="H615" s="242"/>
      <c r="I615" s="242"/>
      <c r="J615" s="242"/>
      <c r="K615" s="242"/>
      <c r="L615" s="343"/>
      <c r="M615" s="295"/>
      <c r="O615" s="291"/>
      <c r="P615" s="291"/>
      <c r="T615" s="353"/>
      <c r="U615" s="353"/>
    </row>
    <row r="616" spans="1:21" x14ac:dyDescent="0.2">
      <c r="A616" s="516"/>
      <c r="B616" s="517" t="s">
        <v>75</v>
      </c>
      <c r="C616" s="25"/>
      <c r="D616" s="25"/>
      <c r="E616" s="25"/>
      <c r="F616" s="26"/>
      <c r="G616" s="27"/>
      <c r="H616" s="242"/>
      <c r="I616" s="242"/>
      <c r="J616" s="242"/>
      <c r="K616" s="242"/>
      <c r="L616" s="343"/>
      <c r="M616" s="295"/>
      <c r="O616" s="291"/>
      <c r="P616" s="291"/>
      <c r="T616" s="353"/>
      <c r="U616" s="353"/>
    </row>
    <row r="617" spans="1:21" x14ac:dyDescent="0.2">
      <c r="A617" s="516"/>
      <c r="B617" s="517" t="s">
        <v>720</v>
      </c>
      <c r="C617" s="25"/>
      <c r="D617" s="25"/>
      <c r="E617" s="25"/>
      <c r="F617" s="26"/>
      <c r="G617" s="27"/>
      <c r="H617" s="242"/>
      <c r="I617" s="242"/>
      <c r="J617" s="242"/>
      <c r="K617" s="242"/>
      <c r="L617" s="343"/>
      <c r="M617" s="295"/>
      <c r="O617" s="291"/>
      <c r="P617" s="291"/>
      <c r="T617" s="353"/>
      <c r="U617" s="353"/>
    </row>
    <row r="618" spans="1:21" x14ac:dyDescent="0.2">
      <c r="A618" s="516"/>
      <c r="B618" s="517" t="s">
        <v>2</v>
      </c>
      <c r="C618" s="25"/>
      <c r="D618" s="25"/>
      <c r="E618" s="25"/>
      <c r="F618" s="26"/>
      <c r="G618" s="27"/>
      <c r="H618" s="242"/>
      <c r="I618" s="242"/>
      <c r="J618" s="242"/>
      <c r="K618" s="242"/>
      <c r="L618" s="343"/>
      <c r="M618" s="295"/>
      <c r="O618" s="291"/>
      <c r="P618" s="291"/>
      <c r="T618" s="353"/>
      <c r="U618" s="353"/>
    </row>
    <row r="619" spans="1:21" x14ac:dyDescent="0.2">
      <c r="A619" s="516"/>
      <c r="B619" s="518" t="s">
        <v>247</v>
      </c>
      <c r="C619" s="519">
        <f>SUM(C588:C618)</f>
        <v>0</v>
      </c>
      <c r="D619" s="519">
        <f t="shared" ref="D619:G619" si="197">SUM(D588:D618)</f>
        <v>0</v>
      </c>
      <c r="E619" s="519">
        <f t="shared" si="197"/>
        <v>0</v>
      </c>
      <c r="F619" s="519">
        <f t="shared" si="197"/>
        <v>0</v>
      </c>
      <c r="G619" s="520">
        <f t="shared" si="197"/>
        <v>0</v>
      </c>
      <c r="H619" s="509"/>
      <c r="I619" s="509"/>
      <c r="J619" s="509"/>
      <c r="K619" s="509"/>
      <c r="L619" s="343"/>
      <c r="M619" s="295"/>
      <c r="O619" s="291"/>
      <c r="P619" s="291"/>
      <c r="T619" s="353"/>
      <c r="U619" s="353"/>
    </row>
    <row r="620" spans="1:21" ht="13.5" thickBot="1" x14ac:dyDescent="0.25">
      <c r="A620" s="521"/>
      <c r="B620" s="522" t="s">
        <v>535</v>
      </c>
      <c r="C620" s="523"/>
      <c r="D620" s="523"/>
      <c r="E620" s="523"/>
      <c r="F620" s="523"/>
      <c r="G620" s="453"/>
      <c r="H620" s="509"/>
      <c r="I620" s="509"/>
      <c r="J620" s="509"/>
      <c r="K620" s="509"/>
      <c r="L620" s="343"/>
      <c r="M620" s="295"/>
      <c r="O620" s="291"/>
      <c r="P620" s="291"/>
      <c r="T620" s="353"/>
      <c r="U620" s="353"/>
    </row>
    <row r="621" spans="1:21" x14ac:dyDescent="0.2">
      <c r="A621" s="301"/>
      <c r="B621" s="524"/>
      <c r="C621" s="301"/>
      <c r="D621" s="301"/>
      <c r="E621" s="301"/>
      <c r="F621" s="301"/>
      <c r="G621" s="301"/>
      <c r="H621" s="509"/>
      <c r="I621" s="509"/>
      <c r="J621" s="509"/>
      <c r="K621" s="509"/>
      <c r="L621" s="343"/>
      <c r="M621" s="295"/>
      <c r="O621" s="291"/>
      <c r="P621" s="291"/>
      <c r="T621" s="353"/>
      <c r="U621" s="353"/>
    </row>
    <row r="622" spans="1:21" ht="13.5" thickBot="1" x14ac:dyDescent="0.25">
      <c r="A622" s="295"/>
      <c r="B622" s="296"/>
      <c r="C622" s="301"/>
      <c r="D622" s="301"/>
      <c r="E622" s="301"/>
      <c r="F622" s="301"/>
      <c r="G622" s="301"/>
      <c r="H622" s="509"/>
      <c r="I622" s="509"/>
      <c r="J622" s="509"/>
      <c r="K622" s="509"/>
      <c r="L622" s="343"/>
      <c r="M622" s="295"/>
      <c r="O622" s="291"/>
      <c r="P622" s="291"/>
      <c r="T622" s="353"/>
      <c r="U622" s="353"/>
    </row>
    <row r="623" spans="1:21" ht="19.5" thickBot="1" x14ac:dyDescent="0.25">
      <c r="A623" s="510"/>
      <c r="B623" s="415" t="s">
        <v>536</v>
      </c>
      <c r="C623" s="295"/>
      <c r="D623" s="295"/>
      <c r="E623" s="295"/>
      <c r="F623" s="295"/>
      <c r="G623" s="295"/>
      <c r="H623" s="343"/>
      <c r="I623" s="343"/>
      <c r="J623" s="343"/>
      <c r="K623" s="343"/>
      <c r="L623" s="343"/>
      <c r="M623" s="295"/>
      <c r="O623" s="291"/>
      <c r="P623" s="291"/>
      <c r="T623" s="353"/>
      <c r="U623" s="353"/>
    </row>
    <row r="624" spans="1:21" x14ac:dyDescent="0.2">
      <c r="A624" s="511"/>
      <c r="B624" s="512" t="s">
        <v>285</v>
      </c>
      <c r="C624" s="513"/>
      <c r="D624" s="497"/>
      <c r="E624" s="497"/>
      <c r="F624" s="497"/>
      <c r="G624" s="498"/>
      <c r="H624" s="514"/>
      <c r="I624" s="514"/>
      <c r="J624" s="514"/>
      <c r="K624" s="514"/>
      <c r="L624" s="343"/>
      <c r="M624" s="295"/>
      <c r="O624" s="291"/>
      <c r="P624" s="291"/>
      <c r="T624" s="353"/>
      <c r="U624" s="353"/>
    </row>
    <row r="625" spans="1:21" x14ac:dyDescent="0.2">
      <c r="A625" s="516"/>
      <c r="B625" s="517" t="s">
        <v>522</v>
      </c>
      <c r="C625" s="488" t="e">
        <f t="shared" ref="C625:H634" si="198">C588/C$619</f>
        <v>#DIV/0!</v>
      </c>
      <c r="D625" s="488" t="e">
        <f t="shared" si="198"/>
        <v>#DIV/0!</v>
      </c>
      <c r="E625" s="488" t="e">
        <f t="shared" si="198"/>
        <v>#DIV/0!</v>
      </c>
      <c r="F625" s="488" t="e">
        <f t="shared" si="198"/>
        <v>#DIV/0!</v>
      </c>
      <c r="G625" s="489" t="e">
        <f t="shared" si="198"/>
        <v>#DIV/0!</v>
      </c>
      <c r="H625" s="525" t="e">
        <f t="shared" si="198"/>
        <v>#DIV/0!</v>
      </c>
      <c r="I625" s="525"/>
      <c r="J625" s="525"/>
      <c r="K625" s="525"/>
      <c r="L625" s="343"/>
      <c r="M625" s="295"/>
      <c r="O625" s="291"/>
      <c r="P625" s="291"/>
      <c r="T625" s="353"/>
      <c r="U625" s="353"/>
    </row>
    <row r="626" spans="1:21" x14ac:dyDescent="0.2">
      <c r="A626" s="516"/>
      <c r="B626" s="517" t="s">
        <v>715</v>
      </c>
      <c r="C626" s="488" t="e">
        <f t="shared" si="198"/>
        <v>#DIV/0!</v>
      </c>
      <c r="D626" s="488" t="e">
        <f t="shared" si="198"/>
        <v>#DIV/0!</v>
      </c>
      <c r="E626" s="488" t="e">
        <f t="shared" si="198"/>
        <v>#DIV/0!</v>
      </c>
      <c r="F626" s="488" t="e">
        <f t="shared" si="198"/>
        <v>#DIV/0!</v>
      </c>
      <c r="G626" s="489" t="e">
        <f t="shared" si="198"/>
        <v>#DIV/0!</v>
      </c>
      <c r="H626" s="525" t="e">
        <f t="shared" si="198"/>
        <v>#DIV/0!</v>
      </c>
      <c r="I626" s="488"/>
      <c r="J626" s="488"/>
      <c r="K626" s="488"/>
      <c r="L626" s="295"/>
      <c r="M626" s="295"/>
      <c r="O626" s="291"/>
      <c r="P626" s="291"/>
      <c r="T626" s="353"/>
      <c r="U626" s="353"/>
    </row>
    <row r="627" spans="1:21" x14ac:dyDescent="0.2">
      <c r="A627" s="516"/>
      <c r="B627" s="517" t="s">
        <v>716</v>
      </c>
      <c r="C627" s="488" t="e">
        <f t="shared" si="198"/>
        <v>#DIV/0!</v>
      </c>
      <c r="D627" s="488" t="e">
        <f t="shared" si="198"/>
        <v>#DIV/0!</v>
      </c>
      <c r="E627" s="488" t="e">
        <f t="shared" si="198"/>
        <v>#DIV/0!</v>
      </c>
      <c r="F627" s="488" t="e">
        <f t="shared" si="198"/>
        <v>#DIV/0!</v>
      </c>
      <c r="G627" s="489" t="e">
        <f t="shared" si="198"/>
        <v>#DIV/0!</v>
      </c>
      <c r="H627" s="525" t="e">
        <f t="shared" si="198"/>
        <v>#DIV/0!</v>
      </c>
      <c r="I627" s="488"/>
      <c r="J627" s="488"/>
      <c r="K627" s="488"/>
      <c r="L627" s="295"/>
      <c r="M627" s="295"/>
      <c r="O627" s="291"/>
      <c r="P627" s="291"/>
      <c r="T627" s="353"/>
      <c r="U627" s="353"/>
    </row>
    <row r="628" spans="1:21" x14ac:dyDescent="0.2">
      <c r="A628" s="516"/>
      <c r="B628" s="517" t="s">
        <v>519</v>
      </c>
      <c r="C628" s="488" t="e">
        <f t="shared" si="198"/>
        <v>#DIV/0!</v>
      </c>
      <c r="D628" s="488" t="e">
        <f t="shared" si="198"/>
        <v>#DIV/0!</v>
      </c>
      <c r="E628" s="488" t="e">
        <f t="shared" si="198"/>
        <v>#DIV/0!</v>
      </c>
      <c r="F628" s="488" t="e">
        <f t="shared" si="198"/>
        <v>#DIV/0!</v>
      </c>
      <c r="G628" s="489" t="e">
        <f t="shared" si="198"/>
        <v>#DIV/0!</v>
      </c>
      <c r="H628" s="525" t="e">
        <f t="shared" si="198"/>
        <v>#DIV/0!</v>
      </c>
      <c r="I628" s="488"/>
      <c r="J628" s="488"/>
      <c r="K628" s="488"/>
      <c r="L628" s="295"/>
      <c r="M628" s="295"/>
      <c r="O628" s="291"/>
      <c r="P628" s="291"/>
      <c r="T628" s="353"/>
      <c r="U628" s="353"/>
    </row>
    <row r="629" spans="1:21" x14ac:dyDescent="0.2">
      <c r="A629" s="516"/>
      <c r="B629" s="517" t="s">
        <v>520</v>
      </c>
      <c r="C629" s="488" t="e">
        <f t="shared" si="198"/>
        <v>#DIV/0!</v>
      </c>
      <c r="D629" s="488" t="e">
        <f t="shared" si="198"/>
        <v>#DIV/0!</v>
      </c>
      <c r="E629" s="488" t="e">
        <f t="shared" si="198"/>
        <v>#DIV/0!</v>
      </c>
      <c r="F629" s="488" t="e">
        <f t="shared" si="198"/>
        <v>#DIV/0!</v>
      </c>
      <c r="G629" s="489" t="e">
        <f t="shared" si="198"/>
        <v>#DIV/0!</v>
      </c>
      <c r="H629" s="525" t="e">
        <f t="shared" si="198"/>
        <v>#DIV/0!</v>
      </c>
      <c r="I629" s="488"/>
      <c r="J629" s="488"/>
      <c r="K629" s="488"/>
      <c r="L629" s="295"/>
      <c r="M629" s="295"/>
      <c r="O629" s="291"/>
      <c r="P629" s="291"/>
      <c r="T629" s="353"/>
      <c r="U629" s="353"/>
    </row>
    <row r="630" spans="1:21" x14ac:dyDescent="0.2">
      <c r="A630" s="516"/>
      <c r="B630" s="517" t="s">
        <v>517</v>
      </c>
      <c r="C630" s="488" t="e">
        <f t="shared" si="198"/>
        <v>#DIV/0!</v>
      </c>
      <c r="D630" s="488" t="e">
        <f t="shared" si="198"/>
        <v>#DIV/0!</v>
      </c>
      <c r="E630" s="488" t="e">
        <f t="shared" si="198"/>
        <v>#DIV/0!</v>
      </c>
      <c r="F630" s="488" t="e">
        <f t="shared" si="198"/>
        <v>#DIV/0!</v>
      </c>
      <c r="G630" s="489" t="e">
        <f t="shared" si="198"/>
        <v>#DIV/0!</v>
      </c>
      <c r="H630" s="525" t="e">
        <f t="shared" si="198"/>
        <v>#DIV/0!</v>
      </c>
      <c r="I630" s="488"/>
      <c r="J630" s="488"/>
      <c r="K630" s="488"/>
      <c r="L630" s="295"/>
      <c r="M630" s="295"/>
      <c r="O630" s="291"/>
      <c r="P630" s="291"/>
      <c r="T630" s="353"/>
      <c r="U630" s="353"/>
    </row>
    <row r="631" spans="1:21" x14ac:dyDescent="0.2">
      <c r="A631" s="516"/>
      <c r="B631" s="517" t="s">
        <v>533</v>
      </c>
      <c r="C631" s="488" t="e">
        <f t="shared" si="198"/>
        <v>#DIV/0!</v>
      </c>
      <c r="D631" s="488" t="e">
        <f t="shared" si="198"/>
        <v>#DIV/0!</v>
      </c>
      <c r="E631" s="488" t="e">
        <f t="shared" si="198"/>
        <v>#DIV/0!</v>
      </c>
      <c r="F631" s="488" t="e">
        <f t="shared" si="198"/>
        <v>#DIV/0!</v>
      </c>
      <c r="G631" s="489" t="e">
        <f t="shared" si="198"/>
        <v>#DIV/0!</v>
      </c>
      <c r="H631" s="525" t="e">
        <f t="shared" si="198"/>
        <v>#DIV/0!</v>
      </c>
      <c r="I631" s="488"/>
      <c r="J631" s="488"/>
      <c r="K631" s="488"/>
      <c r="L631" s="295"/>
      <c r="M631" s="295"/>
      <c r="O631" s="291"/>
      <c r="P631" s="291"/>
      <c r="T631" s="353"/>
      <c r="U631" s="353"/>
    </row>
    <row r="632" spans="1:21" x14ac:dyDescent="0.2">
      <c r="A632" s="516"/>
      <c r="B632" s="517" t="s">
        <v>514</v>
      </c>
      <c r="C632" s="488" t="e">
        <f t="shared" si="198"/>
        <v>#DIV/0!</v>
      </c>
      <c r="D632" s="488" t="e">
        <f t="shared" si="198"/>
        <v>#DIV/0!</v>
      </c>
      <c r="E632" s="488" t="e">
        <f t="shared" si="198"/>
        <v>#DIV/0!</v>
      </c>
      <c r="F632" s="488" t="e">
        <f t="shared" si="198"/>
        <v>#DIV/0!</v>
      </c>
      <c r="G632" s="489" t="e">
        <f t="shared" si="198"/>
        <v>#DIV/0!</v>
      </c>
      <c r="H632" s="525" t="e">
        <f t="shared" si="198"/>
        <v>#DIV/0!</v>
      </c>
      <c r="I632" s="488"/>
      <c r="J632" s="488"/>
      <c r="K632" s="488"/>
      <c r="L632" s="295"/>
      <c r="M632" s="295"/>
      <c r="O632" s="291"/>
      <c r="P632" s="291"/>
      <c r="T632" s="353"/>
      <c r="U632" s="353"/>
    </row>
    <row r="633" spans="1:21" x14ac:dyDescent="0.2">
      <c r="A633" s="516"/>
      <c r="B633" s="517" t="s">
        <v>515</v>
      </c>
      <c r="C633" s="488" t="e">
        <f t="shared" si="198"/>
        <v>#DIV/0!</v>
      </c>
      <c r="D633" s="488" t="e">
        <f t="shared" si="198"/>
        <v>#DIV/0!</v>
      </c>
      <c r="E633" s="488" t="e">
        <f t="shared" si="198"/>
        <v>#DIV/0!</v>
      </c>
      <c r="F633" s="488" t="e">
        <f t="shared" si="198"/>
        <v>#DIV/0!</v>
      </c>
      <c r="G633" s="489" t="e">
        <f t="shared" si="198"/>
        <v>#DIV/0!</v>
      </c>
      <c r="H633" s="525" t="e">
        <f t="shared" si="198"/>
        <v>#DIV/0!</v>
      </c>
      <c r="I633" s="488"/>
      <c r="J633" s="488"/>
      <c r="K633" s="488"/>
      <c r="L633" s="295"/>
      <c r="M633" s="295"/>
      <c r="O633" s="291"/>
      <c r="P633" s="291"/>
      <c r="T633" s="353"/>
      <c r="U633" s="353"/>
    </row>
    <row r="634" spans="1:21" x14ac:dyDescent="0.2">
      <c r="A634" s="516"/>
      <c r="B634" s="517" t="s">
        <v>717</v>
      </c>
      <c r="C634" s="488" t="e">
        <f t="shared" si="198"/>
        <v>#DIV/0!</v>
      </c>
      <c r="D634" s="488" t="e">
        <f t="shared" si="198"/>
        <v>#DIV/0!</v>
      </c>
      <c r="E634" s="488" t="e">
        <f t="shared" si="198"/>
        <v>#DIV/0!</v>
      </c>
      <c r="F634" s="488" t="e">
        <f t="shared" si="198"/>
        <v>#DIV/0!</v>
      </c>
      <c r="G634" s="489" t="e">
        <f t="shared" si="198"/>
        <v>#DIV/0!</v>
      </c>
      <c r="H634" s="525" t="e">
        <f t="shared" si="198"/>
        <v>#DIV/0!</v>
      </c>
      <c r="I634" s="488"/>
      <c r="J634" s="488"/>
      <c r="K634" s="488"/>
      <c r="L634" s="295"/>
      <c r="M634" s="295"/>
      <c r="O634" s="291"/>
      <c r="P634" s="291"/>
      <c r="T634" s="353"/>
      <c r="U634" s="353"/>
    </row>
    <row r="635" spans="1:21" x14ac:dyDescent="0.2">
      <c r="A635" s="516"/>
      <c r="B635" s="517" t="s">
        <v>718</v>
      </c>
      <c r="C635" s="488" t="e">
        <f t="shared" ref="C635:G635" si="199">C598/C$619</f>
        <v>#DIV/0!</v>
      </c>
      <c r="D635" s="488" t="e">
        <f t="shared" si="199"/>
        <v>#DIV/0!</v>
      </c>
      <c r="E635" s="488" t="e">
        <f t="shared" si="199"/>
        <v>#DIV/0!</v>
      </c>
      <c r="F635" s="488" t="e">
        <f t="shared" si="199"/>
        <v>#DIV/0!</v>
      </c>
      <c r="G635" s="489" t="e">
        <f t="shared" si="199"/>
        <v>#DIV/0!</v>
      </c>
      <c r="H635" s="525" t="e">
        <f t="shared" ref="H635" si="200">H598/H$619</f>
        <v>#DIV/0!</v>
      </c>
      <c r="I635" s="488"/>
      <c r="J635" s="488"/>
      <c r="K635" s="488"/>
      <c r="L635" s="295"/>
      <c r="M635" s="295"/>
      <c r="O635" s="291"/>
      <c r="P635" s="291"/>
      <c r="T635" s="353"/>
      <c r="U635" s="353"/>
    </row>
    <row r="636" spans="1:21" x14ac:dyDescent="0.2">
      <c r="A636" s="516"/>
      <c r="B636" s="517" t="s">
        <v>523</v>
      </c>
      <c r="C636" s="488" t="e">
        <f t="shared" ref="C636:G636" si="201">C599/C$619</f>
        <v>#DIV/0!</v>
      </c>
      <c r="D636" s="488" t="e">
        <f t="shared" si="201"/>
        <v>#DIV/0!</v>
      </c>
      <c r="E636" s="488" t="e">
        <f t="shared" si="201"/>
        <v>#DIV/0!</v>
      </c>
      <c r="F636" s="488" t="e">
        <f t="shared" si="201"/>
        <v>#DIV/0!</v>
      </c>
      <c r="G636" s="489" t="e">
        <f t="shared" si="201"/>
        <v>#DIV/0!</v>
      </c>
      <c r="H636" s="525" t="e">
        <f t="shared" ref="H636" si="202">H599/H$619</f>
        <v>#DIV/0!</v>
      </c>
      <c r="I636" s="488"/>
      <c r="J636" s="488"/>
      <c r="K636" s="488"/>
      <c r="L636" s="295"/>
      <c r="M636" s="295"/>
      <c r="O636" s="291"/>
      <c r="P636" s="291"/>
      <c r="T636" s="353"/>
      <c r="U636" s="353"/>
    </row>
    <row r="637" spans="1:21" x14ac:dyDescent="0.2">
      <c r="A637" s="516"/>
      <c r="B637" s="517" t="s">
        <v>516</v>
      </c>
      <c r="C637" s="488" t="e">
        <f t="shared" ref="C637:G637" si="203">C600/C$619</f>
        <v>#DIV/0!</v>
      </c>
      <c r="D637" s="488" t="e">
        <f t="shared" si="203"/>
        <v>#DIV/0!</v>
      </c>
      <c r="E637" s="488" t="e">
        <f t="shared" si="203"/>
        <v>#DIV/0!</v>
      </c>
      <c r="F637" s="488" t="e">
        <f t="shared" si="203"/>
        <v>#DIV/0!</v>
      </c>
      <c r="G637" s="489" t="e">
        <f t="shared" si="203"/>
        <v>#DIV/0!</v>
      </c>
      <c r="H637" s="525" t="e">
        <f t="shared" ref="H637" si="204">H600/H$619</f>
        <v>#DIV/0!</v>
      </c>
      <c r="I637" s="488"/>
      <c r="J637" s="488"/>
      <c r="K637" s="488"/>
      <c r="L637" s="295"/>
      <c r="M637" s="295"/>
      <c r="O637" s="291"/>
      <c r="P637" s="291"/>
      <c r="T637" s="353"/>
      <c r="U637" s="353"/>
    </row>
    <row r="638" spans="1:21" x14ac:dyDescent="0.2">
      <c r="A638" s="516"/>
      <c r="B638" s="517" t="s">
        <v>532</v>
      </c>
      <c r="C638" s="488" t="e">
        <f t="shared" ref="C638:H642" si="205">C598/C$619</f>
        <v>#DIV/0!</v>
      </c>
      <c r="D638" s="488" t="e">
        <f t="shared" si="205"/>
        <v>#DIV/0!</v>
      </c>
      <c r="E638" s="488" t="e">
        <f t="shared" si="205"/>
        <v>#DIV/0!</v>
      </c>
      <c r="F638" s="488" t="e">
        <f t="shared" si="205"/>
        <v>#DIV/0!</v>
      </c>
      <c r="G638" s="489" t="e">
        <f t="shared" si="205"/>
        <v>#DIV/0!</v>
      </c>
      <c r="H638" s="525" t="e">
        <f t="shared" si="205"/>
        <v>#DIV/0!</v>
      </c>
      <c r="I638" s="488"/>
      <c r="J638" s="488"/>
      <c r="K638" s="488"/>
      <c r="L638" s="295"/>
      <c r="M638" s="295"/>
      <c r="O638" s="291"/>
      <c r="P638" s="291"/>
      <c r="T638" s="353"/>
      <c r="U638" s="353"/>
    </row>
    <row r="639" spans="1:21" x14ac:dyDescent="0.2">
      <c r="A639" s="516"/>
      <c r="B639" s="517" t="s">
        <v>521</v>
      </c>
      <c r="C639" s="488" t="e">
        <f t="shared" si="205"/>
        <v>#DIV/0!</v>
      </c>
      <c r="D639" s="488" t="e">
        <f t="shared" si="205"/>
        <v>#DIV/0!</v>
      </c>
      <c r="E639" s="488" t="e">
        <f t="shared" si="205"/>
        <v>#DIV/0!</v>
      </c>
      <c r="F639" s="488" t="e">
        <f t="shared" si="205"/>
        <v>#DIV/0!</v>
      </c>
      <c r="G639" s="489" t="e">
        <f t="shared" si="205"/>
        <v>#DIV/0!</v>
      </c>
      <c r="H639" s="525" t="e">
        <f t="shared" si="205"/>
        <v>#DIV/0!</v>
      </c>
      <c r="I639" s="488"/>
      <c r="J639" s="488"/>
      <c r="K639" s="488"/>
      <c r="L639" s="295"/>
      <c r="M639" s="295"/>
      <c r="O639" s="291"/>
      <c r="P639" s="291"/>
      <c r="T639" s="353"/>
      <c r="U639" s="353"/>
    </row>
    <row r="640" spans="1:21" x14ac:dyDescent="0.2">
      <c r="A640" s="516"/>
      <c r="B640" s="517" t="s">
        <v>529</v>
      </c>
      <c r="C640" s="488" t="e">
        <f t="shared" si="205"/>
        <v>#DIV/0!</v>
      </c>
      <c r="D640" s="488" t="e">
        <f t="shared" si="205"/>
        <v>#DIV/0!</v>
      </c>
      <c r="E640" s="488" t="e">
        <f t="shared" si="205"/>
        <v>#DIV/0!</v>
      </c>
      <c r="F640" s="488" t="e">
        <f t="shared" si="205"/>
        <v>#DIV/0!</v>
      </c>
      <c r="G640" s="489" t="e">
        <f t="shared" si="205"/>
        <v>#DIV/0!</v>
      </c>
      <c r="H640" s="525" t="e">
        <f t="shared" si="205"/>
        <v>#DIV/0!</v>
      </c>
      <c r="I640" s="488"/>
      <c r="J640" s="488"/>
      <c r="K640" s="488"/>
      <c r="L640" s="295"/>
      <c r="M640" s="295"/>
      <c r="O640" s="291"/>
      <c r="P640" s="291"/>
      <c r="T640" s="353"/>
      <c r="U640" s="353"/>
    </row>
    <row r="641" spans="1:21" x14ac:dyDescent="0.2">
      <c r="A641" s="516"/>
      <c r="B641" s="517" t="s">
        <v>528</v>
      </c>
      <c r="C641" s="488" t="e">
        <f t="shared" si="205"/>
        <v>#DIV/0!</v>
      </c>
      <c r="D641" s="488" t="e">
        <f t="shared" si="205"/>
        <v>#DIV/0!</v>
      </c>
      <c r="E641" s="488" t="e">
        <f t="shared" si="205"/>
        <v>#DIV/0!</v>
      </c>
      <c r="F641" s="488" t="e">
        <f t="shared" si="205"/>
        <v>#DIV/0!</v>
      </c>
      <c r="G641" s="489" t="e">
        <f t="shared" si="205"/>
        <v>#DIV/0!</v>
      </c>
      <c r="H641" s="525" t="e">
        <f t="shared" si="205"/>
        <v>#DIV/0!</v>
      </c>
      <c r="I641" s="488"/>
      <c r="J641" s="488"/>
      <c r="K641" s="488"/>
      <c r="L641" s="295"/>
      <c r="M641" s="295"/>
      <c r="O641" s="291"/>
      <c r="P641" s="291"/>
      <c r="T641" s="353"/>
      <c r="U641" s="353"/>
    </row>
    <row r="642" spans="1:21" x14ac:dyDescent="0.2">
      <c r="A642" s="516"/>
      <c r="B642" s="517" t="s">
        <v>526</v>
      </c>
      <c r="C642" s="488" t="e">
        <f t="shared" si="205"/>
        <v>#DIV/0!</v>
      </c>
      <c r="D642" s="488" t="e">
        <f t="shared" si="205"/>
        <v>#DIV/0!</v>
      </c>
      <c r="E642" s="488" t="e">
        <f t="shared" si="205"/>
        <v>#DIV/0!</v>
      </c>
      <c r="F642" s="488" t="e">
        <f t="shared" si="205"/>
        <v>#DIV/0!</v>
      </c>
      <c r="G642" s="489" t="e">
        <f t="shared" si="205"/>
        <v>#DIV/0!</v>
      </c>
      <c r="H642" s="525" t="e">
        <f t="shared" si="205"/>
        <v>#DIV/0!</v>
      </c>
      <c r="I642" s="488"/>
      <c r="J642" s="488"/>
      <c r="K642" s="488"/>
      <c r="L642" s="295"/>
      <c r="M642" s="295"/>
      <c r="O642" s="291"/>
      <c r="P642" s="291"/>
      <c r="T642" s="353"/>
      <c r="U642" s="353"/>
    </row>
    <row r="643" spans="1:21" x14ac:dyDescent="0.2">
      <c r="A643" s="516"/>
      <c r="B643" s="517" t="s">
        <v>525</v>
      </c>
      <c r="C643" s="488" t="e">
        <f t="shared" ref="C643:H655" si="206">C606/C$619</f>
        <v>#DIV/0!</v>
      </c>
      <c r="D643" s="488" t="e">
        <f t="shared" si="206"/>
        <v>#DIV/0!</v>
      </c>
      <c r="E643" s="488" t="e">
        <f t="shared" si="206"/>
        <v>#DIV/0!</v>
      </c>
      <c r="F643" s="488" t="e">
        <f t="shared" si="206"/>
        <v>#DIV/0!</v>
      </c>
      <c r="G643" s="489" t="e">
        <f t="shared" si="206"/>
        <v>#DIV/0!</v>
      </c>
      <c r="H643" s="525" t="e">
        <f t="shared" si="206"/>
        <v>#DIV/0!</v>
      </c>
      <c r="I643" s="488"/>
      <c r="J643" s="488"/>
      <c r="K643" s="488"/>
      <c r="L643" s="295"/>
      <c r="M643" s="295"/>
      <c r="O643" s="291"/>
      <c r="P643" s="291"/>
      <c r="T643" s="353"/>
      <c r="U643" s="353"/>
    </row>
    <row r="644" spans="1:21" x14ac:dyDescent="0.2">
      <c r="A644" s="516"/>
      <c r="B644" s="517" t="s">
        <v>524</v>
      </c>
      <c r="C644" s="488" t="e">
        <f t="shared" si="206"/>
        <v>#DIV/0!</v>
      </c>
      <c r="D644" s="488" t="e">
        <f t="shared" si="206"/>
        <v>#DIV/0!</v>
      </c>
      <c r="E644" s="488" t="e">
        <f t="shared" si="206"/>
        <v>#DIV/0!</v>
      </c>
      <c r="F644" s="488" t="e">
        <f t="shared" si="206"/>
        <v>#DIV/0!</v>
      </c>
      <c r="G644" s="489" t="e">
        <f t="shared" si="206"/>
        <v>#DIV/0!</v>
      </c>
      <c r="H644" s="525" t="e">
        <f t="shared" si="206"/>
        <v>#DIV/0!</v>
      </c>
      <c r="I644" s="488"/>
      <c r="J644" s="488"/>
      <c r="K644" s="488"/>
      <c r="L644" s="295"/>
      <c r="M644" s="295"/>
      <c r="O644" s="291"/>
      <c r="P644" s="291"/>
      <c r="T644" s="353"/>
      <c r="U644" s="353"/>
    </row>
    <row r="645" spans="1:21" x14ac:dyDescent="0.2">
      <c r="A645" s="516"/>
      <c r="B645" s="517" t="s">
        <v>531</v>
      </c>
      <c r="C645" s="488" t="e">
        <f t="shared" si="206"/>
        <v>#DIV/0!</v>
      </c>
      <c r="D645" s="488" t="e">
        <f t="shared" si="206"/>
        <v>#DIV/0!</v>
      </c>
      <c r="E645" s="488" t="e">
        <f t="shared" si="206"/>
        <v>#DIV/0!</v>
      </c>
      <c r="F645" s="488" t="e">
        <f t="shared" si="206"/>
        <v>#DIV/0!</v>
      </c>
      <c r="G645" s="489" t="e">
        <f t="shared" si="206"/>
        <v>#DIV/0!</v>
      </c>
      <c r="H645" s="525" t="e">
        <f t="shared" si="206"/>
        <v>#DIV/0!</v>
      </c>
      <c r="I645" s="488"/>
      <c r="J645" s="488"/>
      <c r="K645" s="488"/>
      <c r="L645" s="295"/>
      <c r="M645" s="295"/>
      <c r="O645" s="291"/>
      <c r="P645" s="291"/>
      <c r="T645" s="353"/>
      <c r="U645" s="353"/>
    </row>
    <row r="646" spans="1:21" x14ac:dyDescent="0.2">
      <c r="A646" s="516"/>
      <c r="B646" s="517" t="s">
        <v>530</v>
      </c>
      <c r="C646" s="488" t="e">
        <f t="shared" si="206"/>
        <v>#DIV/0!</v>
      </c>
      <c r="D646" s="488" t="e">
        <f t="shared" si="206"/>
        <v>#DIV/0!</v>
      </c>
      <c r="E646" s="488" t="e">
        <f t="shared" si="206"/>
        <v>#DIV/0!</v>
      </c>
      <c r="F646" s="488" t="e">
        <f t="shared" si="206"/>
        <v>#DIV/0!</v>
      </c>
      <c r="G646" s="489" t="e">
        <f t="shared" si="206"/>
        <v>#DIV/0!</v>
      </c>
      <c r="H646" s="525" t="e">
        <f t="shared" si="206"/>
        <v>#DIV/0!</v>
      </c>
      <c r="I646" s="488"/>
      <c r="J646" s="488"/>
      <c r="K646" s="488"/>
      <c r="L646" s="295"/>
      <c r="M646" s="295"/>
      <c r="O646" s="291"/>
      <c r="P646" s="291"/>
      <c r="T646" s="353"/>
      <c r="U646" s="353"/>
    </row>
    <row r="647" spans="1:21" x14ac:dyDescent="0.2">
      <c r="A647" s="516"/>
      <c r="B647" s="517" t="s">
        <v>513</v>
      </c>
      <c r="C647" s="488" t="e">
        <f t="shared" si="206"/>
        <v>#DIV/0!</v>
      </c>
      <c r="D647" s="488" t="e">
        <f t="shared" si="206"/>
        <v>#DIV/0!</v>
      </c>
      <c r="E647" s="488" t="e">
        <f t="shared" si="206"/>
        <v>#DIV/0!</v>
      </c>
      <c r="F647" s="488" t="e">
        <f t="shared" si="206"/>
        <v>#DIV/0!</v>
      </c>
      <c r="G647" s="489" t="e">
        <f t="shared" si="206"/>
        <v>#DIV/0!</v>
      </c>
      <c r="H647" s="525" t="e">
        <f t="shared" si="206"/>
        <v>#DIV/0!</v>
      </c>
      <c r="I647" s="488"/>
      <c r="J647" s="488"/>
      <c r="K647" s="488"/>
      <c r="L647" s="295"/>
      <c r="M647" s="295"/>
      <c r="O647" s="291"/>
      <c r="P647" s="291"/>
      <c r="T647" s="353"/>
      <c r="U647" s="353"/>
    </row>
    <row r="648" spans="1:21" x14ac:dyDescent="0.2">
      <c r="A648" s="516"/>
      <c r="B648" s="517" t="s">
        <v>527</v>
      </c>
      <c r="C648" s="488" t="e">
        <f t="shared" si="206"/>
        <v>#DIV/0!</v>
      </c>
      <c r="D648" s="488" t="e">
        <f t="shared" si="206"/>
        <v>#DIV/0!</v>
      </c>
      <c r="E648" s="488" t="e">
        <f t="shared" si="206"/>
        <v>#DIV/0!</v>
      </c>
      <c r="F648" s="488" t="e">
        <f t="shared" si="206"/>
        <v>#DIV/0!</v>
      </c>
      <c r="G648" s="489" t="e">
        <f t="shared" si="206"/>
        <v>#DIV/0!</v>
      </c>
      <c r="H648" s="525" t="e">
        <f t="shared" si="206"/>
        <v>#DIV/0!</v>
      </c>
      <c r="I648" s="488"/>
      <c r="J648" s="488"/>
      <c r="K648" s="488"/>
      <c r="L648" s="295"/>
      <c r="M648" s="295"/>
      <c r="O648" s="291"/>
      <c r="P648" s="291"/>
      <c r="T648" s="353"/>
      <c r="U648" s="353"/>
    </row>
    <row r="649" spans="1:21" x14ac:dyDescent="0.2">
      <c r="A649" s="516"/>
      <c r="B649" s="517" t="s">
        <v>719</v>
      </c>
      <c r="C649" s="488" t="e">
        <f t="shared" si="206"/>
        <v>#DIV/0!</v>
      </c>
      <c r="D649" s="488" t="e">
        <f t="shared" si="206"/>
        <v>#DIV/0!</v>
      </c>
      <c r="E649" s="488" t="e">
        <f t="shared" si="206"/>
        <v>#DIV/0!</v>
      </c>
      <c r="F649" s="488" t="e">
        <f t="shared" si="206"/>
        <v>#DIV/0!</v>
      </c>
      <c r="G649" s="489" t="e">
        <f t="shared" si="206"/>
        <v>#DIV/0!</v>
      </c>
      <c r="H649" s="525" t="e">
        <f t="shared" si="206"/>
        <v>#DIV/0!</v>
      </c>
      <c r="I649" s="488"/>
      <c r="J649" s="488"/>
      <c r="K649" s="488"/>
      <c r="L649" s="295"/>
      <c r="M649" s="295"/>
      <c r="O649" s="291"/>
      <c r="P649" s="291"/>
      <c r="T649" s="353"/>
      <c r="U649" s="353"/>
    </row>
    <row r="650" spans="1:21" x14ac:dyDescent="0.2">
      <c r="A650" s="516"/>
      <c r="B650" s="517" t="s">
        <v>512</v>
      </c>
      <c r="C650" s="488" t="e">
        <f t="shared" si="206"/>
        <v>#DIV/0!</v>
      </c>
      <c r="D650" s="488" t="e">
        <f t="shared" si="206"/>
        <v>#DIV/0!</v>
      </c>
      <c r="E650" s="488" t="e">
        <f t="shared" si="206"/>
        <v>#DIV/0!</v>
      </c>
      <c r="F650" s="488" t="e">
        <f t="shared" si="206"/>
        <v>#DIV/0!</v>
      </c>
      <c r="G650" s="489" t="e">
        <f t="shared" si="206"/>
        <v>#DIV/0!</v>
      </c>
      <c r="H650" s="525" t="e">
        <f t="shared" si="206"/>
        <v>#DIV/0!</v>
      </c>
      <c r="I650" s="488"/>
      <c r="J650" s="488"/>
      <c r="K650" s="488"/>
      <c r="L650" s="295"/>
      <c r="M650" s="295"/>
      <c r="O650" s="291"/>
      <c r="P650" s="291"/>
      <c r="T650" s="353"/>
      <c r="U650" s="353"/>
    </row>
    <row r="651" spans="1:21" x14ac:dyDescent="0.2">
      <c r="A651" s="516"/>
      <c r="B651" s="517" t="s">
        <v>534</v>
      </c>
      <c r="C651" s="488" t="e">
        <f t="shared" si="206"/>
        <v>#DIV/0!</v>
      </c>
      <c r="D651" s="488" t="e">
        <f t="shared" si="206"/>
        <v>#DIV/0!</v>
      </c>
      <c r="E651" s="488" t="e">
        <f t="shared" si="206"/>
        <v>#DIV/0!</v>
      </c>
      <c r="F651" s="488" t="e">
        <f t="shared" si="206"/>
        <v>#DIV/0!</v>
      </c>
      <c r="G651" s="489" t="e">
        <f t="shared" si="206"/>
        <v>#DIV/0!</v>
      </c>
      <c r="H651" s="525" t="e">
        <f t="shared" si="206"/>
        <v>#DIV/0!</v>
      </c>
      <c r="I651" s="488"/>
      <c r="J651" s="488"/>
      <c r="K651" s="488"/>
      <c r="L651" s="295"/>
      <c r="M651" s="295"/>
      <c r="O651" s="291"/>
      <c r="P651" s="291"/>
      <c r="T651" s="353"/>
      <c r="U651" s="353"/>
    </row>
    <row r="652" spans="1:21" x14ac:dyDescent="0.2">
      <c r="A652" s="516"/>
      <c r="B652" s="517" t="s">
        <v>518</v>
      </c>
      <c r="C652" s="488" t="e">
        <f t="shared" si="206"/>
        <v>#DIV/0!</v>
      </c>
      <c r="D652" s="488" t="e">
        <f t="shared" si="206"/>
        <v>#DIV/0!</v>
      </c>
      <c r="E652" s="488" t="e">
        <f t="shared" si="206"/>
        <v>#DIV/0!</v>
      </c>
      <c r="F652" s="488" t="e">
        <f t="shared" si="206"/>
        <v>#DIV/0!</v>
      </c>
      <c r="G652" s="489" t="e">
        <f t="shared" si="206"/>
        <v>#DIV/0!</v>
      </c>
      <c r="H652" s="525" t="e">
        <f t="shared" si="206"/>
        <v>#DIV/0!</v>
      </c>
      <c r="I652" s="488"/>
      <c r="J652" s="488"/>
      <c r="K652" s="488"/>
      <c r="L652" s="295"/>
      <c r="M652" s="295"/>
      <c r="O652" s="291"/>
      <c r="P652" s="291"/>
      <c r="T652" s="353"/>
      <c r="U652" s="353"/>
    </row>
    <row r="653" spans="1:21" x14ac:dyDescent="0.2">
      <c r="A653" s="516"/>
      <c r="B653" s="517" t="s">
        <v>75</v>
      </c>
      <c r="C653" s="488" t="e">
        <f t="shared" si="206"/>
        <v>#DIV/0!</v>
      </c>
      <c r="D653" s="488" t="e">
        <f t="shared" si="206"/>
        <v>#DIV/0!</v>
      </c>
      <c r="E653" s="488" t="e">
        <f t="shared" si="206"/>
        <v>#DIV/0!</v>
      </c>
      <c r="F653" s="488" t="e">
        <f t="shared" si="206"/>
        <v>#DIV/0!</v>
      </c>
      <c r="G653" s="489" t="e">
        <f t="shared" si="206"/>
        <v>#DIV/0!</v>
      </c>
      <c r="H653" s="525" t="e">
        <f t="shared" si="206"/>
        <v>#DIV/0!</v>
      </c>
      <c r="I653" s="488"/>
      <c r="J653" s="488"/>
      <c r="K653" s="488"/>
      <c r="L653" s="295"/>
      <c r="M653" s="295"/>
      <c r="O653" s="291"/>
      <c r="P653" s="291"/>
      <c r="T653" s="353"/>
      <c r="U653" s="353"/>
    </row>
    <row r="654" spans="1:21" x14ac:dyDescent="0.2">
      <c r="A654" s="516"/>
      <c r="B654" s="517" t="s">
        <v>720</v>
      </c>
      <c r="C654" s="488" t="e">
        <f t="shared" si="206"/>
        <v>#DIV/0!</v>
      </c>
      <c r="D654" s="488" t="e">
        <f t="shared" si="206"/>
        <v>#DIV/0!</v>
      </c>
      <c r="E654" s="488" t="e">
        <f t="shared" si="206"/>
        <v>#DIV/0!</v>
      </c>
      <c r="F654" s="488" t="e">
        <f t="shared" si="206"/>
        <v>#DIV/0!</v>
      </c>
      <c r="G654" s="489" t="e">
        <f t="shared" si="206"/>
        <v>#DIV/0!</v>
      </c>
      <c r="H654" s="525" t="e">
        <f t="shared" si="206"/>
        <v>#DIV/0!</v>
      </c>
      <c r="I654" s="488"/>
      <c r="J654" s="488"/>
      <c r="K654" s="488"/>
      <c r="L654" s="295"/>
      <c r="M654" s="295"/>
      <c r="O654" s="291"/>
      <c r="P654" s="291"/>
      <c r="T654" s="353"/>
      <c r="U654" s="353"/>
    </row>
    <row r="655" spans="1:21" x14ac:dyDescent="0.2">
      <c r="A655" s="516"/>
      <c r="B655" s="517" t="s">
        <v>2</v>
      </c>
      <c r="C655" s="488" t="e">
        <f t="shared" si="206"/>
        <v>#DIV/0!</v>
      </c>
      <c r="D655" s="488" t="e">
        <f t="shared" si="206"/>
        <v>#DIV/0!</v>
      </c>
      <c r="E655" s="488" t="e">
        <f t="shared" si="206"/>
        <v>#DIV/0!</v>
      </c>
      <c r="F655" s="488" t="e">
        <f t="shared" si="206"/>
        <v>#DIV/0!</v>
      </c>
      <c r="G655" s="489" t="e">
        <f t="shared" si="206"/>
        <v>#DIV/0!</v>
      </c>
      <c r="H655" s="525" t="e">
        <f t="shared" si="206"/>
        <v>#DIV/0!</v>
      </c>
      <c r="I655" s="488"/>
      <c r="J655" s="488"/>
      <c r="K655" s="488"/>
      <c r="L655" s="295"/>
      <c r="M655" s="295"/>
      <c r="O655" s="291"/>
      <c r="P655" s="291"/>
      <c r="T655" s="353"/>
      <c r="U655" s="353"/>
    </row>
    <row r="656" spans="1:21" x14ac:dyDescent="0.2">
      <c r="A656" s="516"/>
      <c r="B656" s="518" t="s">
        <v>247</v>
      </c>
      <c r="C656" s="526">
        <f>C619</f>
        <v>0</v>
      </c>
      <c r="D656" s="526">
        <f t="shared" ref="D656:G656" si="207">D619</f>
        <v>0</v>
      </c>
      <c r="E656" s="526">
        <f t="shared" si="207"/>
        <v>0</v>
      </c>
      <c r="F656" s="526">
        <f t="shared" si="207"/>
        <v>0</v>
      </c>
      <c r="G656" s="527">
        <f t="shared" si="207"/>
        <v>0</v>
      </c>
      <c r="H656" s="528">
        <f t="shared" ref="H656" si="208">H619</f>
        <v>0</v>
      </c>
      <c r="I656" s="526"/>
      <c r="J656" s="526"/>
      <c r="K656" s="526"/>
      <c r="L656" s="295"/>
      <c r="M656" s="295"/>
      <c r="O656" s="291"/>
      <c r="P656" s="291"/>
      <c r="T656" s="353"/>
      <c r="U656" s="353"/>
    </row>
    <row r="657" spans="1:21" ht="13.5" thickBot="1" x14ac:dyDescent="0.25">
      <c r="A657" s="521"/>
      <c r="B657" s="522" t="s">
        <v>535</v>
      </c>
      <c r="C657" s="523"/>
      <c r="D657" s="523"/>
      <c r="E657" s="523"/>
      <c r="F657" s="523"/>
      <c r="G657" s="453"/>
      <c r="H657" s="509"/>
      <c r="I657" s="301"/>
      <c r="J657" s="301"/>
      <c r="K657" s="301"/>
      <c r="L657" s="295"/>
      <c r="M657" s="295"/>
      <c r="O657" s="291"/>
      <c r="P657" s="291"/>
      <c r="T657" s="353"/>
      <c r="U657" s="353"/>
    </row>
    <row r="658" spans="1:21" x14ac:dyDescent="0.2">
      <c r="A658" s="295"/>
      <c r="B658" s="524"/>
      <c r="C658" s="301"/>
      <c r="D658" s="301"/>
      <c r="E658" s="301"/>
      <c r="F658" s="301"/>
      <c r="G658" s="301"/>
      <c r="H658" s="509"/>
      <c r="I658" s="301"/>
      <c r="J658" s="301"/>
      <c r="K658" s="301"/>
      <c r="L658" s="295"/>
      <c r="M658" s="295"/>
      <c r="O658" s="291"/>
      <c r="P658" s="291"/>
      <c r="T658" s="353"/>
      <c r="U658" s="353"/>
    </row>
    <row r="659" spans="1:21" ht="13.5" thickBot="1" x14ac:dyDescent="0.25">
      <c r="A659" s="295"/>
      <c r="B659" s="524"/>
      <c r="C659" s="301"/>
      <c r="D659" s="301"/>
      <c r="E659" s="301"/>
      <c r="F659" s="301"/>
      <c r="G659" s="301"/>
      <c r="H659" s="509"/>
      <c r="I659" s="301"/>
      <c r="J659" s="301"/>
      <c r="K659" s="301"/>
      <c r="L659" s="295"/>
      <c r="M659" s="295"/>
      <c r="O659" s="291"/>
      <c r="P659" s="291"/>
      <c r="T659" s="353"/>
      <c r="U659" s="353"/>
    </row>
    <row r="660" spans="1:21" ht="19.5" thickBot="1" x14ac:dyDescent="0.25">
      <c r="A660" s="510"/>
      <c r="B660" s="415" t="s">
        <v>537</v>
      </c>
      <c r="C660" s="295"/>
      <c r="D660" s="295"/>
      <c r="E660" s="295"/>
      <c r="F660" s="295"/>
      <c r="G660" s="295"/>
      <c r="H660" s="343"/>
      <c r="I660" s="343"/>
      <c r="J660" s="343"/>
      <c r="K660" s="343"/>
      <c r="L660" s="343"/>
      <c r="M660" s="343"/>
      <c r="O660" s="291"/>
      <c r="P660" s="291"/>
      <c r="T660" s="353"/>
      <c r="U660" s="353"/>
    </row>
    <row r="661" spans="1:21" x14ac:dyDescent="0.2">
      <c r="A661" s="511"/>
      <c r="B661" s="529"/>
      <c r="C661" s="497">
        <v>0</v>
      </c>
      <c r="D661" s="497" t="s">
        <v>538</v>
      </c>
      <c r="E661" s="497" t="s">
        <v>539</v>
      </c>
      <c r="F661" s="497" t="s">
        <v>540</v>
      </c>
      <c r="G661" s="498" t="s">
        <v>541</v>
      </c>
      <c r="H661" s="514"/>
      <c r="I661" s="514"/>
      <c r="J661" s="514"/>
      <c r="K661" s="514"/>
      <c r="L661" s="343"/>
      <c r="M661" s="343"/>
      <c r="O661" s="291"/>
      <c r="P661" s="291"/>
      <c r="T661" s="353"/>
      <c r="U661" s="353"/>
    </row>
    <row r="662" spans="1:21" x14ac:dyDescent="0.2">
      <c r="A662" s="511"/>
      <c r="B662" s="529" t="s">
        <v>510</v>
      </c>
      <c r="C662" s="246" t="s">
        <v>511</v>
      </c>
      <c r="D662" s="504" t="s">
        <v>285</v>
      </c>
      <c r="E662" s="530"/>
      <c r="F662" s="504"/>
      <c r="G662" s="500"/>
      <c r="H662" s="514"/>
      <c r="I662" s="514"/>
      <c r="J662" s="514"/>
      <c r="K662" s="514"/>
      <c r="L662" s="343"/>
      <c r="M662" s="343"/>
      <c r="O662" s="291"/>
      <c r="P662" s="291"/>
      <c r="T662" s="353"/>
      <c r="U662" s="353"/>
    </row>
    <row r="663" spans="1:21" x14ac:dyDescent="0.2">
      <c r="A663" s="516"/>
      <c r="B663" s="517" t="s">
        <v>522</v>
      </c>
      <c r="C663" s="247"/>
      <c r="D663" s="247"/>
      <c r="E663" s="247"/>
      <c r="F663" s="248"/>
      <c r="G663" s="249"/>
      <c r="H663" s="250"/>
      <c r="I663" s="250"/>
      <c r="J663" s="250"/>
      <c r="K663" s="250"/>
      <c r="L663" s="343"/>
      <c r="M663" s="343"/>
      <c r="O663" s="291"/>
      <c r="P663" s="291"/>
      <c r="T663" s="353"/>
      <c r="U663" s="353"/>
    </row>
    <row r="664" spans="1:21" x14ac:dyDescent="0.2">
      <c r="A664" s="516"/>
      <c r="B664" s="517" t="s">
        <v>715</v>
      </c>
      <c r="C664" s="251"/>
      <c r="D664" s="251"/>
      <c r="E664" s="251"/>
      <c r="F664" s="252"/>
      <c r="G664" s="253"/>
      <c r="H664" s="250"/>
      <c r="I664" s="254"/>
      <c r="J664" s="254"/>
      <c r="K664" s="254"/>
      <c r="L664" s="295"/>
      <c r="M664" s="295"/>
      <c r="O664" s="291"/>
      <c r="P664" s="291"/>
      <c r="T664" s="353"/>
      <c r="U664" s="353"/>
    </row>
    <row r="665" spans="1:21" x14ac:dyDescent="0.2">
      <c r="A665" s="516"/>
      <c r="B665" s="517" t="s">
        <v>716</v>
      </c>
      <c r="C665" s="251"/>
      <c r="D665" s="251"/>
      <c r="E665" s="251"/>
      <c r="F665" s="252"/>
      <c r="G665" s="253"/>
      <c r="H665" s="250"/>
      <c r="I665" s="254"/>
      <c r="J665" s="254"/>
      <c r="K665" s="254"/>
      <c r="L665" s="295"/>
      <c r="M665" s="295"/>
      <c r="O665" s="291"/>
      <c r="P665" s="291"/>
      <c r="T665" s="353"/>
      <c r="U665" s="353"/>
    </row>
    <row r="666" spans="1:21" x14ac:dyDescent="0.2">
      <c r="A666" s="516"/>
      <c r="B666" s="517" t="s">
        <v>519</v>
      </c>
      <c r="C666" s="251"/>
      <c r="D666" s="251"/>
      <c r="E666" s="251"/>
      <c r="F666" s="252"/>
      <c r="G666" s="253"/>
      <c r="H666" s="250"/>
      <c r="I666" s="254"/>
      <c r="J666" s="254"/>
      <c r="K666" s="254"/>
      <c r="L666" s="295"/>
      <c r="M666" s="295"/>
      <c r="O666" s="291"/>
      <c r="P666" s="291"/>
      <c r="T666" s="353"/>
      <c r="U666" s="353"/>
    </row>
    <row r="667" spans="1:21" x14ac:dyDescent="0.2">
      <c r="A667" s="516"/>
      <c r="B667" s="517" t="s">
        <v>520</v>
      </c>
      <c r="C667" s="251"/>
      <c r="D667" s="251"/>
      <c r="E667" s="251"/>
      <c r="F667" s="252"/>
      <c r="G667" s="253"/>
      <c r="H667" s="250"/>
      <c r="I667" s="254"/>
      <c r="J667" s="254"/>
      <c r="K667" s="254"/>
      <c r="L667" s="295"/>
      <c r="M667" s="295"/>
      <c r="O667" s="291"/>
      <c r="P667" s="291"/>
      <c r="T667" s="353"/>
      <c r="U667" s="353"/>
    </row>
    <row r="668" spans="1:21" x14ac:dyDescent="0.2">
      <c r="A668" s="516"/>
      <c r="B668" s="517" t="s">
        <v>517</v>
      </c>
      <c r="C668" s="251"/>
      <c r="D668" s="251"/>
      <c r="E668" s="251"/>
      <c r="F668" s="252"/>
      <c r="G668" s="253"/>
      <c r="H668" s="250"/>
      <c r="I668" s="254"/>
      <c r="J668" s="254"/>
      <c r="K668" s="254"/>
      <c r="L668" s="295"/>
      <c r="M668" s="295"/>
      <c r="O668" s="291"/>
      <c r="P668" s="291"/>
      <c r="T668" s="353"/>
      <c r="U668" s="353"/>
    </row>
    <row r="669" spans="1:21" x14ac:dyDescent="0.2">
      <c r="A669" s="516"/>
      <c r="B669" s="517" t="s">
        <v>533</v>
      </c>
      <c r="C669" s="251"/>
      <c r="D669" s="251"/>
      <c r="E669" s="251"/>
      <c r="F669" s="252"/>
      <c r="G669" s="253"/>
      <c r="H669" s="250"/>
      <c r="I669" s="254"/>
      <c r="J669" s="254"/>
      <c r="K669" s="254"/>
      <c r="L669" s="295"/>
      <c r="M669" s="295"/>
      <c r="O669" s="291"/>
      <c r="P669" s="291"/>
      <c r="T669" s="353"/>
      <c r="U669" s="353"/>
    </row>
    <row r="670" spans="1:21" x14ac:dyDescent="0.2">
      <c r="A670" s="516"/>
      <c r="B670" s="517" t="s">
        <v>514</v>
      </c>
      <c r="C670" s="251"/>
      <c r="D670" s="251"/>
      <c r="E670" s="251"/>
      <c r="F670" s="252"/>
      <c r="G670" s="253"/>
      <c r="H670" s="250"/>
      <c r="I670" s="254"/>
      <c r="J670" s="254"/>
      <c r="K670" s="254"/>
      <c r="L670" s="295"/>
      <c r="M670" s="295"/>
      <c r="O670" s="291"/>
      <c r="P670" s="291"/>
      <c r="T670" s="353"/>
      <c r="U670" s="353"/>
    </row>
    <row r="671" spans="1:21" x14ac:dyDescent="0.2">
      <c r="A671" s="516"/>
      <c r="B671" s="517" t="s">
        <v>515</v>
      </c>
      <c r="C671" s="251"/>
      <c r="D671" s="251"/>
      <c r="E671" s="251"/>
      <c r="F671" s="252"/>
      <c r="G671" s="253"/>
      <c r="H671" s="250"/>
      <c r="I671" s="254"/>
      <c r="J671" s="254"/>
      <c r="K671" s="254"/>
      <c r="L671" s="295"/>
      <c r="M671" s="295"/>
      <c r="O671" s="291"/>
      <c r="P671" s="291"/>
      <c r="T671" s="353"/>
      <c r="U671" s="353"/>
    </row>
    <row r="672" spans="1:21" x14ac:dyDescent="0.2">
      <c r="A672" s="516"/>
      <c r="B672" s="517" t="s">
        <v>717</v>
      </c>
      <c r="C672" s="251"/>
      <c r="D672" s="251"/>
      <c r="E672" s="251"/>
      <c r="F672" s="252"/>
      <c r="G672" s="253"/>
      <c r="H672" s="250"/>
      <c r="I672" s="254"/>
      <c r="J672" s="254"/>
      <c r="K672" s="254"/>
      <c r="L672" s="295"/>
      <c r="M672" s="295"/>
      <c r="O672" s="291"/>
      <c r="P672" s="291"/>
      <c r="T672" s="353"/>
      <c r="U672" s="353"/>
    </row>
    <row r="673" spans="1:21" x14ac:dyDescent="0.2">
      <c r="A673" s="516"/>
      <c r="B673" s="517" t="s">
        <v>718</v>
      </c>
      <c r="C673" s="251"/>
      <c r="D673" s="251"/>
      <c r="E673" s="251"/>
      <c r="F673" s="252"/>
      <c r="G673" s="253"/>
      <c r="H673" s="250"/>
      <c r="I673" s="254"/>
      <c r="J673" s="254"/>
      <c r="K673" s="254"/>
      <c r="L673" s="295"/>
      <c r="M673" s="295"/>
      <c r="O673" s="291"/>
      <c r="P673" s="291"/>
      <c r="T673" s="353"/>
      <c r="U673" s="353"/>
    </row>
    <row r="674" spans="1:21" x14ac:dyDescent="0.2">
      <c r="A674" s="516"/>
      <c r="B674" s="517" t="s">
        <v>523</v>
      </c>
      <c r="C674" s="251"/>
      <c r="D674" s="251"/>
      <c r="E674" s="251"/>
      <c r="F674" s="252"/>
      <c r="G674" s="253"/>
      <c r="H674" s="250"/>
      <c r="I674" s="254"/>
      <c r="J674" s="254"/>
      <c r="K674" s="254"/>
      <c r="L674" s="295"/>
      <c r="M674" s="295"/>
      <c r="O674" s="291"/>
      <c r="P674" s="291"/>
      <c r="T674" s="353"/>
      <c r="U674" s="353"/>
    </row>
    <row r="675" spans="1:21" x14ac:dyDescent="0.2">
      <c r="A675" s="516"/>
      <c r="B675" s="517" t="s">
        <v>516</v>
      </c>
      <c r="C675" s="251"/>
      <c r="D675" s="251"/>
      <c r="E675" s="251"/>
      <c r="F675" s="252"/>
      <c r="G675" s="253"/>
      <c r="H675" s="250"/>
      <c r="I675" s="254"/>
      <c r="J675" s="254"/>
      <c r="K675" s="254"/>
      <c r="L675" s="295"/>
      <c r="M675" s="295"/>
      <c r="O675" s="291"/>
      <c r="P675" s="291"/>
      <c r="T675" s="353"/>
      <c r="U675" s="353"/>
    </row>
    <row r="676" spans="1:21" x14ac:dyDescent="0.2">
      <c r="A676" s="516"/>
      <c r="B676" s="517" t="s">
        <v>532</v>
      </c>
      <c r="C676" s="251"/>
      <c r="D676" s="251"/>
      <c r="E676" s="251"/>
      <c r="F676" s="252"/>
      <c r="G676" s="253"/>
      <c r="H676" s="250"/>
      <c r="I676" s="254"/>
      <c r="J676" s="254"/>
      <c r="K676" s="254"/>
      <c r="L676" s="295"/>
      <c r="M676" s="295"/>
      <c r="O676" s="291"/>
      <c r="P676" s="291"/>
      <c r="T676" s="353"/>
      <c r="U676" s="353"/>
    </row>
    <row r="677" spans="1:21" x14ac:dyDescent="0.2">
      <c r="A677" s="516"/>
      <c r="B677" s="517" t="s">
        <v>521</v>
      </c>
      <c r="C677" s="251"/>
      <c r="D677" s="251"/>
      <c r="E677" s="251"/>
      <c r="F677" s="252"/>
      <c r="G677" s="253"/>
      <c r="H677" s="250"/>
      <c r="I677" s="254"/>
      <c r="J677" s="254"/>
      <c r="K677" s="254"/>
      <c r="L677" s="295"/>
      <c r="M677" s="295"/>
      <c r="O677" s="291"/>
      <c r="P677" s="291"/>
      <c r="T677" s="353"/>
      <c r="U677" s="353"/>
    </row>
    <row r="678" spans="1:21" x14ac:dyDescent="0.2">
      <c r="A678" s="516"/>
      <c r="B678" s="517" t="s">
        <v>529</v>
      </c>
      <c r="C678" s="251"/>
      <c r="D678" s="251"/>
      <c r="E678" s="251"/>
      <c r="F678" s="252"/>
      <c r="G678" s="253"/>
      <c r="H678" s="250"/>
      <c r="I678" s="254"/>
      <c r="J678" s="254"/>
      <c r="K678" s="254"/>
      <c r="L678" s="295"/>
      <c r="M678" s="295"/>
      <c r="O678" s="291"/>
      <c r="P678" s="291"/>
      <c r="T678" s="353"/>
      <c r="U678" s="353"/>
    </row>
    <row r="679" spans="1:21" x14ac:dyDescent="0.2">
      <c r="A679" s="516"/>
      <c r="B679" s="517" t="s">
        <v>528</v>
      </c>
      <c r="C679" s="251"/>
      <c r="D679" s="251"/>
      <c r="E679" s="251"/>
      <c r="F679" s="252"/>
      <c r="G679" s="253"/>
      <c r="H679" s="250"/>
      <c r="I679" s="254"/>
      <c r="J679" s="254"/>
      <c r="K679" s="254"/>
      <c r="L679" s="295"/>
      <c r="M679" s="295"/>
      <c r="O679" s="291"/>
      <c r="P679" s="291"/>
      <c r="T679" s="353"/>
      <c r="U679" s="353"/>
    </row>
    <row r="680" spans="1:21" x14ac:dyDescent="0.2">
      <c r="A680" s="516"/>
      <c r="B680" s="517" t="s">
        <v>526</v>
      </c>
      <c r="C680" s="251"/>
      <c r="D680" s="251"/>
      <c r="E680" s="251"/>
      <c r="F680" s="252"/>
      <c r="G680" s="253"/>
      <c r="H680" s="250"/>
      <c r="I680" s="254"/>
      <c r="J680" s="254"/>
      <c r="K680" s="254"/>
      <c r="L680" s="295"/>
      <c r="M680" s="295"/>
      <c r="O680" s="291"/>
      <c r="P680" s="291"/>
      <c r="T680" s="353"/>
      <c r="U680" s="353"/>
    </row>
    <row r="681" spans="1:21" x14ac:dyDescent="0.2">
      <c r="A681" s="516"/>
      <c r="B681" s="517" t="s">
        <v>525</v>
      </c>
      <c r="C681" s="251"/>
      <c r="D681" s="251"/>
      <c r="E681" s="251"/>
      <c r="F681" s="252"/>
      <c r="G681" s="253"/>
      <c r="H681" s="250"/>
      <c r="I681" s="254"/>
      <c r="J681" s="254"/>
      <c r="K681" s="254"/>
      <c r="L681" s="295"/>
      <c r="M681" s="295"/>
      <c r="O681" s="291"/>
      <c r="P681" s="291"/>
      <c r="T681" s="353"/>
      <c r="U681" s="353"/>
    </row>
    <row r="682" spans="1:21" x14ac:dyDescent="0.2">
      <c r="A682" s="516"/>
      <c r="B682" s="517" t="s">
        <v>524</v>
      </c>
      <c r="C682" s="251"/>
      <c r="D682" s="251"/>
      <c r="E682" s="251"/>
      <c r="F682" s="252"/>
      <c r="G682" s="253"/>
      <c r="H682" s="250"/>
      <c r="I682" s="254"/>
      <c r="J682" s="254"/>
      <c r="K682" s="254"/>
      <c r="L682" s="295"/>
      <c r="M682" s="295"/>
      <c r="O682" s="291"/>
      <c r="P682" s="291"/>
      <c r="T682" s="353"/>
      <c r="U682" s="353"/>
    </row>
    <row r="683" spans="1:21" x14ac:dyDescent="0.2">
      <c r="A683" s="516"/>
      <c r="B683" s="517" t="s">
        <v>531</v>
      </c>
      <c r="C683" s="251"/>
      <c r="D683" s="251"/>
      <c r="E683" s="251"/>
      <c r="F683" s="252"/>
      <c r="G683" s="253"/>
      <c r="H683" s="250"/>
      <c r="I683" s="254"/>
      <c r="J683" s="254"/>
      <c r="K683" s="254"/>
      <c r="L683" s="295"/>
      <c r="M683" s="295"/>
      <c r="O683" s="291"/>
      <c r="P683" s="291"/>
      <c r="T683" s="353"/>
      <c r="U683" s="353"/>
    </row>
    <row r="684" spans="1:21" x14ac:dyDescent="0.2">
      <c r="A684" s="516"/>
      <c r="B684" s="517" t="s">
        <v>530</v>
      </c>
      <c r="C684" s="251"/>
      <c r="D684" s="251"/>
      <c r="E684" s="251"/>
      <c r="F684" s="252"/>
      <c r="G684" s="253"/>
      <c r="H684" s="250"/>
      <c r="I684" s="254"/>
      <c r="J684" s="254"/>
      <c r="K684" s="254"/>
      <c r="L684" s="295"/>
      <c r="M684" s="295"/>
      <c r="O684" s="291"/>
      <c r="P684" s="291"/>
      <c r="T684" s="353"/>
      <c r="U684" s="353"/>
    </row>
    <row r="685" spans="1:21" x14ac:dyDescent="0.2">
      <c r="A685" s="516"/>
      <c r="B685" s="517" t="s">
        <v>513</v>
      </c>
      <c r="C685" s="251"/>
      <c r="D685" s="251"/>
      <c r="E685" s="251"/>
      <c r="F685" s="252"/>
      <c r="G685" s="253"/>
      <c r="H685" s="250"/>
      <c r="I685" s="254"/>
      <c r="J685" s="254"/>
      <c r="K685" s="254"/>
      <c r="L685" s="295"/>
      <c r="M685" s="295"/>
      <c r="O685" s="291"/>
      <c r="P685" s="291"/>
      <c r="T685" s="353"/>
      <c r="U685" s="353"/>
    </row>
    <row r="686" spans="1:21" x14ac:dyDescent="0.2">
      <c r="A686" s="516"/>
      <c r="B686" s="517" t="s">
        <v>527</v>
      </c>
      <c r="C686" s="251"/>
      <c r="D686" s="251"/>
      <c r="E686" s="251"/>
      <c r="F686" s="252"/>
      <c r="G686" s="253"/>
      <c r="H686" s="250"/>
      <c r="I686" s="254"/>
      <c r="J686" s="254"/>
      <c r="K686" s="254"/>
      <c r="L686" s="295"/>
      <c r="M686" s="295"/>
      <c r="O686" s="291"/>
      <c r="P686" s="291"/>
      <c r="T686" s="353"/>
      <c r="U686" s="353"/>
    </row>
    <row r="687" spans="1:21" x14ac:dyDescent="0.2">
      <c r="A687" s="516"/>
      <c r="B687" s="517" t="s">
        <v>719</v>
      </c>
      <c r="C687" s="251"/>
      <c r="D687" s="251"/>
      <c r="E687" s="251"/>
      <c r="F687" s="252"/>
      <c r="G687" s="253"/>
      <c r="H687" s="250"/>
      <c r="I687" s="254"/>
      <c r="J687" s="254"/>
      <c r="K687" s="254"/>
      <c r="L687" s="295"/>
      <c r="M687" s="295"/>
      <c r="O687" s="291"/>
      <c r="P687" s="291"/>
      <c r="T687" s="353"/>
      <c r="U687" s="353"/>
    </row>
    <row r="688" spans="1:21" x14ac:dyDescent="0.2">
      <c r="A688" s="516"/>
      <c r="B688" s="517" t="s">
        <v>512</v>
      </c>
      <c r="C688" s="251"/>
      <c r="D688" s="251"/>
      <c r="E688" s="251"/>
      <c r="F688" s="252"/>
      <c r="G688" s="253"/>
      <c r="H688" s="250"/>
      <c r="I688" s="254"/>
      <c r="J688" s="254"/>
      <c r="K688" s="254"/>
      <c r="L688" s="295"/>
      <c r="M688" s="295"/>
      <c r="O688" s="291"/>
      <c r="P688" s="291"/>
      <c r="T688" s="353"/>
      <c r="U688" s="353"/>
    </row>
    <row r="689" spans="1:21" x14ac:dyDescent="0.2">
      <c r="A689" s="516"/>
      <c r="B689" s="517" t="s">
        <v>534</v>
      </c>
      <c r="C689" s="255"/>
      <c r="D689" s="255"/>
      <c r="E689" s="255"/>
      <c r="F689" s="256"/>
      <c r="G689" s="257"/>
      <c r="H689" s="250"/>
      <c r="I689" s="254"/>
      <c r="J689" s="254"/>
      <c r="K689" s="254"/>
      <c r="L689" s="295"/>
      <c r="M689" s="295"/>
      <c r="O689" s="291"/>
      <c r="P689" s="291"/>
      <c r="T689" s="353"/>
      <c r="U689" s="353"/>
    </row>
    <row r="690" spans="1:21" x14ac:dyDescent="0.2">
      <c r="A690" s="516"/>
      <c r="B690" s="517" t="s">
        <v>518</v>
      </c>
      <c r="C690" s="255"/>
      <c r="D690" s="255"/>
      <c r="E690" s="255"/>
      <c r="F690" s="256"/>
      <c r="G690" s="257"/>
      <c r="H690" s="250"/>
      <c r="I690" s="254"/>
      <c r="J690" s="254"/>
      <c r="K690" s="254"/>
      <c r="L690" s="295"/>
      <c r="M690" s="295"/>
      <c r="O690" s="291"/>
      <c r="P690" s="291"/>
      <c r="T690" s="353"/>
      <c r="U690" s="353"/>
    </row>
    <row r="691" spans="1:21" x14ac:dyDescent="0.2">
      <c r="A691" s="516"/>
      <c r="B691" s="517" t="s">
        <v>75</v>
      </c>
      <c r="C691" s="255"/>
      <c r="D691" s="255"/>
      <c r="E691" s="255"/>
      <c r="F691" s="256"/>
      <c r="G691" s="257"/>
      <c r="H691" s="250"/>
      <c r="I691" s="254"/>
      <c r="J691" s="254"/>
      <c r="K691" s="254"/>
      <c r="L691" s="295"/>
      <c r="M691" s="295"/>
      <c r="O691" s="291"/>
      <c r="P691" s="291"/>
      <c r="T691" s="353"/>
      <c r="U691" s="353"/>
    </row>
    <row r="692" spans="1:21" x14ac:dyDescent="0.2">
      <c r="A692" s="516"/>
      <c r="B692" s="517" t="s">
        <v>720</v>
      </c>
      <c r="C692" s="255"/>
      <c r="D692" s="255"/>
      <c r="E692" s="255"/>
      <c r="F692" s="256"/>
      <c r="G692" s="257"/>
      <c r="H692" s="250"/>
      <c r="I692" s="254"/>
      <c r="J692" s="254"/>
      <c r="K692" s="254"/>
      <c r="L692" s="295"/>
      <c r="M692" s="295"/>
      <c r="O692" s="291"/>
      <c r="P692" s="291"/>
      <c r="T692" s="353"/>
      <c r="U692" s="353"/>
    </row>
    <row r="693" spans="1:21" x14ac:dyDescent="0.2">
      <c r="A693" s="516"/>
      <c r="B693" s="517" t="s">
        <v>2</v>
      </c>
      <c r="C693" s="255"/>
      <c r="D693" s="255"/>
      <c r="E693" s="255"/>
      <c r="F693" s="256"/>
      <c r="G693" s="257"/>
      <c r="H693" s="250"/>
      <c r="I693" s="254"/>
      <c r="J693" s="254"/>
      <c r="K693" s="254"/>
      <c r="L693" s="295"/>
      <c r="M693" s="295"/>
      <c r="O693" s="291"/>
      <c r="P693" s="291"/>
      <c r="T693" s="353"/>
      <c r="U693" s="353"/>
    </row>
    <row r="694" spans="1:21" x14ac:dyDescent="0.2">
      <c r="A694" s="516"/>
      <c r="B694" s="518" t="s">
        <v>247</v>
      </c>
      <c r="C694" s="254">
        <f>SUM(C663:C693)</f>
        <v>0</v>
      </c>
      <c r="D694" s="254">
        <f t="shared" ref="D694:G694" si="209">SUM(D663:D693)</f>
        <v>0</v>
      </c>
      <c r="E694" s="254">
        <f t="shared" si="209"/>
        <v>0</v>
      </c>
      <c r="F694" s="254">
        <f t="shared" si="209"/>
        <v>0</v>
      </c>
      <c r="G694" s="258">
        <f t="shared" si="209"/>
        <v>0</v>
      </c>
      <c r="H694" s="250"/>
      <c r="I694" s="254"/>
      <c r="J694" s="254"/>
      <c r="K694" s="254"/>
      <c r="L694" s="295"/>
      <c r="M694" s="295"/>
      <c r="O694" s="291"/>
      <c r="P694" s="291"/>
      <c r="T694" s="353"/>
      <c r="U694" s="353"/>
    </row>
    <row r="695" spans="1:21" ht="13.5" thickBot="1" x14ac:dyDescent="0.25">
      <c r="A695" s="521"/>
      <c r="B695" s="522" t="s">
        <v>542</v>
      </c>
      <c r="C695" s="523"/>
      <c r="D695" s="523"/>
      <c r="E695" s="523"/>
      <c r="F695" s="523"/>
      <c r="G695" s="453"/>
      <c r="H695" s="509"/>
      <c r="I695" s="301"/>
      <c r="J695" s="301"/>
      <c r="K695" s="301"/>
      <c r="L695" s="295"/>
      <c r="M695" s="295"/>
      <c r="O695" s="291"/>
      <c r="P695" s="291"/>
      <c r="T695" s="353"/>
      <c r="U695" s="353"/>
    </row>
    <row r="696" spans="1:21" x14ac:dyDescent="0.2">
      <c r="A696" s="509"/>
      <c r="B696" s="524"/>
      <c r="C696" s="301"/>
      <c r="D696" s="301"/>
      <c r="E696" s="301"/>
      <c r="F696" s="301"/>
      <c r="G696" s="301"/>
      <c r="H696" s="509"/>
      <c r="I696" s="301"/>
      <c r="J696" s="301"/>
      <c r="K696" s="301"/>
      <c r="L696" s="295"/>
      <c r="M696" s="295"/>
      <c r="O696" s="291"/>
      <c r="P696" s="291"/>
      <c r="T696" s="353"/>
      <c r="U696" s="353"/>
    </row>
    <row r="697" spans="1:21" ht="13.5" thickBot="1" x14ac:dyDescent="0.25">
      <c r="A697" s="295"/>
      <c r="B697" s="524"/>
      <c r="C697" s="301"/>
      <c r="D697" s="301"/>
      <c r="E697" s="301"/>
      <c r="F697" s="301"/>
      <c r="G697" s="301"/>
      <c r="H697" s="509"/>
      <c r="I697" s="509"/>
      <c r="J697" s="509"/>
      <c r="K697" s="509"/>
      <c r="L697" s="343"/>
      <c r="M697" s="295"/>
      <c r="O697" s="291"/>
      <c r="P697" s="291"/>
      <c r="T697" s="353"/>
      <c r="U697" s="353"/>
    </row>
    <row r="698" spans="1:21" ht="19.5" thickBot="1" x14ac:dyDescent="0.25">
      <c r="A698" s="510"/>
      <c r="B698" s="415" t="s">
        <v>543</v>
      </c>
      <c r="C698" s="295"/>
      <c r="D698" s="295"/>
      <c r="E698" s="295"/>
      <c r="F698" s="295"/>
      <c r="G698" s="295"/>
      <c r="H698" s="343"/>
      <c r="I698" s="343"/>
      <c r="J698" s="343"/>
      <c r="K698" s="343"/>
      <c r="L698" s="343"/>
      <c r="M698" s="295"/>
      <c r="O698" s="291"/>
      <c r="P698" s="291"/>
      <c r="T698" s="353"/>
      <c r="U698" s="353"/>
    </row>
    <row r="699" spans="1:21" x14ac:dyDescent="0.2">
      <c r="A699" s="511"/>
      <c r="B699" s="529"/>
      <c r="C699" s="497">
        <v>0</v>
      </c>
      <c r="D699" s="497" t="s">
        <v>538</v>
      </c>
      <c r="E699" s="497" t="s">
        <v>539</v>
      </c>
      <c r="F699" s="497" t="s">
        <v>540</v>
      </c>
      <c r="G699" s="498" t="s">
        <v>541</v>
      </c>
      <c r="H699" s="514"/>
      <c r="I699" s="514"/>
      <c r="J699" s="514"/>
      <c r="K699" s="514"/>
      <c r="L699" s="343"/>
      <c r="M699" s="295"/>
      <c r="O699" s="291"/>
      <c r="P699" s="291"/>
      <c r="T699" s="353"/>
      <c r="U699" s="353"/>
    </row>
    <row r="700" spans="1:21" x14ac:dyDescent="0.2">
      <c r="A700" s="516"/>
      <c r="B700" s="517" t="s">
        <v>522</v>
      </c>
      <c r="C700" s="488" t="str">
        <f t="shared" ref="C700:G705" si="210">IFERROR(C663/SUM($C663:$G663),"")</f>
        <v/>
      </c>
      <c r="D700" s="488" t="str">
        <f t="shared" si="210"/>
        <v/>
      </c>
      <c r="E700" s="488" t="str">
        <f t="shared" si="210"/>
        <v/>
      </c>
      <c r="F700" s="488" t="str">
        <f t="shared" si="210"/>
        <v/>
      </c>
      <c r="G700" s="489" t="str">
        <f t="shared" si="210"/>
        <v/>
      </c>
      <c r="H700" s="525"/>
      <c r="I700" s="525"/>
      <c r="J700" s="525"/>
      <c r="K700" s="525"/>
      <c r="L700" s="343"/>
      <c r="M700" s="295"/>
      <c r="O700" s="291"/>
      <c r="P700" s="291"/>
      <c r="T700" s="353"/>
      <c r="U700" s="353"/>
    </row>
    <row r="701" spans="1:21" x14ac:dyDescent="0.2">
      <c r="A701" s="516"/>
      <c r="B701" s="517" t="s">
        <v>715</v>
      </c>
      <c r="C701" s="488" t="str">
        <f t="shared" si="210"/>
        <v/>
      </c>
      <c r="D701" s="488" t="str">
        <f t="shared" si="210"/>
        <v/>
      </c>
      <c r="E701" s="488" t="str">
        <f t="shared" si="210"/>
        <v/>
      </c>
      <c r="F701" s="488" t="str">
        <f t="shared" si="210"/>
        <v/>
      </c>
      <c r="G701" s="489" t="str">
        <f t="shared" si="210"/>
        <v/>
      </c>
      <c r="H701" s="525"/>
      <c r="I701" s="525"/>
      <c r="J701" s="525"/>
      <c r="K701" s="525"/>
      <c r="L701" s="343"/>
      <c r="M701" s="295"/>
      <c r="O701" s="291"/>
      <c r="P701" s="291"/>
      <c r="T701" s="353"/>
      <c r="U701" s="353"/>
    </row>
    <row r="702" spans="1:21" x14ac:dyDescent="0.2">
      <c r="A702" s="516"/>
      <c r="B702" s="517" t="s">
        <v>716</v>
      </c>
      <c r="C702" s="488" t="str">
        <f t="shared" si="210"/>
        <v/>
      </c>
      <c r="D702" s="488" t="str">
        <f t="shared" si="210"/>
        <v/>
      </c>
      <c r="E702" s="488" t="str">
        <f t="shared" si="210"/>
        <v/>
      </c>
      <c r="F702" s="488" t="str">
        <f t="shared" si="210"/>
        <v/>
      </c>
      <c r="G702" s="489" t="str">
        <f t="shared" si="210"/>
        <v/>
      </c>
      <c r="H702" s="525"/>
      <c r="I702" s="488"/>
      <c r="J702" s="488"/>
      <c r="K702" s="488"/>
      <c r="L702" s="295"/>
      <c r="M702" s="295"/>
      <c r="O702" s="291"/>
      <c r="P702" s="291"/>
      <c r="T702" s="353"/>
      <c r="U702" s="353"/>
    </row>
    <row r="703" spans="1:21" x14ac:dyDescent="0.2">
      <c r="A703" s="516"/>
      <c r="B703" s="517" t="s">
        <v>519</v>
      </c>
      <c r="C703" s="488" t="str">
        <f t="shared" si="210"/>
        <v/>
      </c>
      <c r="D703" s="488" t="str">
        <f t="shared" si="210"/>
        <v/>
      </c>
      <c r="E703" s="488" t="str">
        <f t="shared" si="210"/>
        <v/>
      </c>
      <c r="F703" s="488" t="str">
        <f t="shared" si="210"/>
        <v/>
      </c>
      <c r="G703" s="489" t="str">
        <f t="shared" si="210"/>
        <v/>
      </c>
      <c r="H703" s="525"/>
      <c r="I703" s="488"/>
      <c r="J703" s="488"/>
      <c r="K703" s="488"/>
      <c r="L703" s="295"/>
      <c r="M703" s="295"/>
      <c r="O703" s="291"/>
      <c r="P703" s="291"/>
      <c r="T703" s="353"/>
      <c r="U703" s="353"/>
    </row>
    <row r="704" spans="1:21" x14ac:dyDescent="0.2">
      <c r="A704" s="516"/>
      <c r="B704" s="517" t="s">
        <v>520</v>
      </c>
      <c r="C704" s="488" t="str">
        <f t="shared" si="210"/>
        <v/>
      </c>
      <c r="D704" s="488" t="str">
        <f t="shared" si="210"/>
        <v/>
      </c>
      <c r="E704" s="488" t="str">
        <f t="shared" si="210"/>
        <v/>
      </c>
      <c r="F704" s="488" t="str">
        <f t="shared" si="210"/>
        <v/>
      </c>
      <c r="G704" s="489" t="str">
        <f t="shared" si="210"/>
        <v/>
      </c>
      <c r="H704" s="525"/>
      <c r="I704" s="488"/>
      <c r="J704" s="488"/>
      <c r="K704" s="488"/>
      <c r="L704" s="295"/>
      <c r="M704" s="295"/>
      <c r="O704" s="291"/>
      <c r="P704" s="291"/>
      <c r="T704" s="353"/>
      <c r="U704" s="353"/>
    </row>
    <row r="705" spans="1:21" x14ac:dyDescent="0.2">
      <c r="A705" s="516"/>
      <c r="B705" s="517" t="s">
        <v>517</v>
      </c>
      <c r="C705" s="488" t="str">
        <f t="shared" si="210"/>
        <v/>
      </c>
      <c r="D705" s="488" t="str">
        <f t="shared" si="210"/>
        <v/>
      </c>
      <c r="E705" s="488" t="str">
        <f t="shared" si="210"/>
        <v/>
      </c>
      <c r="F705" s="488" t="str">
        <f t="shared" si="210"/>
        <v/>
      </c>
      <c r="G705" s="489" t="str">
        <f t="shared" si="210"/>
        <v/>
      </c>
      <c r="H705" s="525"/>
      <c r="I705" s="488"/>
      <c r="J705" s="488"/>
      <c r="K705" s="488"/>
      <c r="L705" s="295"/>
      <c r="M705" s="295"/>
      <c r="O705" s="291"/>
      <c r="P705" s="291"/>
      <c r="T705" s="353"/>
      <c r="U705" s="353"/>
    </row>
    <row r="706" spans="1:21" x14ac:dyDescent="0.2">
      <c r="A706" s="516"/>
      <c r="B706" s="517" t="s">
        <v>533</v>
      </c>
      <c r="C706" s="488" t="str">
        <f t="shared" ref="C706:G706" si="211">IFERROR(C669/SUM($C669:$G669),"")</f>
        <v/>
      </c>
      <c r="D706" s="488" t="str">
        <f t="shared" si="211"/>
        <v/>
      </c>
      <c r="E706" s="488" t="str">
        <f t="shared" si="211"/>
        <v/>
      </c>
      <c r="F706" s="488" t="str">
        <f t="shared" si="211"/>
        <v/>
      </c>
      <c r="G706" s="489" t="str">
        <f t="shared" si="211"/>
        <v/>
      </c>
      <c r="H706" s="525"/>
      <c r="I706" s="488"/>
      <c r="J706" s="488"/>
      <c r="K706" s="488"/>
      <c r="L706" s="295"/>
      <c r="M706" s="295"/>
      <c r="O706" s="291"/>
      <c r="P706" s="291"/>
      <c r="T706" s="353"/>
      <c r="U706" s="353"/>
    </row>
    <row r="707" spans="1:21" x14ac:dyDescent="0.2">
      <c r="A707" s="516"/>
      <c r="B707" s="517" t="s">
        <v>514</v>
      </c>
      <c r="C707" s="488" t="str">
        <f t="shared" ref="C707:G707" si="212">IFERROR(C670/SUM($C670:$G670),"")</f>
        <v/>
      </c>
      <c r="D707" s="488" t="str">
        <f t="shared" si="212"/>
        <v/>
      </c>
      <c r="E707" s="488" t="str">
        <f t="shared" si="212"/>
        <v/>
      </c>
      <c r="F707" s="488" t="str">
        <f t="shared" si="212"/>
        <v/>
      </c>
      <c r="G707" s="489" t="str">
        <f t="shared" si="212"/>
        <v/>
      </c>
      <c r="H707" s="525"/>
      <c r="I707" s="488"/>
      <c r="J707" s="488"/>
      <c r="K707" s="488"/>
      <c r="L707" s="295"/>
      <c r="M707" s="295"/>
      <c r="O707" s="291"/>
      <c r="P707" s="291"/>
      <c r="T707" s="353"/>
      <c r="U707" s="353"/>
    </row>
    <row r="708" spans="1:21" x14ac:dyDescent="0.2">
      <c r="A708" s="516"/>
      <c r="B708" s="517" t="s">
        <v>515</v>
      </c>
      <c r="C708" s="488" t="str">
        <f t="shared" ref="C708:G708" si="213">IFERROR(C671/SUM($C671:$G671),"")</f>
        <v/>
      </c>
      <c r="D708" s="488" t="str">
        <f t="shared" si="213"/>
        <v/>
      </c>
      <c r="E708" s="488" t="str">
        <f t="shared" si="213"/>
        <v/>
      </c>
      <c r="F708" s="488" t="str">
        <f t="shared" si="213"/>
        <v/>
      </c>
      <c r="G708" s="489" t="str">
        <f t="shared" si="213"/>
        <v/>
      </c>
      <c r="H708" s="525"/>
      <c r="I708" s="488"/>
      <c r="J708" s="488"/>
      <c r="K708" s="488"/>
      <c r="L708" s="295"/>
      <c r="M708" s="295"/>
      <c r="O708" s="291"/>
      <c r="P708" s="291"/>
      <c r="T708" s="353"/>
      <c r="U708" s="353"/>
    </row>
    <row r="709" spans="1:21" x14ac:dyDescent="0.2">
      <c r="A709" s="516"/>
      <c r="B709" s="517" t="s">
        <v>717</v>
      </c>
      <c r="C709" s="488" t="str">
        <f t="shared" ref="C709:G711" si="214">IFERROR(C669/SUM($C669:$G669),"")</f>
        <v/>
      </c>
      <c r="D709" s="488" t="str">
        <f t="shared" si="214"/>
        <v/>
      </c>
      <c r="E709" s="488" t="str">
        <f t="shared" si="214"/>
        <v/>
      </c>
      <c r="F709" s="488" t="str">
        <f t="shared" si="214"/>
        <v/>
      </c>
      <c r="G709" s="489" t="str">
        <f t="shared" si="214"/>
        <v/>
      </c>
      <c r="H709" s="525"/>
      <c r="I709" s="488"/>
      <c r="J709" s="488"/>
      <c r="K709" s="488"/>
      <c r="L709" s="295"/>
      <c r="M709" s="295"/>
      <c r="O709" s="291"/>
      <c r="P709" s="291"/>
      <c r="T709" s="353"/>
      <c r="U709" s="353"/>
    </row>
    <row r="710" spans="1:21" x14ac:dyDescent="0.2">
      <c r="A710" s="516"/>
      <c r="B710" s="517" t="s">
        <v>718</v>
      </c>
      <c r="C710" s="488" t="str">
        <f t="shared" si="214"/>
        <v/>
      </c>
      <c r="D710" s="488" t="str">
        <f t="shared" si="214"/>
        <v/>
      </c>
      <c r="E710" s="488" t="str">
        <f t="shared" si="214"/>
        <v/>
      </c>
      <c r="F710" s="488" t="str">
        <f t="shared" si="214"/>
        <v/>
      </c>
      <c r="G710" s="489" t="str">
        <f t="shared" si="214"/>
        <v/>
      </c>
      <c r="H710" s="525"/>
      <c r="I710" s="488"/>
      <c r="J710" s="488"/>
      <c r="K710" s="488"/>
      <c r="L710" s="295"/>
      <c r="M710" s="295"/>
      <c r="O710" s="291"/>
      <c r="P710" s="291"/>
      <c r="T710" s="353"/>
      <c r="U710" s="353"/>
    </row>
    <row r="711" spans="1:21" x14ac:dyDescent="0.2">
      <c r="A711" s="516"/>
      <c r="B711" s="517" t="s">
        <v>523</v>
      </c>
      <c r="C711" s="488" t="str">
        <f t="shared" si="214"/>
        <v/>
      </c>
      <c r="D711" s="488" t="str">
        <f t="shared" si="214"/>
        <v/>
      </c>
      <c r="E711" s="488" t="str">
        <f t="shared" si="214"/>
        <v/>
      </c>
      <c r="F711" s="488" t="str">
        <f t="shared" si="214"/>
        <v/>
      </c>
      <c r="G711" s="489" t="str">
        <f t="shared" si="214"/>
        <v/>
      </c>
      <c r="H711" s="525"/>
      <c r="I711" s="488"/>
      <c r="J711" s="488"/>
      <c r="K711" s="488"/>
      <c r="L711" s="295"/>
      <c r="M711" s="295"/>
      <c r="O711" s="291"/>
      <c r="P711" s="291"/>
      <c r="T711" s="353"/>
      <c r="U711" s="353"/>
    </row>
    <row r="712" spans="1:21" x14ac:dyDescent="0.2">
      <c r="A712" s="516"/>
      <c r="B712" s="517" t="s">
        <v>516</v>
      </c>
      <c r="C712" s="488" t="str">
        <f t="shared" ref="C712:G712" si="215">IFERROR(C675/SUM($C675:$G675),"")</f>
        <v/>
      </c>
      <c r="D712" s="488" t="str">
        <f t="shared" si="215"/>
        <v/>
      </c>
      <c r="E712" s="488" t="str">
        <f t="shared" si="215"/>
        <v/>
      </c>
      <c r="F712" s="488" t="str">
        <f t="shared" si="215"/>
        <v/>
      </c>
      <c r="G712" s="489" t="str">
        <f t="shared" si="215"/>
        <v/>
      </c>
      <c r="H712" s="525"/>
      <c r="I712" s="488"/>
      <c r="J712" s="488"/>
      <c r="K712" s="488"/>
      <c r="L712" s="295"/>
      <c r="M712" s="295"/>
      <c r="O712" s="291"/>
      <c r="P712" s="291"/>
      <c r="T712" s="353"/>
      <c r="U712" s="353"/>
    </row>
    <row r="713" spans="1:21" x14ac:dyDescent="0.2">
      <c r="A713" s="516"/>
      <c r="B713" s="517" t="s">
        <v>532</v>
      </c>
      <c r="C713" s="488" t="str">
        <f t="shared" ref="C713:G722" si="216">IFERROR(C676/SUM($C676:$G676),"")</f>
        <v/>
      </c>
      <c r="D713" s="488" t="str">
        <f t="shared" si="216"/>
        <v/>
      </c>
      <c r="E713" s="488" t="str">
        <f t="shared" si="216"/>
        <v/>
      </c>
      <c r="F713" s="488" t="str">
        <f t="shared" si="216"/>
        <v/>
      </c>
      <c r="G713" s="489" t="str">
        <f t="shared" si="216"/>
        <v/>
      </c>
      <c r="H713" s="525"/>
      <c r="I713" s="488"/>
      <c r="J713" s="488"/>
      <c r="K713" s="488"/>
      <c r="L713" s="295"/>
      <c r="M713" s="295"/>
      <c r="O713" s="291"/>
      <c r="P713" s="291"/>
      <c r="T713" s="353"/>
      <c r="U713" s="353"/>
    </row>
    <row r="714" spans="1:21" x14ac:dyDescent="0.2">
      <c r="A714" s="516"/>
      <c r="B714" s="517" t="s">
        <v>521</v>
      </c>
      <c r="C714" s="488" t="str">
        <f t="shared" si="216"/>
        <v/>
      </c>
      <c r="D714" s="488" t="str">
        <f t="shared" si="216"/>
        <v/>
      </c>
      <c r="E714" s="488" t="str">
        <f t="shared" si="216"/>
        <v/>
      </c>
      <c r="F714" s="488" t="str">
        <f t="shared" si="216"/>
        <v/>
      </c>
      <c r="G714" s="489" t="str">
        <f t="shared" si="216"/>
        <v/>
      </c>
      <c r="H714" s="525"/>
      <c r="I714" s="488"/>
      <c r="J714" s="488"/>
      <c r="K714" s="488"/>
      <c r="L714" s="295"/>
      <c r="M714" s="295"/>
      <c r="O714" s="291"/>
      <c r="P714" s="291"/>
      <c r="T714" s="353"/>
      <c r="U714" s="353"/>
    </row>
    <row r="715" spans="1:21" x14ac:dyDescent="0.2">
      <c r="A715" s="516"/>
      <c r="B715" s="517" t="s">
        <v>529</v>
      </c>
      <c r="C715" s="488" t="str">
        <f t="shared" si="216"/>
        <v/>
      </c>
      <c r="D715" s="488" t="str">
        <f t="shared" si="216"/>
        <v/>
      </c>
      <c r="E715" s="488" t="str">
        <f t="shared" si="216"/>
        <v/>
      </c>
      <c r="F715" s="488" t="str">
        <f t="shared" si="216"/>
        <v/>
      </c>
      <c r="G715" s="489" t="str">
        <f t="shared" si="216"/>
        <v/>
      </c>
      <c r="H715" s="525"/>
      <c r="I715" s="488"/>
      <c r="J715" s="488"/>
      <c r="K715" s="488"/>
      <c r="L715" s="295"/>
      <c r="M715" s="295"/>
      <c r="O715" s="291"/>
      <c r="P715" s="291"/>
      <c r="T715" s="353"/>
      <c r="U715" s="353"/>
    </row>
    <row r="716" spans="1:21" x14ac:dyDescent="0.2">
      <c r="A716" s="516"/>
      <c r="B716" s="517" t="s">
        <v>528</v>
      </c>
      <c r="C716" s="488" t="str">
        <f t="shared" si="216"/>
        <v/>
      </c>
      <c r="D716" s="488" t="str">
        <f t="shared" si="216"/>
        <v/>
      </c>
      <c r="E716" s="488" t="str">
        <f t="shared" si="216"/>
        <v/>
      </c>
      <c r="F716" s="488" t="str">
        <f t="shared" si="216"/>
        <v/>
      </c>
      <c r="G716" s="489" t="str">
        <f t="shared" si="216"/>
        <v/>
      </c>
      <c r="H716" s="525"/>
      <c r="I716" s="488"/>
      <c r="J716" s="488"/>
      <c r="K716" s="488"/>
      <c r="L716" s="295"/>
      <c r="M716" s="295"/>
      <c r="O716" s="291"/>
      <c r="P716" s="291"/>
      <c r="T716" s="353"/>
      <c r="U716" s="353"/>
    </row>
    <row r="717" spans="1:21" x14ac:dyDescent="0.2">
      <c r="A717" s="516"/>
      <c r="B717" s="517" t="s">
        <v>526</v>
      </c>
      <c r="C717" s="488" t="str">
        <f t="shared" si="216"/>
        <v/>
      </c>
      <c r="D717" s="488" t="str">
        <f t="shared" si="216"/>
        <v/>
      </c>
      <c r="E717" s="488" t="str">
        <f t="shared" si="216"/>
        <v/>
      </c>
      <c r="F717" s="488" t="str">
        <f t="shared" si="216"/>
        <v/>
      </c>
      <c r="G717" s="489" t="str">
        <f t="shared" si="216"/>
        <v/>
      </c>
      <c r="H717" s="525"/>
      <c r="I717" s="488"/>
      <c r="J717" s="488"/>
      <c r="K717" s="488"/>
      <c r="L717" s="295"/>
      <c r="M717" s="295"/>
      <c r="O717" s="291"/>
      <c r="P717" s="291"/>
      <c r="T717" s="353"/>
      <c r="U717" s="353"/>
    </row>
    <row r="718" spans="1:21" x14ac:dyDescent="0.2">
      <c r="A718" s="516"/>
      <c r="B718" s="517" t="s">
        <v>525</v>
      </c>
      <c r="C718" s="488" t="str">
        <f t="shared" si="216"/>
        <v/>
      </c>
      <c r="D718" s="488" t="str">
        <f t="shared" si="216"/>
        <v/>
      </c>
      <c r="E718" s="488" t="str">
        <f t="shared" si="216"/>
        <v/>
      </c>
      <c r="F718" s="488" t="str">
        <f t="shared" si="216"/>
        <v/>
      </c>
      <c r="G718" s="489" t="str">
        <f t="shared" si="216"/>
        <v/>
      </c>
      <c r="H718" s="525"/>
      <c r="I718" s="488"/>
      <c r="J718" s="488"/>
      <c r="K718" s="488"/>
      <c r="L718" s="295"/>
      <c r="M718" s="295"/>
      <c r="O718" s="291"/>
      <c r="P718" s="291"/>
      <c r="T718" s="353"/>
      <c r="U718" s="353"/>
    </row>
    <row r="719" spans="1:21" x14ac:dyDescent="0.2">
      <c r="A719" s="516"/>
      <c r="B719" s="517" t="s">
        <v>524</v>
      </c>
      <c r="C719" s="488" t="str">
        <f t="shared" si="216"/>
        <v/>
      </c>
      <c r="D719" s="488" t="str">
        <f t="shared" si="216"/>
        <v/>
      </c>
      <c r="E719" s="488" t="str">
        <f t="shared" si="216"/>
        <v/>
      </c>
      <c r="F719" s="488" t="str">
        <f t="shared" si="216"/>
        <v/>
      </c>
      <c r="G719" s="489" t="str">
        <f t="shared" si="216"/>
        <v/>
      </c>
      <c r="H719" s="525"/>
      <c r="I719" s="488"/>
      <c r="J719" s="488"/>
      <c r="K719" s="488"/>
      <c r="L719" s="295"/>
      <c r="M719" s="295"/>
      <c r="O719" s="291"/>
      <c r="P719" s="291"/>
      <c r="T719" s="353"/>
      <c r="U719" s="353"/>
    </row>
    <row r="720" spans="1:21" x14ac:dyDescent="0.2">
      <c r="A720" s="516"/>
      <c r="B720" s="517" t="s">
        <v>531</v>
      </c>
      <c r="C720" s="488" t="str">
        <f t="shared" si="216"/>
        <v/>
      </c>
      <c r="D720" s="488" t="str">
        <f t="shared" si="216"/>
        <v/>
      </c>
      <c r="E720" s="488" t="str">
        <f t="shared" si="216"/>
        <v/>
      </c>
      <c r="F720" s="488" t="str">
        <f t="shared" si="216"/>
        <v/>
      </c>
      <c r="G720" s="489" t="str">
        <f t="shared" si="216"/>
        <v/>
      </c>
      <c r="H720" s="525"/>
      <c r="I720" s="488"/>
      <c r="J720" s="488"/>
      <c r="K720" s="488"/>
      <c r="L720" s="295"/>
      <c r="M720" s="295"/>
      <c r="O720" s="291"/>
      <c r="P720" s="291"/>
      <c r="T720" s="353"/>
      <c r="U720" s="353"/>
    </row>
    <row r="721" spans="1:21" x14ac:dyDescent="0.2">
      <c r="A721" s="516"/>
      <c r="B721" s="517" t="s">
        <v>530</v>
      </c>
      <c r="C721" s="488" t="str">
        <f t="shared" si="216"/>
        <v/>
      </c>
      <c r="D721" s="488" t="str">
        <f t="shared" si="216"/>
        <v/>
      </c>
      <c r="E721" s="488" t="str">
        <f t="shared" si="216"/>
        <v/>
      </c>
      <c r="F721" s="488" t="str">
        <f t="shared" si="216"/>
        <v/>
      </c>
      <c r="G721" s="489" t="str">
        <f t="shared" si="216"/>
        <v/>
      </c>
      <c r="H721" s="525"/>
      <c r="I721" s="488"/>
      <c r="J721" s="488"/>
      <c r="K721" s="488"/>
      <c r="L721" s="295"/>
      <c r="M721" s="295"/>
      <c r="O721" s="291"/>
      <c r="P721" s="291"/>
      <c r="T721" s="353"/>
      <c r="U721" s="353"/>
    </row>
    <row r="722" spans="1:21" x14ac:dyDescent="0.2">
      <c r="A722" s="516"/>
      <c r="B722" s="517" t="s">
        <v>513</v>
      </c>
      <c r="C722" s="488" t="str">
        <f t="shared" si="216"/>
        <v/>
      </c>
      <c r="D722" s="488" t="str">
        <f t="shared" si="216"/>
        <v/>
      </c>
      <c r="E722" s="488" t="str">
        <f t="shared" si="216"/>
        <v/>
      </c>
      <c r="F722" s="488" t="str">
        <f t="shared" si="216"/>
        <v/>
      </c>
      <c r="G722" s="489" t="str">
        <f t="shared" si="216"/>
        <v/>
      </c>
      <c r="H722" s="525"/>
      <c r="I722" s="488"/>
      <c r="J722" s="488"/>
      <c r="K722" s="488"/>
      <c r="L722" s="295"/>
      <c r="M722" s="295"/>
      <c r="O722" s="291"/>
      <c r="P722" s="291"/>
      <c r="T722" s="353"/>
      <c r="U722" s="353"/>
    </row>
    <row r="723" spans="1:21" x14ac:dyDescent="0.2">
      <c r="A723" s="516"/>
      <c r="B723" s="517" t="s">
        <v>527</v>
      </c>
      <c r="C723" s="488" t="str">
        <f t="shared" ref="C723:G731" si="217">IFERROR(C686/SUM($C686:$G686),"")</f>
        <v/>
      </c>
      <c r="D723" s="488" t="str">
        <f t="shared" si="217"/>
        <v/>
      </c>
      <c r="E723" s="488" t="str">
        <f t="shared" si="217"/>
        <v/>
      </c>
      <c r="F723" s="488" t="str">
        <f t="shared" si="217"/>
        <v/>
      </c>
      <c r="G723" s="489" t="str">
        <f t="shared" si="217"/>
        <v/>
      </c>
      <c r="H723" s="525"/>
      <c r="I723" s="488"/>
      <c r="J723" s="488"/>
      <c r="K723" s="488"/>
      <c r="L723" s="295"/>
      <c r="M723" s="295"/>
      <c r="O723" s="291"/>
      <c r="P723" s="291"/>
      <c r="T723" s="353"/>
      <c r="U723" s="353"/>
    </row>
    <row r="724" spans="1:21" x14ac:dyDescent="0.2">
      <c r="A724" s="516"/>
      <c r="B724" s="517" t="s">
        <v>719</v>
      </c>
      <c r="C724" s="488" t="str">
        <f t="shared" si="217"/>
        <v/>
      </c>
      <c r="D724" s="488" t="str">
        <f t="shared" si="217"/>
        <v/>
      </c>
      <c r="E724" s="488" t="str">
        <f t="shared" si="217"/>
        <v/>
      </c>
      <c r="F724" s="488" t="str">
        <f t="shared" si="217"/>
        <v/>
      </c>
      <c r="G724" s="489" t="str">
        <f t="shared" si="217"/>
        <v/>
      </c>
      <c r="H724" s="525"/>
      <c r="I724" s="488"/>
      <c r="J724" s="488"/>
      <c r="K724" s="488"/>
      <c r="L724" s="295"/>
      <c r="M724" s="295"/>
      <c r="O724" s="291"/>
      <c r="P724" s="291"/>
      <c r="T724" s="353"/>
      <c r="U724" s="353"/>
    </row>
    <row r="725" spans="1:21" x14ac:dyDescent="0.2">
      <c r="A725" s="516"/>
      <c r="B725" s="517" t="s">
        <v>512</v>
      </c>
      <c r="C725" s="488" t="str">
        <f t="shared" si="217"/>
        <v/>
      </c>
      <c r="D725" s="488" t="str">
        <f t="shared" si="217"/>
        <v/>
      </c>
      <c r="E725" s="488" t="str">
        <f t="shared" si="217"/>
        <v/>
      </c>
      <c r="F725" s="488" t="str">
        <f t="shared" si="217"/>
        <v/>
      </c>
      <c r="G725" s="489" t="str">
        <f t="shared" si="217"/>
        <v/>
      </c>
      <c r="H725" s="525"/>
      <c r="I725" s="488"/>
      <c r="J725" s="488"/>
      <c r="K725" s="488"/>
      <c r="L725" s="295"/>
      <c r="M725" s="295"/>
      <c r="O725" s="291"/>
      <c r="P725" s="291"/>
      <c r="T725" s="353"/>
      <c r="U725" s="353"/>
    </row>
    <row r="726" spans="1:21" x14ac:dyDescent="0.2">
      <c r="A726" s="516"/>
      <c r="B726" s="517" t="s">
        <v>534</v>
      </c>
      <c r="C726" s="488" t="str">
        <f t="shared" si="217"/>
        <v/>
      </c>
      <c r="D726" s="488" t="str">
        <f t="shared" si="217"/>
        <v/>
      </c>
      <c r="E726" s="488" t="str">
        <f t="shared" si="217"/>
        <v/>
      </c>
      <c r="F726" s="488" t="str">
        <f t="shared" si="217"/>
        <v/>
      </c>
      <c r="G726" s="489" t="str">
        <f t="shared" si="217"/>
        <v/>
      </c>
      <c r="H726" s="525"/>
      <c r="I726" s="488"/>
      <c r="J726" s="488"/>
      <c r="K726" s="488"/>
      <c r="L726" s="295"/>
      <c r="M726" s="295"/>
      <c r="O726" s="291"/>
      <c r="P726" s="291"/>
      <c r="T726" s="353"/>
      <c r="U726" s="353"/>
    </row>
    <row r="727" spans="1:21" x14ac:dyDescent="0.2">
      <c r="A727" s="516"/>
      <c r="B727" s="517" t="s">
        <v>518</v>
      </c>
      <c r="C727" s="488" t="str">
        <f t="shared" si="217"/>
        <v/>
      </c>
      <c r="D727" s="488" t="str">
        <f t="shared" si="217"/>
        <v/>
      </c>
      <c r="E727" s="488" t="str">
        <f t="shared" si="217"/>
        <v/>
      </c>
      <c r="F727" s="488" t="str">
        <f t="shared" si="217"/>
        <v/>
      </c>
      <c r="G727" s="489" t="str">
        <f t="shared" si="217"/>
        <v/>
      </c>
      <c r="H727" s="525"/>
      <c r="I727" s="488"/>
      <c r="J727" s="488"/>
      <c r="K727" s="488"/>
      <c r="L727" s="295"/>
      <c r="M727" s="295"/>
      <c r="O727" s="291"/>
      <c r="P727" s="291"/>
      <c r="T727" s="353"/>
      <c r="U727" s="353"/>
    </row>
    <row r="728" spans="1:21" x14ac:dyDescent="0.2">
      <c r="A728" s="516"/>
      <c r="B728" s="517" t="s">
        <v>75</v>
      </c>
      <c r="C728" s="488" t="str">
        <f t="shared" si="217"/>
        <v/>
      </c>
      <c r="D728" s="488" t="str">
        <f t="shared" si="217"/>
        <v/>
      </c>
      <c r="E728" s="488" t="str">
        <f t="shared" si="217"/>
        <v/>
      </c>
      <c r="F728" s="488" t="str">
        <f t="shared" si="217"/>
        <v/>
      </c>
      <c r="G728" s="489" t="str">
        <f t="shared" si="217"/>
        <v/>
      </c>
      <c r="H728" s="525"/>
      <c r="I728" s="488"/>
      <c r="J728" s="488"/>
      <c r="K728" s="488"/>
      <c r="L728" s="295"/>
      <c r="M728" s="295"/>
      <c r="O728" s="291"/>
      <c r="P728" s="291"/>
      <c r="T728" s="353"/>
      <c r="U728" s="353"/>
    </row>
    <row r="729" spans="1:21" x14ac:dyDescent="0.2">
      <c r="A729" s="516"/>
      <c r="B729" s="517" t="s">
        <v>720</v>
      </c>
      <c r="C729" s="488" t="str">
        <f t="shared" si="217"/>
        <v/>
      </c>
      <c r="D729" s="488" t="str">
        <f t="shared" si="217"/>
        <v/>
      </c>
      <c r="E729" s="488" t="str">
        <f t="shared" si="217"/>
        <v/>
      </c>
      <c r="F729" s="488" t="str">
        <f t="shared" si="217"/>
        <v/>
      </c>
      <c r="G729" s="489" t="str">
        <f t="shared" si="217"/>
        <v/>
      </c>
      <c r="H729" s="525"/>
      <c r="I729" s="488"/>
      <c r="J729" s="488"/>
      <c r="K729" s="488"/>
      <c r="L729" s="295"/>
      <c r="M729" s="295"/>
      <c r="O729" s="291"/>
      <c r="P729" s="291"/>
      <c r="T729" s="353"/>
      <c r="U729" s="353"/>
    </row>
    <row r="730" spans="1:21" x14ac:dyDescent="0.2">
      <c r="A730" s="516"/>
      <c r="B730" s="517" t="s">
        <v>2</v>
      </c>
      <c r="C730" s="488" t="str">
        <f t="shared" si="217"/>
        <v/>
      </c>
      <c r="D730" s="488" t="str">
        <f t="shared" si="217"/>
        <v/>
      </c>
      <c r="E730" s="488" t="str">
        <f t="shared" si="217"/>
        <v/>
      </c>
      <c r="F730" s="488" t="str">
        <f t="shared" si="217"/>
        <v/>
      </c>
      <c r="G730" s="489" t="str">
        <f t="shared" si="217"/>
        <v/>
      </c>
      <c r="H730" s="525"/>
      <c r="I730" s="488"/>
      <c r="J730" s="488"/>
      <c r="K730" s="488"/>
      <c r="L730" s="295"/>
      <c r="M730" s="295"/>
      <c r="O730" s="291"/>
      <c r="P730" s="291"/>
      <c r="T730" s="353"/>
      <c r="U730" s="353"/>
    </row>
    <row r="731" spans="1:21" x14ac:dyDescent="0.2">
      <c r="A731" s="516"/>
      <c r="B731" s="518" t="s">
        <v>247</v>
      </c>
      <c r="C731" s="488" t="str">
        <f t="shared" si="217"/>
        <v/>
      </c>
      <c r="D731" s="488" t="str">
        <f t="shared" si="217"/>
        <v/>
      </c>
      <c r="E731" s="488" t="str">
        <f t="shared" si="217"/>
        <v/>
      </c>
      <c r="F731" s="488" t="str">
        <f t="shared" si="217"/>
        <v/>
      </c>
      <c r="G731" s="489" t="str">
        <f t="shared" si="217"/>
        <v/>
      </c>
      <c r="H731" s="525"/>
      <c r="I731" s="488"/>
      <c r="J731" s="488"/>
      <c r="K731" s="488"/>
      <c r="L731" s="295"/>
      <c r="M731" s="295"/>
      <c r="O731" s="291"/>
      <c r="P731" s="291"/>
      <c r="T731" s="353"/>
      <c r="U731" s="353"/>
    </row>
    <row r="732" spans="1:21" ht="13.5" thickBot="1" x14ac:dyDescent="0.25">
      <c r="A732" s="521"/>
      <c r="B732" s="522" t="s">
        <v>542</v>
      </c>
      <c r="C732" s="523"/>
      <c r="D732" s="523"/>
      <c r="E732" s="523"/>
      <c r="F732" s="523"/>
      <c r="G732" s="453"/>
      <c r="H732" s="509"/>
      <c r="I732" s="301"/>
      <c r="J732" s="301"/>
      <c r="K732" s="301"/>
      <c r="L732" s="295"/>
      <c r="M732" s="295"/>
      <c r="O732" s="291"/>
      <c r="P732" s="291"/>
      <c r="T732" s="353"/>
      <c r="U732" s="353"/>
    </row>
    <row r="733" spans="1:21" x14ac:dyDescent="0.2">
      <c r="A733" s="298"/>
      <c r="B733" s="524"/>
      <c r="C733" s="301"/>
      <c r="D733" s="301"/>
      <c r="E733" s="301"/>
      <c r="F733" s="301"/>
      <c r="G733" s="301"/>
      <c r="H733" s="509"/>
      <c r="I733" s="301"/>
      <c r="J733" s="301"/>
      <c r="K733" s="301"/>
      <c r="L733" s="295"/>
      <c r="M733" s="295"/>
      <c r="O733" s="291"/>
      <c r="P733" s="291"/>
      <c r="T733" s="353"/>
      <c r="U733" s="353"/>
    </row>
    <row r="734" spans="1:21" ht="13.5" thickBot="1" x14ac:dyDescent="0.25">
      <c r="A734" s="295"/>
      <c r="B734" s="524"/>
      <c r="C734" s="301"/>
      <c r="D734" s="301"/>
      <c r="E734" s="301"/>
      <c r="F734" s="301"/>
      <c r="G734" s="301"/>
      <c r="H734" s="509"/>
      <c r="I734" s="301"/>
      <c r="J734" s="301"/>
      <c r="K734" s="301"/>
      <c r="L734" s="295"/>
      <c r="M734" s="295"/>
      <c r="O734" s="291"/>
      <c r="P734" s="291"/>
      <c r="T734" s="353"/>
      <c r="U734" s="353"/>
    </row>
    <row r="735" spans="1:21" ht="19.5" thickBot="1" x14ac:dyDescent="0.25">
      <c r="A735" s="510"/>
      <c r="B735" s="415" t="s">
        <v>547</v>
      </c>
      <c r="C735" s="295"/>
      <c r="D735" s="295"/>
      <c r="E735" s="295"/>
      <c r="F735" s="295"/>
      <c r="G735" s="295"/>
      <c r="H735" s="342"/>
      <c r="I735" s="298"/>
      <c r="J735" s="298"/>
      <c r="K735" s="298"/>
      <c r="L735" s="531"/>
      <c r="M735" s="531"/>
      <c r="N735" s="317"/>
      <c r="O735" s="293"/>
      <c r="P735" s="293"/>
      <c r="Q735" s="317"/>
      <c r="R735" s="317"/>
      <c r="S735" s="317"/>
      <c r="T735" s="353"/>
      <c r="U735" s="353"/>
    </row>
    <row r="736" spans="1:21" x14ac:dyDescent="0.2">
      <c r="A736" s="511"/>
      <c r="B736" s="529"/>
      <c r="C736" s="497"/>
      <c r="D736" s="497"/>
      <c r="E736" s="497"/>
      <c r="F736" s="497"/>
      <c r="G736" s="498"/>
      <c r="H736" s="514" t="str">
        <f>H$21</f>
        <v>YTD</v>
      </c>
      <c r="I736" s="298"/>
      <c r="J736" s="298"/>
      <c r="K736" s="298"/>
      <c r="L736" s="531"/>
      <c r="M736" s="531"/>
      <c r="N736" s="317"/>
      <c r="O736" s="293"/>
      <c r="P736" s="293"/>
      <c r="Q736" s="317"/>
      <c r="R736" s="317"/>
      <c r="S736" s="317"/>
      <c r="T736" s="353"/>
      <c r="U736" s="353"/>
    </row>
    <row r="737" spans="1:21" x14ac:dyDescent="0.2">
      <c r="A737" s="511"/>
      <c r="B737" s="529" t="s">
        <v>510</v>
      </c>
      <c r="C737" s="241" t="s">
        <v>511</v>
      </c>
      <c r="D737" s="504"/>
      <c r="E737" s="504"/>
      <c r="F737" s="504"/>
      <c r="G737" s="500"/>
      <c r="H737" s="515"/>
      <c r="I737" s="298"/>
      <c r="J737" s="298"/>
      <c r="K737" s="298"/>
      <c r="L737" s="531"/>
      <c r="M737" s="531"/>
      <c r="N737" s="317"/>
      <c r="O737" s="293"/>
      <c r="P737" s="293"/>
      <c r="Q737" s="317"/>
      <c r="R737" s="317"/>
      <c r="S737" s="317"/>
      <c r="T737" s="353"/>
      <c r="U737" s="353"/>
    </row>
    <row r="738" spans="1:21" x14ac:dyDescent="0.2">
      <c r="A738" s="516"/>
      <c r="B738" s="517" t="s">
        <v>522</v>
      </c>
      <c r="C738" s="20"/>
      <c r="D738" s="20"/>
      <c r="E738" s="20"/>
      <c r="F738" s="68"/>
      <c r="G738" s="21"/>
      <c r="H738" s="242"/>
      <c r="I738" s="180"/>
      <c r="J738" s="180"/>
      <c r="K738" s="180"/>
      <c r="L738" s="531"/>
      <c r="M738" s="531"/>
      <c r="N738" s="317"/>
      <c r="O738" s="293"/>
      <c r="P738" s="293"/>
      <c r="Q738" s="317"/>
      <c r="R738" s="317"/>
      <c r="S738" s="317"/>
      <c r="T738" s="353"/>
      <c r="U738" s="353"/>
    </row>
    <row r="739" spans="1:21" x14ac:dyDescent="0.2">
      <c r="A739" s="516"/>
      <c r="B739" s="517" t="s">
        <v>715</v>
      </c>
      <c r="C739" s="22"/>
      <c r="D739" s="22"/>
      <c r="E739" s="22"/>
      <c r="F739" s="23"/>
      <c r="G739" s="24"/>
      <c r="H739" s="242"/>
      <c r="I739" s="180"/>
      <c r="J739" s="180"/>
      <c r="K739" s="180"/>
      <c r="L739" s="531"/>
      <c r="M739" s="531"/>
      <c r="N739" s="317"/>
      <c r="O739" s="293"/>
      <c r="P739" s="293"/>
      <c r="Q739" s="317"/>
      <c r="R739" s="317"/>
      <c r="S739" s="317"/>
      <c r="T739" s="353"/>
      <c r="U739" s="353"/>
    </row>
    <row r="740" spans="1:21" x14ac:dyDescent="0.2">
      <c r="A740" s="516"/>
      <c r="B740" s="517" t="s">
        <v>716</v>
      </c>
      <c r="C740" s="22"/>
      <c r="D740" s="22"/>
      <c r="E740" s="22"/>
      <c r="F740" s="23"/>
      <c r="G740" s="24"/>
      <c r="H740" s="242"/>
      <c r="I740" s="180"/>
      <c r="J740" s="180"/>
      <c r="K740" s="180"/>
      <c r="L740" s="531"/>
      <c r="M740" s="531"/>
      <c r="N740" s="317"/>
      <c r="O740" s="293"/>
      <c r="P740" s="293"/>
      <c r="Q740" s="317"/>
      <c r="R740" s="317"/>
      <c r="S740" s="317"/>
      <c r="T740" s="353"/>
      <c r="U740" s="353"/>
    </row>
    <row r="741" spans="1:21" x14ac:dyDescent="0.2">
      <c r="A741" s="516"/>
      <c r="B741" s="517" t="s">
        <v>519</v>
      </c>
      <c r="C741" s="22"/>
      <c r="D741" s="22"/>
      <c r="E741" s="22"/>
      <c r="F741" s="23"/>
      <c r="G741" s="24"/>
      <c r="H741" s="242"/>
      <c r="I741" s="180"/>
      <c r="J741" s="180"/>
      <c r="K741" s="180"/>
      <c r="L741" s="531"/>
      <c r="M741" s="531"/>
      <c r="N741" s="317"/>
      <c r="O741" s="293"/>
      <c r="P741" s="293"/>
      <c r="Q741" s="317"/>
      <c r="R741" s="317"/>
      <c r="S741" s="317"/>
      <c r="T741" s="353"/>
      <c r="U741" s="353"/>
    </row>
    <row r="742" spans="1:21" x14ac:dyDescent="0.2">
      <c r="A742" s="516"/>
      <c r="B742" s="517" t="s">
        <v>520</v>
      </c>
      <c r="C742" s="22"/>
      <c r="D742" s="22"/>
      <c r="E742" s="22"/>
      <c r="F742" s="23"/>
      <c r="G742" s="24"/>
      <c r="H742" s="242"/>
      <c r="I742" s="180"/>
      <c r="J742" s="180"/>
      <c r="K742" s="180"/>
      <c r="L742" s="531"/>
      <c r="M742" s="531"/>
      <c r="N742" s="317"/>
      <c r="O742" s="293"/>
      <c r="P742" s="293"/>
      <c r="Q742" s="317"/>
      <c r="R742" s="317"/>
      <c r="S742" s="317"/>
      <c r="T742" s="353"/>
      <c r="U742" s="353"/>
    </row>
    <row r="743" spans="1:21" x14ac:dyDescent="0.2">
      <c r="A743" s="516"/>
      <c r="B743" s="517" t="s">
        <v>517</v>
      </c>
      <c r="C743" s="22"/>
      <c r="D743" s="22"/>
      <c r="E743" s="22"/>
      <c r="F743" s="23"/>
      <c r="G743" s="24"/>
      <c r="H743" s="242"/>
      <c r="I743" s="180"/>
      <c r="J743" s="180"/>
      <c r="K743" s="180"/>
      <c r="L743" s="531"/>
      <c r="M743" s="531"/>
      <c r="N743" s="317"/>
      <c r="O743" s="293"/>
      <c r="P743" s="293"/>
      <c r="Q743" s="317"/>
      <c r="R743" s="317"/>
      <c r="S743" s="317"/>
      <c r="T743" s="353"/>
      <c r="U743" s="353"/>
    </row>
    <row r="744" spans="1:21" x14ac:dyDescent="0.2">
      <c r="A744" s="516"/>
      <c r="B744" s="517" t="s">
        <v>533</v>
      </c>
      <c r="C744" s="22"/>
      <c r="D744" s="22"/>
      <c r="E744" s="22"/>
      <c r="F744" s="23"/>
      <c r="G744" s="24"/>
      <c r="H744" s="242"/>
      <c r="I744" s="180"/>
      <c r="J744" s="180"/>
      <c r="K744" s="180"/>
      <c r="L744" s="531"/>
      <c r="M744" s="531"/>
      <c r="N744" s="317"/>
      <c r="O744" s="293"/>
      <c r="P744" s="293"/>
      <c r="Q744" s="317"/>
      <c r="R744" s="317"/>
      <c r="S744" s="317"/>
      <c r="T744" s="353"/>
      <c r="U744" s="353"/>
    </row>
    <row r="745" spans="1:21" x14ac:dyDescent="0.2">
      <c r="A745" s="516"/>
      <c r="B745" s="517" t="s">
        <v>514</v>
      </c>
      <c r="C745" s="22"/>
      <c r="D745" s="22"/>
      <c r="E745" s="22"/>
      <c r="F745" s="23"/>
      <c r="G745" s="24"/>
      <c r="H745" s="242"/>
      <c r="I745" s="180"/>
      <c r="J745" s="180"/>
      <c r="K745" s="180"/>
      <c r="L745" s="531"/>
      <c r="M745" s="531"/>
      <c r="N745" s="317"/>
      <c r="O745" s="293"/>
      <c r="P745" s="293"/>
      <c r="Q745" s="317"/>
      <c r="R745" s="317"/>
      <c r="S745" s="317"/>
      <c r="T745" s="353"/>
      <c r="U745" s="353"/>
    </row>
    <row r="746" spans="1:21" x14ac:dyDescent="0.2">
      <c r="A746" s="516"/>
      <c r="B746" s="517" t="s">
        <v>515</v>
      </c>
      <c r="C746" s="22"/>
      <c r="D746" s="22"/>
      <c r="E746" s="22"/>
      <c r="F746" s="23"/>
      <c r="G746" s="24"/>
      <c r="H746" s="242"/>
      <c r="I746" s="180"/>
      <c r="J746" s="180"/>
      <c r="K746" s="180"/>
      <c r="L746" s="531"/>
      <c r="M746" s="531"/>
      <c r="N746" s="317"/>
      <c r="O746" s="293"/>
      <c r="P746" s="293"/>
      <c r="Q746" s="317"/>
      <c r="R746" s="317"/>
      <c r="S746" s="317"/>
      <c r="T746" s="353"/>
      <c r="U746" s="353"/>
    </row>
    <row r="747" spans="1:21" x14ac:dyDescent="0.2">
      <c r="A747" s="516"/>
      <c r="B747" s="517" t="s">
        <v>717</v>
      </c>
      <c r="C747" s="22"/>
      <c r="D747" s="22"/>
      <c r="E747" s="22"/>
      <c r="F747" s="23"/>
      <c r="G747" s="24"/>
      <c r="H747" s="242"/>
      <c r="I747" s="180"/>
      <c r="J747" s="180"/>
      <c r="K747" s="180"/>
      <c r="L747" s="531"/>
      <c r="M747" s="531"/>
      <c r="N747" s="317"/>
      <c r="O747" s="293"/>
      <c r="P747" s="293"/>
      <c r="Q747" s="317"/>
      <c r="R747" s="317"/>
      <c r="S747" s="317"/>
      <c r="T747" s="353"/>
      <c r="U747" s="353"/>
    </row>
    <row r="748" spans="1:21" x14ac:dyDescent="0.2">
      <c r="A748" s="516"/>
      <c r="B748" s="517" t="s">
        <v>718</v>
      </c>
      <c r="C748" s="22"/>
      <c r="D748" s="22"/>
      <c r="E748" s="22"/>
      <c r="F748" s="23"/>
      <c r="G748" s="24"/>
      <c r="H748" s="242"/>
      <c r="I748" s="180"/>
      <c r="J748" s="180"/>
      <c r="K748" s="180"/>
      <c r="L748" s="531"/>
      <c r="M748" s="531"/>
      <c r="N748" s="317"/>
      <c r="O748" s="293"/>
      <c r="P748" s="293"/>
      <c r="Q748" s="317"/>
      <c r="R748" s="317"/>
      <c r="S748" s="317"/>
      <c r="T748" s="353"/>
      <c r="U748" s="353"/>
    </row>
    <row r="749" spans="1:21" x14ac:dyDescent="0.2">
      <c r="A749" s="516"/>
      <c r="B749" s="517" t="s">
        <v>523</v>
      </c>
      <c r="C749" s="22"/>
      <c r="D749" s="22"/>
      <c r="E749" s="22"/>
      <c r="F749" s="23"/>
      <c r="G749" s="24"/>
      <c r="H749" s="242"/>
      <c r="I749" s="180"/>
      <c r="J749" s="180"/>
      <c r="K749" s="180"/>
      <c r="L749" s="531"/>
      <c r="M749" s="531"/>
      <c r="N749" s="317"/>
      <c r="O749" s="293"/>
      <c r="P749" s="293"/>
      <c r="Q749" s="317"/>
      <c r="R749" s="317"/>
      <c r="S749" s="317"/>
      <c r="T749" s="353"/>
      <c r="U749" s="353"/>
    </row>
    <row r="750" spans="1:21" x14ac:dyDescent="0.2">
      <c r="A750" s="516"/>
      <c r="B750" s="517" t="s">
        <v>516</v>
      </c>
      <c r="C750" s="22"/>
      <c r="D750" s="22"/>
      <c r="E750" s="22"/>
      <c r="F750" s="23"/>
      <c r="G750" s="24"/>
      <c r="H750" s="242"/>
      <c r="I750" s="180"/>
      <c r="J750" s="180"/>
      <c r="K750" s="180"/>
      <c r="L750" s="531"/>
      <c r="M750" s="531"/>
      <c r="N750" s="317"/>
      <c r="O750" s="293"/>
      <c r="P750" s="293"/>
      <c r="Q750" s="317"/>
      <c r="R750" s="317"/>
      <c r="S750" s="317"/>
      <c r="T750" s="353"/>
      <c r="U750" s="353"/>
    </row>
    <row r="751" spans="1:21" x14ac:dyDescent="0.2">
      <c r="A751" s="516"/>
      <c r="B751" s="517" t="s">
        <v>532</v>
      </c>
      <c r="C751" s="22"/>
      <c r="D751" s="22"/>
      <c r="E751" s="22"/>
      <c r="F751" s="23"/>
      <c r="G751" s="24"/>
      <c r="H751" s="242"/>
      <c r="I751" s="180"/>
      <c r="J751" s="180"/>
      <c r="K751" s="180"/>
      <c r="L751" s="531"/>
      <c r="M751" s="531"/>
      <c r="N751" s="317"/>
      <c r="O751" s="293"/>
      <c r="P751" s="293"/>
      <c r="Q751" s="317"/>
      <c r="R751" s="317"/>
      <c r="S751" s="317"/>
      <c r="T751" s="353"/>
      <c r="U751" s="353"/>
    </row>
    <row r="752" spans="1:21" x14ac:dyDescent="0.2">
      <c r="A752" s="516"/>
      <c r="B752" s="517" t="s">
        <v>521</v>
      </c>
      <c r="C752" s="22"/>
      <c r="D752" s="22"/>
      <c r="E752" s="22"/>
      <c r="F752" s="23"/>
      <c r="G752" s="24"/>
      <c r="H752" s="242"/>
      <c r="I752" s="180"/>
      <c r="J752" s="180"/>
      <c r="K752" s="180"/>
      <c r="L752" s="531"/>
      <c r="M752" s="531"/>
      <c r="N752" s="317"/>
      <c r="O752" s="293"/>
      <c r="P752" s="293"/>
      <c r="Q752" s="317"/>
      <c r="R752" s="317"/>
      <c r="S752" s="317"/>
      <c r="T752" s="353"/>
      <c r="U752" s="353"/>
    </row>
    <row r="753" spans="1:21" x14ac:dyDescent="0.2">
      <c r="A753" s="516"/>
      <c r="B753" s="517" t="s">
        <v>529</v>
      </c>
      <c r="C753" s="22"/>
      <c r="D753" s="22"/>
      <c r="E753" s="22"/>
      <c r="F753" s="23"/>
      <c r="G753" s="24"/>
      <c r="H753" s="242"/>
      <c r="I753" s="180"/>
      <c r="J753" s="180"/>
      <c r="K753" s="180"/>
      <c r="L753" s="531"/>
      <c r="M753" s="531"/>
      <c r="N753" s="317"/>
      <c r="O753" s="293"/>
      <c r="P753" s="293"/>
      <c r="Q753" s="317"/>
      <c r="R753" s="317"/>
      <c r="S753" s="317"/>
      <c r="T753" s="353"/>
      <c r="U753" s="353"/>
    </row>
    <row r="754" spans="1:21" x14ac:dyDescent="0.2">
      <c r="A754" s="516"/>
      <c r="B754" s="517" t="s">
        <v>528</v>
      </c>
      <c r="C754" s="22"/>
      <c r="D754" s="22"/>
      <c r="E754" s="22"/>
      <c r="F754" s="23"/>
      <c r="G754" s="24"/>
      <c r="H754" s="242"/>
      <c r="I754" s="180"/>
      <c r="J754" s="180"/>
      <c r="K754" s="180"/>
      <c r="L754" s="531"/>
      <c r="M754" s="531"/>
      <c r="N754" s="317"/>
      <c r="O754" s="293"/>
      <c r="P754" s="293"/>
      <c r="Q754" s="317"/>
      <c r="R754" s="317"/>
      <c r="S754" s="317"/>
      <c r="T754" s="353"/>
      <c r="U754" s="353"/>
    </row>
    <row r="755" spans="1:21" x14ac:dyDescent="0.2">
      <c r="A755" s="516"/>
      <c r="B755" s="517" t="s">
        <v>526</v>
      </c>
      <c r="C755" s="22"/>
      <c r="D755" s="22"/>
      <c r="E755" s="22"/>
      <c r="F755" s="23"/>
      <c r="G755" s="24"/>
      <c r="H755" s="242"/>
      <c r="I755" s="180"/>
      <c r="J755" s="180"/>
      <c r="K755" s="180"/>
      <c r="L755" s="531"/>
      <c r="M755" s="531"/>
      <c r="N755" s="317"/>
      <c r="O755" s="293"/>
      <c r="P755" s="293"/>
      <c r="Q755" s="317"/>
      <c r="R755" s="317"/>
      <c r="S755" s="317"/>
      <c r="T755" s="353"/>
      <c r="U755" s="353"/>
    </row>
    <row r="756" spans="1:21" x14ac:dyDescent="0.2">
      <c r="A756" s="516"/>
      <c r="B756" s="517" t="s">
        <v>525</v>
      </c>
      <c r="C756" s="22"/>
      <c r="D756" s="22"/>
      <c r="E756" s="22"/>
      <c r="F756" s="23"/>
      <c r="G756" s="24"/>
      <c r="H756" s="242"/>
      <c r="I756" s="180"/>
      <c r="J756" s="180"/>
      <c r="K756" s="180"/>
      <c r="L756" s="531"/>
      <c r="M756" s="531"/>
      <c r="N756" s="317"/>
      <c r="O756" s="293"/>
      <c r="P756" s="293"/>
      <c r="Q756" s="317"/>
      <c r="R756" s="317"/>
      <c r="S756" s="317"/>
      <c r="T756" s="353"/>
      <c r="U756" s="353"/>
    </row>
    <row r="757" spans="1:21" x14ac:dyDescent="0.2">
      <c r="A757" s="516"/>
      <c r="B757" s="517" t="s">
        <v>524</v>
      </c>
      <c r="C757" s="22"/>
      <c r="D757" s="22"/>
      <c r="E757" s="22"/>
      <c r="F757" s="23"/>
      <c r="G757" s="24"/>
      <c r="H757" s="242"/>
      <c r="I757" s="180"/>
      <c r="J757" s="180"/>
      <c r="K757" s="180"/>
      <c r="L757" s="531"/>
      <c r="M757" s="531"/>
      <c r="N757" s="317"/>
      <c r="O757" s="293"/>
      <c r="P757" s="293"/>
      <c r="Q757" s="317"/>
      <c r="R757" s="317"/>
      <c r="S757" s="317"/>
      <c r="T757" s="353"/>
      <c r="U757" s="353"/>
    </row>
    <row r="758" spans="1:21" x14ac:dyDescent="0.2">
      <c r="A758" s="516"/>
      <c r="B758" s="517" t="s">
        <v>531</v>
      </c>
      <c r="C758" s="22"/>
      <c r="D758" s="22"/>
      <c r="E758" s="22"/>
      <c r="F758" s="23"/>
      <c r="G758" s="24"/>
      <c r="H758" s="242"/>
      <c r="I758" s="180"/>
      <c r="J758" s="180"/>
      <c r="K758" s="180"/>
      <c r="L758" s="531"/>
      <c r="M758" s="531"/>
      <c r="N758" s="317"/>
      <c r="O758" s="293"/>
      <c r="P758" s="293"/>
      <c r="Q758" s="317"/>
      <c r="R758" s="317"/>
      <c r="S758" s="317"/>
      <c r="T758" s="353"/>
      <c r="U758" s="353"/>
    </row>
    <row r="759" spans="1:21" x14ac:dyDescent="0.2">
      <c r="A759" s="516"/>
      <c r="B759" s="517" t="s">
        <v>530</v>
      </c>
      <c r="C759" s="22"/>
      <c r="D759" s="22"/>
      <c r="E759" s="22"/>
      <c r="F759" s="23"/>
      <c r="G759" s="24"/>
      <c r="H759" s="242"/>
      <c r="I759" s="180"/>
      <c r="J759" s="180"/>
      <c r="K759" s="180"/>
      <c r="L759" s="531"/>
      <c r="M759" s="531"/>
      <c r="N759" s="317"/>
      <c r="O759" s="293"/>
      <c r="P759" s="293"/>
      <c r="Q759" s="317"/>
      <c r="R759" s="317"/>
      <c r="S759" s="317"/>
      <c r="T759" s="353"/>
      <c r="U759" s="353"/>
    </row>
    <row r="760" spans="1:21" x14ac:dyDescent="0.2">
      <c r="A760" s="516"/>
      <c r="B760" s="517" t="s">
        <v>513</v>
      </c>
      <c r="C760" s="22"/>
      <c r="D760" s="22"/>
      <c r="E760" s="22"/>
      <c r="F760" s="23"/>
      <c r="G760" s="24"/>
      <c r="H760" s="242"/>
      <c r="I760" s="180"/>
      <c r="J760" s="180"/>
      <c r="K760" s="180"/>
      <c r="L760" s="531"/>
      <c r="M760" s="531"/>
      <c r="N760" s="317"/>
      <c r="O760" s="293"/>
      <c r="P760" s="293"/>
      <c r="Q760" s="317"/>
      <c r="R760" s="317"/>
      <c r="S760" s="317"/>
      <c r="T760" s="353"/>
      <c r="U760" s="353"/>
    </row>
    <row r="761" spans="1:21" x14ac:dyDescent="0.2">
      <c r="A761" s="516"/>
      <c r="B761" s="517" t="s">
        <v>527</v>
      </c>
      <c r="C761" s="22"/>
      <c r="D761" s="22"/>
      <c r="E761" s="22"/>
      <c r="F761" s="23"/>
      <c r="G761" s="24"/>
      <c r="H761" s="242"/>
      <c r="I761" s="180"/>
      <c r="J761" s="180"/>
      <c r="K761" s="180"/>
      <c r="L761" s="531"/>
      <c r="M761" s="531"/>
      <c r="N761" s="317"/>
      <c r="O761" s="293"/>
      <c r="P761" s="293"/>
      <c r="Q761" s="317"/>
      <c r="R761" s="317"/>
      <c r="S761" s="317"/>
      <c r="T761" s="353"/>
      <c r="U761" s="353"/>
    </row>
    <row r="762" spans="1:21" x14ac:dyDescent="0.2">
      <c r="A762" s="516"/>
      <c r="B762" s="517" t="s">
        <v>719</v>
      </c>
      <c r="C762" s="22"/>
      <c r="D762" s="22"/>
      <c r="E762" s="22"/>
      <c r="F762" s="23"/>
      <c r="G762" s="24"/>
      <c r="H762" s="242"/>
      <c r="I762" s="180"/>
      <c r="J762" s="180"/>
      <c r="K762" s="180"/>
      <c r="L762" s="531"/>
      <c r="M762" s="531"/>
      <c r="N762" s="317"/>
      <c r="O762" s="293"/>
      <c r="P762" s="293"/>
      <c r="Q762" s="317"/>
      <c r="R762" s="317"/>
      <c r="S762" s="317"/>
      <c r="T762" s="353"/>
      <c r="U762" s="353"/>
    </row>
    <row r="763" spans="1:21" x14ac:dyDescent="0.2">
      <c r="A763" s="516"/>
      <c r="B763" s="517" t="s">
        <v>512</v>
      </c>
      <c r="C763" s="22"/>
      <c r="D763" s="22"/>
      <c r="E763" s="22"/>
      <c r="F763" s="23"/>
      <c r="G763" s="24"/>
      <c r="H763" s="242"/>
      <c r="I763" s="180"/>
      <c r="J763" s="180"/>
      <c r="K763" s="180"/>
      <c r="L763" s="531"/>
      <c r="M763" s="531"/>
      <c r="N763" s="317"/>
      <c r="O763" s="293"/>
      <c r="P763" s="293"/>
      <c r="Q763" s="317"/>
      <c r="R763" s="317"/>
      <c r="S763" s="317"/>
      <c r="T763" s="353"/>
      <c r="U763" s="353"/>
    </row>
    <row r="764" spans="1:21" x14ac:dyDescent="0.2">
      <c r="A764" s="516"/>
      <c r="B764" s="517" t="s">
        <v>534</v>
      </c>
      <c r="C764" s="25"/>
      <c r="D764" s="25"/>
      <c r="E764" s="25"/>
      <c r="F764" s="26"/>
      <c r="G764" s="27"/>
      <c r="H764" s="242"/>
      <c r="I764" s="180"/>
      <c r="J764" s="180"/>
      <c r="K764" s="180"/>
      <c r="L764" s="531"/>
      <c r="M764" s="531"/>
      <c r="N764" s="317"/>
      <c r="O764" s="293"/>
      <c r="P764" s="293"/>
      <c r="Q764" s="317"/>
      <c r="R764" s="317"/>
      <c r="S764" s="317"/>
      <c r="T764" s="353"/>
      <c r="U764" s="353"/>
    </row>
    <row r="765" spans="1:21" x14ac:dyDescent="0.2">
      <c r="A765" s="516"/>
      <c r="B765" s="517" t="s">
        <v>518</v>
      </c>
      <c r="C765" s="25"/>
      <c r="D765" s="25"/>
      <c r="E765" s="25"/>
      <c r="F765" s="26"/>
      <c r="G765" s="27"/>
      <c r="H765" s="242"/>
      <c r="I765" s="180"/>
      <c r="J765" s="180"/>
      <c r="K765" s="180"/>
      <c r="L765" s="531"/>
      <c r="M765" s="531"/>
      <c r="N765" s="317"/>
      <c r="O765" s="293"/>
      <c r="P765" s="293"/>
      <c r="Q765" s="317"/>
      <c r="R765" s="317"/>
      <c r="S765" s="317"/>
      <c r="T765" s="353"/>
      <c r="U765" s="353"/>
    </row>
    <row r="766" spans="1:21" x14ac:dyDescent="0.2">
      <c r="A766" s="516"/>
      <c r="B766" s="517" t="s">
        <v>75</v>
      </c>
      <c r="C766" s="25"/>
      <c r="D766" s="25"/>
      <c r="E766" s="25"/>
      <c r="F766" s="26"/>
      <c r="G766" s="27"/>
      <c r="H766" s="242"/>
      <c r="I766" s="180"/>
      <c r="J766" s="180"/>
      <c r="K766" s="180"/>
      <c r="L766" s="531"/>
      <c r="M766" s="531"/>
      <c r="N766" s="317"/>
      <c r="O766" s="293"/>
      <c r="P766" s="293"/>
      <c r="Q766" s="317"/>
      <c r="R766" s="317"/>
      <c r="S766" s="317"/>
      <c r="T766" s="353"/>
      <c r="U766" s="353"/>
    </row>
    <row r="767" spans="1:21" x14ac:dyDescent="0.2">
      <c r="A767" s="516"/>
      <c r="B767" s="517" t="s">
        <v>720</v>
      </c>
      <c r="C767" s="25"/>
      <c r="D767" s="25"/>
      <c r="E767" s="25"/>
      <c r="F767" s="26"/>
      <c r="G767" s="27"/>
      <c r="H767" s="242"/>
      <c r="I767" s="180"/>
      <c r="J767" s="180"/>
      <c r="K767" s="180"/>
      <c r="L767" s="531"/>
      <c r="M767" s="531"/>
      <c r="N767" s="317"/>
      <c r="O767" s="293"/>
      <c r="P767" s="293"/>
      <c r="Q767" s="317"/>
      <c r="R767" s="317"/>
      <c r="S767" s="317"/>
      <c r="T767" s="353"/>
      <c r="U767" s="353"/>
    </row>
    <row r="768" spans="1:21" x14ac:dyDescent="0.2">
      <c r="A768" s="516"/>
      <c r="B768" s="517" t="s">
        <v>2</v>
      </c>
      <c r="C768" s="25"/>
      <c r="D768" s="25"/>
      <c r="E768" s="25"/>
      <c r="F768" s="26"/>
      <c r="G768" s="27"/>
      <c r="H768" s="343"/>
      <c r="I768" s="295"/>
      <c r="J768" s="295"/>
      <c r="K768" s="295"/>
      <c r="L768" s="295"/>
      <c r="M768" s="295"/>
      <c r="O768" s="291"/>
      <c r="P768" s="291"/>
      <c r="T768" s="353"/>
      <c r="U768" s="353"/>
    </row>
    <row r="769" spans="1:21" x14ac:dyDescent="0.2">
      <c r="A769" s="516"/>
      <c r="B769" s="518" t="s">
        <v>247</v>
      </c>
      <c r="C769" s="519">
        <f>SUM(C738:C768)</f>
        <v>0</v>
      </c>
      <c r="D769" s="519">
        <f t="shared" ref="D769:G769" si="218">SUM(D738:D768)</f>
        <v>0</v>
      </c>
      <c r="E769" s="519">
        <f t="shared" si="218"/>
        <v>0</v>
      </c>
      <c r="F769" s="519">
        <f t="shared" si="218"/>
        <v>0</v>
      </c>
      <c r="G769" s="520">
        <f t="shared" si="218"/>
        <v>0</v>
      </c>
      <c r="H769" s="343"/>
      <c r="I769" s="295"/>
      <c r="J769" s="295"/>
      <c r="K769" s="295"/>
      <c r="L769" s="295"/>
      <c r="M769" s="295"/>
      <c r="O769" s="291"/>
      <c r="P769" s="291"/>
      <c r="T769" s="353"/>
      <c r="U769" s="353"/>
    </row>
    <row r="770" spans="1:21" ht="13.5" thickBot="1" x14ac:dyDescent="0.25">
      <c r="A770" s="521"/>
      <c r="B770" s="522" t="s">
        <v>535</v>
      </c>
      <c r="C770" s="523"/>
      <c r="D770" s="523"/>
      <c r="E770" s="523"/>
      <c r="F770" s="523"/>
      <c r="G770" s="453"/>
      <c r="H770" s="343"/>
      <c r="I770" s="295"/>
      <c r="J770" s="295"/>
      <c r="K770" s="295"/>
      <c r="L770" s="295"/>
      <c r="M770" s="295"/>
      <c r="O770" s="291"/>
      <c r="P770" s="291"/>
      <c r="T770" s="353"/>
      <c r="U770" s="353"/>
    </row>
    <row r="771" spans="1:21" x14ac:dyDescent="0.2">
      <c r="A771" s="295"/>
      <c r="B771" s="524"/>
      <c r="C771" s="301"/>
      <c r="D771" s="301"/>
      <c r="E771" s="301"/>
      <c r="F771" s="301"/>
      <c r="G771" s="301"/>
      <c r="H771" s="343"/>
      <c r="I771" s="295"/>
      <c r="J771" s="295"/>
      <c r="K771" s="295"/>
      <c r="L771" s="295"/>
      <c r="M771" s="295"/>
      <c r="O771" s="291"/>
      <c r="P771" s="291"/>
      <c r="T771" s="353"/>
      <c r="U771" s="353"/>
    </row>
    <row r="772" spans="1:21" ht="13.5" thickBot="1" x14ac:dyDescent="0.25">
      <c r="A772" s="295"/>
      <c r="B772" s="296"/>
      <c r="C772" s="301"/>
      <c r="D772" s="301"/>
      <c r="E772" s="301"/>
      <c r="F772" s="301"/>
      <c r="G772" s="301"/>
      <c r="H772" s="343"/>
      <c r="I772" s="295"/>
      <c r="J772" s="295"/>
      <c r="K772" s="295"/>
      <c r="L772" s="295"/>
      <c r="M772" s="295"/>
      <c r="O772" s="291"/>
      <c r="P772" s="291"/>
      <c r="T772" s="353"/>
      <c r="U772" s="353"/>
    </row>
    <row r="773" spans="1:21" ht="19.5" thickBot="1" x14ac:dyDescent="0.25">
      <c r="A773" s="510"/>
      <c r="B773" s="415" t="s">
        <v>548</v>
      </c>
      <c r="C773" s="295"/>
      <c r="D773" s="295"/>
      <c r="E773" s="295"/>
      <c r="F773" s="295"/>
      <c r="G773" s="295"/>
      <c r="H773" s="343"/>
      <c r="I773" s="295"/>
      <c r="J773" s="295"/>
      <c r="K773" s="295"/>
      <c r="L773" s="295"/>
      <c r="M773" s="295"/>
      <c r="O773" s="291"/>
      <c r="P773" s="291"/>
      <c r="T773" s="353"/>
      <c r="U773" s="353"/>
    </row>
    <row r="774" spans="1:21" x14ac:dyDescent="0.2">
      <c r="A774" s="511"/>
      <c r="B774" s="529"/>
      <c r="C774" s="497"/>
      <c r="D774" s="497"/>
      <c r="E774" s="497"/>
      <c r="F774" s="497"/>
      <c r="G774" s="498"/>
      <c r="H774" s="532" t="str">
        <f>H736</f>
        <v>YTD</v>
      </c>
      <c r="I774" s="295"/>
      <c r="J774" s="295"/>
      <c r="K774" s="295"/>
      <c r="L774" s="295"/>
      <c r="M774" s="295"/>
      <c r="O774" s="291"/>
      <c r="P774" s="291"/>
      <c r="T774" s="353"/>
      <c r="U774" s="353"/>
    </row>
    <row r="775" spans="1:21" x14ac:dyDescent="0.2">
      <c r="A775" s="516"/>
      <c r="B775" s="517" t="s">
        <v>522</v>
      </c>
      <c r="C775" s="488" t="e">
        <f t="shared" ref="C775:H778" si="219">C738/C$769</f>
        <v>#DIV/0!</v>
      </c>
      <c r="D775" s="488" t="e">
        <f t="shared" si="219"/>
        <v>#DIV/0!</v>
      </c>
      <c r="E775" s="488" t="e">
        <f t="shared" si="219"/>
        <v>#DIV/0!</v>
      </c>
      <c r="F775" s="488" t="e">
        <f t="shared" si="219"/>
        <v>#DIV/0!</v>
      </c>
      <c r="G775" s="489" t="e">
        <f t="shared" si="219"/>
        <v>#DIV/0!</v>
      </c>
      <c r="H775" s="525" t="e">
        <f t="shared" si="219"/>
        <v>#DIV/0!</v>
      </c>
      <c r="I775" s="488"/>
      <c r="J775" s="488"/>
      <c r="K775" s="488"/>
      <c r="L775" s="295"/>
      <c r="M775" s="295"/>
      <c r="O775" s="291"/>
      <c r="P775" s="291"/>
      <c r="T775" s="353"/>
      <c r="U775" s="353"/>
    </row>
    <row r="776" spans="1:21" x14ac:dyDescent="0.2">
      <c r="A776" s="516"/>
      <c r="B776" s="517" t="s">
        <v>715</v>
      </c>
      <c r="C776" s="488" t="e">
        <f t="shared" si="219"/>
        <v>#DIV/0!</v>
      </c>
      <c r="D776" s="488" t="e">
        <f t="shared" si="219"/>
        <v>#DIV/0!</v>
      </c>
      <c r="E776" s="488" t="e">
        <f t="shared" si="219"/>
        <v>#DIV/0!</v>
      </c>
      <c r="F776" s="488" t="e">
        <f t="shared" si="219"/>
        <v>#DIV/0!</v>
      </c>
      <c r="G776" s="489" t="e">
        <f t="shared" si="219"/>
        <v>#DIV/0!</v>
      </c>
      <c r="H776" s="525" t="e">
        <f t="shared" si="219"/>
        <v>#DIV/0!</v>
      </c>
      <c r="I776" s="488"/>
      <c r="J776" s="488"/>
      <c r="K776" s="488"/>
      <c r="L776" s="295"/>
      <c r="M776" s="295"/>
      <c r="O776" s="291"/>
      <c r="P776" s="291"/>
      <c r="T776" s="353"/>
      <c r="U776" s="353"/>
    </row>
    <row r="777" spans="1:21" x14ac:dyDescent="0.2">
      <c r="A777" s="516"/>
      <c r="B777" s="517" t="s">
        <v>716</v>
      </c>
      <c r="C777" s="488" t="e">
        <f t="shared" si="219"/>
        <v>#DIV/0!</v>
      </c>
      <c r="D777" s="488" t="e">
        <f t="shared" si="219"/>
        <v>#DIV/0!</v>
      </c>
      <c r="E777" s="488" t="e">
        <f t="shared" si="219"/>
        <v>#DIV/0!</v>
      </c>
      <c r="F777" s="488" t="e">
        <f t="shared" si="219"/>
        <v>#DIV/0!</v>
      </c>
      <c r="G777" s="489" t="e">
        <f t="shared" si="219"/>
        <v>#DIV/0!</v>
      </c>
      <c r="H777" s="525" t="e">
        <f t="shared" si="219"/>
        <v>#DIV/0!</v>
      </c>
      <c r="I777" s="488"/>
      <c r="J777" s="488"/>
      <c r="K777" s="488"/>
      <c r="L777" s="295"/>
      <c r="M777" s="295"/>
      <c r="O777" s="291"/>
      <c r="P777" s="291"/>
      <c r="T777" s="353"/>
      <c r="U777" s="353"/>
    </row>
    <row r="778" spans="1:21" x14ac:dyDescent="0.2">
      <c r="A778" s="516"/>
      <c r="B778" s="517" t="s">
        <v>519</v>
      </c>
      <c r="C778" s="488" t="e">
        <f t="shared" si="219"/>
        <v>#DIV/0!</v>
      </c>
      <c r="D778" s="488" t="e">
        <f t="shared" si="219"/>
        <v>#DIV/0!</v>
      </c>
      <c r="E778" s="488" t="e">
        <f t="shared" si="219"/>
        <v>#DIV/0!</v>
      </c>
      <c r="F778" s="488" t="e">
        <f t="shared" si="219"/>
        <v>#DIV/0!</v>
      </c>
      <c r="G778" s="489" t="e">
        <f t="shared" si="219"/>
        <v>#DIV/0!</v>
      </c>
      <c r="H778" s="525" t="e">
        <f t="shared" si="219"/>
        <v>#DIV/0!</v>
      </c>
      <c r="I778" s="488"/>
      <c r="J778" s="488"/>
      <c r="K778" s="488"/>
      <c r="L778" s="295"/>
      <c r="M778" s="295"/>
      <c r="O778" s="291"/>
      <c r="P778" s="291"/>
      <c r="T778" s="353"/>
      <c r="U778" s="353"/>
    </row>
    <row r="779" spans="1:21" x14ac:dyDescent="0.2">
      <c r="A779" s="516"/>
      <c r="B779" s="517" t="s">
        <v>520</v>
      </c>
      <c r="C779" s="488" t="e">
        <f t="shared" ref="C779:G779" si="220">C742/C$769</f>
        <v>#DIV/0!</v>
      </c>
      <c r="D779" s="488" t="e">
        <f t="shared" si="220"/>
        <v>#DIV/0!</v>
      </c>
      <c r="E779" s="488" t="e">
        <f t="shared" si="220"/>
        <v>#DIV/0!</v>
      </c>
      <c r="F779" s="488" t="e">
        <f t="shared" si="220"/>
        <v>#DIV/0!</v>
      </c>
      <c r="G779" s="489" t="e">
        <f t="shared" si="220"/>
        <v>#DIV/0!</v>
      </c>
      <c r="H779" s="525" t="e">
        <f t="shared" ref="H779" si="221">H742/H$769</f>
        <v>#DIV/0!</v>
      </c>
      <c r="I779" s="488"/>
      <c r="J779" s="488"/>
      <c r="K779" s="488"/>
      <c r="L779" s="295"/>
      <c r="M779" s="295"/>
      <c r="O779" s="291"/>
      <c r="P779" s="291"/>
      <c r="T779" s="353"/>
      <c r="U779" s="353"/>
    </row>
    <row r="780" spans="1:21" x14ac:dyDescent="0.2">
      <c r="A780" s="516"/>
      <c r="B780" s="517" t="s">
        <v>517</v>
      </c>
      <c r="C780" s="488" t="e">
        <f t="shared" ref="C780:G780" si="222">C743/C$769</f>
        <v>#DIV/0!</v>
      </c>
      <c r="D780" s="488" t="e">
        <f t="shared" si="222"/>
        <v>#DIV/0!</v>
      </c>
      <c r="E780" s="488" t="e">
        <f t="shared" si="222"/>
        <v>#DIV/0!</v>
      </c>
      <c r="F780" s="488" t="e">
        <f t="shared" si="222"/>
        <v>#DIV/0!</v>
      </c>
      <c r="G780" s="489" t="e">
        <f t="shared" si="222"/>
        <v>#DIV/0!</v>
      </c>
      <c r="H780" s="525" t="e">
        <f t="shared" ref="H780" si="223">H743/H$769</f>
        <v>#DIV/0!</v>
      </c>
      <c r="I780" s="488"/>
      <c r="J780" s="488"/>
      <c r="K780" s="488"/>
      <c r="L780" s="295"/>
      <c r="M780" s="295"/>
      <c r="O780" s="291"/>
      <c r="P780" s="291"/>
      <c r="T780" s="353"/>
      <c r="U780" s="353"/>
    </row>
    <row r="781" spans="1:21" x14ac:dyDescent="0.2">
      <c r="A781" s="516"/>
      <c r="B781" s="517" t="s">
        <v>533</v>
      </c>
      <c r="C781" s="488" t="e">
        <f t="shared" ref="C781:G781" si="224">C744/C$769</f>
        <v>#DIV/0!</v>
      </c>
      <c r="D781" s="488" t="e">
        <f t="shared" si="224"/>
        <v>#DIV/0!</v>
      </c>
      <c r="E781" s="488" t="e">
        <f t="shared" si="224"/>
        <v>#DIV/0!</v>
      </c>
      <c r="F781" s="488" t="e">
        <f t="shared" si="224"/>
        <v>#DIV/0!</v>
      </c>
      <c r="G781" s="489" t="e">
        <f t="shared" si="224"/>
        <v>#DIV/0!</v>
      </c>
      <c r="H781" s="525" t="e">
        <f t="shared" ref="H781" si="225">H744/H$769</f>
        <v>#DIV/0!</v>
      </c>
      <c r="I781" s="488"/>
      <c r="J781" s="488"/>
      <c r="K781" s="488"/>
      <c r="L781" s="295"/>
      <c r="M781" s="295"/>
      <c r="O781" s="291"/>
      <c r="P781" s="291"/>
      <c r="T781" s="353"/>
      <c r="U781" s="353"/>
    </row>
    <row r="782" spans="1:21" x14ac:dyDescent="0.2">
      <c r="A782" s="516"/>
      <c r="B782" s="517" t="s">
        <v>514</v>
      </c>
      <c r="C782" s="488" t="e">
        <f t="shared" ref="C782:H782" si="226">C742/C$769</f>
        <v>#DIV/0!</v>
      </c>
      <c r="D782" s="488" t="e">
        <f t="shared" si="226"/>
        <v>#DIV/0!</v>
      </c>
      <c r="E782" s="488" t="e">
        <f t="shared" si="226"/>
        <v>#DIV/0!</v>
      </c>
      <c r="F782" s="488" t="e">
        <f t="shared" si="226"/>
        <v>#DIV/0!</v>
      </c>
      <c r="G782" s="489" t="e">
        <f t="shared" si="226"/>
        <v>#DIV/0!</v>
      </c>
      <c r="H782" s="525" t="e">
        <f t="shared" si="226"/>
        <v>#DIV/0!</v>
      </c>
      <c r="I782" s="488"/>
      <c r="J782" s="488"/>
      <c r="K782" s="488"/>
      <c r="L782" s="295"/>
      <c r="M782" s="295"/>
      <c r="O782" s="291"/>
      <c r="P782" s="291"/>
      <c r="T782" s="353"/>
      <c r="U782" s="353"/>
    </row>
    <row r="783" spans="1:21" x14ac:dyDescent="0.2">
      <c r="A783" s="516"/>
      <c r="B783" s="517" t="s">
        <v>515</v>
      </c>
      <c r="C783" s="488" t="e">
        <f t="shared" ref="C783:G798" si="227">C752/C$769</f>
        <v>#DIV/0!</v>
      </c>
      <c r="D783" s="488" t="e">
        <f t="shared" si="227"/>
        <v>#DIV/0!</v>
      </c>
      <c r="E783" s="488" t="e">
        <f t="shared" si="227"/>
        <v>#DIV/0!</v>
      </c>
      <c r="F783" s="488" t="e">
        <f t="shared" si="227"/>
        <v>#DIV/0!</v>
      </c>
      <c r="G783" s="489" t="e">
        <f t="shared" si="227"/>
        <v>#DIV/0!</v>
      </c>
      <c r="H783" s="525" t="e">
        <f t="shared" ref="H783" si="228">H752/H$769</f>
        <v>#DIV/0!</v>
      </c>
      <c r="I783" s="488"/>
      <c r="J783" s="488"/>
      <c r="K783" s="488"/>
      <c r="L783" s="295"/>
      <c r="M783" s="295"/>
      <c r="O783" s="291"/>
      <c r="P783" s="291"/>
      <c r="T783" s="353"/>
      <c r="U783" s="353"/>
    </row>
    <row r="784" spans="1:21" x14ac:dyDescent="0.2">
      <c r="A784" s="516"/>
      <c r="B784" s="517" t="s">
        <v>717</v>
      </c>
      <c r="C784" s="488" t="e">
        <f t="shared" si="227"/>
        <v>#DIV/0!</v>
      </c>
      <c r="D784" s="488" t="e">
        <f t="shared" si="227"/>
        <v>#DIV/0!</v>
      </c>
      <c r="E784" s="488" t="e">
        <f t="shared" si="227"/>
        <v>#DIV/0!</v>
      </c>
      <c r="F784" s="488" t="e">
        <f t="shared" si="227"/>
        <v>#DIV/0!</v>
      </c>
      <c r="G784" s="489" t="e">
        <f t="shared" si="227"/>
        <v>#DIV/0!</v>
      </c>
      <c r="H784" s="525" t="e">
        <f t="shared" ref="H784" si="229">H753/H$769</f>
        <v>#DIV/0!</v>
      </c>
      <c r="I784" s="488"/>
      <c r="J784" s="488"/>
      <c r="K784" s="488"/>
      <c r="L784" s="295"/>
      <c r="M784" s="295"/>
      <c r="O784" s="291"/>
      <c r="P784" s="291"/>
      <c r="T784" s="353"/>
      <c r="U784" s="353"/>
    </row>
    <row r="785" spans="1:21" x14ac:dyDescent="0.2">
      <c r="A785" s="516"/>
      <c r="B785" s="517" t="s">
        <v>718</v>
      </c>
      <c r="C785" s="488" t="e">
        <f t="shared" si="227"/>
        <v>#DIV/0!</v>
      </c>
      <c r="D785" s="488" t="e">
        <f t="shared" si="227"/>
        <v>#DIV/0!</v>
      </c>
      <c r="E785" s="488" t="e">
        <f t="shared" si="227"/>
        <v>#DIV/0!</v>
      </c>
      <c r="F785" s="488" t="e">
        <f t="shared" si="227"/>
        <v>#DIV/0!</v>
      </c>
      <c r="G785" s="489" t="e">
        <f t="shared" si="227"/>
        <v>#DIV/0!</v>
      </c>
      <c r="H785" s="525" t="e">
        <f t="shared" ref="H785" si="230">H754/H$769</f>
        <v>#DIV/0!</v>
      </c>
      <c r="I785" s="488"/>
      <c r="J785" s="488"/>
      <c r="K785" s="488"/>
      <c r="L785" s="295"/>
      <c r="M785" s="295"/>
      <c r="O785" s="291"/>
      <c r="P785" s="291"/>
      <c r="T785" s="353"/>
      <c r="U785" s="353"/>
    </row>
    <row r="786" spans="1:21" x14ac:dyDescent="0.2">
      <c r="A786" s="516"/>
      <c r="B786" s="517" t="s">
        <v>523</v>
      </c>
      <c r="C786" s="488" t="e">
        <f t="shared" si="227"/>
        <v>#DIV/0!</v>
      </c>
      <c r="D786" s="488" t="e">
        <f t="shared" si="227"/>
        <v>#DIV/0!</v>
      </c>
      <c r="E786" s="488" t="e">
        <f t="shared" si="227"/>
        <v>#DIV/0!</v>
      </c>
      <c r="F786" s="488" t="e">
        <f t="shared" si="227"/>
        <v>#DIV/0!</v>
      </c>
      <c r="G786" s="489" t="e">
        <f t="shared" si="227"/>
        <v>#DIV/0!</v>
      </c>
      <c r="H786" s="525" t="e">
        <f t="shared" ref="H786" si="231">H755/H$769</f>
        <v>#DIV/0!</v>
      </c>
      <c r="I786" s="488"/>
      <c r="J786" s="488"/>
      <c r="K786" s="488"/>
      <c r="L786" s="295"/>
      <c r="M786" s="295"/>
      <c r="O786" s="291"/>
      <c r="P786" s="291"/>
      <c r="T786" s="353"/>
      <c r="U786" s="353"/>
    </row>
    <row r="787" spans="1:21" x14ac:dyDescent="0.2">
      <c r="A787" s="516"/>
      <c r="B787" s="517" t="s">
        <v>516</v>
      </c>
      <c r="C787" s="488" t="e">
        <f t="shared" si="227"/>
        <v>#DIV/0!</v>
      </c>
      <c r="D787" s="488" t="e">
        <f t="shared" si="227"/>
        <v>#DIV/0!</v>
      </c>
      <c r="E787" s="488" t="e">
        <f t="shared" si="227"/>
        <v>#DIV/0!</v>
      </c>
      <c r="F787" s="488" t="e">
        <f t="shared" si="227"/>
        <v>#DIV/0!</v>
      </c>
      <c r="G787" s="489" t="e">
        <f t="shared" si="227"/>
        <v>#DIV/0!</v>
      </c>
      <c r="H787" s="525" t="e">
        <f t="shared" ref="H787" si="232">H756/H$769</f>
        <v>#DIV/0!</v>
      </c>
      <c r="I787" s="488"/>
      <c r="J787" s="488"/>
      <c r="K787" s="488"/>
      <c r="L787" s="295"/>
      <c r="M787" s="295"/>
      <c r="O787" s="291"/>
      <c r="P787" s="291"/>
      <c r="T787" s="353"/>
      <c r="U787" s="353"/>
    </row>
    <row r="788" spans="1:21" x14ac:dyDescent="0.2">
      <c r="A788" s="516"/>
      <c r="B788" s="517" t="s">
        <v>532</v>
      </c>
      <c r="C788" s="488" t="e">
        <f t="shared" si="227"/>
        <v>#DIV/0!</v>
      </c>
      <c r="D788" s="488" t="e">
        <f t="shared" si="227"/>
        <v>#DIV/0!</v>
      </c>
      <c r="E788" s="488" t="e">
        <f t="shared" si="227"/>
        <v>#DIV/0!</v>
      </c>
      <c r="F788" s="488" t="e">
        <f t="shared" si="227"/>
        <v>#DIV/0!</v>
      </c>
      <c r="G788" s="489" t="e">
        <f t="shared" si="227"/>
        <v>#DIV/0!</v>
      </c>
      <c r="H788" s="525" t="e">
        <f t="shared" ref="H788" si="233">H757/H$769</f>
        <v>#DIV/0!</v>
      </c>
      <c r="I788" s="488"/>
      <c r="J788" s="488"/>
      <c r="K788" s="488"/>
      <c r="L788" s="295"/>
      <c r="M788" s="295"/>
      <c r="O788" s="291"/>
      <c r="P788" s="291"/>
      <c r="T788" s="353"/>
      <c r="U788" s="353"/>
    </row>
    <row r="789" spans="1:21" x14ac:dyDescent="0.2">
      <c r="A789" s="516"/>
      <c r="B789" s="517" t="s">
        <v>521</v>
      </c>
      <c r="C789" s="488" t="e">
        <f t="shared" si="227"/>
        <v>#DIV/0!</v>
      </c>
      <c r="D789" s="488" t="e">
        <f t="shared" si="227"/>
        <v>#DIV/0!</v>
      </c>
      <c r="E789" s="488" t="e">
        <f t="shared" si="227"/>
        <v>#DIV/0!</v>
      </c>
      <c r="F789" s="488" t="e">
        <f t="shared" si="227"/>
        <v>#DIV/0!</v>
      </c>
      <c r="G789" s="489" t="e">
        <f t="shared" si="227"/>
        <v>#DIV/0!</v>
      </c>
      <c r="H789" s="525" t="e">
        <f t="shared" ref="H789" si="234">H758/H$769</f>
        <v>#DIV/0!</v>
      </c>
      <c r="I789" s="488"/>
      <c r="J789" s="488"/>
      <c r="K789" s="488"/>
      <c r="L789" s="295"/>
      <c r="M789" s="295"/>
      <c r="O789" s="291"/>
      <c r="P789" s="291"/>
      <c r="T789" s="353"/>
      <c r="U789" s="353"/>
    </row>
    <row r="790" spans="1:21" x14ac:dyDescent="0.2">
      <c r="A790" s="516"/>
      <c r="B790" s="517" t="s">
        <v>529</v>
      </c>
      <c r="C790" s="488" t="e">
        <f t="shared" si="227"/>
        <v>#DIV/0!</v>
      </c>
      <c r="D790" s="488" t="e">
        <f t="shared" si="227"/>
        <v>#DIV/0!</v>
      </c>
      <c r="E790" s="488" t="e">
        <f t="shared" si="227"/>
        <v>#DIV/0!</v>
      </c>
      <c r="F790" s="488" t="e">
        <f t="shared" si="227"/>
        <v>#DIV/0!</v>
      </c>
      <c r="G790" s="489" t="e">
        <f t="shared" si="227"/>
        <v>#DIV/0!</v>
      </c>
      <c r="H790" s="525" t="e">
        <f t="shared" ref="H790" si="235">H759/H$769</f>
        <v>#DIV/0!</v>
      </c>
      <c r="I790" s="488"/>
      <c r="J790" s="488"/>
      <c r="K790" s="488"/>
      <c r="L790" s="295"/>
      <c r="M790" s="295"/>
      <c r="O790" s="291"/>
      <c r="P790" s="291"/>
      <c r="T790" s="353"/>
      <c r="U790" s="353"/>
    </row>
    <row r="791" spans="1:21" x14ac:dyDescent="0.2">
      <c r="A791" s="516"/>
      <c r="B791" s="517" t="s">
        <v>528</v>
      </c>
      <c r="C791" s="488" t="e">
        <f t="shared" si="227"/>
        <v>#DIV/0!</v>
      </c>
      <c r="D791" s="488" t="e">
        <f t="shared" si="227"/>
        <v>#DIV/0!</v>
      </c>
      <c r="E791" s="488" t="e">
        <f t="shared" si="227"/>
        <v>#DIV/0!</v>
      </c>
      <c r="F791" s="488" t="e">
        <f t="shared" si="227"/>
        <v>#DIV/0!</v>
      </c>
      <c r="G791" s="489" t="e">
        <f t="shared" si="227"/>
        <v>#DIV/0!</v>
      </c>
      <c r="H791" s="525" t="e">
        <f t="shared" ref="H791" si="236">H760/H$769</f>
        <v>#DIV/0!</v>
      </c>
      <c r="I791" s="488"/>
      <c r="J791" s="488"/>
      <c r="K791" s="488"/>
      <c r="L791" s="295"/>
      <c r="M791" s="295"/>
      <c r="O791" s="291"/>
      <c r="P791" s="291"/>
      <c r="T791" s="353"/>
      <c r="U791" s="353"/>
    </row>
    <row r="792" spans="1:21" x14ac:dyDescent="0.2">
      <c r="A792" s="516"/>
      <c r="B792" s="517" t="s">
        <v>526</v>
      </c>
      <c r="C792" s="488" t="e">
        <f t="shared" si="227"/>
        <v>#DIV/0!</v>
      </c>
      <c r="D792" s="488" t="e">
        <f t="shared" si="227"/>
        <v>#DIV/0!</v>
      </c>
      <c r="E792" s="488" t="e">
        <f t="shared" si="227"/>
        <v>#DIV/0!</v>
      </c>
      <c r="F792" s="488" t="e">
        <f t="shared" si="227"/>
        <v>#DIV/0!</v>
      </c>
      <c r="G792" s="489" t="e">
        <f t="shared" si="227"/>
        <v>#DIV/0!</v>
      </c>
      <c r="H792" s="525" t="e">
        <f t="shared" ref="H792" si="237">H761/H$769</f>
        <v>#DIV/0!</v>
      </c>
      <c r="I792" s="488"/>
      <c r="J792" s="488"/>
      <c r="K792" s="488"/>
      <c r="L792" s="295"/>
      <c r="M792" s="295"/>
      <c r="O792" s="291"/>
      <c r="P792" s="291"/>
      <c r="T792" s="353"/>
      <c r="U792" s="353"/>
    </row>
    <row r="793" spans="1:21" x14ac:dyDescent="0.2">
      <c r="A793" s="516"/>
      <c r="B793" s="517" t="s">
        <v>525</v>
      </c>
      <c r="C793" s="488" t="e">
        <f t="shared" si="227"/>
        <v>#DIV/0!</v>
      </c>
      <c r="D793" s="488" t="e">
        <f t="shared" si="227"/>
        <v>#DIV/0!</v>
      </c>
      <c r="E793" s="488" t="e">
        <f t="shared" si="227"/>
        <v>#DIV/0!</v>
      </c>
      <c r="F793" s="488" t="e">
        <f t="shared" si="227"/>
        <v>#DIV/0!</v>
      </c>
      <c r="G793" s="489" t="e">
        <f t="shared" si="227"/>
        <v>#DIV/0!</v>
      </c>
      <c r="H793" s="525" t="e">
        <f t="shared" ref="H793" si="238">H762/H$769</f>
        <v>#DIV/0!</v>
      </c>
      <c r="I793" s="488"/>
      <c r="J793" s="488"/>
      <c r="K793" s="488"/>
      <c r="L793" s="295"/>
      <c r="M793" s="295"/>
      <c r="O793" s="291"/>
      <c r="P793" s="291"/>
      <c r="T793" s="353"/>
      <c r="U793" s="353"/>
    </row>
    <row r="794" spans="1:21" x14ac:dyDescent="0.2">
      <c r="A794" s="516"/>
      <c r="B794" s="517" t="s">
        <v>524</v>
      </c>
      <c r="C794" s="488" t="e">
        <f t="shared" si="227"/>
        <v>#DIV/0!</v>
      </c>
      <c r="D794" s="488" t="e">
        <f t="shared" si="227"/>
        <v>#DIV/0!</v>
      </c>
      <c r="E794" s="488" t="e">
        <f t="shared" si="227"/>
        <v>#DIV/0!</v>
      </c>
      <c r="F794" s="488" t="e">
        <f t="shared" si="227"/>
        <v>#DIV/0!</v>
      </c>
      <c r="G794" s="489" t="e">
        <f t="shared" si="227"/>
        <v>#DIV/0!</v>
      </c>
      <c r="H794" s="525" t="e">
        <f t="shared" ref="H794" si="239">H763/H$769</f>
        <v>#DIV/0!</v>
      </c>
      <c r="I794" s="488"/>
      <c r="J794" s="488"/>
      <c r="K794" s="488"/>
      <c r="L794" s="295"/>
      <c r="M794" s="295"/>
      <c r="O794" s="291"/>
      <c r="P794" s="291"/>
      <c r="T794" s="353"/>
      <c r="U794" s="353"/>
    </row>
    <row r="795" spans="1:21" x14ac:dyDescent="0.2">
      <c r="A795" s="516"/>
      <c r="B795" s="517" t="s">
        <v>531</v>
      </c>
      <c r="C795" s="488" t="e">
        <f t="shared" si="227"/>
        <v>#DIV/0!</v>
      </c>
      <c r="D795" s="488" t="e">
        <f t="shared" si="227"/>
        <v>#DIV/0!</v>
      </c>
      <c r="E795" s="488" t="e">
        <f t="shared" si="227"/>
        <v>#DIV/0!</v>
      </c>
      <c r="F795" s="488" t="e">
        <f t="shared" si="227"/>
        <v>#DIV/0!</v>
      </c>
      <c r="G795" s="489" t="e">
        <f t="shared" si="227"/>
        <v>#DIV/0!</v>
      </c>
      <c r="H795" s="525" t="e">
        <f t="shared" ref="H795" si="240">H764/H$769</f>
        <v>#DIV/0!</v>
      </c>
      <c r="I795" s="488"/>
      <c r="J795" s="488"/>
      <c r="K795" s="488"/>
      <c r="L795" s="295"/>
      <c r="M795" s="295"/>
      <c r="O795" s="291"/>
      <c r="P795" s="291"/>
      <c r="T795" s="353"/>
      <c r="U795" s="353"/>
    </row>
    <row r="796" spans="1:21" x14ac:dyDescent="0.2">
      <c r="A796" s="516"/>
      <c r="B796" s="517" t="s">
        <v>530</v>
      </c>
      <c r="C796" s="488" t="e">
        <f t="shared" si="227"/>
        <v>#DIV/0!</v>
      </c>
      <c r="D796" s="488" t="e">
        <f t="shared" si="227"/>
        <v>#DIV/0!</v>
      </c>
      <c r="E796" s="488" t="e">
        <f t="shared" si="227"/>
        <v>#DIV/0!</v>
      </c>
      <c r="F796" s="488" t="e">
        <f t="shared" si="227"/>
        <v>#DIV/0!</v>
      </c>
      <c r="G796" s="489" t="e">
        <f t="shared" si="227"/>
        <v>#DIV/0!</v>
      </c>
      <c r="H796" s="525" t="e">
        <f t="shared" ref="H796" si="241">H765/H$769</f>
        <v>#DIV/0!</v>
      </c>
      <c r="I796" s="488"/>
      <c r="J796" s="488"/>
      <c r="K796" s="488"/>
      <c r="L796" s="295"/>
      <c r="M796" s="295"/>
      <c r="O796" s="291"/>
      <c r="P796" s="291"/>
      <c r="T796" s="353"/>
      <c r="U796" s="353"/>
    </row>
    <row r="797" spans="1:21" x14ac:dyDescent="0.2">
      <c r="A797" s="516"/>
      <c r="B797" s="517" t="s">
        <v>513</v>
      </c>
      <c r="C797" s="488" t="e">
        <f t="shared" si="227"/>
        <v>#DIV/0!</v>
      </c>
      <c r="D797" s="488" t="e">
        <f t="shared" si="227"/>
        <v>#DIV/0!</v>
      </c>
      <c r="E797" s="488" t="e">
        <f t="shared" si="227"/>
        <v>#DIV/0!</v>
      </c>
      <c r="F797" s="488" t="e">
        <f t="shared" si="227"/>
        <v>#DIV/0!</v>
      </c>
      <c r="G797" s="489" t="e">
        <f t="shared" si="227"/>
        <v>#DIV/0!</v>
      </c>
      <c r="H797" s="525" t="e">
        <f t="shared" ref="H797" si="242">H766/H$769</f>
        <v>#DIV/0!</v>
      </c>
      <c r="I797" s="488"/>
      <c r="J797" s="488"/>
      <c r="K797" s="488"/>
      <c r="L797" s="295"/>
      <c r="M797" s="295"/>
      <c r="O797" s="291"/>
      <c r="P797" s="291"/>
      <c r="T797" s="353"/>
      <c r="U797" s="353"/>
    </row>
    <row r="798" spans="1:21" x14ac:dyDescent="0.2">
      <c r="A798" s="516"/>
      <c r="B798" s="517" t="s">
        <v>527</v>
      </c>
      <c r="C798" s="488" t="e">
        <f t="shared" si="227"/>
        <v>#DIV/0!</v>
      </c>
      <c r="D798" s="488" t="e">
        <f t="shared" si="227"/>
        <v>#DIV/0!</v>
      </c>
      <c r="E798" s="488" t="e">
        <f t="shared" si="227"/>
        <v>#DIV/0!</v>
      </c>
      <c r="F798" s="488" t="e">
        <f t="shared" si="227"/>
        <v>#DIV/0!</v>
      </c>
      <c r="G798" s="489" t="e">
        <f t="shared" si="227"/>
        <v>#DIV/0!</v>
      </c>
      <c r="H798" s="525" t="e">
        <f t="shared" ref="H798" si="243">H767/H$769</f>
        <v>#DIV/0!</v>
      </c>
      <c r="I798" s="488"/>
      <c r="J798" s="488"/>
      <c r="K798" s="488"/>
      <c r="L798" s="295"/>
      <c r="M798" s="295"/>
      <c r="O798" s="291"/>
      <c r="P798" s="291"/>
      <c r="T798" s="353"/>
      <c r="U798" s="353"/>
    </row>
    <row r="799" spans="1:21" x14ac:dyDescent="0.2">
      <c r="A799" s="516"/>
      <c r="B799" s="517" t="s">
        <v>719</v>
      </c>
      <c r="C799" s="488" t="e">
        <f t="shared" ref="C799:G801" si="244">C768/C$769</f>
        <v>#DIV/0!</v>
      </c>
      <c r="D799" s="488" t="e">
        <f t="shared" si="244"/>
        <v>#DIV/0!</v>
      </c>
      <c r="E799" s="488" t="e">
        <f t="shared" si="244"/>
        <v>#DIV/0!</v>
      </c>
      <c r="F799" s="488" t="e">
        <f t="shared" si="244"/>
        <v>#DIV/0!</v>
      </c>
      <c r="G799" s="489" t="e">
        <f t="shared" si="244"/>
        <v>#DIV/0!</v>
      </c>
      <c r="H799" s="525" t="e">
        <f t="shared" ref="H799" si="245">H768/H$769</f>
        <v>#DIV/0!</v>
      </c>
      <c r="I799" s="488"/>
      <c r="J799" s="488"/>
      <c r="K799" s="488"/>
      <c r="L799" s="295"/>
      <c r="M799" s="295"/>
      <c r="O799" s="291"/>
      <c r="P799" s="291"/>
      <c r="T799" s="353"/>
      <c r="U799" s="353"/>
    </row>
    <row r="800" spans="1:21" x14ac:dyDescent="0.2">
      <c r="A800" s="516"/>
      <c r="B800" s="517" t="s">
        <v>512</v>
      </c>
      <c r="C800" s="488" t="e">
        <f t="shared" si="244"/>
        <v>#DIV/0!</v>
      </c>
      <c r="D800" s="488" t="e">
        <f t="shared" si="244"/>
        <v>#DIV/0!</v>
      </c>
      <c r="E800" s="488" t="e">
        <f t="shared" si="244"/>
        <v>#DIV/0!</v>
      </c>
      <c r="F800" s="488" t="e">
        <f t="shared" si="244"/>
        <v>#DIV/0!</v>
      </c>
      <c r="G800" s="489" t="e">
        <f t="shared" si="244"/>
        <v>#DIV/0!</v>
      </c>
      <c r="H800" s="525" t="e">
        <f t="shared" ref="H800" si="246">H769/H$769</f>
        <v>#DIV/0!</v>
      </c>
      <c r="I800" s="488"/>
      <c r="J800" s="488"/>
      <c r="K800" s="488"/>
      <c r="L800" s="295"/>
      <c r="M800" s="295"/>
      <c r="O800" s="291"/>
      <c r="P800" s="291"/>
      <c r="T800" s="353"/>
      <c r="U800" s="353"/>
    </row>
    <row r="801" spans="1:21" x14ac:dyDescent="0.2">
      <c r="A801" s="516"/>
      <c r="B801" s="517" t="s">
        <v>534</v>
      </c>
      <c r="C801" s="488" t="e">
        <f t="shared" si="244"/>
        <v>#DIV/0!</v>
      </c>
      <c r="D801" s="488" t="e">
        <f t="shared" si="244"/>
        <v>#DIV/0!</v>
      </c>
      <c r="E801" s="488" t="e">
        <f t="shared" si="244"/>
        <v>#DIV/0!</v>
      </c>
      <c r="F801" s="488" t="e">
        <f t="shared" si="244"/>
        <v>#DIV/0!</v>
      </c>
      <c r="G801" s="489" t="e">
        <f t="shared" si="244"/>
        <v>#DIV/0!</v>
      </c>
      <c r="H801" s="525" t="e">
        <f t="shared" ref="H801" si="247">H770/H$769</f>
        <v>#DIV/0!</v>
      </c>
      <c r="I801" s="488"/>
      <c r="J801" s="488"/>
      <c r="K801" s="488"/>
      <c r="L801" s="295"/>
      <c r="M801" s="295"/>
      <c r="O801" s="291"/>
      <c r="P801" s="291"/>
      <c r="T801" s="353"/>
      <c r="U801" s="353"/>
    </row>
    <row r="802" spans="1:21" x14ac:dyDescent="0.2">
      <c r="A802" s="516"/>
      <c r="B802" s="517" t="s">
        <v>518</v>
      </c>
      <c r="C802" s="488" t="e">
        <f t="shared" ref="C802:G804" si="248">C765/C$769</f>
        <v>#DIV/0!</v>
      </c>
      <c r="D802" s="488" t="e">
        <f t="shared" si="248"/>
        <v>#DIV/0!</v>
      </c>
      <c r="E802" s="488" t="e">
        <f t="shared" si="248"/>
        <v>#DIV/0!</v>
      </c>
      <c r="F802" s="488" t="e">
        <f t="shared" si="248"/>
        <v>#DIV/0!</v>
      </c>
      <c r="G802" s="489" t="e">
        <f t="shared" si="248"/>
        <v>#DIV/0!</v>
      </c>
      <c r="H802" s="525" t="e">
        <f t="shared" ref="H802" si="249">H765/H$769</f>
        <v>#DIV/0!</v>
      </c>
      <c r="I802" s="488"/>
      <c r="J802" s="488"/>
      <c r="K802" s="488"/>
      <c r="L802" s="295"/>
      <c r="M802" s="295"/>
      <c r="O802" s="291"/>
      <c r="P802" s="291"/>
      <c r="T802" s="353"/>
      <c r="U802" s="353"/>
    </row>
    <row r="803" spans="1:21" x14ac:dyDescent="0.2">
      <c r="A803" s="516"/>
      <c r="B803" s="517" t="s">
        <v>75</v>
      </c>
      <c r="C803" s="488" t="e">
        <f t="shared" si="248"/>
        <v>#DIV/0!</v>
      </c>
      <c r="D803" s="488" t="e">
        <f t="shared" si="248"/>
        <v>#DIV/0!</v>
      </c>
      <c r="E803" s="488" t="e">
        <f t="shared" si="248"/>
        <v>#DIV/0!</v>
      </c>
      <c r="F803" s="488" t="e">
        <f t="shared" si="248"/>
        <v>#DIV/0!</v>
      </c>
      <c r="G803" s="489" t="e">
        <f t="shared" si="248"/>
        <v>#DIV/0!</v>
      </c>
      <c r="H803" s="525" t="e">
        <f t="shared" ref="H803" si="250">H766/H$769</f>
        <v>#DIV/0!</v>
      </c>
      <c r="I803" s="488"/>
      <c r="J803" s="488"/>
      <c r="K803" s="488"/>
      <c r="L803" s="295"/>
      <c r="M803" s="295"/>
      <c r="O803" s="291"/>
      <c r="P803" s="291"/>
      <c r="T803" s="353"/>
      <c r="U803" s="353"/>
    </row>
    <row r="804" spans="1:21" x14ac:dyDescent="0.2">
      <c r="A804" s="516"/>
      <c r="B804" s="517" t="s">
        <v>720</v>
      </c>
      <c r="C804" s="488" t="e">
        <f t="shared" si="248"/>
        <v>#DIV/0!</v>
      </c>
      <c r="D804" s="488" t="e">
        <f t="shared" si="248"/>
        <v>#DIV/0!</v>
      </c>
      <c r="E804" s="488" t="e">
        <f t="shared" si="248"/>
        <v>#DIV/0!</v>
      </c>
      <c r="F804" s="488" t="e">
        <f t="shared" si="248"/>
        <v>#DIV/0!</v>
      </c>
      <c r="G804" s="489" t="e">
        <f t="shared" si="248"/>
        <v>#DIV/0!</v>
      </c>
      <c r="H804" s="525" t="e">
        <f t="shared" ref="H804" si="251">H767/H$769</f>
        <v>#DIV/0!</v>
      </c>
      <c r="I804" s="488"/>
      <c r="J804" s="488"/>
      <c r="K804" s="488"/>
      <c r="L804" s="295"/>
      <c r="M804" s="295"/>
      <c r="O804" s="291"/>
      <c r="P804" s="291"/>
      <c r="T804" s="353"/>
      <c r="U804" s="353"/>
    </row>
    <row r="805" spans="1:21" x14ac:dyDescent="0.2">
      <c r="A805" s="516"/>
      <c r="B805" s="517" t="s">
        <v>2</v>
      </c>
      <c r="C805" s="488" t="e">
        <f t="shared" ref="C805:H805" si="252">C768/C$769</f>
        <v>#DIV/0!</v>
      </c>
      <c r="D805" s="488" t="e">
        <f t="shared" si="252"/>
        <v>#DIV/0!</v>
      </c>
      <c r="E805" s="488" t="e">
        <f t="shared" si="252"/>
        <v>#DIV/0!</v>
      </c>
      <c r="F805" s="488" t="e">
        <f t="shared" si="252"/>
        <v>#DIV/0!</v>
      </c>
      <c r="G805" s="489" t="e">
        <f t="shared" si="252"/>
        <v>#DIV/0!</v>
      </c>
      <c r="H805" s="525" t="e">
        <f t="shared" si="252"/>
        <v>#DIV/0!</v>
      </c>
      <c r="I805" s="488"/>
      <c r="J805" s="488"/>
      <c r="K805" s="488"/>
      <c r="L805" s="295"/>
      <c r="M805" s="295"/>
      <c r="O805" s="291"/>
      <c r="P805" s="291"/>
      <c r="T805" s="353"/>
      <c r="U805" s="353"/>
    </row>
    <row r="806" spans="1:21" x14ac:dyDescent="0.2">
      <c r="A806" s="516"/>
      <c r="B806" s="518" t="s">
        <v>247</v>
      </c>
      <c r="C806" s="526">
        <f>C769</f>
        <v>0</v>
      </c>
      <c r="D806" s="526">
        <f t="shared" ref="D806:G806" si="253">D769</f>
        <v>0</v>
      </c>
      <c r="E806" s="526">
        <f t="shared" si="253"/>
        <v>0</v>
      </c>
      <c r="F806" s="526">
        <f t="shared" si="253"/>
        <v>0</v>
      </c>
      <c r="G806" s="527">
        <f t="shared" si="253"/>
        <v>0</v>
      </c>
      <c r="H806" s="528">
        <f t="shared" ref="H806" si="254">H769</f>
        <v>0</v>
      </c>
      <c r="I806" s="526"/>
      <c r="J806" s="526"/>
      <c r="K806" s="526"/>
      <c r="L806" s="295"/>
      <c r="M806" s="295"/>
      <c r="O806" s="291"/>
      <c r="P806" s="291"/>
      <c r="T806" s="353"/>
      <c r="U806" s="353"/>
    </row>
    <row r="807" spans="1:21" ht="13.5" thickBot="1" x14ac:dyDescent="0.25">
      <c r="A807" s="521"/>
      <c r="B807" s="522" t="s">
        <v>535</v>
      </c>
      <c r="C807" s="523"/>
      <c r="D807" s="523"/>
      <c r="E807" s="523"/>
      <c r="F807" s="523"/>
      <c r="G807" s="453"/>
      <c r="H807" s="509"/>
      <c r="I807" s="301"/>
      <c r="J807" s="301"/>
      <c r="K807" s="301"/>
      <c r="L807" s="295"/>
      <c r="M807" s="295"/>
      <c r="O807" s="291"/>
      <c r="P807" s="291"/>
      <c r="T807" s="353"/>
      <c r="U807" s="353"/>
    </row>
    <row r="808" spans="1:21" ht="13.5" thickBot="1" x14ac:dyDescent="0.25">
      <c r="B808" s="234"/>
      <c r="C808" s="151"/>
      <c r="D808" s="151"/>
      <c r="E808" s="151"/>
      <c r="F808" s="151"/>
      <c r="G808" s="151"/>
      <c r="H808" s="231"/>
      <c r="I808" s="151"/>
      <c r="J808" s="151"/>
      <c r="K808" s="151"/>
      <c r="O808" s="291"/>
      <c r="P808" s="291"/>
      <c r="T808" s="353"/>
      <c r="U808" s="353"/>
    </row>
    <row r="809" spans="1:21" s="295" customFormat="1" ht="19.5" thickBot="1" x14ac:dyDescent="0.25">
      <c r="A809" s="41"/>
      <c r="B809" s="34" t="s">
        <v>356</v>
      </c>
      <c r="C809" s="318"/>
      <c r="D809" s="318"/>
      <c r="E809" s="318"/>
      <c r="F809" s="318"/>
      <c r="G809" s="318"/>
      <c r="H809" s="343"/>
      <c r="T809" s="353"/>
      <c r="U809" s="353"/>
    </row>
    <row r="810" spans="1:21" s="298" customFormat="1" x14ac:dyDescent="0.2">
      <c r="A810" s="169"/>
      <c r="B810" s="200"/>
      <c r="C810" s="225" t="str">
        <f>C$21</f>
        <v>31/03/2017</v>
      </c>
      <c r="D810" s="225" t="str">
        <f t="shared" ref="D810:G810" si="255">D$21</f>
        <v>31/03/2018</v>
      </c>
      <c r="E810" s="225" t="str">
        <f t="shared" si="255"/>
        <v>31/03/2019</v>
      </c>
      <c r="F810" s="225" t="str">
        <f t="shared" si="255"/>
        <v>31/03/2020</v>
      </c>
      <c r="G810" s="226" t="str">
        <f t="shared" si="255"/>
        <v>31/03/2021</v>
      </c>
      <c r="H810" s="342"/>
      <c r="T810" s="353"/>
      <c r="U810" s="353"/>
    </row>
    <row r="811" spans="1:21" s="295" customFormat="1" x14ac:dyDescent="0.2">
      <c r="A811" s="84"/>
      <c r="B811" s="188" t="s">
        <v>356</v>
      </c>
      <c r="C811" s="149"/>
      <c r="D811" s="149"/>
      <c r="E811" s="149"/>
      <c r="F811" s="149"/>
      <c r="G811" s="150"/>
      <c r="H811" s="343"/>
      <c r="T811" s="353"/>
      <c r="U811" s="353"/>
    </row>
    <row r="812" spans="1:21" s="298" customFormat="1" x14ac:dyDescent="0.2">
      <c r="A812" s="84"/>
      <c r="B812" s="179" t="s">
        <v>357</v>
      </c>
      <c r="C812" s="177">
        <f>Sheet1!C578</f>
        <v>0</v>
      </c>
      <c r="D812" s="177">
        <f>Sheet1!D578</f>
        <v>0</v>
      </c>
      <c r="E812" s="177">
        <f>Sheet1!E578</f>
        <v>0</v>
      </c>
      <c r="F812" s="177">
        <f>Sheet1!F578</f>
        <v>60</v>
      </c>
      <c r="G812" s="178">
        <f>Sheet1!G578</f>
        <v>28</v>
      </c>
      <c r="H812" s="342"/>
      <c r="T812" s="353"/>
      <c r="U812" s="353"/>
    </row>
    <row r="813" spans="1:21" s="298" customFormat="1" x14ac:dyDescent="0.2">
      <c r="A813" s="84"/>
      <c r="B813" s="179" t="s">
        <v>358</v>
      </c>
      <c r="C813" s="177">
        <f>Sheet1!C579</f>
        <v>0</v>
      </c>
      <c r="D813" s="177">
        <f>Sheet1!D579</f>
        <v>0</v>
      </c>
      <c r="E813" s="177">
        <f>Sheet1!E579</f>
        <v>0</v>
      </c>
      <c r="F813" s="177">
        <f>Sheet1!F579</f>
        <v>2007</v>
      </c>
      <c r="G813" s="178">
        <f>Sheet1!G579</f>
        <v>2469</v>
      </c>
      <c r="H813" s="342"/>
      <c r="T813" s="353"/>
      <c r="U813" s="353"/>
    </row>
    <row r="814" spans="1:21" s="295" customFormat="1" x14ac:dyDescent="0.2">
      <c r="A814" s="84"/>
      <c r="B814" s="179" t="s">
        <v>359</v>
      </c>
      <c r="C814" s="177">
        <f>Sheet1!C580</f>
        <v>0</v>
      </c>
      <c r="D814" s="177">
        <f>Sheet1!D580</f>
        <v>0</v>
      </c>
      <c r="E814" s="177">
        <f>Sheet1!E580</f>
        <v>0</v>
      </c>
      <c r="F814" s="177">
        <f>Sheet1!F580</f>
        <v>2039</v>
      </c>
      <c r="G814" s="178">
        <f>Sheet1!G580</f>
        <v>2407</v>
      </c>
      <c r="H814" s="343"/>
      <c r="T814" s="353"/>
      <c r="U814" s="353"/>
    </row>
    <row r="815" spans="1:21" s="295" customFormat="1" x14ac:dyDescent="0.2">
      <c r="A815" s="84"/>
      <c r="B815" s="203" t="s">
        <v>360</v>
      </c>
      <c r="C815" s="204">
        <f>Sheet1!C581</f>
        <v>0</v>
      </c>
      <c r="D815" s="204">
        <f>Sheet1!D581</f>
        <v>0</v>
      </c>
      <c r="E815" s="204">
        <f>Sheet1!E581</f>
        <v>0</v>
      </c>
      <c r="F815" s="204">
        <f>Sheet1!F581</f>
        <v>28</v>
      </c>
      <c r="G815" s="205">
        <f>Sheet1!G581</f>
        <v>90</v>
      </c>
      <c r="H815" s="343"/>
      <c r="T815" s="353"/>
      <c r="U815" s="353"/>
    </row>
    <row r="816" spans="1:21" s="295" customFormat="1" x14ac:dyDescent="0.2">
      <c r="A816" s="84"/>
      <c r="B816" s="203"/>
      <c r="C816" s="204"/>
      <c r="D816" s="204"/>
      <c r="E816" s="204"/>
      <c r="F816" s="204"/>
      <c r="G816" s="205"/>
      <c r="H816" s="343"/>
      <c r="T816" s="353"/>
      <c r="U816" s="353"/>
    </row>
    <row r="817" spans="1:21" s="295" customFormat="1" ht="13.5" thickBot="1" x14ac:dyDescent="0.25">
      <c r="A817" s="87"/>
      <c r="B817" s="192"/>
      <c r="C817" s="153"/>
      <c r="D817" s="153"/>
      <c r="E817" s="153"/>
      <c r="F817" s="153"/>
      <c r="G817" s="154"/>
      <c r="H817" s="343"/>
      <c r="T817" s="353"/>
      <c r="U817" s="353"/>
    </row>
    <row r="818" spans="1:21" ht="13.5" thickBot="1" x14ac:dyDescent="0.25">
      <c r="B818" s="234"/>
      <c r="C818" s="151"/>
      <c r="D818" s="151"/>
      <c r="E818" s="151"/>
      <c r="F818" s="151"/>
      <c r="G818" s="151"/>
      <c r="H818" s="231"/>
      <c r="I818" s="151"/>
      <c r="J818" s="151"/>
      <c r="K818" s="151"/>
      <c r="O818" s="291"/>
      <c r="P818" s="291"/>
      <c r="T818" s="353"/>
      <c r="U818" s="353"/>
    </row>
    <row r="819" spans="1:21" ht="19.5" thickBot="1" x14ac:dyDescent="0.25">
      <c r="A819" s="41"/>
      <c r="B819" s="34" t="s">
        <v>2</v>
      </c>
      <c r="C819" s="318"/>
      <c r="D819" s="318"/>
      <c r="E819" s="318"/>
      <c r="F819" s="318"/>
      <c r="G819" s="318"/>
      <c r="T819" s="353"/>
      <c r="U819" s="353"/>
    </row>
    <row r="820" spans="1:21" x14ac:dyDescent="0.2">
      <c r="A820" s="169"/>
      <c r="B820" s="200"/>
      <c r="C820" s="225" t="str">
        <f>C$21</f>
        <v>31/03/2017</v>
      </c>
      <c r="D820" s="225" t="str">
        <f t="shared" ref="D820:G820" si="256">D$21</f>
        <v>31/03/2018</v>
      </c>
      <c r="E820" s="225" t="str">
        <f t="shared" si="256"/>
        <v>31/03/2019</v>
      </c>
      <c r="F820" s="225" t="str">
        <f t="shared" si="256"/>
        <v>31/03/2020</v>
      </c>
      <c r="G820" s="226" t="str">
        <f t="shared" si="256"/>
        <v>31/03/2021</v>
      </c>
      <c r="T820" s="353"/>
      <c r="U820" s="353"/>
    </row>
    <row r="821" spans="1:21" x14ac:dyDescent="0.2">
      <c r="A821" s="169"/>
      <c r="B821" s="188"/>
      <c r="C821" s="149"/>
      <c r="D821" s="149"/>
      <c r="E821" s="149"/>
      <c r="F821" s="149"/>
      <c r="G821" s="150"/>
      <c r="T821" s="353"/>
      <c r="U821" s="353"/>
    </row>
    <row r="822" spans="1:21" x14ac:dyDescent="0.2">
      <c r="A822" s="169"/>
      <c r="B822" s="179" t="s">
        <v>485</v>
      </c>
      <c r="C822" s="177">
        <f>Sheet1!C294+Sheet1!C287</f>
        <v>34227.65</v>
      </c>
      <c r="D822" s="177">
        <f>Sheet1!D294+Sheet1!D287</f>
        <v>4333.3499999999995</v>
      </c>
      <c r="E822" s="177">
        <f>Sheet1!E294+Sheet1!E287</f>
        <v>23372.9</v>
      </c>
      <c r="F822" s="177">
        <f>Sheet1!F294+Sheet1!F287</f>
        <v>54501.4</v>
      </c>
      <c r="G822" s="178">
        <f>Sheet1!G294+Sheet1!G287</f>
        <v>86807.700000000012</v>
      </c>
      <c r="T822" s="353"/>
      <c r="U822" s="353"/>
    </row>
    <row r="823" spans="1:21" x14ac:dyDescent="0.2">
      <c r="A823" s="169"/>
      <c r="B823" s="179" t="s">
        <v>769</v>
      </c>
      <c r="C823" s="177">
        <f>SUM(C49:C52)</f>
        <v>303778.59999999998</v>
      </c>
      <c r="D823" s="177">
        <f t="shared" ref="D823:G823" si="257">SUM(D49:D52)</f>
        <v>353573.89999999997</v>
      </c>
      <c r="E823" s="177">
        <f t="shared" si="257"/>
        <v>406161.2</v>
      </c>
      <c r="F823" s="177">
        <f t="shared" si="257"/>
        <v>480808.7</v>
      </c>
      <c r="G823" s="178">
        <f t="shared" si="257"/>
        <v>560596.99999999988</v>
      </c>
      <c r="T823" s="353"/>
      <c r="U823" s="353"/>
    </row>
    <row r="824" spans="1:21" x14ac:dyDescent="0.2">
      <c r="A824" s="169"/>
      <c r="B824" s="179" t="s">
        <v>706</v>
      </c>
      <c r="C824" s="177">
        <f>C552+C575</f>
        <v>0</v>
      </c>
      <c r="D824" s="177">
        <f t="shared" ref="D824:G824" si="258">D552+D575</f>
        <v>0</v>
      </c>
      <c r="E824" s="177">
        <f t="shared" si="258"/>
        <v>0</v>
      </c>
      <c r="F824" s="177">
        <f t="shared" si="258"/>
        <v>0</v>
      </c>
      <c r="G824" s="178">
        <f t="shared" si="258"/>
        <v>0</v>
      </c>
      <c r="H824" s="291"/>
      <c r="O824" s="291"/>
      <c r="P824" s="291"/>
      <c r="T824" s="353"/>
      <c r="U824" s="353"/>
    </row>
    <row r="825" spans="1:21" x14ac:dyDescent="0.2">
      <c r="A825" s="169"/>
      <c r="B825" s="203" t="s">
        <v>785</v>
      </c>
      <c r="C825" s="272" t="e">
        <f>Sheet1!C107/C395</f>
        <v>#DIV/0!</v>
      </c>
      <c r="D825" s="204" t="e">
        <f>Sheet1!D107/D395</f>
        <v>#DIV/0!</v>
      </c>
      <c r="E825" s="578">
        <f>Sheet1!E107/E395</f>
        <v>-1.6130551312263433E-9</v>
      </c>
      <c r="F825" s="578">
        <f>Sheet1!F107/F395</f>
        <v>-2.1764535590798315E-5</v>
      </c>
      <c r="G825" s="579">
        <f>Sheet1!G107/G395</f>
        <v>4.9313042605277082E-7</v>
      </c>
      <c r="H825" s="291"/>
      <c r="O825" s="291"/>
      <c r="P825" s="291"/>
      <c r="T825" s="353"/>
      <c r="U825" s="353"/>
    </row>
    <row r="826" spans="1:21" x14ac:dyDescent="0.2">
      <c r="A826" s="169"/>
      <c r="B826" s="179" t="s">
        <v>787</v>
      </c>
      <c r="C826" s="359" t="e">
        <f>C136+C387+C389+C825+C135</f>
        <v>#DIV/0!</v>
      </c>
      <c r="D826" s="177" t="e">
        <f t="shared" ref="D826:G826" si="259">D136+D387+D389+D825+D135</f>
        <v>#DIV/0!</v>
      </c>
      <c r="E826" s="582">
        <f t="shared" si="259"/>
        <v>0.99985471857655095</v>
      </c>
      <c r="F826" s="580">
        <f t="shared" si="259"/>
        <v>0.19569550303715441</v>
      </c>
      <c r="G826" s="581">
        <f t="shared" si="259"/>
        <v>0.60871411597761904</v>
      </c>
      <c r="H826" s="291"/>
      <c r="O826" s="291"/>
      <c r="P826" s="291"/>
      <c r="T826" s="353"/>
      <c r="U826" s="353"/>
    </row>
    <row r="827" spans="1:21" x14ac:dyDescent="0.2">
      <c r="A827" s="169"/>
      <c r="B827" s="179" t="s">
        <v>789</v>
      </c>
      <c r="C827" s="151">
        <f>C104/Sheet1!C165</f>
        <v>6.9805879434383531</v>
      </c>
      <c r="D827" s="177">
        <f>D104/Sheet1!D165</f>
        <v>7.2158568223408217</v>
      </c>
      <c r="E827" s="177">
        <f>E104/Sheet1!E165</f>
        <v>6.642997346761967</v>
      </c>
      <c r="F827" s="177">
        <f>F104/Sheet1!F165</f>
        <v>7.5441107120247031</v>
      </c>
      <c r="G827" s="178">
        <f>G104/Sheet1!G165</f>
        <v>8.0671994967825977</v>
      </c>
      <c r="H827" s="291"/>
      <c r="O827" s="291"/>
      <c r="P827" s="291"/>
      <c r="T827" s="353"/>
      <c r="U827" s="353"/>
    </row>
    <row r="828" spans="1:21" x14ac:dyDescent="0.2">
      <c r="A828" s="169"/>
      <c r="B828" s="179" t="s">
        <v>790</v>
      </c>
      <c r="C828" s="151">
        <f>C104/C102</f>
        <v>7.9140135449830691</v>
      </c>
      <c r="D828" s="177">
        <f t="shared" ref="D828:G828" si="260">D104/D102</f>
        <v>8.5790350084728093</v>
      </c>
      <c r="E828" s="177">
        <f t="shared" si="260"/>
        <v>7.5337351732766855</v>
      </c>
      <c r="F828" s="177">
        <f t="shared" si="260"/>
        <v>8.2852280487047842</v>
      </c>
      <c r="G828" s="178">
        <f t="shared" si="260"/>
        <v>8.871746745721202</v>
      </c>
      <c r="H828" s="291"/>
      <c r="O828" s="291"/>
      <c r="P828" s="291"/>
      <c r="T828" s="353"/>
      <c r="U828" s="353"/>
    </row>
    <row r="829" spans="1:21" x14ac:dyDescent="0.2">
      <c r="A829" s="169"/>
      <c r="B829" s="179" t="s">
        <v>791</v>
      </c>
      <c r="C829" s="151">
        <f>C823/C102</f>
        <v>8.5437624452969434</v>
      </c>
      <c r="D829" s="177">
        <f t="shared" ref="D829:G829" si="261">D823/D102</f>
        <v>9.4503605621455176</v>
      </c>
      <c r="E829" s="177">
        <f t="shared" si="261"/>
        <v>7.7942594842094568</v>
      </c>
      <c r="F829" s="177">
        <f t="shared" si="261"/>
        <v>8.5279254352125307</v>
      </c>
      <c r="G829" s="178">
        <f t="shared" si="261"/>
        <v>9.1894669720003321</v>
      </c>
      <c r="H829" s="291"/>
      <c r="O829" s="291"/>
      <c r="P829" s="291"/>
      <c r="T829" s="353"/>
      <c r="U829" s="353"/>
    </row>
    <row r="830" spans="1:21" x14ac:dyDescent="0.2">
      <c r="A830" s="169"/>
      <c r="B830" s="179" t="s">
        <v>793</v>
      </c>
      <c r="C830" s="177">
        <f>C162+C163</f>
        <v>0</v>
      </c>
      <c r="D830" s="177">
        <f t="shared" ref="D830:G830" si="262">D162+D163</f>
        <v>0</v>
      </c>
      <c r="E830" s="177">
        <f t="shared" si="262"/>
        <v>0</v>
      </c>
      <c r="F830" s="177">
        <f t="shared" si="262"/>
        <v>0</v>
      </c>
      <c r="G830" s="178">
        <f t="shared" si="262"/>
        <v>0</v>
      </c>
      <c r="H830" s="291"/>
      <c r="O830" s="291"/>
      <c r="P830" s="291"/>
      <c r="T830" s="353"/>
      <c r="U830" s="353"/>
    </row>
    <row r="831" spans="1:21" x14ac:dyDescent="0.2">
      <c r="A831" s="169"/>
      <c r="B831" s="179" t="s">
        <v>807</v>
      </c>
      <c r="C831" s="177">
        <f>C172-(C160+C163+C830+C159+C164+C169+C170+C167)</f>
        <v>52446.399999999965</v>
      </c>
      <c r="D831" s="177">
        <f t="shared" ref="D831:G831" si="263">D172-(D160+D163+D830+D159+D164+D169+D170+D167)</f>
        <v>63721.500000000058</v>
      </c>
      <c r="E831" s="177">
        <f t="shared" si="263"/>
        <v>62961.599999999977</v>
      </c>
      <c r="F831" s="177">
        <f t="shared" si="263"/>
        <v>63422.5</v>
      </c>
      <c r="G831" s="178">
        <f t="shared" si="263"/>
        <v>90873.900000000081</v>
      </c>
      <c r="H831" s="291"/>
      <c r="O831" s="291"/>
      <c r="P831" s="291"/>
      <c r="T831" s="353"/>
      <c r="U831" s="353"/>
    </row>
    <row r="832" spans="1:21" x14ac:dyDescent="0.2">
      <c r="A832" s="169"/>
      <c r="B832" s="179"/>
      <c r="C832" s="177"/>
      <c r="D832" s="177"/>
      <c r="E832" s="177"/>
      <c r="F832" s="177"/>
      <c r="G832" s="178"/>
      <c r="H832" s="291"/>
      <c r="O832" s="291"/>
      <c r="P832" s="291"/>
      <c r="T832" s="353"/>
      <c r="U832" s="353"/>
    </row>
    <row r="833" spans="1:21" ht="13.5" thickBot="1" x14ac:dyDescent="0.25">
      <c r="A833" s="87"/>
      <c r="B833" s="192"/>
      <c r="C833" s="153"/>
      <c r="D833" s="153"/>
      <c r="E833" s="153"/>
      <c r="F833" s="153"/>
      <c r="G833" s="154"/>
      <c r="H833" s="291"/>
      <c r="O833" s="291"/>
      <c r="P833" s="291"/>
      <c r="T833" s="353"/>
      <c r="U833" s="353"/>
    </row>
    <row r="834" spans="1:21" x14ac:dyDescent="0.2">
      <c r="B834" s="291"/>
      <c r="H834" s="291"/>
      <c r="O834" s="291"/>
      <c r="P834" s="291"/>
      <c r="T834" s="353"/>
      <c r="U834" s="353"/>
    </row>
    <row r="835" spans="1:21" ht="13.5" thickBot="1" x14ac:dyDescent="0.25">
      <c r="B835" s="291"/>
      <c r="H835" s="291"/>
      <c r="O835" s="291"/>
      <c r="P835" s="291"/>
      <c r="T835" s="353"/>
      <c r="U835" s="353"/>
    </row>
    <row r="836" spans="1:21" ht="19.5" thickBot="1" x14ac:dyDescent="0.25">
      <c r="A836" s="41"/>
      <c r="B836" s="34" t="s">
        <v>235</v>
      </c>
      <c r="C836" s="218"/>
      <c r="D836" s="218"/>
      <c r="E836" s="218"/>
      <c r="F836" s="218"/>
      <c r="G836" s="218"/>
      <c r="H836" s="289"/>
      <c r="I836" s="287"/>
      <c r="J836" s="287"/>
      <c r="K836" s="287"/>
      <c r="L836" s="287"/>
      <c r="M836" s="287"/>
      <c r="O836" s="291"/>
      <c r="P836" s="291"/>
      <c r="T836" s="353"/>
      <c r="U836" s="353"/>
    </row>
    <row r="837" spans="1:21" x14ac:dyDescent="0.2">
      <c r="A837" s="169"/>
      <c r="B837" s="157" t="s">
        <v>285</v>
      </c>
      <c r="C837" s="229" t="str">
        <f>Sheet1!C381</f>
        <v>31/03/2021</v>
      </c>
      <c r="D837" s="213"/>
      <c r="E837" s="213"/>
      <c r="F837" s="213"/>
      <c r="G837" s="213"/>
      <c r="H837" s="14"/>
      <c r="I837" s="14"/>
      <c r="J837" s="14"/>
      <c r="K837" s="14"/>
      <c r="L837" s="14"/>
      <c r="M837" s="15"/>
      <c r="O837" s="291"/>
      <c r="P837" s="291"/>
      <c r="T837" s="353"/>
      <c r="U837" s="353"/>
    </row>
    <row r="838" spans="1:21" ht="51" x14ac:dyDescent="0.2">
      <c r="A838" s="169"/>
      <c r="B838" s="66" t="s">
        <v>236</v>
      </c>
      <c r="C838" s="161" t="s">
        <v>237</v>
      </c>
      <c r="D838" s="161" t="s">
        <v>238</v>
      </c>
      <c r="E838" s="161" t="s">
        <v>239</v>
      </c>
      <c r="F838" s="161" t="s">
        <v>240</v>
      </c>
      <c r="G838" s="161" t="s">
        <v>241</v>
      </c>
      <c r="H838" s="161" t="s">
        <v>242</v>
      </c>
      <c r="I838" s="161" t="s">
        <v>243</v>
      </c>
      <c r="J838" s="161" t="s">
        <v>244</v>
      </c>
      <c r="K838" s="161" t="s">
        <v>245</v>
      </c>
      <c r="L838" s="161" t="s">
        <v>246</v>
      </c>
      <c r="M838" s="162" t="s">
        <v>247</v>
      </c>
      <c r="O838" s="291"/>
      <c r="P838" s="291"/>
      <c r="T838" s="353"/>
      <c r="U838" s="353"/>
    </row>
    <row r="839" spans="1:21" ht="15" x14ac:dyDescent="0.2">
      <c r="A839" s="169"/>
      <c r="B839" s="66"/>
      <c r="C839" s="158"/>
      <c r="D839" s="158"/>
      <c r="E839" s="158"/>
      <c r="F839" s="158"/>
      <c r="G839" s="158"/>
      <c r="H839" s="158"/>
      <c r="I839" s="158"/>
      <c r="J839" s="158"/>
      <c r="K839" s="158"/>
      <c r="L839" s="158"/>
      <c r="M839" s="159"/>
      <c r="O839" s="291"/>
      <c r="P839" s="291"/>
      <c r="T839" s="353"/>
      <c r="U839" s="353"/>
    </row>
    <row r="840" spans="1:21" ht="15" x14ac:dyDescent="0.2">
      <c r="A840" s="169"/>
      <c r="B840" s="66" t="s">
        <v>248</v>
      </c>
      <c r="C840" s="158"/>
      <c r="D840" s="158"/>
      <c r="E840" s="158"/>
      <c r="F840" s="158"/>
      <c r="G840" s="158"/>
      <c r="H840" s="158"/>
      <c r="I840" s="158"/>
      <c r="J840" s="158"/>
      <c r="K840" s="158"/>
      <c r="L840" s="158"/>
      <c r="M840" s="159"/>
      <c r="O840" s="291"/>
      <c r="P840" s="291"/>
      <c r="T840" s="353"/>
      <c r="U840" s="353"/>
    </row>
    <row r="841" spans="1:21" x14ac:dyDescent="0.2">
      <c r="A841" s="169"/>
      <c r="B841" s="179" t="s">
        <v>702</v>
      </c>
      <c r="C841" s="244">
        <f>Sheet1!C385</f>
        <v>31686.9</v>
      </c>
      <c r="D841" s="244">
        <f>Sheet1!D385</f>
        <v>23563.7</v>
      </c>
      <c r="E841" s="244">
        <f>Sheet1!E385</f>
        <v>29633.200000000001</v>
      </c>
      <c r="F841" s="244">
        <f>Sheet1!F385</f>
        <v>88943.6</v>
      </c>
      <c r="G841" s="244">
        <f>Sheet1!G385</f>
        <v>120044.4</v>
      </c>
      <c r="H841" s="244">
        <f>Sheet1!H385</f>
        <v>243240.8</v>
      </c>
      <c r="I841" s="244">
        <f>Sheet1!I385</f>
        <v>84845.4</v>
      </c>
      <c r="J841" s="244">
        <f>Sheet1!J385</f>
        <v>59157.8</v>
      </c>
      <c r="K841" s="244">
        <f>Sheet1!K385</f>
        <v>0</v>
      </c>
      <c r="L841" s="244">
        <f>Sheet1!L385</f>
        <v>0</v>
      </c>
      <c r="M841" s="205">
        <f>Sheet1!M385</f>
        <v>681115.80000000016</v>
      </c>
      <c r="T841" s="353"/>
      <c r="U841" s="353"/>
    </row>
    <row r="842" spans="1:21" x14ac:dyDescent="0.2">
      <c r="A842" s="169"/>
      <c r="B842" s="179" t="s">
        <v>249</v>
      </c>
      <c r="C842" s="244">
        <f>Sheet1!C386</f>
        <v>0</v>
      </c>
      <c r="D842" s="244">
        <f>Sheet1!D386</f>
        <v>0</v>
      </c>
      <c r="E842" s="244">
        <f>Sheet1!E386</f>
        <v>0</v>
      </c>
      <c r="F842" s="244">
        <f>Sheet1!F386</f>
        <v>0</v>
      </c>
      <c r="G842" s="244">
        <f>Sheet1!G386</f>
        <v>0</v>
      </c>
      <c r="H842" s="244">
        <f>Sheet1!H386</f>
        <v>0</v>
      </c>
      <c r="I842" s="244">
        <f>Sheet1!I386</f>
        <v>0</v>
      </c>
      <c r="J842" s="244">
        <f>Sheet1!J386</f>
        <v>0</v>
      </c>
      <c r="K842" s="244">
        <f>Sheet1!K386</f>
        <v>0</v>
      </c>
      <c r="L842" s="244">
        <f>Sheet1!L386</f>
        <v>0</v>
      </c>
      <c r="M842" s="205">
        <f>Sheet1!M386</f>
        <v>0</v>
      </c>
      <c r="T842" s="353"/>
      <c r="U842" s="353"/>
    </row>
    <row r="843" spans="1:21" x14ac:dyDescent="0.2">
      <c r="A843" s="169"/>
      <c r="B843" s="179" t="s">
        <v>250</v>
      </c>
      <c r="C843" s="244">
        <f>Sheet1!C387</f>
        <v>3605.3999999999996</v>
      </c>
      <c r="D843" s="244">
        <f>Sheet1!D387</f>
        <v>2050.6</v>
      </c>
      <c r="E843" s="244">
        <f>Sheet1!E387</f>
        <v>3114.9</v>
      </c>
      <c r="F843" s="244">
        <f>Sheet1!F387</f>
        <v>13577.4</v>
      </c>
      <c r="G843" s="244">
        <f>Sheet1!G387</f>
        <v>33172.400000000001</v>
      </c>
      <c r="H843" s="244">
        <f>Sheet1!H387</f>
        <v>76898.399999999994</v>
      </c>
      <c r="I843" s="244">
        <f>Sheet1!I387</f>
        <v>30476.5</v>
      </c>
      <c r="J843" s="244">
        <f>Sheet1!J387</f>
        <v>0</v>
      </c>
      <c r="K843" s="244">
        <f>Sheet1!K387</f>
        <v>0</v>
      </c>
      <c r="L843" s="244">
        <f>Sheet1!L387</f>
        <v>0</v>
      </c>
      <c r="M843" s="205">
        <f>Sheet1!M387</f>
        <v>162895.59999999998</v>
      </c>
      <c r="T843" s="353"/>
      <c r="U843" s="353"/>
    </row>
    <row r="844" spans="1:21" x14ac:dyDescent="0.2">
      <c r="A844" s="169"/>
      <c r="B844" s="179" t="s">
        <v>251</v>
      </c>
      <c r="C844" s="244">
        <f>Sheet1!C388</f>
        <v>2466.6999999999998</v>
      </c>
      <c r="D844" s="244">
        <f>Sheet1!D388</f>
        <v>0</v>
      </c>
      <c r="E844" s="244">
        <f>Sheet1!E388</f>
        <v>220.9</v>
      </c>
      <c r="F844" s="244">
        <f>Sheet1!F388</f>
        <v>2287.6</v>
      </c>
      <c r="G844" s="244">
        <f>Sheet1!G388</f>
        <v>29915.5</v>
      </c>
      <c r="H844" s="244">
        <f>Sheet1!H388</f>
        <v>175623.2</v>
      </c>
      <c r="I844" s="244">
        <f>Sheet1!I388</f>
        <v>5350.3</v>
      </c>
      <c r="J844" s="244">
        <f>Sheet1!J388</f>
        <v>3156.2</v>
      </c>
      <c r="K844" s="244">
        <f>Sheet1!K388</f>
        <v>0</v>
      </c>
      <c r="L844" s="244">
        <f>Sheet1!L388</f>
        <v>0</v>
      </c>
      <c r="M844" s="205">
        <f>Sheet1!M388</f>
        <v>219020.40000000002</v>
      </c>
      <c r="T844" s="353"/>
      <c r="U844" s="353"/>
    </row>
    <row r="845" spans="1:21" x14ac:dyDescent="0.2">
      <c r="A845" s="169"/>
      <c r="B845" s="203" t="s">
        <v>247</v>
      </c>
      <c r="C845" s="276">
        <f>SUM(C841:C844)</f>
        <v>37759</v>
      </c>
      <c r="D845" s="276">
        <f t="shared" ref="D845:M845" si="264">SUM(D841:D844)</f>
        <v>25614.3</v>
      </c>
      <c r="E845" s="276">
        <f t="shared" si="264"/>
        <v>32969</v>
      </c>
      <c r="F845" s="276">
        <f t="shared" si="264"/>
        <v>104808.6</v>
      </c>
      <c r="G845" s="276">
        <f t="shared" si="264"/>
        <v>183132.3</v>
      </c>
      <c r="H845" s="276">
        <f t="shared" si="264"/>
        <v>495762.39999999997</v>
      </c>
      <c r="I845" s="276">
        <f t="shared" si="264"/>
        <v>120672.2</v>
      </c>
      <c r="J845" s="276">
        <f t="shared" si="264"/>
        <v>62314</v>
      </c>
      <c r="K845" s="276">
        <f t="shared" si="264"/>
        <v>0</v>
      </c>
      <c r="L845" s="276">
        <f t="shared" si="264"/>
        <v>0</v>
      </c>
      <c r="M845" s="205">
        <f t="shared" si="264"/>
        <v>1063031.8000000003</v>
      </c>
      <c r="T845" s="353"/>
      <c r="U845" s="353"/>
    </row>
    <row r="846" spans="1:21" x14ac:dyDescent="0.2">
      <c r="A846" s="169"/>
      <c r="B846" s="203"/>
      <c r="C846" s="276"/>
      <c r="D846" s="276"/>
      <c r="E846" s="276"/>
      <c r="F846" s="276"/>
      <c r="G846" s="276"/>
      <c r="H846" s="276"/>
      <c r="I846" s="276"/>
      <c r="J846" s="276"/>
      <c r="K846" s="276"/>
      <c r="L846" s="276"/>
      <c r="M846" s="205"/>
      <c r="T846" s="353"/>
      <c r="U846" s="353"/>
    </row>
    <row r="847" spans="1:21" ht="15" x14ac:dyDescent="0.2">
      <c r="A847" s="169"/>
      <c r="B847" s="66" t="s">
        <v>252</v>
      </c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1"/>
      <c r="T847" s="353"/>
      <c r="U847" s="353"/>
    </row>
    <row r="848" spans="1:21" x14ac:dyDescent="0.2">
      <c r="A848" s="169"/>
      <c r="B848" s="179" t="s">
        <v>253</v>
      </c>
      <c r="C848" s="244">
        <f>Sheet1!C396</f>
        <v>0</v>
      </c>
      <c r="D848" s="244">
        <f>Sheet1!D396</f>
        <v>32068.400000000001</v>
      </c>
      <c r="E848" s="244">
        <f>Sheet1!E396</f>
        <v>31657.3</v>
      </c>
      <c r="F848" s="244">
        <f>Sheet1!F396</f>
        <v>96769.2</v>
      </c>
      <c r="G848" s="244">
        <f>Sheet1!G396</f>
        <v>1787.5</v>
      </c>
      <c r="H848" s="244">
        <f>Sheet1!H396</f>
        <v>513974.9</v>
      </c>
      <c r="I848" s="244">
        <f>Sheet1!I396</f>
        <v>159383.29999999999</v>
      </c>
      <c r="J848" s="244">
        <f>Sheet1!J396</f>
        <v>30370.3</v>
      </c>
      <c r="K848" s="244">
        <f>Sheet1!K396</f>
        <v>0</v>
      </c>
      <c r="L848" s="244">
        <f>Sheet1!L396</f>
        <v>0</v>
      </c>
      <c r="M848" s="205">
        <f>Sheet1!M396</f>
        <v>866010.90000000014</v>
      </c>
      <c r="T848" s="353"/>
      <c r="U848" s="353"/>
    </row>
    <row r="849" spans="1:21" x14ac:dyDescent="0.2">
      <c r="A849" s="169"/>
      <c r="B849" s="179" t="s">
        <v>75</v>
      </c>
      <c r="C849" s="244">
        <f>Sheet1!C397</f>
        <v>0</v>
      </c>
      <c r="D849" s="244">
        <f>Sheet1!D397</f>
        <v>587.79999999999995</v>
      </c>
      <c r="E849" s="244">
        <f>Sheet1!E397</f>
        <v>496.9</v>
      </c>
      <c r="F849" s="244">
        <f>Sheet1!F397</f>
        <v>1342.6</v>
      </c>
      <c r="G849" s="244">
        <f>Sheet1!G397</f>
        <v>2357.6</v>
      </c>
      <c r="H849" s="244">
        <f>Sheet1!H397</f>
        <v>7940.4</v>
      </c>
      <c r="I849" s="244">
        <f>Sheet1!I397</f>
        <v>1691.5</v>
      </c>
      <c r="J849" s="244">
        <f>Sheet1!J397</f>
        <v>17114.599999999999</v>
      </c>
      <c r="K849" s="244">
        <f>Sheet1!K397</f>
        <v>0</v>
      </c>
      <c r="L849" s="244">
        <f>Sheet1!L397</f>
        <v>0</v>
      </c>
      <c r="M849" s="205">
        <f>Sheet1!M397</f>
        <v>31531.399999999998</v>
      </c>
      <c r="T849" s="353"/>
      <c r="U849" s="353"/>
    </row>
    <row r="850" spans="1:21" x14ac:dyDescent="0.2">
      <c r="A850" s="169"/>
      <c r="B850" s="203" t="s">
        <v>247</v>
      </c>
      <c r="C850" s="276">
        <f>SUM(C848:C849)</f>
        <v>0</v>
      </c>
      <c r="D850" s="276">
        <f t="shared" ref="D850:M850" si="265">SUM(D848:D849)</f>
        <v>32656.2</v>
      </c>
      <c r="E850" s="276">
        <f t="shared" si="265"/>
        <v>32154.2</v>
      </c>
      <c r="F850" s="276">
        <f t="shared" si="265"/>
        <v>98111.8</v>
      </c>
      <c r="G850" s="276">
        <f t="shared" si="265"/>
        <v>4145.1000000000004</v>
      </c>
      <c r="H850" s="276">
        <f t="shared" si="265"/>
        <v>521915.30000000005</v>
      </c>
      <c r="I850" s="276">
        <f t="shared" si="265"/>
        <v>161074.79999999999</v>
      </c>
      <c r="J850" s="276">
        <f t="shared" si="265"/>
        <v>47484.899999999994</v>
      </c>
      <c r="K850" s="276">
        <f t="shared" si="265"/>
        <v>0</v>
      </c>
      <c r="L850" s="276">
        <f t="shared" si="265"/>
        <v>0</v>
      </c>
      <c r="M850" s="205">
        <f t="shared" si="265"/>
        <v>897542.30000000016</v>
      </c>
      <c r="T850" s="353"/>
      <c r="U850" s="353"/>
    </row>
    <row r="851" spans="1:21" x14ac:dyDescent="0.2">
      <c r="A851" s="169"/>
      <c r="B851" s="203"/>
      <c r="C851" s="276"/>
      <c r="D851" s="276"/>
      <c r="E851" s="276"/>
      <c r="F851" s="276"/>
      <c r="G851" s="276"/>
      <c r="H851" s="276"/>
      <c r="I851" s="276"/>
      <c r="J851" s="276"/>
      <c r="K851" s="276"/>
      <c r="L851" s="276"/>
      <c r="M851" s="205"/>
      <c r="T851" s="353"/>
      <c r="U851" s="353"/>
    </row>
    <row r="852" spans="1:21" ht="15" x14ac:dyDescent="0.2">
      <c r="A852" s="169"/>
      <c r="B852" s="66" t="s">
        <v>452</v>
      </c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5"/>
      <c r="T852" s="353"/>
      <c r="U852" s="353"/>
    </row>
    <row r="853" spans="1:21" x14ac:dyDescent="0.2">
      <c r="A853" s="169"/>
      <c r="B853" s="179" t="s">
        <v>684</v>
      </c>
      <c r="C853" s="244">
        <f>C850+Sheet1!G$293+Sheet1!G$294</f>
        <v>96846.200000000012</v>
      </c>
      <c r="D853" s="244">
        <f t="shared" ref="D853:L853" si="266">SUM(D848:D849)+C853</f>
        <v>129502.40000000001</v>
      </c>
      <c r="E853" s="244">
        <f t="shared" si="266"/>
        <v>161656.6</v>
      </c>
      <c r="F853" s="244">
        <f t="shared" si="266"/>
        <v>259768.40000000002</v>
      </c>
      <c r="G853" s="244">
        <f t="shared" si="266"/>
        <v>263913.5</v>
      </c>
      <c r="H853" s="244">
        <f t="shared" si="266"/>
        <v>785828.8</v>
      </c>
      <c r="I853" s="244">
        <f t="shared" si="266"/>
        <v>946903.60000000009</v>
      </c>
      <c r="J853" s="244">
        <f t="shared" si="266"/>
        <v>994388.50000000012</v>
      </c>
      <c r="K853" s="244">
        <f t="shared" si="266"/>
        <v>994388.50000000012</v>
      </c>
      <c r="L853" s="244">
        <f t="shared" si="266"/>
        <v>994388.50000000012</v>
      </c>
      <c r="M853" s="205">
        <f>L853</f>
        <v>994388.50000000012</v>
      </c>
      <c r="T853" s="353"/>
      <c r="U853" s="353"/>
    </row>
    <row r="854" spans="1:21" x14ac:dyDescent="0.2">
      <c r="A854" s="169"/>
      <c r="B854" s="179" t="s">
        <v>685</v>
      </c>
      <c r="C854" s="244">
        <f>C845</f>
        <v>37759</v>
      </c>
      <c r="D854" s="244">
        <f t="shared" ref="D854:L854" si="267">SUM(D841:D844)+C854</f>
        <v>63373.3</v>
      </c>
      <c r="E854" s="244">
        <f t="shared" si="267"/>
        <v>96342.3</v>
      </c>
      <c r="F854" s="244">
        <f t="shared" si="267"/>
        <v>201150.90000000002</v>
      </c>
      <c r="G854" s="244">
        <f t="shared" si="267"/>
        <v>384283.2</v>
      </c>
      <c r="H854" s="244">
        <f t="shared" si="267"/>
        <v>880045.6</v>
      </c>
      <c r="I854" s="244">
        <f t="shared" si="267"/>
        <v>1000717.7999999999</v>
      </c>
      <c r="J854" s="244">
        <f t="shared" si="267"/>
        <v>1063031.7999999998</v>
      </c>
      <c r="K854" s="244">
        <f t="shared" si="267"/>
        <v>1063031.7999999998</v>
      </c>
      <c r="L854" s="244">
        <f t="shared" si="267"/>
        <v>1063031.7999999998</v>
      </c>
      <c r="M854" s="205">
        <f>L854</f>
        <v>1063031.7999999998</v>
      </c>
      <c r="T854" s="353"/>
      <c r="U854" s="353"/>
    </row>
    <row r="855" spans="1:21" x14ac:dyDescent="0.2">
      <c r="A855" s="169"/>
      <c r="B855" s="179" t="s">
        <v>687</v>
      </c>
      <c r="C855" s="244">
        <f>C853-C854</f>
        <v>59087.200000000012</v>
      </c>
      <c r="D855" s="244">
        <f t="shared" ref="D855:L855" si="268">D853-D854</f>
        <v>66129.100000000006</v>
      </c>
      <c r="E855" s="244">
        <f t="shared" si="268"/>
        <v>65314.3</v>
      </c>
      <c r="F855" s="244">
        <f t="shared" si="268"/>
        <v>58617.5</v>
      </c>
      <c r="G855" s="244">
        <f t="shared" si="268"/>
        <v>-120369.70000000001</v>
      </c>
      <c r="H855" s="244">
        <f t="shared" si="268"/>
        <v>-94216.79999999993</v>
      </c>
      <c r="I855" s="244">
        <f t="shared" si="268"/>
        <v>-53814.199999999837</v>
      </c>
      <c r="J855" s="244">
        <f t="shared" si="268"/>
        <v>-68643.299999999697</v>
      </c>
      <c r="K855" s="244">
        <f t="shared" si="268"/>
        <v>-68643.299999999697</v>
      </c>
      <c r="L855" s="244">
        <f t="shared" si="268"/>
        <v>-68643.299999999697</v>
      </c>
      <c r="M855" s="205"/>
      <c r="T855" s="353"/>
      <c r="U855" s="353"/>
    </row>
    <row r="856" spans="1:21" x14ac:dyDescent="0.2">
      <c r="A856" s="169"/>
      <c r="B856" s="281" t="s">
        <v>686</v>
      </c>
      <c r="C856" s="272">
        <f>IFERROR(C855/C854,"")</f>
        <v>1.5648507640562519</v>
      </c>
      <c r="D856" s="272">
        <f t="shared" ref="D856:L856" si="269">IFERROR(D855/D854,"")</f>
        <v>1.0434851901352777</v>
      </c>
      <c r="E856" s="272">
        <f t="shared" si="269"/>
        <v>0.67794001181204933</v>
      </c>
      <c r="F856" s="272">
        <f t="shared" si="269"/>
        <v>0.29141057782987795</v>
      </c>
      <c r="G856" s="272">
        <f t="shared" si="269"/>
        <v>-0.31323175199956699</v>
      </c>
      <c r="H856" s="272">
        <f t="shared" si="269"/>
        <v>-0.10705899785192942</v>
      </c>
      <c r="I856" s="272">
        <f t="shared" si="269"/>
        <v>-5.3775599874409989E-2</v>
      </c>
      <c r="J856" s="272">
        <f t="shared" si="269"/>
        <v>-6.4573138828019738E-2</v>
      </c>
      <c r="K856" s="272">
        <f t="shared" si="269"/>
        <v>-6.4573138828019738E-2</v>
      </c>
      <c r="L856" s="272">
        <f t="shared" si="269"/>
        <v>-6.4573138828019738E-2</v>
      </c>
      <c r="M856" s="273"/>
      <c r="T856" s="353"/>
      <c r="U856" s="353"/>
    </row>
    <row r="857" spans="1:21" x14ac:dyDescent="0.2">
      <c r="A857" s="169"/>
      <c r="B857" s="277"/>
      <c r="C857" s="155"/>
      <c r="D857" s="155"/>
      <c r="E857" s="155"/>
      <c r="F857" s="155"/>
      <c r="G857" s="155"/>
      <c r="H857" s="155"/>
      <c r="I857" s="155"/>
      <c r="J857" s="155"/>
      <c r="K857" s="155"/>
      <c r="L857" s="155"/>
      <c r="M857" s="273"/>
      <c r="T857" s="353"/>
      <c r="U857" s="353"/>
    </row>
    <row r="858" spans="1:21" ht="15.75" thickBot="1" x14ac:dyDescent="0.25">
      <c r="A858" s="87"/>
      <c r="B858" s="278"/>
      <c r="C858" s="279"/>
      <c r="D858" s="279"/>
      <c r="E858" s="279"/>
      <c r="F858" s="279"/>
      <c r="G858" s="279"/>
      <c r="H858" s="279"/>
      <c r="I858" s="279"/>
      <c r="J858" s="279"/>
      <c r="K858" s="279"/>
      <c r="L858" s="279"/>
      <c r="M858" s="280"/>
      <c r="T858" s="353"/>
      <c r="U858" s="353"/>
    </row>
    <row r="859" spans="1:21" x14ac:dyDescent="0.2">
      <c r="T859" s="353"/>
      <c r="U859" s="353"/>
    </row>
    <row r="860" spans="1:21" x14ac:dyDescent="0.2">
      <c r="T860" s="353"/>
      <c r="U860" s="353"/>
    </row>
    <row r="861" spans="1:21" x14ac:dyDescent="0.2">
      <c r="T861" s="353"/>
      <c r="U861" s="353"/>
    </row>
    <row r="862" spans="1:21" x14ac:dyDescent="0.2">
      <c r="T862" s="353"/>
      <c r="U862" s="353"/>
    </row>
    <row r="863" spans="1:21" x14ac:dyDescent="0.2">
      <c r="T863" s="353"/>
      <c r="U863" s="353"/>
    </row>
    <row r="864" spans="1:21" x14ac:dyDescent="0.2">
      <c r="T864" s="353"/>
      <c r="U864" s="353"/>
    </row>
    <row r="865" spans="20:21" x14ac:dyDescent="0.2">
      <c r="T865" s="353"/>
      <c r="U865" s="353"/>
    </row>
    <row r="866" spans="20:21" x14ac:dyDescent="0.2">
      <c r="T866" s="353"/>
      <c r="U866" s="353"/>
    </row>
    <row r="867" spans="20:21" x14ac:dyDescent="0.2">
      <c r="T867" s="353"/>
      <c r="U867" s="353"/>
    </row>
    <row r="868" spans="20:21" x14ac:dyDescent="0.2">
      <c r="T868" s="353"/>
      <c r="U868" s="353"/>
    </row>
    <row r="869" spans="20:21" x14ac:dyDescent="0.2">
      <c r="T869" s="353"/>
      <c r="U869" s="353"/>
    </row>
    <row r="870" spans="20:21" x14ac:dyDescent="0.2">
      <c r="T870" s="353"/>
      <c r="U870" s="353"/>
    </row>
    <row r="871" spans="20:21" x14ac:dyDescent="0.2">
      <c r="T871" s="353"/>
      <c r="U871" s="353"/>
    </row>
    <row r="872" spans="20:21" x14ac:dyDescent="0.2">
      <c r="T872" s="353"/>
      <c r="U872" s="353"/>
    </row>
    <row r="873" spans="20:21" x14ac:dyDescent="0.2">
      <c r="T873" s="353"/>
      <c r="U873" s="353"/>
    </row>
    <row r="874" spans="20:21" x14ac:dyDescent="0.2">
      <c r="T874" s="353"/>
      <c r="U874" s="353"/>
    </row>
    <row r="875" spans="20:21" x14ac:dyDescent="0.2">
      <c r="T875" s="353"/>
      <c r="U875" s="353"/>
    </row>
    <row r="876" spans="20:21" x14ac:dyDescent="0.2">
      <c r="T876" s="353"/>
      <c r="U876" s="353"/>
    </row>
    <row r="877" spans="20:21" x14ac:dyDescent="0.2">
      <c r="T877" s="353"/>
      <c r="U877" s="353"/>
    </row>
    <row r="878" spans="20:21" x14ac:dyDescent="0.2">
      <c r="T878" s="353"/>
      <c r="U878" s="353"/>
    </row>
    <row r="879" spans="20:21" x14ac:dyDescent="0.2">
      <c r="T879" s="353"/>
      <c r="U879" s="353"/>
    </row>
    <row r="880" spans="20:21" x14ac:dyDescent="0.2">
      <c r="T880" s="353"/>
      <c r="U880" s="353"/>
    </row>
    <row r="881" spans="20:21" x14ac:dyDescent="0.2">
      <c r="T881" s="353"/>
      <c r="U881" s="353"/>
    </row>
    <row r="882" spans="20:21" x14ac:dyDescent="0.2">
      <c r="T882" s="353"/>
      <c r="U882" s="353"/>
    </row>
    <row r="883" spans="20:21" x14ac:dyDescent="0.2">
      <c r="T883" s="353"/>
      <c r="U883" s="353"/>
    </row>
    <row r="884" spans="20:21" x14ac:dyDescent="0.2">
      <c r="T884" s="353"/>
      <c r="U884" s="353"/>
    </row>
    <row r="885" spans="20:21" x14ac:dyDescent="0.2">
      <c r="T885" s="353"/>
      <c r="U885" s="353"/>
    </row>
    <row r="886" spans="20:21" x14ac:dyDescent="0.2">
      <c r="T886" s="353"/>
      <c r="U886" s="353"/>
    </row>
    <row r="887" spans="20:21" x14ac:dyDescent="0.2">
      <c r="T887" s="353"/>
      <c r="U887" s="353"/>
    </row>
    <row r="888" spans="20:21" x14ac:dyDescent="0.2">
      <c r="T888" s="353"/>
      <c r="U888" s="353"/>
    </row>
  </sheetData>
  <autoFilter ref="B21:U817"/>
  <conditionalFormatting sqref="H182">
    <cfRule type="duplicateValues" dxfId="14" priority="15"/>
  </conditionalFormatting>
  <conditionalFormatting sqref="H182">
    <cfRule type="duplicateValues" dxfId="13" priority="14"/>
  </conditionalFormatting>
  <conditionalFormatting sqref="H182">
    <cfRule type="duplicateValues" dxfId="12" priority="13"/>
  </conditionalFormatting>
  <conditionalFormatting sqref="H182">
    <cfRule type="duplicateValues" dxfId="11" priority="12"/>
  </conditionalFormatting>
  <conditionalFormatting sqref="H182">
    <cfRule type="duplicateValues" dxfId="10" priority="11"/>
  </conditionalFormatting>
  <conditionalFormatting sqref="H184">
    <cfRule type="duplicateValues" dxfId="9" priority="10"/>
  </conditionalFormatting>
  <conditionalFormatting sqref="H184">
    <cfRule type="duplicateValues" dxfId="8" priority="9"/>
  </conditionalFormatting>
  <conditionalFormatting sqref="H184">
    <cfRule type="duplicateValues" dxfId="7" priority="8"/>
  </conditionalFormatting>
  <conditionalFormatting sqref="H184">
    <cfRule type="duplicateValues" dxfId="6" priority="7"/>
  </conditionalFormatting>
  <conditionalFormatting sqref="H184">
    <cfRule type="duplicateValues" dxfId="5" priority="6"/>
  </conditionalFormatting>
  <conditionalFormatting sqref="H192">
    <cfRule type="duplicateValues" dxfId="4" priority="5"/>
  </conditionalFormatting>
  <conditionalFormatting sqref="H192">
    <cfRule type="duplicateValues" dxfId="3" priority="4"/>
  </conditionalFormatting>
  <conditionalFormatting sqref="H192">
    <cfRule type="duplicateValues" dxfId="2" priority="3"/>
  </conditionalFormatting>
  <conditionalFormatting sqref="H192">
    <cfRule type="duplicateValues" dxfId="1" priority="2"/>
  </conditionalFormatting>
  <conditionalFormatting sqref="H192">
    <cfRule type="duplicateValues" dxfId="0" priority="1"/>
  </conditionalFormatting>
  <dataValidations disablePrompts="1" count="7">
    <dataValidation type="list" allowBlank="1" showInputMessage="1" showErrorMessage="1" sqref="C17:G17 H18">
      <formula1>"Reaffirm, Assign, Upgrade, Downgrade, Outlook Change, Rating Watch"</formula1>
    </dataValidation>
    <dataValidation type="list" allowBlank="1" showInputMessage="1" showErrorMessage="1" sqref="C11:H11">
      <formula1>"HDB 1,HDB 2,HDB 3,HDB 4,HDB 5,HDB 6,HDB 7,HDB 8"</formula1>
    </dataValidation>
    <dataValidation type="list" allowBlank="1" showInputMessage="1" showErrorMessage="1" sqref="C10:H10">
      <formula1>"NBFC 1,NBFC 2,NBFC 3,NBFC 4,NBFC 5,NBFC 6,NBFC 7,NBFC 8"</formula1>
    </dataValidation>
    <dataValidation type="list" allowBlank="1" showInputMessage="1" showErrorMessage="1" sqref="C15:H15">
      <formula1>"Stable, Positive, Negative, Watch"</formula1>
    </dataValidation>
    <dataValidation type="list" allowBlank="1" showInputMessage="1" showErrorMessage="1" sqref="C14:H14 P14">
      <formula1>"A1,A2,A3,A4,D"</formula1>
    </dataValidation>
    <dataValidation type="list" allowBlank="1" showInputMessage="1" showErrorMessage="1" sqref="C13:H13">
      <formula1>"AAA,AA+,AA,AA-,A+,A,A-,BBB+,BBB,BBB-,BB+,BB,BB-,B+,B,B-,C,D"</formula1>
    </dataValidation>
    <dataValidation type="list" allowBlank="1" showInputMessage="1" showErrorMessage="1" sqref="C662 C587 C737">
      <formula1>"Loan Book, AUM"</formula1>
    </dataValidation>
  </dataValidations>
  <pageMargins left="0.7" right="0.7" top="0.75" bottom="0.75" header="0.3" footer="0.3"/>
  <pageSetup paperSize="9" orientation="portrait" r:id="rId1"/>
  <headerFooter>
    <oddHeader>&amp;C&amp;"Calibri"&amp;11&amp;K000000 Classification - Restricted&amp;1#_x000D_</oddHeader>
    <oddFooter>&amp;C_x000D_&amp;1#&amp;"Calibri"&amp;11&amp;K000000 Classification -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opLeftCell="A8" workbookViewId="0">
      <selection activeCell="G14" sqref="G14"/>
    </sheetView>
  </sheetViews>
  <sheetFormatPr defaultColWidth="9.28515625" defaultRowHeight="12.75" x14ac:dyDescent="0.2"/>
  <cols>
    <col min="1" max="1" customWidth="true" style="148" width="5.5703125" collapsed="true"/>
    <col min="2" max="2" customWidth="true" style="148" width="54.28515625" collapsed="true"/>
    <col min="3" max="7" customWidth="true" style="148" width="17.28515625" collapsed="true"/>
    <col min="8" max="16384" style="148" width="9.28515625" collapsed="true"/>
  </cols>
  <sheetData>
    <row r="1" spans="1:7" ht="13.5" thickBot="1" x14ac:dyDescent="0.25"/>
    <row r="2" spans="1:7" ht="24" customHeight="1" thickBot="1" x14ac:dyDescent="0.25">
      <c r="A2" s="41"/>
      <c r="B2" s="34" t="s">
        <v>549</v>
      </c>
      <c r="C2" s="291"/>
      <c r="D2" s="291"/>
      <c r="E2" s="291"/>
      <c r="F2" s="291"/>
      <c r="G2" s="291"/>
    </row>
    <row r="3" spans="1:7" ht="24" customHeight="1" x14ac:dyDescent="0.2">
      <c r="A3" s="169"/>
      <c r="B3" s="324"/>
      <c r="C3" s="45" t="str">
        <f>'New Fin Ratios'!C21</f>
        <v>31/03/2017</v>
      </c>
      <c r="D3" s="45" t="str">
        <f>'New Fin Ratios'!D21</f>
        <v>31/03/2018</v>
      </c>
      <c r="E3" s="45" t="str">
        <f>'New Fin Ratios'!E21</f>
        <v>31/03/2019</v>
      </c>
      <c r="F3" s="45" t="str">
        <f>'New Fin Ratios'!F21</f>
        <v>31/03/2020</v>
      </c>
      <c r="G3" s="57" t="str">
        <f>'New Fin Ratios'!G21</f>
        <v>31/03/2021</v>
      </c>
    </row>
    <row r="4" spans="1:7" ht="24" customHeight="1" x14ac:dyDescent="0.2">
      <c r="A4" s="169"/>
      <c r="B4" s="325"/>
      <c r="C4" s="185"/>
      <c r="D4" s="185"/>
      <c r="E4" s="185"/>
      <c r="F4" s="185"/>
      <c r="G4" s="326"/>
    </row>
    <row r="5" spans="1:7" ht="24" customHeight="1" x14ac:dyDescent="0.2">
      <c r="A5" s="84"/>
      <c r="B5" s="325" t="s">
        <v>418</v>
      </c>
      <c r="C5" s="185"/>
      <c r="D5" s="185">
        <f>'New Fin Ratios'!D79</f>
        <v>6.8235301409712359E-2</v>
      </c>
      <c r="E5" s="185">
        <f>'New Fin Ratios'!E79</f>
        <v>6.7617768495722E-2</v>
      </c>
      <c r="F5" s="185">
        <f>'New Fin Ratios'!F79</f>
        <v>6.9231667441643829E-2</v>
      </c>
      <c r="G5" s="326">
        <f>'New Fin Ratios'!G79</f>
        <v>5.6308490027282672E-2</v>
      </c>
    </row>
    <row r="6" spans="1:7" ht="24" customHeight="1" x14ac:dyDescent="0.2">
      <c r="A6" s="84"/>
      <c r="B6" s="325" t="s">
        <v>432</v>
      </c>
      <c r="C6" s="185">
        <f>'New Fin Ratios'!C110</f>
        <v>0.5702316362285843</v>
      </c>
      <c r="D6" s="185">
        <f>'New Fin Ratios'!D110</f>
        <v>0.62788229035976584</v>
      </c>
      <c r="E6" s="185">
        <f>'New Fin Ratios'!E110</f>
        <v>0.61753243789624934</v>
      </c>
      <c r="F6" s="185">
        <f>'New Fin Ratios'!F110</f>
        <v>0.55868561068002021</v>
      </c>
      <c r="G6" s="326">
        <f>'New Fin Ratios'!G110</f>
        <v>1.602558419153277E-3</v>
      </c>
    </row>
    <row r="7" spans="1:7" ht="24" customHeight="1" x14ac:dyDescent="0.2">
      <c r="A7" s="84"/>
      <c r="B7" s="325" t="s">
        <v>697</v>
      </c>
      <c r="C7" s="185"/>
      <c r="D7" s="185">
        <f>'New Fin Ratios'!D128</f>
        <v>7.0104752977897576E-3</v>
      </c>
      <c r="E7" s="185">
        <f>'New Fin Ratios'!E128</f>
        <v>1.2658356793221708E-2</v>
      </c>
      <c r="F7" s="185">
        <f>'New Fin Ratios'!F128</f>
        <v>2.1374991155066317E-2</v>
      </c>
      <c r="G7" s="326">
        <f>'New Fin Ratios'!G128</f>
        <v>2.2607139190558449E-2</v>
      </c>
    </row>
    <row r="8" spans="1:7" ht="24" customHeight="1" x14ac:dyDescent="0.2">
      <c r="A8" s="84"/>
      <c r="B8" s="179" t="s">
        <v>674</v>
      </c>
      <c r="C8" s="185"/>
      <c r="D8" s="185">
        <f>'New Fin Ratios'!D119</f>
        <v>4.2291180151943726E-2</v>
      </c>
      <c r="E8" s="185">
        <f>'New Fin Ratios'!E119</f>
        <v>2.9701053993804055E-2</v>
      </c>
      <c r="F8" s="185">
        <f>'New Fin Ratios'!F119</f>
        <v>2.590212814613373E-2</v>
      </c>
      <c r="G8" s="326">
        <f>'New Fin Ratios'!G119</f>
        <v>0.29664867808472933</v>
      </c>
    </row>
    <row r="9" spans="1:7" ht="24" customHeight="1" x14ac:dyDescent="0.2">
      <c r="A9" s="84"/>
      <c r="B9" s="325" t="s">
        <v>439</v>
      </c>
      <c r="C9" s="312">
        <f>'New Fin Ratios'!C122</f>
        <v>9.3749934082159996</v>
      </c>
      <c r="D9" s="312">
        <f>'New Fin Ratios'!D122</f>
        <v>23.751777552056883</v>
      </c>
      <c r="E9" s="312">
        <f>'New Fin Ratios'!E122</f>
        <v>30.586546927275926</v>
      </c>
      <c r="F9" s="312">
        <f>'New Fin Ratios'!F122</f>
        <v>24.43146856177146</v>
      </c>
      <c r="G9" s="327">
        <f>'New Fin Ratios'!G122</f>
        <v>15.706565396498457</v>
      </c>
    </row>
    <row r="10" spans="1:7" ht="24" customHeight="1" x14ac:dyDescent="0.2">
      <c r="A10" s="84"/>
      <c r="B10" s="325" t="s">
        <v>550</v>
      </c>
      <c r="C10" s="312">
        <f>'New Fin Ratios'!C147</f>
        <v>8.5437624452969434</v>
      </c>
      <c r="D10" s="312">
        <f>'New Fin Ratios'!D147</f>
        <v>9.4503605621455176</v>
      </c>
      <c r="E10" s="312">
        <f>'New Fin Ratios'!E147</f>
        <v>7.7942594842094568</v>
      </c>
      <c r="F10" s="312">
        <f>'New Fin Ratios'!F147</f>
        <v>8.5279254352125307</v>
      </c>
      <c r="G10" s="327">
        <f>'New Fin Ratios'!G147</f>
        <v>9.1894669720003321</v>
      </c>
    </row>
    <row r="11" spans="1:7" ht="24" customHeight="1" x14ac:dyDescent="0.2">
      <c r="A11" s="84"/>
      <c r="B11" s="325" t="s">
        <v>551</v>
      </c>
      <c r="C11" s="185">
        <f>'New Fin Ratios'!C192</f>
        <v>0.20172608946737153</v>
      </c>
      <c r="D11" s="185">
        <f>'New Fin Ratios'!D192</f>
        <v>0.19981506307514338</v>
      </c>
      <c r="E11" s="185">
        <f>'New Fin Ratios'!E192</f>
        <v>0.16109165602778708</v>
      </c>
      <c r="F11" s="185">
        <f>'New Fin Ratios'!F192</f>
        <v>8.1616645469641647E-2</v>
      </c>
      <c r="G11" s="326">
        <f>'New Fin Ratios'!G192</f>
        <v>5.7016744001964464E-2</v>
      </c>
    </row>
    <row r="12" spans="1:7" ht="24" customHeight="1" x14ac:dyDescent="0.2">
      <c r="A12" s="84"/>
      <c r="B12" s="325" t="s">
        <v>728</v>
      </c>
      <c r="C12" s="185" t="str">
        <f>IFERROR(IF(AND('New Fin Ratios'!C83&lt;&gt;"",'New Fin Ratios'!A83&lt;&gt;""),IF('New Fin Ratios'!A83&gt;0,IF('New Fin Ratios'!C83&gt;0,(('New Fin Ratios'!C83/'New Fin Ratios'!A83)^(0.5))-1,(-1)*((((-1)*('New Fin Ratios'!C83-'New Fin Ratios'!A83)/ABS('New Fin Ratios'!A83))^(0.5))-1)),IF('New Fin Ratios'!C83&gt;'New Fin Ratios'!A83,((('New Fin Ratios'!C83-'New Fin Ratios'!A83)/ABS('New Fin Ratios'!A83))^(0.5))-1,(-1)*((ABS('New Fin Ratios'!C83/'New Fin Ratios'!A83)^(0.5))-1))),""),"")</f>
        <v/>
      </c>
      <c r="D12" s="185" t="str">
        <f>IFERROR(IF(AND('New Fin Ratios'!D83&lt;&gt;"",'New Fin Ratios'!B83&lt;&gt;""),IF('New Fin Ratios'!B83&gt;0,IF('New Fin Ratios'!D83&gt;0,(('New Fin Ratios'!D83/'New Fin Ratios'!B83)^(0.5))-1,(-1)*((((-1)*('New Fin Ratios'!D83-'New Fin Ratios'!B83)/ABS('New Fin Ratios'!B83))^(0.5))-1)),IF('New Fin Ratios'!D83&gt;'New Fin Ratios'!B83,((('New Fin Ratios'!D83-'New Fin Ratios'!B83)/ABS('New Fin Ratios'!B83))^(0.5))-1,(-1)*((ABS('New Fin Ratios'!D83/'New Fin Ratios'!B83)^(0.5))-1))),""),"")</f>
        <v/>
      </c>
      <c r="E12" s="185" t="str">
        <f>IFERROR(IF(AND('New Fin Ratios'!E83&lt;&gt;"",'New Fin Ratios'!C83&lt;&gt;""),IF('New Fin Ratios'!C83&gt;0,IF('New Fin Ratios'!E83&gt;0,(('New Fin Ratios'!E83/'New Fin Ratios'!C83)^(0.5))-1,(-1)*((((-1)*('New Fin Ratios'!E83-'New Fin Ratios'!C83)/ABS('New Fin Ratios'!C83))^(0.5))-1)),IF('New Fin Ratios'!E83&gt;'New Fin Ratios'!C83,((('New Fin Ratios'!E83-'New Fin Ratios'!C83)/ABS('New Fin Ratios'!C83))^(0.5))-1,(-1)*((ABS('New Fin Ratios'!E83/'New Fin Ratios'!C83)^(0.5))-1))),""),"")</f>
        <v/>
      </c>
      <c r="F12" s="185">
        <f>IFERROR(IF(AND('New Fin Ratios'!F83&lt;&gt;"",'New Fin Ratios'!D83&lt;&gt;""),IF('New Fin Ratios'!D83&gt;0,IF('New Fin Ratios'!F83&gt;0,(('New Fin Ratios'!F83/'New Fin Ratios'!D83)^(0.5))-1,(-1)*((((-1)*('New Fin Ratios'!F83-'New Fin Ratios'!D83)/ABS('New Fin Ratios'!D83))^(0.5))-1)),IF('New Fin Ratios'!F83&gt;'New Fin Ratios'!D83,((('New Fin Ratios'!F83-'New Fin Ratios'!D83)/ABS('New Fin Ratios'!D83))^(0.5))-1,(-1)*((ABS('New Fin Ratios'!F83/'New Fin Ratios'!D83)^(0.5))-1))),""),"")</f>
        <v>0.77963877069601883</v>
      </c>
      <c r="G12" s="326">
        <f>IFERROR(IF(AND('New Fin Ratios'!G83&lt;&gt;"",'New Fin Ratios'!E83&lt;&gt;""),IF('New Fin Ratios'!E83&gt;0,IF('New Fin Ratios'!G83&gt;0,(('New Fin Ratios'!G83/'New Fin Ratios'!E83)^(0.5))-1,(-1)*((((-1)*('New Fin Ratios'!G83-'New Fin Ratios'!E83)/ABS('New Fin Ratios'!E83))^(0.5))-1)),IF('New Fin Ratios'!G83&gt;'New Fin Ratios'!E83,((('New Fin Ratios'!G83-'New Fin Ratios'!E83)/ABS('New Fin Ratios'!E83))^(0.5))-1,(-1)*((ABS('New Fin Ratios'!G83/'New Fin Ratios'!E83)^(0.5))-1))),""),"")</f>
        <v>0.26624713063840688</v>
      </c>
    </row>
    <row r="13" spans="1:7" ht="24" customHeight="1" x14ac:dyDescent="0.2">
      <c r="A13" s="84"/>
      <c r="B13" s="325" t="s">
        <v>729</v>
      </c>
      <c r="C13" s="185" t="str">
        <f>IFERROR(IF(AND('New Fin Ratios'!C79&lt;&gt;"",'New Fin Ratios'!A79&lt;&gt;""),IF('New Fin Ratios'!A79&gt;0,IF('New Fin Ratios'!C79&gt;0,(('New Fin Ratios'!C79/'New Fin Ratios'!A79)^(0.5))-1,(-1)*((((-1)*('New Fin Ratios'!C79-'New Fin Ratios'!A79)/ABS('New Fin Ratios'!A79))^(0.5))-1)),IF('New Fin Ratios'!C79&gt;'New Fin Ratios'!A79,((('New Fin Ratios'!C79-'New Fin Ratios'!A79)/ABS('New Fin Ratios'!A79))^(0.5))-1,(-1)*((ABS('New Fin Ratios'!C79/'New Fin Ratios'!A79)^(0.5))-1))),""),"")</f>
        <v/>
      </c>
      <c r="D13" s="185" t="str">
        <f>IFERROR(IF(AND('New Fin Ratios'!D79&lt;&gt;"",'New Fin Ratios'!B79&lt;&gt;""),IF('New Fin Ratios'!B79&gt;0,IF('New Fin Ratios'!D79&gt;0,(('New Fin Ratios'!D79/'New Fin Ratios'!B79)^(0.5))-1,(-1)*((((-1)*('New Fin Ratios'!D79-'New Fin Ratios'!B79)/ABS('New Fin Ratios'!B79))^(0.5))-1)),IF('New Fin Ratios'!D79&gt;'New Fin Ratios'!B79,((('New Fin Ratios'!D79-'New Fin Ratios'!B79)/ABS('New Fin Ratios'!B79))^(0.5))-1,(-1)*((ABS('New Fin Ratios'!D79/'New Fin Ratios'!B79)^(0.5))-1))),""),"")</f>
        <v/>
      </c>
      <c r="E13" s="185" t="str">
        <f>IFERROR(IF(AND('New Fin Ratios'!E79&lt;&gt;"",'New Fin Ratios'!C79&lt;&gt;""),IF('New Fin Ratios'!C79&gt;0,IF('New Fin Ratios'!E79&gt;0,(('New Fin Ratios'!E79/'New Fin Ratios'!C79)^(0.5))-1,(-1)*((((-1)*('New Fin Ratios'!E79-'New Fin Ratios'!C79)/ABS('New Fin Ratios'!C79))^(0.5))-1)),IF('New Fin Ratios'!E79&gt;'New Fin Ratios'!C79,((('New Fin Ratios'!E79-'New Fin Ratios'!C79)/ABS('New Fin Ratios'!C79))^(0.5))-1,(-1)*((ABS('New Fin Ratios'!E79/'New Fin Ratios'!C79)^(0.5))-1))),""),"")</f>
        <v/>
      </c>
      <c r="F13" s="185">
        <f>IFERROR(IF(AND('New Fin Ratios'!F79&lt;&gt;"",'New Fin Ratios'!D79&lt;&gt;""),IF('New Fin Ratios'!D79&gt;0,IF('New Fin Ratios'!F79&gt;0,(('New Fin Ratios'!F79/'New Fin Ratios'!D79)^(0.5))-1,(-1)*((((-1)*('New Fin Ratios'!F79-'New Fin Ratios'!D79)/ABS('New Fin Ratios'!D79))^(0.5))-1)),IF('New Fin Ratios'!F79&gt;'New Fin Ratios'!D79,((('New Fin Ratios'!F79-'New Fin Ratios'!D79)/ABS('New Fin Ratios'!D79))^(0.5))-1,(-1)*((ABS('New Fin Ratios'!F79/'New Fin Ratios'!D79)^(0.5))-1))),""),"")</f>
        <v>7.2744980514236612E-3</v>
      </c>
      <c r="G13" s="326">
        <f>IFERROR(IF(AND('New Fin Ratios'!G79&lt;&gt;"",'New Fin Ratios'!E79&lt;&gt;""),IF('New Fin Ratios'!E79&gt;0,IF('New Fin Ratios'!G79&gt;0,(('New Fin Ratios'!G79/'New Fin Ratios'!E79)^(0.5))-1,(-1)*((((-1)*('New Fin Ratios'!G79-'New Fin Ratios'!E79)/ABS('New Fin Ratios'!E79))^(0.5))-1)),IF('New Fin Ratios'!G79&gt;'New Fin Ratios'!E79,((('New Fin Ratios'!G79-'New Fin Ratios'!E79)/ABS('New Fin Ratios'!E79))^(0.5))-1,(-1)*((ABS('New Fin Ratios'!G79/'New Fin Ratios'!E79)^(0.5))-1))),""),"")</f>
        <v>-8.7450306396627098E-2</v>
      </c>
    </row>
    <row r="14" spans="1:7" ht="24" customHeight="1" x14ac:dyDescent="0.2">
      <c r="A14" s="84"/>
      <c r="B14" s="325" t="s">
        <v>81</v>
      </c>
      <c r="C14" s="177">
        <f>'New Fin Ratios'!C65</f>
        <v>344088.6</v>
      </c>
      <c r="D14" s="177">
        <f>'New Fin Ratios'!D65</f>
        <v>398055.70000000013</v>
      </c>
      <c r="E14" s="177">
        <f>'New Fin Ratios'!E65</f>
        <v>465258.80000000005</v>
      </c>
      <c r="F14" s="177">
        <f>'New Fin Ratios'!F65</f>
        <v>542727.9</v>
      </c>
      <c r="G14" s="328">
        <f>'New Fin Ratios'!G65</f>
        <v>627685.29999999993</v>
      </c>
    </row>
    <row r="15" spans="1:7" ht="24" customHeight="1" x14ac:dyDescent="0.2">
      <c r="A15" s="84"/>
      <c r="B15" s="325" t="s">
        <v>700</v>
      </c>
      <c r="C15" s="185">
        <f>'New Fin Ratios'!C130</f>
        <v>0.76169202058474239</v>
      </c>
      <c r="D15" s="185">
        <f>'New Fin Ratios'!D130</f>
        <v>0.8713397750569708</v>
      </c>
      <c r="E15" s="185">
        <f>'New Fin Ratios'!E130</f>
        <v>0.8441804313230532</v>
      </c>
      <c r="F15" s="185">
        <f>'New Fin Ratios'!F130</f>
        <v>0.7818623512397086</v>
      </c>
      <c r="G15" s="326">
        <f>'New Fin Ratios'!G130</f>
        <v>0.97077875666769486</v>
      </c>
    </row>
    <row r="16" spans="1:7" ht="24" customHeight="1" x14ac:dyDescent="0.2">
      <c r="A16" s="84"/>
      <c r="B16" s="325" t="s">
        <v>724</v>
      </c>
      <c r="C16" s="185"/>
      <c r="D16" s="185"/>
      <c r="E16" s="185"/>
      <c r="F16" s="185">
        <f>'New Fin Ratios'!F131</f>
        <v>1.5477347045470682</v>
      </c>
      <c r="G16" s="326">
        <f>'New Fin Ratios'!G131</f>
        <v>1.3497281586707457</v>
      </c>
    </row>
    <row r="17" spans="1:7" ht="24" customHeight="1" x14ac:dyDescent="0.2">
      <c r="A17" s="84"/>
      <c r="B17" s="325" t="s">
        <v>295</v>
      </c>
      <c r="C17" s="185" t="str">
        <f>IFERROR('New Fin Ratios'!C387,"")</f>
        <v/>
      </c>
      <c r="D17" s="185" t="str">
        <f>IFERROR('New Fin Ratios'!D387,"")</f>
        <v/>
      </c>
      <c r="E17" s="185">
        <f>IFERROR('New Fin Ratios'!E387,"")</f>
        <v>1.0500182376717881E-4</v>
      </c>
      <c r="F17" s="185">
        <f>IFERROR('New Fin Ratios'!F387,"")</f>
        <v>0.11212223618855809</v>
      </c>
      <c r="G17" s="326">
        <f>IFERROR('New Fin Ratios'!G387,"")</f>
        <v>0.57462516026225174</v>
      </c>
    </row>
    <row r="18" spans="1:7" ht="24" customHeight="1" x14ac:dyDescent="0.2">
      <c r="A18" s="84"/>
      <c r="B18" s="179" t="s">
        <v>691</v>
      </c>
      <c r="C18" s="185"/>
      <c r="D18" s="185">
        <f>'New Fin Ratios'!D76</f>
        <v>0.11946284782619604</v>
      </c>
      <c r="E18" s="185">
        <f>'New Fin Ratios'!E76</f>
        <v>0.12382393116771943</v>
      </c>
      <c r="F18" s="185">
        <f>'New Fin Ratios'!F76</f>
        <v>0.12766321625792959</v>
      </c>
      <c r="G18" s="326">
        <f>'New Fin Ratios'!G76</f>
        <v>0.11094030574794972</v>
      </c>
    </row>
    <row r="19" spans="1:7" ht="24" customHeight="1" x14ac:dyDescent="0.2">
      <c r="A19" s="84"/>
      <c r="B19" s="179" t="s">
        <v>829</v>
      </c>
      <c r="C19" s="185">
        <f>'New Fin Ratios'!C214</f>
        <v>0</v>
      </c>
      <c r="D19" s="185">
        <f>'New Fin Ratios'!D214</f>
        <v>0</v>
      </c>
      <c r="E19" s="185">
        <f>'New Fin Ratios'!E214</f>
        <v>0</v>
      </c>
      <c r="F19" s="185">
        <f>'New Fin Ratios'!F214</f>
        <v>0.9234786703625838</v>
      </c>
      <c r="G19" s="326">
        <f>'New Fin Ratios'!G214</f>
        <v>0.94430611270642084</v>
      </c>
    </row>
    <row r="20" spans="1:7" ht="24" customHeight="1" x14ac:dyDescent="0.2">
      <c r="A20" s="84"/>
      <c r="B20" s="179" t="s">
        <v>644</v>
      </c>
      <c r="C20" s="312">
        <f>'New Fin Ratios'!C216</f>
        <v>0</v>
      </c>
      <c r="D20" s="312">
        <f>'New Fin Ratios'!D216</f>
        <v>0</v>
      </c>
      <c r="E20" s="312">
        <f>'New Fin Ratios'!E216</f>
        <v>0</v>
      </c>
      <c r="F20" s="312">
        <f>'New Fin Ratios'!F216</f>
        <v>0.32</v>
      </c>
      <c r="G20" s="327">
        <f>'New Fin Ratios'!G216</f>
        <v>300</v>
      </c>
    </row>
    <row r="21" spans="1:7" ht="24" customHeight="1" x14ac:dyDescent="0.2">
      <c r="A21" s="84"/>
      <c r="B21" s="179" t="s">
        <v>726</v>
      </c>
      <c r="C21" s="185">
        <f>'New Fin Ratios'!C115</f>
        <v>0</v>
      </c>
      <c r="D21" s="185">
        <f>'New Fin Ratios'!D115</f>
        <v>0</v>
      </c>
      <c r="E21" s="185">
        <f>'New Fin Ratios'!E115</f>
        <v>2.2491036895426805E-2</v>
      </c>
      <c r="F21" s="185">
        <f>'New Fin Ratios'!F115</f>
        <v>2.9563484842970993E-2</v>
      </c>
      <c r="G21" s="326">
        <f>'New Fin Ratios'!G115</f>
        <v>0.99515418997579252</v>
      </c>
    </row>
    <row r="22" spans="1:7" ht="24" customHeight="1" x14ac:dyDescent="0.2">
      <c r="A22" s="84"/>
      <c r="B22" s="179" t="s">
        <v>727</v>
      </c>
      <c r="C22" s="185">
        <f>'New Fin Ratios'!C257</f>
        <v>0.37350682212850406</v>
      </c>
      <c r="D22" s="185">
        <f>'New Fin Ratios'!D257</f>
        <v>0.49771232279269267</v>
      </c>
      <c r="E22" s="185">
        <f>'New Fin Ratios'!E257</f>
        <v>16.921144005847953</v>
      </c>
      <c r="F22" s="185">
        <f>'New Fin Ratios'!F257</f>
        <v>16.150063308311477</v>
      </c>
      <c r="G22" s="326">
        <f>'New Fin Ratios'!G257</f>
        <v>149.05727228145594</v>
      </c>
    </row>
    <row r="23" spans="1:7" ht="24" customHeight="1" x14ac:dyDescent="0.2">
      <c r="A23" s="84"/>
      <c r="B23" s="179"/>
      <c r="C23" s="185"/>
      <c r="D23" s="185"/>
      <c r="E23" s="185"/>
      <c r="F23" s="185"/>
      <c r="G23" s="326"/>
    </row>
    <row r="24" spans="1:7" ht="24" customHeight="1" x14ac:dyDescent="0.2">
      <c r="A24" s="84"/>
      <c r="B24" s="179"/>
      <c r="C24" s="185"/>
      <c r="D24" s="185"/>
      <c r="E24" s="185"/>
      <c r="F24" s="185"/>
      <c r="G24" s="326"/>
    </row>
    <row r="25" spans="1:7" ht="24" customHeight="1" x14ac:dyDescent="0.2">
      <c r="A25" s="84"/>
      <c r="B25" s="179"/>
      <c r="C25" s="185"/>
      <c r="D25" s="185"/>
      <c r="E25" s="185"/>
      <c r="F25" s="185"/>
      <c r="G25" s="326"/>
    </row>
    <row r="26" spans="1:7" ht="24" customHeight="1" thickBot="1" x14ac:dyDescent="0.25">
      <c r="A26" s="84"/>
      <c r="B26" s="329"/>
      <c r="C26" s="330"/>
      <c r="D26" s="330"/>
      <c r="E26" s="330"/>
      <c r="F26" s="330"/>
      <c r="G26" s="331"/>
    </row>
  </sheetData>
  <sheetProtection password="818A" sheet="1" objects="1" scenarios="1"/>
  <pageMargins left="0.7" right="0.7" top="0.75" bottom="0.75" header="0.3" footer="0.3"/>
  <pageSetup paperSize="9" orientation="portrait" r:id="rId1"/>
  <headerFooter>
    <oddHeader>&amp;C&amp;"Calibri"&amp;11&amp;K000000 Classification - Restricted&amp;1#_x000D_</oddHeader>
    <oddFooter>&amp;C_x000D_&amp;1#&amp;"Calibri"&amp;11&amp;K000000 Classification -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workbookViewId="0">
      <selection activeCell="B26" sqref="B26"/>
    </sheetView>
  </sheetViews>
  <sheetFormatPr defaultRowHeight="12.75" x14ac:dyDescent="0.2"/>
  <cols>
    <col min="1" max="1" customWidth="true" style="357" width="4.5703125" collapsed="true"/>
    <col min="2" max="2" customWidth="true" style="357" width="47.140625" collapsed="true"/>
    <col min="3" max="7" customWidth="true" style="357" width="12.0" collapsed="true"/>
    <col min="8" max="16384" style="357" width="9.140625" collapsed="true"/>
  </cols>
  <sheetData>
    <row r="1" spans="1:17" ht="19.5" thickBot="1" x14ac:dyDescent="0.25">
      <c r="A1" s="41"/>
      <c r="B1" s="34" t="s">
        <v>806</v>
      </c>
      <c r="C1" s="291"/>
      <c r="D1" s="291"/>
      <c r="E1" s="291"/>
      <c r="F1" s="291"/>
      <c r="G1" s="291"/>
      <c r="I1" s="358" t="s">
        <v>808</v>
      </c>
      <c r="M1" s="357" t="s">
        <v>813</v>
      </c>
      <c r="N1" s="357" t="s">
        <v>385</v>
      </c>
    </row>
    <row r="2" spans="1:17" ht="15" x14ac:dyDescent="0.25">
      <c r="A2" s="84"/>
      <c r="B2" s="188" t="s">
        <v>764</v>
      </c>
      <c r="C2" s="45"/>
      <c r="D2" s="45"/>
      <c r="E2" s="45"/>
      <c r="F2" s="45"/>
      <c r="G2" s="57"/>
      <c r="I2" s="360" t="s">
        <v>722</v>
      </c>
      <c r="J2" s="361"/>
      <c r="K2" s="361"/>
      <c r="L2" s="362"/>
      <c r="M2" s="363">
        <f>SUM(M3:M6)</f>
        <v>0</v>
      </c>
      <c r="N2" s="363">
        <f>SUM(N3:N6)</f>
        <v>0</v>
      </c>
      <c r="P2"/>
      <c r="Q2"/>
    </row>
    <row r="3" spans="1:17" ht="15" x14ac:dyDescent="0.25">
      <c r="A3" s="84"/>
      <c r="B3" s="179" t="s">
        <v>179</v>
      </c>
      <c r="C3" s="370">
        <f>'New Fin Ratios'!C22</f>
        <v>42061.08</v>
      </c>
      <c r="D3" s="370">
        <f>'New Fin Ratios'!D22</f>
        <v>44486.92</v>
      </c>
      <c r="E3" s="370">
        <f>'New Fin Ratios'!E22</f>
        <v>55020.9</v>
      </c>
      <c r="F3" s="370">
        <f>'New Fin Ratios'!F22</f>
        <v>63778.3</v>
      </c>
      <c r="G3" s="376">
        <f>'New Fin Ratios'!G22</f>
        <v>59830.1</v>
      </c>
      <c r="I3" s="364" t="s">
        <v>809</v>
      </c>
      <c r="J3" s="365"/>
      <c r="K3" s="365"/>
      <c r="L3" s="366"/>
      <c r="M3" s="363"/>
      <c r="N3" s="363"/>
      <c r="P3"/>
      <c r="Q3"/>
    </row>
    <row r="4" spans="1:17" ht="15" x14ac:dyDescent="0.25">
      <c r="A4" s="84"/>
      <c r="B4" s="179" t="s">
        <v>183</v>
      </c>
      <c r="C4" s="370">
        <f>'New Fin Ratios'!C23</f>
        <v>17290.2</v>
      </c>
      <c r="D4" s="370">
        <f>'New Fin Ratios'!D23</f>
        <v>19166.7</v>
      </c>
      <c r="E4" s="370">
        <f>'New Fin Ratios'!E23</f>
        <v>25833.200000000001</v>
      </c>
      <c r="F4" s="370">
        <f>'New Fin Ratios'!F23</f>
        <v>28886</v>
      </c>
      <c r="G4" s="376">
        <f>'New Fin Ratios'!G23</f>
        <v>26878</v>
      </c>
      <c r="I4" s="364" t="s">
        <v>810</v>
      </c>
      <c r="J4" s="365"/>
      <c r="K4" s="365"/>
      <c r="L4" s="366"/>
      <c r="M4" s="367"/>
      <c r="N4" s="367"/>
      <c r="P4"/>
      <c r="Q4"/>
    </row>
    <row r="5" spans="1:17" ht="15" x14ac:dyDescent="0.25">
      <c r="A5" s="84"/>
      <c r="B5" s="179" t="s">
        <v>388</v>
      </c>
      <c r="C5" s="370">
        <f>'New Fin Ratios'!C24</f>
        <v>24770.880000000001</v>
      </c>
      <c r="D5" s="370">
        <f>'New Fin Ratios'!D24</f>
        <v>25320.219999999998</v>
      </c>
      <c r="E5" s="370">
        <f>'New Fin Ratios'!E24</f>
        <v>29187.7</v>
      </c>
      <c r="F5" s="370">
        <f>'New Fin Ratios'!F24</f>
        <v>34892.300000000003</v>
      </c>
      <c r="G5" s="376">
        <f>'New Fin Ratios'!G24</f>
        <v>32952.1</v>
      </c>
      <c r="I5" s="364" t="s">
        <v>811</v>
      </c>
      <c r="J5" s="365"/>
      <c r="K5" s="365"/>
      <c r="L5" s="366"/>
      <c r="M5" s="367"/>
      <c r="N5" s="367"/>
      <c r="P5"/>
      <c r="Q5"/>
    </row>
    <row r="6" spans="1:17" ht="15" x14ac:dyDescent="0.25">
      <c r="A6" s="84"/>
      <c r="B6" s="179" t="s">
        <v>189</v>
      </c>
      <c r="C6" s="370">
        <f>'New Fin Ratios'!C25</f>
        <v>0.72</v>
      </c>
      <c r="D6" s="370">
        <f>'New Fin Ratios'!D25</f>
        <v>2.09</v>
      </c>
      <c r="E6" s="370">
        <f>'New Fin Ratios'!E25</f>
        <v>1268.19</v>
      </c>
      <c r="F6" s="370">
        <f>'New Fin Ratios'!F25</f>
        <v>2171.3000000000002</v>
      </c>
      <c r="G6" s="376">
        <f>'New Fin Ratios'!G25</f>
        <v>12345629.4</v>
      </c>
      <c r="I6" s="364" t="s">
        <v>812</v>
      </c>
      <c r="J6" s="365"/>
      <c r="K6" s="365"/>
      <c r="L6" s="366"/>
      <c r="M6" s="367"/>
      <c r="N6" s="367"/>
      <c r="P6"/>
      <c r="Q6"/>
    </row>
    <row r="7" spans="1:17" x14ac:dyDescent="0.2">
      <c r="A7" s="84"/>
      <c r="B7" s="179" t="s">
        <v>15</v>
      </c>
      <c r="C7" s="370">
        <f>'New Fin Ratios'!C26</f>
        <v>5479.6</v>
      </c>
      <c r="D7" s="370">
        <f>'New Fin Ratios'!D26</f>
        <v>7131.72</v>
      </c>
      <c r="E7" s="370">
        <f>'New Fin Ratios'!E26</f>
        <v>8830.6</v>
      </c>
      <c r="F7" s="370">
        <f>'New Fin Ratios'!F26</f>
        <v>10108.200000000001</v>
      </c>
      <c r="G7" s="376">
        <f>'New Fin Ratios'!G26</f>
        <v>9062.5</v>
      </c>
    </row>
    <row r="8" spans="1:17" x14ac:dyDescent="0.2">
      <c r="A8" s="84"/>
      <c r="B8" s="179" t="s">
        <v>765</v>
      </c>
      <c r="C8" s="370">
        <f>'New Fin Ratios'!C27</f>
        <v>8645.9499999999989</v>
      </c>
      <c r="D8" s="370">
        <f>'New Fin Ratios'!D27</f>
        <v>8767.7099999999991</v>
      </c>
      <c r="E8" s="370">
        <f>'New Fin Ratios'!E27</f>
        <v>9976.9</v>
      </c>
      <c r="F8" s="370">
        <f>'New Fin Ratios'!F27</f>
        <v>10598.7</v>
      </c>
      <c r="G8" s="376">
        <f>'New Fin Ratios'!G27</f>
        <v>10774.900000000001</v>
      </c>
    </row>
    <row r="9" spans="1:17" x14ac:dyDescent="0.2">
      <c r="A9" s="84"/>
      <c r="B9" s="179" t="s">
        <v>18</v>
      </c>
      <c r="C9" s="370">
        <f>Sheet1!C78</f>
        <v>14125.55</v>
      </c>
      <c r="D9" s="370">
        <f>Sheet1!D78</f>
        <v>15899.43</v>
      </c>
      <c r="E9" s="370">
        <f>Sheet1!E78</f>
        <v>18807.5</v>
      </c>
      <c r="F9" s="370">
        <f>Sheet1!F78</f>
        <v>20706.900000000001</v>
      </c>
      <c r="G9" s="376">
        <f>Sheet1!G78</f>
        <v>19837.400000000001</v>
      </c>
    </row>
    <row r="10" spans="1:17" x14ac:dyDescent="0.2">
      <c r="A10" s="84"/>
      <c r="B10" s="179" t="s">
        <v>390</v>
      </c>
      <c r="C10" s="370">
        <f>'New Fin Ratios'!C28</f>
        <v>10646.050000000001</v>
      </c>
      <c r="D10" s="370">
        <f>'New Fin Ratios'!D28</f>
        <v>9422.8799999999974</v>
      </c>
      <c r="E10" s="370">
        <f>'New Fin Ratios'!E28</f>
        <v>11648.390000000001</v>
      </c>
      <c r="F10" s="370">
        <f>'New Fin Ratios'!F28</f>
        <v>16356.700000000004</v>
      </c>
      <c r="G10" s="376">
        <f>'New Fin Ratios'!G28</f>
        <v>12358744.1</v>
      </c>
    </row>
    <row r="11" spans="1:17" x14ac:dyDescent="0.2">
      <c r="A11" s="84"/>
      <c r="B11" s="179" t="s">
        <v>369</v>
      </c>
      <c r="C11" s="370">
        <f>'New Fin Ratios'!C34</f>
        <v>953.75</v>
      </c>
      <c r="D11" s="370">
        <f>'New Fin Ratios'!D34</f>
        <v>227.76</v>
      </c>
      <c r="E11" s="370">
        <f>'New Fin Ratios'!E34</f>
        <v>3382.1</v>
      </c>
      <c r="F11" s="370">
        <f>'New Fin Ratios'!F34</f>
        <v>283.7</v>
      </c>
      <c r="G11" s="376">
        <f>'New Fin Ratios'!G34</f>
        <v>2215.3000000000002</v>
      </c>
    </row>
    <row r="12" spans="1:17" x14ac:dyDescent="0.2">
      <c r="A12" s="84"/>
      <c r="B12" s="179" t="s">
        <v>23</v>
      </c>
      <c r="C12" s="370">
        <f>'New Fin Ratios'!C35</f>
        <v>517.92999999999995</v>
      </c>
      <c r="D12" s="370">
        <f>'New Fin Ratios'!D35</f>
        <v>170.92</v>
      </c>
      <c r="E12" s="370">
        <f>'New Fin Ratios'!E35</f>
        <v>149.69999999999999</v>
      </c>
      <c r="F12" s="370">
        <f>'New Fin Ratios'!F35</f>
        <v>940.5</v>
      </c>
      <c r="G12" s="376">
        <f>'New Fin Ratios'!G35</f>
        <v>11.1</v>
      </c>
    </row>
    <row r="13" spans="1:17" x14ac:dyDescent="0.2">
      <c r="A13" s="84"/>
      <c r="B13" s="179" t="s">
        <v>196</v>
      </c>
      <c r="C13" s="370">
        <f>Sheet1!C116</f>
        <v>6017.3</v>
      </c>
      <c r="D13" s="370">
        <f>Sheet1!D116</f>
        <v>2029.5</v>
      </c>
      <c r="E13" s="370">
        <f>Sheet1!E116</f>
        <v>4659.8999999999996</v>
      </c>
      <c r="F13" s="370">
        <f>Sheet1!F116</f>
        <v>8730.1</v>
      </c>
      <c r="G13" s="376">
        <f>Sheet1!G116</f>
        <v>10129.4</v>
      </c>
    </row>
    <row r="14" spans="1:17" x14ac:dyDescent="0.2">
      <c r="A14" s="84"/>
      <c r="B14" s="179" t="s">
        <v>797</v>
      </c>
      <c r="C14" s="370">
        <f>Sheet1!C107</f>
        <v>5668.6</v>
      </c>
      <c r="D14" s="370">
        <f>Sheet1!D107</f>
        <v>26</v>
      </c>
      <c r="E14" s="370">
        <f>Sheet1!E107</f>
        <v>-3.6</v>
      </c>
      <c r="F14" s="370">
        <f>Sheet1!F107</f>
        <v>-23.9</v>
      </c>
      <c r="G14" s="376">
        <f>Sheet1!G107</f>
        <v>1.2</v>
      </c>
    </row>
    <row r="15" spans="1:17" x14ac:dyDescent="0.2">
      <c r="A15" s="84"/>
      <c r="B15" s="179" t="s">
        <v>274</v>
      </c>
      <c r="C15" s="370">
        <f>Sheet1!C118</f>
        <v>5064.5700000000024</v>
      </c>
      <c r="D15" s="370">
        <f>Sheet1!D118</f>
        <v>7450.2199999999975</v>
      </c>
      <c r="E15" s="370">
        <f>Sheet1!E118</f>
        <v>10220.89</v>
      </c>
      <c r="F15" s="370">
        <f>Sheet1!F118</f>
        <v>6969.8000000000038</v>
      </c>
      <c r="G15" s="376">
        <f>Sheet1!G118</f>
        <v>12350818.9</v>
      </c>
    </row>
    <row r="16" spans="1:17" x14ac:dyDescent="0.2">
      <c r="A16" s="84"/>
      <c r="B16" s="179" t="s">
        <v>28</v>
      </c>
      <c r="C16" s="370">
        <f>Sheet1!C126</f>
        <v>0</v>
      </c>
      <c r="D16" s="370">
        <f>Sheet1!D126</f>
        <v>8.1999999999999993</v>
      </c>
      <c r="E16" s="370">
        <f>Sheet1!E126</f>
        <v>0</v>
      </c>
      <c r="F16" s="370">
        <f>Sheet1!F126</f>
        <v>0</v>
      </c>
      <c r="G16" s="376">
        <f>Sheet1!G126</f>
        <v>0</v>
      </c>
    </row>
    <row r="17" spans="1:7" x14ac:dyDescent="0.2">
      <c r="A17" s="84"/>
      <c r="B17" s="179" t="s">
        <v>29</v>
      </c>
      <c r="C17" s="370">
        <f>'New Fin Ratios'!C37</f>
        <v>5064.57</v>
      </c>
      <c r="D17" s="370">
        <f>'New Fin Ratios'!D37</f>
        <v>7458.4199999999973</v>
      </c>
      <c r="E17" s="370">
        <f>'New Fin Ratios'!E37</f>
        <v>10220.890000000001</v>
      </c>
      <c r="F17" s="370">
        <f>'New Fin Ratios'!F37</f>
        <v>6969.8000000000038</v>
      </c>
      <c r="G17" s="376">
        <f>'New Fin Ratios'!G37</f>
        <v>12350818.9</v>
      </c>
    </row>
    <row r="18" spans="1:7" x14ac:dyDescent="0.2">
      <c r="A18" s="84"/>
      <c r="B18" s="179" t="s">
        <v>32</v>
      </c>
      <c r="C18" s="370">
        <f>'New Fin Ratios'!C39</f>
        <v>3899.6699999999996</v>
      </c>
      <c r="D18" s="370">
        <f>'New Fin Ratios'!D39</f>
        <v>4633.5199999999977</v>
      </c>
      <c r="E18" s="370">
        <f>'New Fin Ratios'!E39</f>
        <v>8055.7900000000009</v>
      </c>
      <c r="F18" s="370">
        <f>'New Fin Ratios'!F39</f>
        <v>3580.9000000000037</v>
      </c>
      <c r="G18" s="376">
        <f>'New Fin Ratios'!G39</f>
        <v>12349338.4</v>
      </c>
    </row>
    <row r="19" spans="1:7" x14ac:dyDescent="0.2">
      <c r="A19" s="84"/>
      <c r="B19" s="179"/>
      <c r="C19" s="274"/>
      <c r="D19" s="274"/>
      <c r="E19" s="274"/>
      <c r="F19" s="274"/>
      <c r="G19" s="302"/>
    </row>
    <row r="20" spans="1:7" x14ac:dyDescent="0.2">
      <c r="A20" s="84"/>
      <c r="B20" s="188" t="s">
        <v>400</v>
      </c>
      <c r="C20" s="378"/>
      <c r="D20" s="378"/>
      <c r="E20" s="378"/>
      <c r="F20" s="378"/>
      <c r="G20" s="379"/>
    </row>
    <row r="21" spans="1:7" x14ac:dyDescent="0.2">
      <c r="A21" s="84"/>
      <c r="B21" s="179" t="s">
        <v>35</v>
      </c>
      <c r="C21" s="370">
        <f>'New Fin Ratios'!C45</f>
        <v>12975.5</v>
      </c>
      <c r="D21" s="370">
        <f>'New Fin Ratios'!D45</f>
        <v>12975.5</v>
      </c>
      <c r="E21" s="370">
        <f>'New Fin Ratios'!E45</f>
        <v>13755.6</v>
      </c>
      <c r="F21" s="370">
        <f>'New Fin Ratios'!F45</f>
        <v>16299.3</v>
      </c>
      <c r="G21" s="376">
        <f>'New Fin Ratios'!G45</f>
        <v>16299.3</v>
      </c>
    </row>
    <row r="22" spans="1:7" x14ac:dyDescent="0.2">
      <c r="A22" s="84"/>
      <c r="B22" s="179" t="s">
        <v>51</v>
      </c>
      <c r="C22" s="370">
        <f>Sheet1!C165</f>
        <v>40310</v>
      </c>
      <c r="D22" s="370">
        <f>Sheet1!D165</f>
        <v>44481.8</v>
      </c>
      <c r="E22" s="370">
        <f>Sheet1!E165</f>
        <v>59097.599999999999</v>
      </c>
      <c r="F22" s="370">
        <f>Sheet1!F165</f>
        <v>61919.199999999997</v>
      </c>
      <c r="G22" s="376">
        <f>Sheet1!G165</f>
        <v>67088.3</v>
      </c>
    </row>
    <row r="23" spans="1:7" x14ac:dyDescent="0.2">
      <c r="A23" s="84"/>
      <c r="B23" s="179" t="s">
        <v>766</v>
      </c>
      <c r="C23" s="370">
        <f>'New Fin Ratios'!C102</f>
        <v>35555.599999999999</v>
      </c>
      <c r="D23" s="370">
        <f>'New Fin Ratios'!D102</f>
        <v>37413.800000000003</v>
      </c>
      <c r="E23" s="370">
        <f>'New Fin Ratios'!E102</f>
        <v>52110.299999999996</v>
      </c>
      <c r="F23" s="370">
        <f>'New Fin Ratios'!F102</f>
        <v>56380.499999999993</v>
      </c>
      <c r="G23" s="376">
        <f>'New Fin Ratios'!G102</f>
        <v>61004.3</v>
      </c>
    </row>
    <row r="24" spans="1:7" x14ac:dyDescent="0.2">
      <c r="A24" s="84"/>
      <c r="B24" s="179" t="s">
        <v>767</v>
      </c>
      <c r="C24" s="370">
        <f>'New Fin Ratios'!C59</f>
        <v>406.1</v>
      </c>
      <c r="D24" s="370">
        <f>'New Fin Ratios'!D59</f>
        <v>799.6</v>
      </c>
      <c r="E24" s="370">
        <f>'New Fin Ratios'!E59</f>
        <v>554.9</v>
      </c>
      <c r="F24" s="370">
        <f>'New Fin Ratios'!F59</f>
        <v>459.9</v>
      </c>
      <c r="G24" s="376">
        <f>'New Fin Ratios'!G59</f>
        <v>414.2</v>
      </c>
    </row>
    <row r="25" spans="1:7" x14ac:dyDescent="0.2">
      <c r="A25" s="84"/>
      <c r="B25" s="179" t="s">
        <v>428</v>
      </c>
      <c r="C25" s="370">
        <f>'New Fin Ratios'!C102</f>
        <v>35555.599999999999</v>
      </c>
      <c r="D25" s="370">
        <f>'New Fin Ratios'!D102</f>
        <v>37413.800000000003</v>
      </c>
      <c r="E25" s="370">
        <f>'New Fin Ratios'!E102</f>
        <v>52110.299999999996</v>
      </c>
      <c r="F25" s="370">
        <f>'New Fin Ratios'!F102</f>
        <v>56380.499999999993</v>
      </c>
      <c r="G25" s="376">
        <f>'New Fin Ratios'!G102</f>
        <v>61004.3</v>
      </c>
    </row>
    <row r="26" spans="1:7" x14ac:dyDescent="0.2">
      <c r="A26" s="84"/>
      <c r="B26" s="179" t="s">
        <v>768</v>
      </c>
      <c r="C26" s="370">
        <f>'New Fin Ratios'!C395</f>
        <v>0</v>
      </c>
      <c r="D26" s="370">
        <f>'New Fin Ratios'!D395</f>
        <v>0</v>
      </c>
      <c r="E26" s="370">
        <f>'New Fin Ratios'!E395</f>
        <v>2231789807</v>
      </c>
      <c r="F26" s="370">
        <f>'New Fin Ratios'!F395</f>
        <v>1098116.7000000002</v>
      </c>
      <c r="G26" s="376">
        <f>'New Fin Ratios'!G395</f>
        <v>2433433.2999999998</v>
      </c>
    </row>
    <row r="27" spans="1:7" x14ac:dyDescent="0.2">
      <c r="A27" s="84"/>
      <c r="B27" s="179" t="s">
        <v>81</v>
      </c>
      <c r="C27" s="370">
        <f>Sheet1!C314</f>
        <v>344088.6</v>
      </c>
      <c r="D27" s="370">
        <f>Sheet1!D314</f>
        <v>398055.7</v>
      </c>
      <c r="E27" s="370">
        <f>Sheet1!E314</f>
        <v>465258.8</v>
      </c>
      <c r="F27" s="370">
        <f>Sheet1!F314</f>
        <v>542727.9</v>
      </c>
      <c r="G27" s="376">
        <f>Sheet1!G314</f>
        <v>627685.30000000005</v>
      </c>
    </row>
    <row r="28" spans="1:7" x14ac:dyDescent="0.2">
      <c r="A28" s="84"/>
      <c r="B28" s="179" t="s">
        <v>223</v>
      </c>
      <c r="C28" s="370">
        <f>Sheet1!C293</f>
        <v>733.7</v>
      </c>
      <c r="D28" s="370">
        <f>Sheet1!D293</f>
        <v>812.8</v>
      </c>
      <c r="E28" s="370">
        <f>Sheet1!E293</f>
        <v>7847.8</v>
      </c>
      <c r="F28" s="370">
        <f>Sheet1!F293</f>
        <v>15850</v>
      </c>
      <c r="G28" s="376">
        <f>Sheet1!G293</f>
        <v>10038.5</v>
      </c>
    </row>
    <row r="29" spans="1:7" x14ac:dyDescent="0.2">
      <c r="A29" s="84"/>
      <c r="B29" s="179" t="s">
        <v>485</v>
      </c>
      <c r="C29" s="370">
        <f>'New Fin Ratios'!C822</f>
        <v>34227.65</v>
      </c>
      <c r="D29" s="370">
        <f>'New Fin Ratios'!D822</f>
        <v>4333.3499999999995</v>
      </c>
      <c r="E29" s="370">
        <f>'New Fin Ratios'!E822</f>
        <v>23372.9</v>
      </c>
      <c r="F29" s="370">
        <f>'New Fin Ratios'!F822</f>
        <v>54501.4</v>
      </c>
      <c r="G29" s="376">
        <f>'New Fin Ratios'!G822</f>
        <v>86807.700000000012</v>
      </c>
    </row>
    <row r="30" spans="1:7" x14ac:dyDescent="0.2">
      <c r="A30" s="84"/>
      <c r="B30" s="179" t="s">
        <v>430</v>
      </c>
      <c r="C30" s="370">
        <f>'New Fin Ratios'!C104</f>
        <v>281387.5</v>
      </c>
      <c r="D30" s="370">
        <f>'New Fin Ratios'!D104</f>
        <v>320974.3</v>
      </c>
      <c r="E30" s="370">
        <f>'New Fin Ratios'!E104</f>
        <v>392585.2</v>
      </c>
      <c r="F30" s="370">
        <f>'New Fin Ratios'!F104</f>
        <v>467125.3</v>
      </c>
      <c r="G30" s="376">
        <f>'New Fin Ratios'!G104</f>
        <v>541214.69999999995</v>
      </c>
    </row>
    <row r="31" spans="1:7" x14ac:dyDescent="0.2">
      <c r="A31" s="84"/>
      <c r="B31" s="179" t="s">
        <v>769</v>
      </c>
      <c r="C31" s="370">
        <f>'New Fin Ratios'!C823</f>
        <v>303778.59999999998</v>
      </c>
      <c r="D31" s="370">
        <f>'New Fin Ratios'!D823</f>
        <v>353573.89999999997</v>
      </c>
      <c r="E31" s="370">
        <f>'New Fin Ratios'!E823</f>
        <v>406161.2</v>
      </c>
      <c r="F31" s="370">
        <f>'New Fin Ratios'!F823</f>
        <v>480808.7</v>
      </c>
      <c r="G31" s="376">
        <f>'New Fin Ratios'!G823</f>
        <v>560596.99999999988</v>
      </c>
    </row>
    <row r="32" spans="1:7" x14ac:dyDescent="0.2">
      <c r="A32" s="84"/>
      <c r="B32" s="179"/>
      <c r="C32" s="274"/>
      <c r="D32" s="274"/>
      <c r="E32" s="274"/>
      <c r="F32" s="274"/>
      <c r="G32" s="302"/>
    </row>
    <row r="33" spans="1:7" x14ac:dyDescent="0.2">
      <c r="A33" s="84"/>
      <c r="B33" s="188" t="s">
        <v>431</v>
      </c>
      <c r="C33" s="378"/>
      <c r="D33" s="378"/>
      <c r="E33" s="378"/>
      <c r="F33" s="378"/>
      <c r="G33" s="379"/>
    </row>
    <row r="34" spans="1:7" ht="25.5" x14ac:dyDescent="0.2">
      <c r="A34" s="84"/>
      <c r="B34" s="179" t="s">
        <v>691</v>
      </c>
      <c r="C34" s="274">
        <f>'New Fin Ratios'!C76</f>
        <v>0</v>
      </c>
      <c r="D34" s="274">
        <f>'New Fin Ratios'!D76</f>
        <v>0.11946284782619604</v>
      </c>
      <c r="E34" s="274">
        <f>'New Fin Ratios'!E76</f>
        <v>0.12382393116771943</v>
      </c>
      <c r="F34" s="274">
        <f>'New Fin Ratios'!F76</f>
        <v>0.12766321625792959</v>
      </c>
      <c r="G34" s="302">
        <f>'New Fin Ratios'!G76</f>
        <v>0.11094030574794972</v>
      </c>
    </row>
    <row r="35" spans="1:7" x14ac:dyDescent="0.2">
      <c r="A35" s="84"/>
      <c r="B35" s="179" t="s">
        <v>692</v>
      </c>
      <c r="C35" s="274">
        <f>'New Fin Ratios'!C77</f>
        <v>0</v>
      </c>
      <c r="D35" s="274">
        <f>'New Fin Ratios'!D77</f>
        <v>6.36384976603762E-2</v>
      </c>
      <c r="E35" s="274">
        <f>'New Fin Ratios'!E77</f>
        <v>7.2406575765580863E-2</v>
      </c>
      <c r="F35" s="274">
        <f>'New Fin Ratios'!F77</f>
        <v>6.719936536776043E-2</v>
      </c>
      <c r="G35" s="302">
        <f>'New Fin Ratios'!G77</f>
        <v>5.3311383065235932E-2</v>
      </c>
    </row>
    <row r="36" spans="1:7" x14ac:dyDescent="0.2">
      <c r="A36" s="84"/>
      <c r="B36" s="179" t="s">
        <v>417</v>
      </c>
      <c r="C36" s="274">
        <f>'New Fin Ratios'!C78</f>
        <v>0</v>
      </c>
      <c r="D36" s="274">
        <f>'New Fin Ratios'!D78</f>
        <v>5.5824350165819839E-2</v>
      </c>
      <c r="E36" s="274">
        <f>'New Fin Ratios'!E78</f>
        <v>5.141735540213857E-2</v>
      </c>
      <c r="F36" s="274">
        <f>'New Fin Ratios'!F78</f>
        <v>6.046385089016916E-2</v>
      </c>
      <c r="G36" s="302">
        <f>'New Fin Ratios'!G78</f>
        <v>5.7628922682713787E-2</v>
      </c>
    </row>
    <row r="37" spans="1:7" x14ac:dyDescent="0.2">
      <c r="A37" s="84"/>
      <c r="B37" s="179" t="s">
        <v>770</v>
      </c>
      <c r="C37" s="274"/>
      <c r="D37" s="274"/>
      <c r="E37" s="274"/>
      <c r="F37" s="274"/>
      <c r="G37" s="302"/>
    </row>
    <row r="38" spans="1:7" ht="25.5" x14ac:dyDescent="0.2">
      <c r="A38" s="84"/>
      <c r="B38" s="179" t="s">
        <v>418</v>
      </c>
      <c r="C38" s="274">
        <f>'New Fin Ratios'!C79</f>
        <v>0</v>
      </c>
      <c r="D38" s="274">
        <f>'New Fin Ratios'!D79</f>
        <v>6.8235301409712359E-2</v>
      </c>
      <c r="E38" s="274">
        <f>'New Fin Ratios'!E79</f>
        <v>6.7617768495722E-2</v>
      </c>
      <c r="F38" s="274">
        <f>'New Fin Ratios'!F79</f>
        <v>6.9231667441643829E-2</v>
      </c>
      <c r="G38" s="302">
        <f>'New Fin Ratios'!G79</f>
        <v>5.6308490027282672E-2</v>
      </c>
    </row>
    <row r="39" spans="1:7" ht="25.5" x14ac:dyDescent="0.2">
      <c r="A39" s="84"/>
      <c r="B39" s="179" t="s">
        <v>420</v>
      </c>
      <c r="C39" s="274">
        <f>'New Fin Ratios'!C81</f>
        <v>0</v>
      </c>
      <c r="D39" s="274">
        <f>'New Fin Ratios'!D81</f>
        <v>4.2847273771421543E-2</v>
      </c>
      <c r="E39" s="274">
        <f>'New Fin Ratios'!E81</f>
        <v>4.3570448544533874E-2</v>
      </c>
      <c r="F39" s="274">
        <f>'New Fin Ratios'!F81</f>
        <v>4.1085661150092559E-2</v>
      </c>
      <c r="G39" s="302">
        <f>'New Fin Ratios'!G81</f>
        <v>3.3898113931045894E-2</v>
      </c>
    </row>
    <row r="40" spans="1:7" x14ac:dyDescent="0.2">
      <c r="A40" s="84"/>
      <c r="B40" s="179" t="s">
        <v>421</v>
      </c>
      <c r="C40" s="274">
        <f>'New Fin Ratios'!C82</f>
        <v>0</v>
      </c>
      <c r="D40" s="274">
        <f>'New Fin Ratios'!D82</f>
        <v>2.5393659966127871E-2</v>
      </c>
      <c r="E40" s="274">
        <f>'New Fin Ratios'!E82</f>
        <v>2.6985275933625576E-2</v>
      </c>
      <c r="F40" s="274">
        <f>'New Fin Ratios'!F82</f>
        <v>3.2454198056383089E-2</v>
      </c>
      <c r="G40" s="302">
        <f>'New Fin Ratios'!G82</f>
        <v>21.118599995283716</v>
      </c>
    </row>
    <row r="41" spans="1:7" x14ac:dyDescent="0.2">
      <c r="A41" s="84"/>
      <c r="B41" s="179" t="s">
        <v>771</v>
      </c>
      <c r="C41" s="274">
        <f>'New Fin Ratios'!C112</f>
        <v>0</v>
      </c>
      <c r="D41" s="274">
        <f>'New Fin Ratios'!D112</f>
        <v>5.6323278370527129E-6</v>
      </c>
      <c r="E41" s="274">
        <f>'New Fin Ratios'!E112</f>
        <v>2.9379559824374542E-3</v>
      </c>
      <c r="F41" s="274">
        <f>'New Fin Ratios'!F112</f>
        <v>4.3081917648318179E-3</v>
      </c>
      <c r="G41" s="302">
        <f>'New Fin Ratios'!G112</f>
        <v>21.096189619187481</v>
      </c>
    </row>
    <row r="42" spans="1:7" ht="25.5" x14ac:dyDescent="0.2">
      <c r="A42" s="84"/>
      <c r="B42" s="179" t="s">
        <v>422</v>
      </c>
      <c r="C42" s="274">
        <f>'New Fin Ratios'!C83</f>
        <v>0</v>
      </c>
      <c r="D42" s="274">
        <f>'New Fin Ratios'!D83</f>
        <v>5.4692867680853977E-3</v>
      </c>
      <c r="E42" s="274">
        <f>'New Fin Ratios'!E83</f>
        <v>1.0795370632602599E-2</v>
      </c>
      <c r="F42" s="274">
        <f>'New Fin Ratios'!F83</f>
        <v>1.7321855536387532E-2</v>
      </c>
      <c r="G42" s="302">
        <f>'New Fin Ratios'!G83</f>
        <v>1.7309100751768693E-2</v>
      </c>
    </row>
    <row r="43" spans="1:7" ht="25.5" x14ac:dyDescent="0.2">
      <c r="A43" s="84"/>
      <c r="B43" s="179" t="s">
        <v>772</v>
      </c>
      <c r="C43" s="274">
        <f>'New Fin Ratios'!C84</f>
        <v>0</v>
      </c>
      <c r="D43" s="274">
        <f>'New Fin Ratios'!D84</f>
        <v>1.9924373198042473E-2</v>
      </c>
      <c r="E43" s="274">
        <f>'New Fin Ratios'!E84</f>
        <v>1.6189905301022975E-2</v>
      </c>
      <c r="F43" s="274">
        <f>'New Fin Ratios'!F84</f>
        <v>1.5132342519995557E-2</v>
      </c>
      <c r="G43" s="302">
        <f>'New Fin Ratios'!G84</f>
        <v>21.10129089453195</v>
      </c>
    </row>
    <row r="44" spans="1:7" x14ac:dyDescent="0.2">
      <c r="A44" s="84"/>
      <c r="B44" s="179" t="s">
        <v>424</v>
      </c>
      <c r="C44" s="274">
        <f>'New Fin Ratios'!C85</f>
        <v>0</v>
      </c>
      <c r="D44" s="274">
        <f>'New Fin Ratios'!D85</f>
        <v>1.2486843865808839E-2</v>
      </c>
      <c r="E44" s="274">
        <f>'New Fin Ratios'!E85</f>
        <v>1.8662468891695896E-2</v>
      </c>
      <c r="F44" s="274">
        <f>'New Fin Ratios'!F85</f>
        <v>7.1050540647014555E-3</v>
      </c>
      <c r="G44" s="302">
        <f>'New Fin Ratios'!G85</f>
        <v>21.102527551808201</v>
      </c>
    </row>
    <row r="45" spans="1:7" x14ac:dyDescent="0.2">
      <c r="A45" s="84"/>
      <c r="B45" s="179"/>
      <c r="C45" s="274"/>
      <c r="D45" s="274"/>
      <c r="E45" s="274"/>
      <c r="F45" s="274"/>
      <c r="G45" s="302"/>
    </row>
    <row r="46" spans="1:7" x14ac:dyDescent="0.2">
      <c r="A46" s="84"/>
      <c r="B46" s="179" t="s">
        <v>693</v>
      </c>
      <c r="C46" s="274">
        <f>'New Fin Ratios'!C109</f>
        <v>0.57024821080236143</v>
      </c>
      <c r="D46" s="274">
        <f>'New Fin Ratios'!D109</f>
        <v>0.62793411747607253</v>
      </c>
      <c r="E46" s="274">
        <f>'New Fin Ratios'!E109</f>
        <v>0.64436389300972663</v>
      </c>
      <c r="F46" s="274">
        <f>'New Fin Ratios'!F109</f>
        <v>0.59345185040825621</v>
      </c>
      <c r="G46" s="302">
        <f>'New Fin Ratios'!G109</f>
        <v>0.60200715584135767</v>
      </c>
    </row>
    <row r="47" spans="1:7" x14ac:dyDescent="0.2">
      <c r="A47" s="84"/>
      <c r="B47" s="179" t="s">
        <v>437</v>
      </c>
      <c r="C47" s="274">
        <f>'New Fin Ratios'!C120</f>
        <v>1.7692403569707342</v>
      </c>
      <c r="D47" s="274">
        <f>'New Fin Ratios'!D120</f>
        <v>4.6429563932002944</v>
      </c>
      <c r="E47" s="274">
        <f>'New Fin Ratios'!E120</f>
        <v>2.4997081482435251</v>
      </c>
      <c r="F47" s="274">
        <f>'New Fin Ratios'!F120</f>
        <v>1.8735982405699825</v>
      </c>
      <c r="G47" s="302">
        <f>'New Fin Ratios'!G120</f>
        <v>1220.0864908089322</v>
      </c>
    </row>
    <row r="48" spans="1:7" x14ac:dyDescent="0.2">
      <c r="A48" s="84"/>
      <c r="B48" s="179" t="s">
        <v>438</v>
      </c>
      <c r="C48" s="370" t="e">
        <f>'New Fin Ratios'!C121</f>
        <v>#DIV/0!</v>
      </c>
      <c r="D48" s="370" t="e">
        <f>'New Fin Ratios'!D121</f>
        <v>#DIV/0!</v>
      </c>
      <c r="E48" s="370" t="e">
        <f>'New Fin Ratios'!E121</f>
        <v>#DIV/0!</v>
      </c>
      <c r="F48" s="370" t="e">
        <f>'New Fin Ratios'!F121</f>
        <v>#DIV/0!</v>
      </c>
      <c r="G48" s="376" t="e">
        <f>'New Fin Ratios'!G121</f>
        <v>#DIV/0!</v>
      </c>
    </row>
    <row r="49" spans="1:7" x14ac:dyDescent="0.2">
      <c r="A49" s="84"/>
      <c r="B49" s="179"/>
      <c r="C49" s="274"/>
      <c r="D49" s="274"/>
      <c r="E49" s="274"/>
      <c r="F49" s="274"/>
      <c r="G49" s="302"/>
    </row>
    <row r="50" spans="1:7" x14ac:dyDescent="0.2">
      <c r="A50" s="84"/>
      <c r="B50" s="188" t="s">
        <v>435</v>
      </c>
      <c r="C50" s="378"/>
      <c r="D50" s="378"/>
      <c r="E50" s="378"/>
      <c r="F50" s="378"/>
      <c r="G50" s="379"/>
    </row>
    <row r="51" spans="1:7" x14ac:dyDescent="0.2">
      <c r="A51" s="84"/>
      <c r="B51" s="179" t="s">
        <v>773</v>
      </c>
      <c r="C51" s="370">
        <f>'New Fin Ratios'!C486</f>
        <v>0</v>
      </c>
      <c r="D51" s="370">
        <f>'New Fin Ratios'!D486</f>
        <v>0</v>
      </c>
      <c r="E51" s="370">
        <f>'New Fin Ratios'!E486</f>
        <v>0</v>
      </c>
      <c r="F51" s="370">
        <f>'New Fin Ratios'!F486</f>
        <v>91770.800000000017</v>
      </c>
      <c r="G51" s="376">
        <f>'New Fin Ratios'!G486</f>
        <v>82928.099999999991</v>
      </c>
    </row>
    <row r="52" spans="1:7" x14ac:dyDescent="0.2">
      <c r="A52" s="84"/>
      <c r="B52" s="179" t="s">
        <v>609</v>
      </c>
      <c r="C52" s="368">
        <f>'New Fin Ratios'!C118</f>
        <v>9.1999999999999993</v>
      </c>
      <c r="D52" s="368">
        <f>'New Fin Ratios'!D118</f>
        <v>9.4</v>
      </c>
      <c r="E52" s="368">
        <f>'New Fin Ratios'!E118</f>
        <v>8.4</v>
      </c>
      <c r="F52" s="368">
        <f>'New Fin Ratios'!F118</f>
        <v>8.4</v>
      </c>
      <c r="G52" s="562">
        <f>'New Fin Ratios'!G118</f>
        <v>21</v>
      </c>
    </row>
    <row r="53" spans="1:7" x14ac:dyDescent="0.2">
      <c r="A53" s="84"/>
      <c r="B53" s="179" t="s">
        <v>674</v>
      </c>
      <c r="C53" s="274">
        <f>'New Fin Ratios'!C119</f>
        <v>0</v>
      </c>
      <c r="D53" s="274">
        <f>'New Fin Ratios'!D119</f>
        <v>4.2291180151943726E-2</v>
      </c>
      <c r="E53" s="274">
        <f>'New Fin Ratios'!E119</f>
        <v>2.9701053993804055E-2</v>
      </c>
      <c r="F53" s="274">
        <f>'New Fin Ratios'!F119</f>
        <v>2.590212814613373E-2</v>
      </c>
      <c r="G53" s="302">
        <f>'New Fin Ratios'!G119</f>
        <v>0.29664867808472933</v>
      </c>
    </row>
    <row r="54" spans="1:7" x14ac:dyDescent="0.2">
      <c r="A54" s="84"/>
      <c r="B54" s="179" t="s">
        <v>695</v>
      </c>
      <c r="C54" s="274">
        <f>'New Fin Ratios'!C126</f>
        <v>0</v>
      </c>
      <c r="D54" s="274">
        <f>'New Fin Ratios'!D126</f>
        <v>0</v>
      </c>
      <c r="E54" s="274">
        <f>'New Fin Ratios'!E126</f>
        <v>0</v>
      </c>
      <c r="F54" s="274">
        <f>'New Fin Ratios'!F126</f>
        <v>0.19448448298699958</v>
      </c>
      <c r="G54" s="302">
        <f>'New Fin Ratios'!G126</f>
        <v>0.12187375854234457</v>
      </c>
    </row>
    <row r="55" spans="1:7" x14ac:dyDescent="0.2">
      <c r="A55" s="84"/>
      <c r="B55" s="179" t="s">
        <v>774</v>
      </c>
      <c r="C55" s="370">
        <f>Sheet1!C339</f>
        <v>3792.6</v>
      </c>
      <c r="D55" s="370">
        <f>Sheet1!D339</f>
        <v>1575.2</v>
      </c>
      <c r="E55" s="370">
        <f>Sheet1!E339</f>
        <v>1703.7</v>
      </c>
      <c r="F55" s="370">
        <f>Sheet1!F339</f>
        <v>2307.6999999999998</v>
      </c>
      <c r="G55" s="376">
        <f>Sheet1!G339</f>
        <v>3884</v>
      </c>
    </row>
    <row r="56" spans="1:7" x14ac:dyDescent="0.2">
      <c r="A56" s="84"/>
      <c r="B56" s="179" t="s">
        <v>610</v>
      </c>
      <c r="C56" s="368">
        <f>'New Fin Ratios'!C124</f>
        <v>2.8000000000000003</v>
      </c>
      <c r="D56" s="368">
        <f>'New Fin Ratios'!D124</f>
        <v>2.8000000000000003</v>
      </c>
      <c r="E56" s="368">
        <f>'New Fin Ratios'!E124</f>
        <v>5.7</v>
      </c>
      <c r="F56" s="368">
        <f>'New Fin Ratios'!F124</f>
        <v>5.6000000000000005</v>
      </c>
      <c r="G56" s="562">
        <f>'New Fin Ratios'!G124</f>
        <v>4.2</v>
      </c>
    </row>
    <row r="57" spans="1:7" x14ac:dyDescent="0.2">
      <c r="A57" s="84"/>
      <c r="B57" s="179" t="s">
        <v>700</v>
      </c>
      <c r="C57" s="274">
        <f>'New Fin Ratios'!C130</f>
        <v>0.76169202058474239</v>
      </c>
      <c r="D57" s="274">
        <f>'New Fin Ratios'!D130</f>
        <v>0.8713397750569708</v>
      </c>
      <c r="E57" s="274">
        <f>'New Fin Ratios'!E130</f>
        <v>0.8441804313230532</v>
      </c>
      <c r="F57" s="274">
        <f>'New Fin Ratios'!F130</f>
        <v>0.7818623512397086</v>
      </c>
      <c r="G57" s="302">
        <f>'New Fin Ratios'!G130</f>
        <v>0.97077875666769486</v>
      </c>
    </row>
    <row r="58" spans="1:7" x14ac:dyDescent="0.2">
      <c r="A58" s="84"/>
      <c r="B58" s="179"/>
      <c r="C58" s="274"/>
      <c r="D58" s="274"/>
      <c r="E58" s="274"/>
      <c r="F58" s="274"/>
      <c r="G58" s="302"/>
    </row>
    <row r="59" spans="1:7" x14ac:dyDescent="0.2">
      <c r="A59" s="84"/>
      <c r="B59" s="179"/>
      <c r="C59" s="274"/>
      <c r="D59" s="274"/>
      <c r="E59" s="274"/>
      <c r="F59" s="274"/>
      <c r="G59" s="302"/>
    </row>
    <row r="60" spans="1:7" x14ac:dyDescent="0.2">
      <c r="A60" s="84"/>
      <c r="B60" s="179" t="s">
        <v>286</v>
      </c>
      <c r="C60" s="370">
        <f>'New Fin Ratios'!C377</f>
        <v>0</v>
      </c>
      <c r="D60" s="370">
        <f>'New Fin Ratios'!D377</f>
        <v>0</v>
      </c>
      <c r="E60" s="370">
        <f>'New Fin Ratios'!E377</f>
        <v>324234</v>
      </c>
      <c r="F60" s="370">
        <f>'New Fin Ratios'!F377</f>
        <v>883196.3</v>
      </c>
      <c r="G60" s="376">
        <f>'New Fin Ratios'!G377</f>
        <v>952169.3</v>
      </c>
    </row>
    <row r="61" spans="1:7" x14ac:dyDescent="0.2">
      <c r="A61" s="84"/>
      <c r="B61" s="179" t="s">
        <v>775</v>
      </c>
      <c r="C61" s="274" t="e">
        <f>'New Fin Ratios'!C386</f>
        <v>#DIV/0!</v>
      </c>
      <c r="D61" s="274" t="e">
        <f>'New Fin Ratios'!D386</f>
        <v>#DIV/0!</v>
      </c>
      <c r="E61" s="274">
        <f>'New Fin Ratios'!E386</f>
        <v>1.4527981039390059E-4</v>
      </c>
      <c r="F61" s="274">
        <f>'New Fin Ratios'!F386</f>
        <v>0.80428273242725468</v>
      </c>
      <c r="G61" s="302">
        <f>'New Fin Ratios'!G386</f>
        <v>0.39128637715280717</v>
      </c>
    </row>
    <row r="62" spans="1:7" x14ac:dyDescent="0.2">
      <c r="A62" s="84"/>
      <c r="B62" s="179" t="s">
        <v>287</v>
      </c>
      <c r="C62" s="370">
        <f>'New Fin Ratios'!C378</f>
        <v>0</v>
      </c>
      <c r="D62" s="370">
        <f>'New Fin Ratios'!D378</f>
        <v>0</v>
      </c>
      <c r="E62" s="370">
        <f>'New Fin Ratios'!E378</f>
        <v>4323432</v>
      </c>
      <c r="F62" s="370">
        <f>'New Fin Ratios'!F378</f>
        <v>21968.3</v>
      </c>
      <c r="G62" s="376">
        <f>'New Fin Ratios'!G378</f>
        <v>30950.6</v>
      </c>
    </row>
    <row r="63" spans="1:7" x14ac:dyDescent="0.2">
      <c r="A63" s="84"/>
      <c r="B63" s="179" t="s">
        <v>776</v>
      </c>
      <c r="C63" s="274" t="e">
        <f>'New Fin Ratios'!C390</f>
        <v>#DIV/0!</v>
      </c>
      <c r="D63" s="274" t="e">
        <f>'New Fin Ratios'!D390</f>
        <v>#DIV/0!</v>
      </c>
      <c r="E63" s="274">
        <f>'New Fin Ratios'!E390</f>
        <v>13.334295601324969</v>
      </c>
      <c r="F63" s="274">
        <f>'New Fin Ratios'!F390</f>
        <v>2.4873632283106257E-2</v>
      </c>
      <c r="G63" s="302">
        <f>'New Fin Ratios'!G390</f>
        <v>3.2505353827307806E-2</v>
      </c>
    </row>
    <row r="64" spans="1:7" x14ac:dyDescent="0.2">
      <c r="A64" s="84"/>
      <c r="B64" s="179" t="s">
        <v>288</v>
      </c>
      <c r="C64" s="370">
        <f>'New Fin Ratios'!C379</f>
        <v>0</v>
      </c>
      <c r="D64" s="370">
        <f>'New Fin Ratios'!D379</f>
        <v>0</v>
      </c>
      <c r="E64" s="370">
        <f>'New Fin Ratios'!E379</f>
        <v>234342</v>
      </c>
      <c r="F64" s="370">
        <f>'New Fin Ratios'!F379</f>
        <v>123123.3</v>
      </c>
      <c r="G64" s="376">
        <f>'New Fin Ratios'!G379</f>
        <v>1398312</v>
      </c>
    </row>
    <row r="65" spans="1:7" x14ac:dyDescent="0.2">
      <c r="A65" s="84"/>
      <c r="B65" s="179" t="s">
        <v>777</v>
      </c>
      <c r="C65" s="274" t="e">
        <f>'New Fin Ratios'!C387</f>
        <v>#DIV/0!</v>
      </c>
      <c r="D65" s="274" t="e">
        <f>'New Fin Ratios'!D387</f>
        <v>#DIV/0!</v>
      </c>
      <c r="E65" s="274">
        <f>'New Fin Ratios'!E387</f>
        <v>1.0500182376717881E-4</v>
      </c>
      <c r="F65" s="274">
        <f>'New Fin Ratios'!F387</f>
        <v>0.11212223618855809</v>
      </c>
      <c r="G65" s="302">
        <f>'New Fin Ratios'!G387</f>
        <v>0.57462516026225174</v>
      </c>
    </row>
    <row r="66" spans="1:7" x14ac:dyDescent="0.2">
      <c r="A66" s="84"/>
      <c r="B66" s="179" t="s">
        <v>289</v>
      </c>
      <c r="C66" s="370">
        <f>'New Fin Ratios'!C380</f>
        <v>0</v>
      </c>
      <c r="D66" s="370">
        <f>'New Fin Ratios'!D380</f>
        <v>0</v>
      </c>
      <c r="E66" s="370">
        <f>'New Fin Ratios'!E380</f>
        <v>34234223</v>
      </c>
      <c r="F66" s="370">
        <f>'New Fin Ratios'!F380</f>
        <v>9465.1</v>
      </c>
      <c r="G66" s="376">
        <f>'New Fin Ratios'!G380</f>
        <v>13560.7</v>
      </c>
    </row>
    <row r="67" spans="1:7" x14ac:dyDescent="0.2">
      <c r="A67" s="84"/>
      <c r="B67" s="179" t="s">
        <v>778</v>
      </c>
      <c r="C67" s="274" t="e">
        <f>'New Fin Ratios'!C391</f>
        <v>#DIV/0!</v>
      </c>
      <c r="D67" s="274" t="e">
        <f>'New Fin Ratios'!D391</f>
        <v>#DIV/0!</v>
      </c>
      <c r="E67" s="274">
        <f>'New Fin Ratios'!E391</f>
        <v>146.0865871248005</v>
      </c>
      <c r="F67" s="274">
        <f>'New Fin Ratios'!F391</f>
        <v>7.6874970050347907E-2</v>
      </c>
      <c r="G67" s="302">
        <f>'New Fin Ratios'!G391</f>
        <v>9.6979071909559528E-3</v>
      </c>
    </row>
    <row r="68" spans="1:7" x14ac:dyDescent="0.2">
      <c r="A68" s="84"/>
      <c r="B68" s="179" t="s">
        <v>292</v>
      </c>
      <c r="C68" s="370">
        <f>'New Fin Ratios'!C383</f>
        <v>0</v>
      </c>
      <c r="D68" s="370">
        <f>'New Fin Ratios'!D383</f>
        <v>0</v>
      </c>
      <c r="E68" s="370">
        <f>'New Fin Ratios'!E383</f>
        <v>2231231231</v>
      </c>
      <c r="F68" s="370">
        <f>'New Fin Ratios'!F383</f>
        <v>91797.1</v>
      </c>
      <c r="G68" s="376">
        <f>'New Fin Ratios'!G383</f>
        <v>82952</v>
      </c>
    </row>
    <row r="69" spans="1:7" x14ac:dyDescent="0.2">
      <c r="A69" s="84"/>
      <c r="B69" s="179" t="s">
        <v>779</v>
      </c>
      <c r="C69" s="274" t="e">
        <f>'New Fin Ratios'!C389</f>
        <v>#DIV/0!</v>
      </c>
      <c r="D69" s="274" t="e">
        <f>'New Fin Ratios'!D389</f>
        <v>#DIV/0!</v>
      </c>
      <c r="E69" s="274">
        <f>'New Fin Ratios'!E389</f>
        <v>0.99974971836583892</v>
      </c>
      <c r="F69" s="274">
        <f>'New Fin Ratios'!F389</f>
        <v>8.3595031384187113E-2</v>
      </c>
      <c r="G69" s="302">
        <f>'New Fin Ratios'!G389</f>
        <v>3.4088462584941207E-2</v>
      </c>
    </row>
    <row r="70" spans="1:7" x14ac:dyDescent="0.2">
      <c r="A70" s="84"/>
      <c r="B70" s="179" t="s">
        <v>293</v>
      </c>
      <c r="C70" s="370">
        <f>'New Fin Ratios'!C384</f>
        <v>0</v>
      </c>
      <c r="D70" s="370">
        <f>'New Fin Ratios'!D384</f>
        <v>0</v>
      </c>
      <c r="E70" s="370">
        <f>'New Fin Ratios'!E384</f>
        <v>232343232</v>
      </c>
      <c r="F70" s="370">
        <f>'New Fin Ratios'!F384</f>
        <v>31886.5</v>
      </c>
      <c r="G70" s="376">
        <f>'New Fin Ratios'!G384</f>
        <v>34885.199999999997</v>
      </c>
    </row>
    <row r="71" spans="1:7" x14ac:dyDescent="0.2">
      <c r="A71" s="84"/>
      <c r="B71" s="179" t="s">
        <v>780</v>
      </c>
      <c r="C71" s="274" t="e">
        <f>'New Fin Ratios'!C392</f>
        <v>#DIV/0!</v>
      </c>
      <c r="D71" s="274" t="e">
        <f>'New Fin Ratios'!D392</f>
        <v>#DIV/0!</v>
      </c>
      <c r="E71" s="274">
        <f>'New Fin Ratios'!E392</f>
        <v>69.028484933115635</v>
      </c>
      <c r="F71" s="274">
        <f>'New Fin Ratios'!F392</f>
        <v>3.1236000968280851E-2</v>
      </c>
      <c r="G71" s="302">
        <f>'New Fin Ratios'!G392</f>
        <v>1.8937100244107455E-2</v>
      </c>
    </row>
    <row r="72" spans="1:7" x14ac:dyDescent="0.2">
      <c r="A72" s="84"/>
      <c r="B72" s="179" t="s">
        <v>781</v>
      </c>
      <c r="C72" s="370">
        <f>'New Fin Ratios'!C404</f>
        <v>0</v>
      </c>
      <c r="D72" s="370">
        <f>'New Fin Ratios'!D404</f>
        <v>0</v>
      </c>
      <c r="E72" s="370">
        <f>'New Fin Ratios'!E404</f>
        <v>1998887999</v>
      </c>
      <c r="F72" s="370">
        <f>'New Fin Ratios'!F404</f>
        <v>59910.600000000006</v>
      </c>
      <c r="G72" s="376">
        <f>'New Fin Ratios'!G404</f>
        <v>48066.8</v>
      </c>
    </row>
    <row r="73" spans="1:7" x14ac:dyDescent="0.2">
      <c r="A73" s="84"/>
      <c r="B73" s="179" t="s">
        <v>782</v>
      </c>
      <c r="C73" s="274" t="e">
        <f>'New Fin Ratios'!C405</f>
        <v>#DIV/0!</v>
      </c>
      <c r="D73" s="274" t="e">
        <f>'New Fin Ratios'!D405</f>
        <v>#DIV/0!</v>
      </c>
      <c r="E73" s="274">
        <f>'New Fin Ratios'!E405</f>
        <v>1.0193784964627166</v>
      </c>
      <c r="F73" s="274">
        <f>'New Fin Ratios'!F405</f>
        <v>5.7896004316982809E-2</v>
      </c>
      <c r="G73" s="302">
        <f>'New Fin Ratios'!G405</f>
        <v>2.041888215171488E-2</v>
      </c>
    </row>
    <row r="74" spans="1:7" x14ac:dyDescent="0.2">
      <c r="A74" s="84"/>
      <c r="B74" s="179"/>
      <c r="C74" s="274"/>
      <c r="D74" s="274"/>
      <c r="E74" s="274"/>
      <c r="F74" s="274"/>
      <c r="G74" s="302"/>
    </row>
    <row r="75" spans="1:7" x14ac:dyDescent="0.2">
      <c r="A75" s="84"/>
      <c r="B75" s="179" t="s">
        <v>706</v>
      </c>
      <c r="C75" s="370">
        <f>'New Fin Ratios'!C824</f>
        <v>0</v>
      </c>
      <c r="D75" s="370">
        <f>'New Fin Ratios'!D824</f>
        <v>0</v>
      </c>
      <c r="E75" s="370">
        <f>'New Fin Ratios'!E824</f>
        <v>0</v>
      </c>
      <c r="F75" s="370">
        <f>'New Fin Ratios'!F824</f>
        <v>0</v>
      </c>
      <c r="G75" s="376">
        <f>'New Fin Ratios'!G824</f>
        <v>0</v>
      </c>
    </row>
    <row r="76" spans="1:7" x14ac:dyDescent="0.2">
      <c r="A76" s="84"/>
      <c r="B76" s="179" t="s">
        <v>783</v>
      </c>
      <c r="C76" s="274">
        <f>'New Fin Ratios'!C136</f>
        <v>0</v>
      </c>
      <c r="D76" s="274">
        <f>'New Fin Ratios'!D136</f>
        <v>0</v>
      </c>
      <c r="E76" s="274">
        <f>'New Fin Ratios'!E136</f>
        <v>0</v>
      </c>
      <c r="F76" s="274">
        <f>'New Fin Ratios'!F136</f>
        <v>0</v>
      </c>
      <c r="G76" s="302">
        <f>'New Fin Ratios'!G136</f>
        <v>0</v>
      </c>
    </row>
    <row r="77" spans="1:7" x14ac:dyDescent="0.2">
      <c r="A77" s="84"/>
      <c r="B77" s="179" t="s">
        <v>784</v>
      </c>
      <c r="C77" s="370">
        <f>Sheet1!C107</f>
        <v>5668.6</v>
      </c>
      <c r="D77" s="370">
        <f>Sheet1!D107</f>
        <v>26</v>
      </c>
      <c r="E77" s="370">
        <f>Sheet1!E107</f>
        <v>-3.6</v>
      </c>
      <c r="F77" s="370">
        <f>Sheet1!F107</f>
        <v>-23.9</v>
      </c>
      <c r="G77" s="376">
        <f>Sheet1!G107</f>
        <v>1.2</v>
      </c>
    </row>
    <row r="78" spans="1:7" x14ac:dyDescent="0.2">
      <c r="A78" s="84"/>
      <c r="B78" s="179" t="s">
        <v>785</v>
      </c>
      <c r="C78" s="274" t="e">
        <f>'New Fin Ratios'!C825</f>
        <v>#DIV/0!</v>
      </c>
      <c r="D78" s="274" t="e">
        <f>'New Fin Ratios'!D825</f>
        <v>#DIV/0!</v>
      </c>
      <c r="E78" s="274">
        <f>'New Fin Ratios'!E825</f>
        <v>-1.6130551312263433E-9</v>
      </c>
      <c r="F78" s="274">
        <f>'New Fin Ratios'!F825</f>
        <v>-2.1764535590798315E-5</v>
      </c>
      <c r="G78" s="302">
        <f>'New Fin Ratios'!G825</f>
        <v>4.9313042605277082E-7</v>
      </c>
    </row>
    <row r="79" spans="1:7" x14ac:dyDescent="0.2">
      <c r="A79" s="84"/>
      <c r="B79" s="179" t="s">
        <v>218</v>
      </c>
      <c r="C79" s="274">
        <f>Sheet1!C283</f>
        <v>0</v>
      </c>
      <c r="D79" s="274">
        <f>Sheet1!D283</f>
        <v>0</v>
      </c>
      <c r="E79" s="274">
        <f>Sheet1!E283</f>
        <v>0</v>
      </c>
      <c r="F79" s="274">
        <f>Sheet1!F283</f>
        <v>0</v>
      </c>
      <c r="G79" s="302">
        <f>Sheet1!G283</f>
        <v>0</v>
      </c>
    </row>
    <row r="80" spans="1:7" x14ac:dyDescent="0.2">
      <c r="A80" s="84"/>
      <c r="B80" s="179" t="s">
        <v>786</v>
      </c>
      <c r="C80" s="274">
        <f>'New Fin Ratios'!C135</f>
        <v>0</v>
      </c>
      <c r="D80" s="274">
        <f>'New Fin Ratios'!D135</f>
        <v>0</v>
      </c>
      <c r="E80" s="274">
        <f>'New Fin Ratios'!E135</f>
        <v>0</v>
      </c>
      <c r="F80" s="274">
        <f>'New Fin Ratios'!F135</f>
        <v>0</v>
      </c>
      <c r="G80" s="302">
        <f>'New Fin Ratios'!G135</f>
        <v>0</v>
      </c>
    </row>
    <row r="81" spans="1:7" x14ac:dyDescent="0.2">
      <c r="A81" s="84"/>
      <c r="B81" s="179" t="s">
        <v>787</v>
      </c>
      <c r="C81" s="274" t="e">
        <f>'New Fin Ratios'!C826</f>
        <v>#DIV/0!</v>
      </c>
      <c r="D81" s="274" t="e">
        <f>'New Fin Ratios'!D826</f>
        <v>#DIV/0!</v>
      </c>
      <c r="E81" s="274">
        <f>'New Fin Ratios'!E826</f>
        <v>0.99985471857655095</v>
      </c>
      <c r="F81" s="274">
        <f>'New Fin Ratios'!F826</f>
        <v>0.19569550303715441</v>
      </c>
      <c r="G81" s="302">
        <f>'New Fin Ratios'!G826</f>
        <v>0.60871411597761904</v>
      </c>
    </row>
    <row r="82" spans="1:7" x14ac:dyDescent="0.2">
      <c r="A82" s="84"/>
      <c r="B82" s="179"/>
      <c r="C82" s="274"/>
      <c r="D82" s="274"/>
      <c r="E82" s="274"/>
      <c r="F82" s="274"/>
      <c r="G82" s="302"/>
    </row>
    <row r="83" spans="1:7" x14ac:dyDescent="0.2">
      <c r="A83" s="84"/>
      <c r="B83" s="179"/>
      <c r="C83" s="274"/>
      <c r="D83" s="274"/>
      <c r="E83" s="274"/>
      <c r="F83" s="274"/>
      <c r="G83" s="302"/>
    </row>
    <row r="84" spans="1:7" x14ac:dyDescent="0.2">
      <c r="A84" s="84"/>
      <c r="B84" s="188" t="s">
        <v>788</v>
      </c>
      <c r="C84" s="378"/>
      <c r="D84" s="378"/>
      <c r="E84" s="378"/>
      <c r="F84" s="378"/>
      <c r="G84" s="379"/>
    </row>
    <row r="85" spans="1:7" x14ac:dyDescent="0.2">
      <c r="A85" s="84"/>
      <c r="B85" s="179" t="s">
        <v>789</v>
      </c>
      <c r="C85" s="370">
        <f>'New Fin Ratios'!C827</f>
        <v>6.9805879434383531</v>
      </c>
      <c r="D85" s="370">
        <f>'New Fin Ratios'!D827</f>
        <v>7.2158568223408217</v>
      </c>
      <c r="E85" s="370">
        <f>'New Fin Ratios'!E827</f>
        <v>6.642997346761967</v>
      </c>
      <c r="F85" s="370">
        <f>'New Fin Ratios'!F827</f>
        <v>7.5441107120247031</v>
      </c>
      <c r="G85" s="376">
        <f>'New Fin Ratios'!G827</f>
        <v>8.0671994967825977</v>
      </c>
    </row>
    <row r="86" spans="1:7" x14ac:dyDescent="0.2">
      <c r="A86" s="84"/>
      <c r="B86" s="179" t="s">
        <v>790</v>
      </c>
      <c r="C86" s="370">
        <f>'New Fin Ratios'!C828</f>
        <v>7.9140135449830691</v>
      </c>
      <c r="D86" s="370">
        <f>'New Fin Ratios'!D828</f>
        <v>8.5790350084728093</v>
      </c>
      <c r="E86" s="370">
        <f>'New Fin Ratios'!E828</f>
        <v>7.5337351732766855</v>
      </c>
      <c r="F86" s="370">
        <f>'New Fin Ratios'!F828</f>
        <v>8.2852280487047842</v>
      </c>
      <c r="G86" s="376">
        <f>'New Fin Ratios'!G828</f>
        <v>8.871746745721202</v>
      </c>
    </row>
    <row r="87" spans="1:7" x14ac:dyDescent="0.2">
      <c r="A87" s="84"/>
      <c r="B87" s="179" t="s">
        <v>791</v>
      </c>
      <c r="C87" s="370">
        <f>'New Fin Ratios'!C829</f>
        <v>8.5437624452969434</v>
      </c>
      <c r="D87" s="370">
        <f>'New Fin Ratios'!D829</f>
        <v>9.4503605621455176</v>
      </c>
      <c r="E87" s="370">
        <f>'New Fin Ratios'!E829</f>
        <v>7.7942594842094568</v>
      </c>
      <c r="F87" s="370">
        <f>'New Fin Ratios'!F829</f>
        <v>8.5279254352125307</v>
      </c>
      <c r="G87" s="376">
        <f>'New Fin Ratios'!G829</f>
        <v>9.1894669720003321</v>
      </c>
    </row>
    <row r="88" spans="1:7" x14ac:dyDescent="0.2">
      <c r="A88" s="84"/>
      <c r="B88" s="179" t="s">
        <v>255</v>
      </c>
      <c r="C88" s="559">
        <f>Sheet1!C336</f>
        <v>0</v>
      </c>
      <c r="D88" s="559">
        <f>Sheet1!D336</f>
        <v>0</v>
      </c>
      <c r="E88" s="559">
        <f>Sheet1!E336</f>
        <v>0</v>
      </c>
      <c r="F88" s="559">
        <f>Sheet1!F336</f>
        <v>18.13</v>
      </c>
      <c r="G88" s="560">
        <f>Sheet1!G336</f>
        <v>19.939999999999998</v>
      </c>
    </row>
    <row r="89" spans="1:7" x14ac:dyDescent="0.2">
      <c r="A89" s="84"/>
      <c r="B89" s="179" t="s">
        <v>256</v>
      </c>
      <c r="C89" s="559">
        <f>Sheet1!C337</f>
        <v>0</v>
      </c>
      <c r="D89" s="559">
        <f>Sheet1!D337</f>
        <v>0</v>
      </c>
      <c r="E89" s="559">
        <f>Sheet1!E337</f>
        <v>0</v>
      </c>
      <c r="F89" s="559">
        <f>Sheet1!F337</f>
        <v>3.8600000000000003</v>
      </c>
      <c r="G89" s="560">
        <f>Sheet1!G337</f>
        <v>2.56</v>
      </c>
    </row>
    <row r="90" spans="1:7" x14ac:dyDescent="0.2">
      <c r="A90" s="84"/>
      <c r="B90" s="179" t="s">
        <v>3</v>
      </c>
      <c r="C90" s="559">
        <f>Sheet1!C335</f>
        <v>16.939999999999998</v>
      </c>
      <c r="D90" s="559">
        <f>Sheet1!D335</f>
        <v>17.380000000000003</v>
      </c>
      <c r="E90" s="559">
        <f>Sheet1!E335</f>
        <v>20.27</v>
      </c>
      <c r="F90" s="559">
        <f>Sheet1!F335</f>
        <v>21.990000000000002</v>
      </c>
      <c r="G90" s="560">
        <f>Sheet1!G335</f>
        <v>22.5</v>
      </c>
    </row>
    <row r="91" spans="1:7" x14ac:dyDescent="0.2">
      <c r="A91" s="84"/>
      <c r="B91" s="179"/>
      <c r="C91" s="274"/>
      <c r="D91" s="274"/>
      <c r="E91" s="274"/>
      <c r="F91" s="274"/>
      <c r="G91" s="302"/>
    </row>
    <row r="92" spans="1:7" x14ac:dyDescent="0.2">
      <c r="A92" s="84"/>
      <c r="B92" s="188" t="s">
        <v>792</v>
      </c>
      <c r="C92" s="378"/>
      <c r="D92" s="378"/>
      <c r="E92" s="378"/>
      <c r="F92" s="378"/>
      <c r="G92" s="379"/>
    </row>
    <row r="93" spans="1:7" x14ac:dyDescent="0.2">
      <c r="A93" s="84"/>
      <c r="B93" s="179" t="s">
        <v>278</v>
      </c>
      <c r="C93" s="370">
        <f>'New Fin Ratios'!C160</f>
        <v>93609.5</v>
      </c>
      <c r="D93" s="370">
        <f>'New Fin Ratios'!D160</f>
        <v>89486.6</v>
      </c>
      <c r="E93" s="370">
        <f>'New Fin Ratios'!E160</f>
        <v>151964.4</v>
      </c>
      <c r="F93" s="370">
        <f>'New Fin Ratios'!F160</f>
        <v>153822.10000000003</v>
      </c>
      <c r="G93" s="376">
        <f>'New Fin Ratios'!G160</f>
        <v>137436</v>
      </c>
    </row>
    <row r="94" spans="1:7" x14ac:dyDescent="0.2">
      <c r="A94" s="84"/>
      <c r="B94" s="179" t="s">
        <v>277</v>
      </c>
      <c r="C94" s="370">
        <f>'New Fin Ratios'!C163</f>
        <v>0</v>
      </c>
      <c r="D94" s="370">
        <f>'New Fin Ratios'!D163</f>
        <v>0</v>
      </c>
      <c r="E94" s="370">
        <f>'New Fin Ratios'!E163</f>
        <v>0</v>
      </c>
      <c r="F94" s="370">
        <f>'New Fin Ratios'!F163</f>
        <v>0</v>
      </c>
      <c r="G94" s="376">
        <f>'New Fin Ratios'!G163</f>
        <v>0</v>
      </c>
    </row>
    <row r="95" spans="1:7" x14ac:dyDescent="0.2">
      <c r="A95" s="84"/>
      <c r="B95" s="179" t="s">
        <v>793</v>
      </c>
      <c r="C95" s="370">
        <f>'New Fin Ratios'!C830</f>
        <v>0</v>
      </c>
      <c r="D95" s="370">
        <f>'New Fin Ratios'!D830</f>
        <v>0</v>
      </c>
      <c r="E95" s="370">
        <f>'New Fin Ratios'!E830</f>
        <v>0</v>
      </c>
      <c r="F95" s="370">
        <f>'New Fin Ratios'!F830</f>
        <v>0</v>
      </c>
      <c r="G95" s="376">
        <f>'New Fin Ratios'!G830</f>
        <v>0</v>
      </c>
    </row>
    <row r="96" spans="1:7" x14ac:dyDescent="0.2">
      <c r="A96" s="84"/>
      <c r="B96" s="179" t="s">
        <v>280</v>
      </c>
      <c r="C96" s="370">
        <f>'New Fin Ratios'!C164</f>
        <v>0</v>
      </c>
      <c r="D96" s="370">
        <f>'New Fin Ratios'!D164</f>
        <v>0</v>
      </c>
      <c r="E96" s="370">
        <f>'New Fin Ratios'!E164</f>
        <v>0</v>
      </c>
      <c r="F96" s="370">
        <f>'New Fin Ratios'!F164</f>
        <v>0</v>
      </c>
      <c r="G96" s="376">
        <f>'New Fin Ratios'!G164</f>
        <v>0</v>
      </c>
    </row>
    <row r="97" spans="1:13" x14ac:dyDescent="0.2">
      <c r="A97" s="84"/>
      <c r="B97" s="179" t="s">
        <v>794</v>
      </c>
      <c r="C97" s="370">
        <f>'New Fin Ratios'!C159</f>
        <v>78568.399999999994</v>
      </c>
      <c r="D97" s="370">
        <f>'New Fin Ratios'!D159</f>
        <v>103630.7</v>
      </c>
      <c r="E97" s="370">
        <f>'New Fin Ratios'!E159</f>
        <v>114417</v>
      </c>
      <c r="F97" s="370">
        <f>'New Fin Ratios'!F159</f>
        <v>211755.5</v>
      </c>
      <c r="G97" s="376">
        <f>'New Fin Ratios'!G159</f>
        <v>282046.5</v>
      </c>
    </row>
    <row r="98" spans="1:13" x14ac:dyDescent="0.2">
      <c r="A98" s="84"/>
      <c r="B98" s="179" t="s">
        <v>636</v>
      </c>
      <c r="C98" s="370">
        <f>'New Fin Ratios'!C169</f>
        <v>56763.199999999997</v>
      </c>
      <c r="D98" s="370">
        <f>'New Fin Ratios'!D169</f>
        <v>64135.5</v>
      </c>
      <c r="E98" s="370">
        <f>'New Fin Ratios'!E169</f>
        <v>63242.2</v>
      </c>
      <c r="F98" s="370">
        <f>'New Fin Ratios'!F169</f>
        <v>38125.199999999997</v>
      </c>
      <c r="G98" s="376">
        <f>'New Fin Ratios'!G169</f>
        <v>30858.3</v>
      </c>
    </row>
    <row r="99" spans="1:13" x14ac:dyDescent="0.2">
      <c r="A99" s="84"/>
      <c r="B99" s="179" t="s">
        <v>637</v>
      </c>
      <c r="C99" s="370">
        <f>'New Fin Ratios'!C170</f>
        <v>0</v>
      </c>
      <c r="D99" s="370">
        <f>'New Fin Ratios'!D170</f>
        <v>0</v>
      </c>
      <c r="E99" s="370">
        <f>'New Fin Ratios'!E170</f>
        <v>0</v>
      </c>
      <c r="F99" s="370">
        <f>'New Fin Ratios'!F170</f>
        <v>0</v>
      </c>
      <c r="G99" s="376">
        <f>'New Fin Ratios'!G170</f>
        <v>0</v>
      </c>
    </row>
    <row r="100" spans="1:13" x14ac:dyDescent="0.2">
      <c r="A100" s="84"/>
      <c r="B100" s="179" t="s">
        <v>46</v>
      </c>
      <c r="C100" s="370">
        <f>'New Fin Ratios'!C167</f>
        <v>0</v>
      </c>
      <c r="D100" s="370">
        <f>'New Fin Ratios'!D167</f>
        <v>0</v>
      </c>
      <c r="E100" s="370">
        <f>'New Fin Ratios'!E167</f>
        <v>0</v>
      </c>
      <c r="F100" s="370">
        <f>'New Fin Ratios'!F167</f>
        <v>0</v>
      </c>
      <c r="G100" s="376">
        <f>'New Fin Ratios'!G167</f>
        <v>0</v>
      </c>
    </row>
    <row r="101" spans="1:13" x14ac:dyDescent="0.2">
      <c r="A101" s="84"/>
      <c r="B101" s="179" t="s">
        <v>2</v>
      </c>
      <c r="C101" s="370">
        <f>'New Fin Ratios'!C831</f>
        <v>52446.399999999965</v>
      </c>
      <c r="D101" s="370">
        <f>'New Fin Ratios'!D831</f>
        <v>63721.500000000058</v>
      </c>
      <c r="E101" s="370">
        <f>'New Fin Ratios'!E831</f>
        <v>62961.599999999977</v>
      </c>
      <c r="F101" s="370">
        <f>'New Fin Ratios'!F831</f>
        <v>63422.5</v>
      </c>
      <c r="G101" s="376">
        <f>'New Fin Ratios'!G831</f>
        <v>90873.900000000081</v>
      </c>
    </row>
    <row r="102" spans="1:13" ht="13.5" thickBot="1" x14ac:dyDescent="0.25">
      <c r="A102" s="263"/>
      <c r="B102" s="192" t="s">
        <v>795</v>
      </c>
      <c r="C102" s="375">
        <f>'New Fin Ratios'!C172</f>
        <v>281387.49999999994</v>
      </c>
      <c r="D102" s="375">
        <f>'New Fin Ratios'!D172</f>
        <v>320974.30000000005</v>
      </c>
      <c r="E102" s="375">
        <f>'New Fin Ratios'!E172</f>
        <v>392585.2</v>
      </c>
      <c r="F102" s="375">
        <f>'New Fin Ratios'!F172</f>
        <v>467125.30000000005</v>
      </c>
      <c r="G102" s="377">
        <f>'New Fin Ratios'!G172</f>
        <v>541214.70000000007</v>
      </c>
    </row>
    <row r="103" spans="1:13" x14ac:dyDescent="0.2">
      <c r="A103" s="234"/>
      <c r="B103" s="234"/>
      <c r="C103" s="370"/>
      <c r="D103" s="370"/>
      <c r="E103" s="370"/>
      <c r="F103" s="370"/>
      <c r="G103" s="370"/>
    </row>
    <row r="104" spans="1:13" ht="13.5" thickBot="1" x14ac:dyDescent="0.25"/>
    <row r="105" spans="1:13" ht="19.5" thickBot="1" x14ac:dyDescent="0.25">
      <c r="A105" s="41"/>
      <c r="B105" s="34" t="s">
        <v>236</v>
      </c>
    </row>
    <row r="106" spans="1:13" x14ac:dyDescent="0.2">
      <c r="A106" s="84"/>
      <c r="B106" s="157" t="s">
        <v>285</v>
      </c>
      <c r="C106" s="229" t="str">
        <f>'New Fin Ratios'!C263</f>
        <v>31/03/2021</v>
      </c>
      <c r="D106" s="213"/>
      <c r="E106" s="213"/>
      <c r="F106" s="213"/>
      <c r="G106" s="213"/>
      <c r="H106" s="14"/>
      <c r="I106" s="14"/>
      <c r="J106" s="14"/>
      <c r="K106" s="14"/>
      <c r="L106" s="14"/>
      <c r="M106" s="15"/>
    </row>
    <row r="107" spans="1:13" ht="51" x14ac:dyDescent="0.2">
      <c r="A107" s="84"/>
      <c r="B107" s="66" t="s">
        <v>236</v>
      </c>
      <c r="C107" s="161" t="s">
        <v>237</v>
      </c>
      <c r="D107" s="161" t="s">
        <v>238</v>
      </c>
      <c r="E107" s="161" t="s">
        <v>239</v>
      </c>
      <c r="F107" s="161" t="s">
        <v>240</v>
      </c>
      <c r="G107" s="161" t="s">
        <v>241</v>
      </c>
      <c r="H107" s="161" t="s">
        <v>242</v>
      </c>
      <c r="I107" s="161" t="s">
        <v>243</v>
      </c>
      <c r="J107" s="161" t="s">
        <v>244</v>
      </c>
      <c r="K107" s="161" t="s">
        <v>245</v>
      </c>
      <c r="L107" s="161" t="s">
        <v>246</v>
      </c>
      <c r="M107" s="162" t="s">
        <v>247</v>
      </c>
    </row>
    <row r="108" spans="1:13" ht="15" x14ac:dyDescent="0.2">
      <c r="A108" s="84"/>
      <c r="B108" s="66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9"/>
    </row>
    <row r="109" spans="1:13" ht="15" x14ac:dyDescent="0.2">
      <c r="A109" s="84"/>
      <c r="B109" s="66" t="s">
        <v>248</v>
      </c>
      <c r="C109" s="158"/>
      <c r="D109" s="158"/>
      <c r="E109" s="158"/>
      <c r="F109" s="158"/>
      <c r="G109" s="158"/>
      <c r="H109" s="158"/>
      <c r="I109" s="158"/>
      <c r="J109" s="158"/>
      <c r="K109" s="158"/>
      <c r="L109" s="158"/>
      <c r="M109" s="159"/>
    </row>
    <row r="110" spans="1:13" x14ac:dyDescent="0.2">
      <c r="A110" s="84"/>
      <c r="B110" s="179" t="s">
        <v>702</v>
      </c>
      <c r="C110" s="244">
        <f>'New Fin Ratios'!C841</f>
        <v>31686.9</v>
      </c>
      <c r="D110" s="244">
        <f>'New Fin Ratios'!D841</f>
        <v>23563.7</v>
      </c>
      <c r="E110" s="244">
        <f>'New Fin Ratios'!E841</f>
        <v>29633.200000000001</v>
      </c>
      <c r="F110" s="244">
        <f>'New Fin Ratios'!F841</f>
        <v>88943.6</v>
      </c>
      <c r="G110" s="244">
        <f>'New Fin Ratios'!G841</f>
        <v>120044.4</v>
      </c>
      <c r="H110" s="244">
        <f>'New Fin Ratios'!H841</f>
        <v>243240.8</v>
      </c>
      <c r="I110" s="244">
        <f>'New Fin Ratios'!I841</f>
        <v>84845.4</v>
      </c>
      <c r="J110" s="244">
        <f>'New Fin Ratios'!J841</f>
        <v>59157.8</v>
      </c>
      <c r="K110" s="244">
        <f>'New Fin Ratios'!K841</f>
        <v>0</v>
      </c>
      <c r="L110" s="244">
        <f>'New Fin Ratios'!L841</f>
        <v>0</v>
      </c>
      <c r="M110" s="245">
        <f>'New Fin Ratios'!M841</f>
        <v>681115.80000000016</v>
      </c>
    </row>
    <row r="111" spans="1:13" x14ac:dyDescent="0.2">
      <c r="A111" s="84"/>
      <c r="B111" s="179" t="s">
        <v>249</v>
      </c>
      <c r="C111" s="244">
        <f>'New Fin Ratios'!C842</f>
        <v>0</v>
      </c>
      <c r="D111" s="244">
        <f>'New Fin Ratios'!D842</f>
        <v>0</v>
      </c>
      <c r="E111" s="244">
        <f>'New Fin Ratios'!E842</f>
        <v>0</v>
      </c>
      <c r="F111" s="244">
        <f>'New Fin Ratios'!F842</f>
        <v>0</v>
      </c>
      <c r="G111" s="244">
        <f>'New Fin Ratios'!G842</f>
        <v>0</v>
      </c>
      <c r="H111" s="244">
        <f>'New Fin Ratios'!H842</f>
        <v>0</v>
      </c>
      <c r="I111" s="244">
        <f>'New Fin Ratios'!I842</f>
        <v>0</v>
      </c>
      <c r="J111" s="244">
        <f>'New Fin Ratios'!J842</f>
        <v>0</v>
      </c>
      <c r="K111" s="244">
        <f>'New Fin Ratios'!K842</f>
        <v>0</v>
      </c>
      <c r="L111" s="244">
        <f>'New Fin Ratios'!L842</f>
        <v>0</v>
      </c>
      <c r="M111" s="245">
        <f>'New Fin Ratios'!M842</f>
        <v>0</v>
      </c>
    </row>
    <row r="112" spans="1:13" x14ac:dyDescent="0.2">
      <c r="A112" s="84"/>
      <c r="B112" s="179" t="s">
        <v>250</v>
      </c>
      <c r="C112" s="244">
        <f>'New Fin Ratios'!C843</f>
        <v>3605.3999999999996</v>
      </c>
      <c r="D112" s="244">
        <f>'New Fin Ratios'!D843</f>
        <v>2050.6</v>
      </c>
      <c r="E112" s="244">
        <f>'New Fin Ratios'!E843</f>
        <v>3114.9</v>
      </c>
      <c r="F112" s="244">
        <f>'New Fin Ratios'!F843</f>
        <v>13577.4</v>
      </c>
      <c r="G112" s="244">
        <f>'New Fin Ratios'!G843</f>
        <v>33172.400000000001</v>
      </c>
      <c r="H112" s="244">
        <f>'New Fin Ratios'!H843</f>
        <v>76898.399999999994</v>
      </c>
      <c r="I112" s="244">
        <f>'New Fin Ratios'!I843</f>
        <v>30476.5</v>
      </c>
      <c r="J112" s="244">
        <f>'New Fin Ratios'!J843</f>
        <v>0</v>
      </c>
      <c r="K112" s="244">
        <f>'New Fin Ratios'!K843</f>
        <v>0</v>
      </c>
      <c r="L112" s="244">
        <f>'New Fin Ratios'!L843</f>
        <v>0</v>
      </c>
      <c r="M112" s="245">
        <f>'New Fin Ratios'!M843</f>
        <v>162895.59999999998</v>
      </c>
    </row>
    <row r="113" spans="1:13" x14ac:dyDescent="0.2">
      <c r="A113" s="84"/>
      <c r="B113" s="179" t="s">
        <v>251</v>
      </c>
      <c r="C113" s="244">
        <f>'New Fin Ratios'!C844</f>
        <v>2466.6999999999998</v>
      </c>
      <c r="D113" s="244">
        <f>'New Fin Ratios'!D844</f>
        <v>0</v>
      </c>
      <c r="E113" s="244">
        <f>'New Fin Ratios'!E844</f>
        <v>220.9</v>
      </c>
      <c r="F113" s="244">
        <f>'New Fin Ratios'!F844</f>
        <v>2287.6</v>
      </c>
      <c r="G113" s="244">
        <f>'New Fin Ratios'!G844</f>
        <v>29915.5</v>
      </c>
      <c r="H113" s="244">
        <f>'New Fin Ratios'!H844</f>
        <v>175623.2</v>
      </c>
      <c r="I113" s="244">
        <f>'New Fin Ratios'!I844</f>
        <v>5350.3</v>
      </c>
      <c r="J113" s="244">
        <f>'New Fin Ratios'!J844</f>
        <v>3156.2</v>
      </c>
      <c r="K113" s="244">
        <f>'New Fin Ratios'!K844</f>
        <v>0</v>
      </c>
      <c r="L113" s="244">
        <f>'New Fin Ratios'!L844</f>
        <v>0</v>
      </c>
      <c r="M113" s="245">
        <f>'New Fin Ratios'!M844</f>
        <v>219020.40000000002</v>
      </c>
    </row>
    <row r="114" spans="1:13" x14ac:dyDescent="0.2">
      <c r="A114" s="84"/>
      <c r="B114" s="203" t="s">
        <v>247</v>
      </c>
      <c r="C114" s="276">
        <f>'New Fin Ratios'!C845</f>
        <v>37759</v>
      </c>
      <c r="D114" s="276">
        <f>'New Fin Ratios'!D845</f>
        <v>25614.3</v>
      </c>
      <c r="E114" s="276">
        <f>'New Fin Ratios'!E845</f>
        <v>32969</v>
      </c>
      <c r="F114" s="276">
        <f>'New Fin Ratios'!F845</f>
        <v>104808.6</v>
      </c>
      <c r="G114" s="276">
        <f>'New Fin Ratios'!G845</f>
        <v>183132.3</v>
      </c>
      <c r="H114" s="276">
        <f>'New Fin Ratios'!H845</f>
        <v>495762.39999999997</v>
      </c>
      <c r="I114" s="276">
        <f>'New Fin Ratios'!I845</f>
        <v>120672.2</v>
      </c>
      <c r="J114" s="276">
        <f>'New Fin Ratios'!J845</f>
        <v>62314</v>
      </c>
      <c r="K114" s="276">
        <f>'New Fin Ratios'!K845</f>
        <v>0</v>
      </c>
      <c r="L114" s="276">
        <f>'New Fin Ratios'!L845</f>
        <v>0</v>
      </c>
      <c r="M114" s="371">
        <f>'New Fin Ratios'!M845</f>
        <v>1063031.8000000003</v>
      </c>
    </row>
    <row r="115" spans="1:13" x14ac:dyDescent="0.2">
      <c r="A115" s="84"/>
      <c r="B115" s="203"/>
      <c r="C115" s="276"/>
      <c r="D115" s="276"/>
      <c r="E115" s="276"/>
      <c r="F115" s="276"/>
      <c r="G115" s="276"/>
      <c r="H115" s="276"/>
      <c r="I115" s="276"/>
      <c r="J115" s="276"/>
      <c r="K115" s="276"/>
      <c r="L115" s="276"/>
      <c r="M115" s="205"/>
    </row>
    <row r="116" spans="1:13" ht="15" x14ac:dyDescent="0.2">
      <c r="A116" s="84"/>
      <c r="B116" s="66" t="s">
        <v>252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1"/>
    </row>
    <row r="117" spans="1:13" x14ac:dyDescent="0.2">
      <c r="A117" s="84"/>
      <c r="B117" s="179" t="s">
        <v>253</v>
      </c>
      <c r="C117" s="244">
        <f>'New Fin Ratios'!C848</f>
        <v>0</v>
      </c>
      <c r="D117" s="244">
        <f>'New Fin Ratios'!D848</f>
        <v>32068.400000000001</v>
      </c>
      <c r="E117" s="244">
        <f>'New Fin Ratios'!E848</f>
        <v>31657.3</v>
      </c>
      <c r="F117" s="244">
        <f>'New Fin Ratios'!F848</f>
        <v>96769.2</v>
      </c>
      <c r="G117" s="244">
        <f>'New Fin Ratios'!G848</f>
        <v>1787.5</v>
      </c>
      <c r="H117" s="244">
        <f>'New Fin Ratios'!H848</f>
        <v>513974.9</v>
      </c>
      <c r="I117" s="244">
        <f>'New Fin Ratios'!I848</f>
        <v>159383.29999999999</v>
      </c>
      <c r="J117" s="244">
        <f>'New Fin Ratios'!J848</f>
        <v>30370.3</v>
      </c>
      <c r="K117" s="244">
        <f>'New Fin Ratios'!K848</f>
        <v>0</v>
      </c>
      <c r="L117" s="244">
        <f>'New Fin Ratios'!L848</f>
        <v>0</v>
      </c>
      <c r="M117" s="245">
        <f>'New Fin Ratios'!M848</f>
        <v>866010.90000000014</v>
      </c>
    </row>
    <row r="118" spans="1:13" x14ac:dyDescent="0.2">
      <c r="A118" s="84"/>
      <c r="B118" s="179" t="s">
        <v>75</v>
      </c>
      <c r="C118" s="244">
        <f>'New Fin Ratios'!C849</f>
        <v>0</v>
      </c>
      <c r="D118" s="244">
        <f>'New Fin Ratios'!D849</f>
        <v>587.79999999999995</v>
      </c>
      <c r="E118" s="244">
        <f>'New Fin Ratios'!E849</f>
        <v>496.9</v>
      </c>
      <c r="F118" s="244">
        <f>'New Fin Ratios'!F849</f>
        <v>1342.6</v>
      </c>
      <c r="G118" s="244">
        <f>'New Fin Ratios'!G849</f>
        <v>2357.6</v>
      </c>
      <c r="H118" s="244">
        <f>'New Fin Ratios'!H849</f>
        <v>7940.4</v>
      </c>
      <c r="I118" s="244">
        <f>'New Fin Ratios'!I849</f>
        <v>1691.5</v>
      </c>
      <c r="J118" s="244">
        <f>'New Fin Ratios'!J849</f>
        <v>17114.599999999999</v>
      </c>
      <c r="K118" s="244">
        <f>'New Fin Ratios'!K849</f>
        <v>0</v>
      </c>
      <c r="L118" s="244">
        <f>'New Fin Ratios'!L849</f>
        <v>0</v>
      </c>
      <c r="M118" s="245">
        <f>'New Fin Ratios'!M849</f>
        <v>31531.399999999998</v>
      </c>
    </row>
    <row r="119" spans="1:13" x14ac:dyDescent="0.2">
      <c r="A119" s="84"/>
      <c r="B119" s="203" t="s">
        <v>247</v>
      </c>
      <c r="C119" s="276">
        <f>'New Fin Ratios'!C850</f>
        <v>0</v>
      </c>
      <c r="D119" s="276">
        <f>'New Fin Ratios'!D850</f>
        <v>32656.2</v>
      </c>
      <c r="E119" s="276">
        <f>'New Fin Ratios'!E850</f>
        <v>32154.2</v>
      </c>
      <c r="F119" s="276">
        <f>'New Fin Ratios'!F850</f>
        <v>98111.8</v>
      </c>
      <c r="G119" s="276">
        <f>'New Fin Ratios'!G850</f>
        <v>4145.1000000000004</v>
      </c>
      <c r="H119" s="276">
        <f>'New Fin Ratios'!H850</f>
        <v>521915.30000000005</v>
      </c>
      <c r="I119" s="276">
        <f>'New Fin Ratios'!I850</f>
        <v>161074.79999999999</v>
      </c>
      <c r="J119" s="276">
        <f>'New Fin Ratios'!J850</f>
        <v>47484.899999999994</v>
      </c>
      <c r="K119" s="276">
        <f>'New Fin Ratios'!K850</f>
        <v>0</v>
      </c>
      <c r="L119" s="276">
        <f>'New Fin Ratios'!L850</f>
        <v>0</v>
      </c>
      <c r="M119" s="371">
        <f>'New Fin Ratios'!M850</f>
        <v>897542.30000000016</v>
      </c>
    </row>
    <row r="120" spans="1:13" x14ac:dyDescent="0.2">
      <c r="A120" s="84"/>
      <c r="B120" s="203"/>
      <c r="C120" s="276"/>
      <c r="D120" s="276"/>
      <c r="E120" s="276"/>
      <c r="F120" s="276"/>
      <c r="G120" s="276"/>
      <c r="H120" s="276"/>
      <c r="I120" s="276"/>
      <c r="J120" s="276"/>
      <c r="K120" s="276"/>
      <c r="L120" s="276"/>
      <c r="M120" s="205"/>
    </row>
    <row r="121" spans="1:13" ht="15" x14ac:dyDescent="0.2">
      <c r="A121" s="84"/>
      <c r="B121" s="66" t="s">
        <v>452</v>
      </c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5"/>
    </row>
    <row r="122" spans="1:13" x14ac:dyDescent="0.2">
      <c r="A122" s="84"/>
      <c r="B122" s="179" t="s">
        <v>684</v>
      </c>
      <c r="C122" s="244">
        <f>'New Fin Ratios'!C853</f>
        <v>96846.200000000012</v>
      </c>
      <c r="D122" s="244">
        <f>'New Fin Ratios'!D853</f>
        <v>129502.40000000001</v>
      </c>
      <c r="E122" s="244">
        <f>'New Fin Ratios'!E853</f>
        <v>161656.6</v>
      </c>
      <c r="F122" s="244">
        <f>'New Fin Ratios'!F853</f>
        <v>259768.40000000002</v>
      </c>
      <c r="G122" s="244">
        <f>'New Fin Ratios'!G853</f>
        <v>263913.5</v>
      </c>
      <c r="H122" s="244">
        <f>'New Fin Ratios'!H853</f>
        <v>785828.8</v>
      </c>
      <c r="I122" s="244">
        <f>'New Fin Ratios'!I853</f>
        <v>946903.60000000009</v>
      </c>
      <c r="J122" s="244">
        <f>'New Fin Ratios'!J853</f>
        <v>994388.50000000012</v>
      </c>
      <c r="K122" s="244">
        <f>'New Fin Ratios'!K853</f>
        <v>994388.50000000012</v>
      </c>
      <c r="L122" s="244">
        <f>'New Fin Ratios'!L853</f>
        <v>994388.50000000012</v>
      </c>
      <c r="M122" s="205">
        <f>'New Fin Ratios'!M853</f>
        <v>994388.50000000012</v>
      </c>
    </row>
    <row r="123" spans="1:13" x14ac:dyDescent="0.2">
      <c r="A123" s="84"/>
      <c r="B123" s="179" t="s">
        <v>685</v>
      </c>
      <c r="C123" s="244">
        <f>'New Fin Ratios'!C854</f>
        <v>37759</v>
      </c>
      <c r="D123" s="244">
        <f>'New Fin Ratios'!D854</f>
        <v>63373.3</v>
      </c>
      <c r="E123" s="244">
        <f>'New Fin Ratios'!E854</f>
        <v>96342.3</v>
      </c>
      <c r="F123" s="244">
        <f>'New Fin Ratios'!F854</f>
        <v>201150.90000000002</v>
      </c>
      <c r="G123" s="244">
        <f>'New Fin Ratios'!G854</f>
        <v>384283.2</v>
      </c>
      <c r="H123" s="244">
        <f>'New Fin Ratios'!H854</f>
        <v>880045.6</v>
      </c>
      <c r="I123" s="244">
        <f>'New Fin Ratios'!I854</f>
        <v>1000717.7999999999</v>
      </c>
      <c r="J123" s="244">
        <f>'New Fin Ratios'!J854</f>
        <v>1063031.7999999998</v>
      </c>
      <c r="K123" s="244">
        <f>'New Fin Ratios'!K854</f>
        <v>1063031.7999999998</v>
      </c>
      <c r="L123" s="244">
        <f>'New Fin Ratios'!L854</f>
        <v>1063031.7999999998</v>
      </c>
      <c r="M123" s="205">
        <f>'New Fin Ratios'!M854</f>
        <v>1063031.7999999998</v>
      </c>
    </row>
    <row r="124" spans="1:13" x14ac:dyDescent="0.2">
      <c r="A124" s="84"/>
      <c r="B124" s="179" t="s">
        <v>687</v>
      </c>
      <c r="C124" s="244">
        <f>'New Fin Ratios'!C855</f>
        <v>59087.200000000012</v>
      </c>
      <c r="D124" s="244">
        <f>'New Fin Ratios'!D855</f>
        <v>66129.100000000006</v>
      </c>
      <c r="E124" s="244">
        <f>'New Fin Ratios'!E855</f>
        <v>65314.3</v>
      </c>
      <c r="F124" s="244">
        <f>'New Fin Ratios'!F855</f>
        <v>58617.5</v>
      </c>
      <c r="G124" s="244">
        <f>'New Fin Ratios'!G855</f>
        <v>-120369.70000000001</v>
      </c>
      <c r="H124" s="244">
        <f>'New Fin Ratios'!H855</f>
        <v>-94216.79999999993</v>
      </c>
      <c r="I124" s="244">
        <f>'New Fin Ratios'!I855</f>
        <v>-53814.199999999837</v>
      </c>
      <c r="J124" s="244">
        <f>'New Fin Ratios'!J855</f>
        <v>-68643.299999999697</v>
      </c>
      <c r="K124" s="244">
        <f>'New Fin Ratios'!K855</f>
        <v>-68643.299999999697</v>
      </c>
      <c r="L124" s="244">
        <f>'New Fin Ratios'!L855</f>
        <v>-68643.299999999697</v>
      </c>
      <c r="M124" s="205">
        <f>'New Fin Ratios'!M855</f>
        <v>0</v>
      </c>
    </row>
    <row r="125" spans="1:13" x14ac:dyDescent="0.2">
      <c r="A125" s="84"/>
      <c r="B125" s="281" t="s">
        <v>686</v>
      </c>
      <c r="C125" s="272">
        <f>'New Fin Ratios'!C856</f>
        <v>1.5648507640562519</v>
      </c>
      <c r="D125" s="272">
        <f>'New Fin Ratios'!D856</f>
        <v>1.0434851901352777</v>
      </c>
      <c r="E125" s="272">
        <f>'New Fin Ratios'!E856</f>
        <v>0.67794001181204933</v>
      </c>
      <c r="F125" s="272">
        <f>'New Fin Ratios'!F856</f>
        <v>0.29141057782987795</v>
      </c>
      <c r="G125" s="272">
        <f>'New Fin Ratios'!G856</f>
        <v>-0.31323175199956699</v>
      </c>
      <c r="H125" s="272">
        <f>'New Fin Ratios'!H856</f>
        <v>-0.10705899785192942</v>
      </c>
      <c r="I125" s="272">
        <f>'New Fin Ratios'!I856</f>
        <v>-5.3775599874409989E-2</v>
      </c>
      <c r="J125" s="272">
        <f>'New Fin Ratios'!J856</f>
        <v>-6.4573138828019738E-2</v>
      </c>
      <c r="K125" s="272">
        <f>'New Fin Ratios'!K856</f>
        <v>-6.4573138828019738E-2</v>
      </c>
      <c r="L125" s="272">
        <f>'New Fin Ratios'!L856</f>
        <v>-6.4573138828019738E-2</v>
      </c>
      <c r="M125" s="273">
        <f>'New Fin Ratios'!M856</f>
        <v>0</v>
      </c>
    </row>
    <row r="126" spans="1:13" x14ac:dyDescent="0.2">
      <c r="A126" s="46"/>
      <c r="M126" s="373"/>
    </row>
    <row r="127" spans="1:13" ht="13.5" thickBot="1" x14ac:dyDescent="0.25">
      <c r="A127" s="380"/>
      <c r="B127" s="372"/>
      <c r="C127" s="372"/>
      <c r="D127" s="372"/>
      <c r="E127" s="372"/>
      <c r="F127" s="372"/>
      <c r="G127" s="372"/>
      <c r="H127" s="372"/>
      <c r="I127" s="372"/>
      <c r="J127" s="372"/>
      <c r="K127" s="372"/>
      <c r="L127" s="372"/>
      <c r="M127" s="374"/>
    </row>
  </sheetData>
  <sheetProtection password="818A" sheet="1" objects="1" scenarios="1"/>
  <pageMargins left="0.7" right="0.7" top="0.75" bottom="0.75" header="0.3" footer="0.3"/>
  <pageSetup paperSize="9" orientation="portrait" r:id="rId1"/>
  <headerFooter>
    <oddHeader>&amp;C&amp;"Calibri"&amp;11&amp;K000000 Classification - Restricted&amp;1#_x000D_</oddHeader>
    <oddFooter>&amp;C_x000D_&amp;1#&amp;"Calibri"&amp;11&amp;K000000 Classification -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showGridLines="0" workbookViewId="0">
      <pane xSplit="2" ySplit="12" topLeftCell="C49" activePane="bottomRight" state="frozen"/>
      <selection pane="topRight" activeCell="C1" sqref="C1"/>
      <selection pane="bottomLeft" activeCell="A13" sqref="A13"/>
      <selection pane="bottomRight" activeCell="B52" sqref="B52"/>
    </sheetView>
  </sheetViews>
  <sheetFormatPr defaultRowHeight="12.75" x14ac:dyDescent="0.2"/>
  <cols>
    <col min="1" max="1" customWidth="true" style="148" width="5.5703125" collapsed="true"/>
    <col min="2" max="2" bestFit="true" customWidth="true" style="148" width="49.42578125" collapsed="true"/>
    <col min="3" max="4" customWidth="true" style="148" width="14.28515625" collapsed="true"/>
    <col min="5" max="5" customWidth="true" style="545" width="14.28515625" collapsed="true"/>
    <col min="6" max="13" style="545" width="9.140625" collapsed="true"/>
    <col min="14" max="14" customWidth="true" style="148" width="31.5703125" collapsed="true"/>
    <col min="15" max="16384" style="148" width="9.140625" collapsed="true"/>
  </cols>
  <sheetData>
    <row r="1" spans="1:14" ht="19.5" thickBot="1" x14ac:dyDescent="0.25">
      <c r="A1" s="7"/>
      <c r="B1" s="493" t="s">
        <v>597</v>
      </c>
      <c r="C1" s="122"/>
      <c r="D1" s="123"/>
      <c r="E1" s="417"/>
      <c r="N1" s="176" t="s">
        <v>598</v>
      </c>
    </row>
    <row r="2" spans="1:14" x14ac:dyDescent="0.2">
      <c r="A2" s="4"/>
      <c r="B2" s="176"/>
      <c r="C2" s="261"/>
      <c r="D2" s="261"/>
      <c r="E2" s="544"/>
      <c r="N2" s="67" t="s">
        <v>522</v>
      </c>
    </row>
    <row r="3" spans="1:14" x14ac:dyDescent="0.2">
      <c r="A3" s="4"/>
      <c r="B3" s="176" t="s">
        <v>110</v>
      </c>
      <c r="C3" s="537">
        <f>'New Fin Ratios'!C3</f>
        <v>332111</v>
      </c>
      <c r="D3" s="538"/>
      <c r="E3" s="539"/>
      <c r="N3" s="67" t="s">
        <v>715</v>
      </c>
    </row>
    <row r="4" spans="1:14" x14ac:dyDescent="0.2">
      <c r="A4" s="4"/>
      <c r="B4" s="176" t="s">
        <v>7</v>
      </c>
      <c r="C4" s="540" t="str">
        <f>'New Fin Ratios'!C4</f>
        <v>asdas</v>
      </c>
      <c r="D4" s="538"/>
      <c r="E4" s="539"/>
      <c r="N4" s="67" t="s">
        <v>716</v>
      </c>
    </row>
    <row r="5" spans="1:14" x14ac:dyDescent="0.2">
      <c r="A5" s="4"/>
      <c r="B5" s="176" t="s">
        <v>598</v>
      </c>
      <c r="C5" s="541"/>
      <c r="D5" s="538"/>
      <c r="E5" s="539"/>
      <c r="N5" s="67" t="s">
        <v>519</v>
      </c>
    </row>
    <row r="6" spans="1:14" x14ac:dyDescent="0.2">
      <c r="A6" s="4"/>
      <c r="B6" s="176" t="s">
        <v>6</v>
      </c>
      <c r="C6" s="537">
        <f>'New Fin Ratios'!C5</f>
        <v>2021</v>
      </c>
      <c r="D6" s="538"/>
      <c r="E6" s="539"/>
      <c r="N6" s="67" t="s">
        <v>520</v>
      </c>
    </row>
    <row r="7" spans="1:14" x14ac:dyDescent="0.2">
      <c r="A7" s="128"/>
      <c r="B7" s="176" t="s">
        <v>370</v>
      </c>
      <c r="C7" s="542"/>
      <c r="D7" s="538"/>
      <c r="E7" s="539"/>
      <c r="N7" s="67" t="s">
        <v>517</v>
      </c>
    </row>
    <row r="8" spans="1:14" x14ac:dyDescent="0.2">
      <c r="A8" s="128"/>
      <c r="B8" s="176" t="s">
        <v>371</v>
      </c>
      <c r="C8" s="542"/>
      <c r="D8" s="538"/>
      <c r="E8" s="539"/>
      <c r="N8" s="67" t="s">
        <v>533</v>
      </c>
    </row>
    <row r="9" spans="1:14" x14ac:dyDescent="0.2">
      <c r="A9" s="128"/>
      <c r="B9" s="176" t="s">
        <v>599</v>
      </c>
      <c r="C9" s="542" t="s">
        <v>379</v>
      </c>
      <c r="D9" s="538"/>
      <c r="E9" s="539"/>
      <c r="N9" s="67" t="s">
        <v>514</v>
      </c>
    </row>
    <row r="10" spans="1:14" x14ac:dyDescent="0.2">
      <c r="A10" s="128"/>
      <c r="B10" s="176" t="s">
        <v>381</v>
      </c>
      <c r="C10" s="542" t="s">
        <v>382</v>
      </c>
      <c r="D10" s="538"/>
      <c r="E10" s="539"/>
      <c r="N10" s="67" t="s">
        <v>515</v>
      </c>
    </row>
    <row r="11" spans="1:14" x14ac:dyDescent="0.2">
      <c r="A11" s="37"/>
      <c r="B11" s="176"/>
      <c r="C11" s="543" t="str">
        <f>CONCATENATE("FY",RIGHT('New Fin Ratios'!E21,2)+1)</f>
        <v>FY20</v>
      </c>
      <c r="D11" s="543" t="str">
        <f>CONCATENATE("FY",RIGHT('New Fin Ratios'!F21,2)+1)</f>
        <v>FY21</v>
      </c>
      <c r="E11" s="544" t="str">
        <f>'New Fin Ratios'!H21</f>
        <v>YTD</v>
      </c>
      <c r="F11" s="543" t="s">
        <v>120</v>
      </c>
      <c r="G11" s="543" t="s">
        <v>121</v>
      </c>
      <c r="H11" s="543" t="s">
        <v>122</v>
      </c>
      <c r="I11" s="543" t="s">
        <v>123</v>
      </c>
      <c r="J11" s="543" t="s">
        <v>118</v>
      </c>
      <c r="K11" s="543" t="s">
        <v>119</v>
      </c>
      <c r="L11" s="544" t="s">
        <v>826</v>
      </c>
      <c r="N11" s="67" t="s">
        <v>717</v>
      </c>
    </row>
    <row r="12" spans="1:14" x14ac:dyDescent="0.2">
      <c r="A12" s="37"/>
      <c r="B12" s="262" t="s">
        <v>426</v>
      </c>
      <c r="C12" s="534"/>
      <c r="D12" s="534"/>
      <c r="E12" s="86"/>
      <c r="F12" s="85"/>
      <c r="G12" s="85"/>
      <c r="H12" s="85"/>
      <c r="I12" s="85"/>
      <c r="J12" s="85"/>
      <c r="K12" s="85"/>
      <c r="L12" s="86"/>
      <c r="N12" s="67" t="s">
        <v>718</v>
      </c>
    </row>
    <row r="13" spans="1:14" x14ac:dyDescent="0.2">
      <c r="A13" s="37"/>
      <c r="B13" s="179" t="s">
        <v>427</v>
      </c>
      <c r="C13" s="340">
        <f>'New Fin Ratios'!F100</f>
        <v>61919.199999999997</v>
      </c>
      <c r="D13" s="340">
        <f>'New Fin Ratios'!G100</f>
        <v>67088.3</v>
      </c>
      <c r="E13" s="321">
        <f>'New Fin Ratios'!H100</f>
        <v>0</v>
      </c>
      <c r="F13" s="320"/>
      <c r="G13" s="320"/>
      <c r="H13" s="320"/>
      <c r="I13" s="320"/>
      <c r="J13" s="320">
        <f>G13</f>
        <v>0</v>
      </c>
      <c r="K13" s="320">
        <f t="shared" ref="K13:L13" si="0">H13</f>
        <v>0</v>
      </c>
      <c r="L13" s="321">
        <f t="shared" si="0"/>
        <v>0</v>
      </c>
      <c r="N13" s="67" t="s">
        <v>523</v>
      </c>
    </row>
    <row r="14" spans="1:14" x14ac:dyDescent="0.2">
      <c r="A14" s="37"/>
      <c r="B14" s="179" t="s">
        <v>600</v>
      </c>
      <c r="C14" s="340">
        <f>'New Fin Ratios'!F105</f>
        <v>448062.00000000006</v>
      </c>
      <c r="D14" s="340">
        <f>'New Fin Ratios'!G105</f>
        <v>496873.19999999995</v>
      </c>
      <c r="E14" s="321">
        <f>'New Fin Ratios'!H105</f>
        <v>0</v>
      </c>
      <c r="F14" s="320"/>
      <c r="G14" s="320"/>
      <c r="H14" s="320"/>
      <c r="I14" s="320"/>
      <c r="J14" s="320">
        <f t="shared" ref="J14:J16" si="1">G14</f>
        <v>0</v>
      </c>
      <c r="K14" s="320">
        <f t="shared" ref="K14:K16" si="2">H14</f>
        <v>0</v>
      </c>
      <c r="L14" s="321">
        <f t="shared" ref="L14:L16" si="3">I14</f>
        <v>0</v>
      </c>
      <c r="N14" s="67" t="s">
        <v>516</v>
      </c>
    </row>
    <row r="15" spans="1:14" x14ac:dyDescent="0.2">
      <c r="A15" s="37"/>
      <c r="B15" s="179" t="s">
        <v>429</v>
      </c>
      <c r="C15" s="340">
        <f>'New Fin Ratios'!F103</f>
        <v>542727.9</v>
      </c>
      <c r="D15" s="340">
        <f>'New Fin Ratios'!G103</f>
        <v>627685.29999999993</v>
      </c>
      <c r="E15" s="321">
        <f>'New Fin Ratios'!H103</f>
        <v>0</v>
      </c>
      <c r="F15" s="320"/>
      <c r="G15" s="320"/>
      <c r="H15" s="320"/>
      <c r="I15" s="320"/>
      <c r="J15" s="320">
        <f t="shared" si="1"/>
        <v>0</v>
      </c>
      <c r="K15" s="320">
        <f t="shared" si="2"/>
        <v>0</v>
      </c>
      <c r="L15" s="321">
        <f t="shared" si="3"/>
        <v>0</v>
      </c>
      <c r="N15" s="67" t="s">
        <v>532</v>
      </c>
    </row>
    <row r="16" spans="1:14" x14ac:dyDescent="0.2">
      <c r="A16" s="37"/>
      <c r="B16" s="179" t="s">
        <v>430</v>
      </c>
      <c r="C16" s="340">
        <f>'New Fin Ratios'!F104</f>
        <v>467125.3</v>
      </c>
      <c r="D16" s="340">
        <f>'New Fin Ratios'!G104</f>
        <v>541214.69999999995</v>
      </c>
      <c r="E16" s="321">
        <f>'New Fin Ratios'!H104</f>
        <v>0</v>
      </c>
      <c r="F16" s="320"/>
      <c r="G16" s="320"/>
      <c r="H16" s="320"/>
      <c r="I16" s="320"/>
      <c r="J16" s="320">
        <f t="shared" si="1"/>
        <v>0</v>
      </c>
      <c r="K16" s="320">
        <f t="shared" si="2"/>
        <v>0</v>
      </c>
      <c r="L16" s="321">
        <f t="shared" si="3"/>
        <v>0</v>
      </c>
      <c r="N16" s="67" t="s">
        <v>521</v>
      </c>
    </row>
    <row r="17" spans="1:14" x14ac:dyDescent="0.2">
      <c r="A17" s="37"/>
      <c r="B17" s="179"/>
      <c r="C17" s="340"/>
      <c r="D17" s="340"/>
      <c r="E17" s="321"/>
      <c r="F17" s="320"/>
      <c r="G17" s="320"/>
      <c r="H17" s="320"/>
      <c r="I17" s="320"/>
      <c r="J17" s="320"/>
      <c r="K17" s="320"/>
      <c r="L17" s="321"/>
      <c r="N17" s="67" t="s">
        <v>529</v>
      </c>
    </row>
    <row r="18" spans="1:14" x14ac:dyDescent="0.2">
      <c r="A18" s="37"/>
      <c r="B18" s="262" t="s">
        <v>431</v>
      </c>
      <c r="C18" s="535"/>
      <c r="D18" s="535"/>
      <c r="E18" s="323"/>
      <c r="F18" s="322"/>
      <c r="G18" s="322"/>
      <c r="H18" s="322"/>
      <c r="I18" s="322"/>
      <c r="J18" s="322"/>
      <c r="K18" s="322"/>
      <c r="L18" s="323"/>
      <c r="N18" s="67" t="s">
        <v>528</v>
      </c>
    </row>
    <row r="19" spans="1:14" x14ac:dyDescent="0.2">
      <c r="A19" s="169"/>
      <c r="B19" s="179" t="s">
        <v>386</v>
      </c>
      <c r="C19" s="340">
        <f>'New Fin Ratios'!F22</f>
        <v>63778.3</v>
      </c>
      <c r="D19" s="340">
        <f>'New Fin Ratios'!G22</f>
        <v>59830.1</v>
      </c>
      <c r="E19" s="321">
        <f>'New Fin Ratios'!H22</f>
        <v>0</v>
      </c>
      <c r="F19" s="320"/>
      <c r="G19" s="320"/>
      <c r="H19" s="320"/>
      <c r="I19" s="320"/>
      <c r="J19" s="320"/>
      <c r="K19" s="320"/>
      <c r="L19" s="321"/>
      <c r="N19" s="67" t="s">
        <v>526</v>
      </c>
    </row>
    <row r="20" spans="1:14" x14ac:dyDescent="0.2">
      <c r="A20" s="84"/>
      <c r="B20" s="179" t="s">
        <v>387</v>
      </c>
      <c r="C20" s="340">
        <f>'New Fin Ratios'!F23</f>
        <v>28886</v>
      </c>
      <c r="D20" s="340">
        <f>'New Fin Ratios'!G23</f>
        <v>26878</v>
      </c>
      <c r="E20" s="321">
        <f>'New Fin Ratios'!H23</f>
        <v>0</v>
      </c>
      <c r="F20" s="320"/>
      <c r="G20" s="320"/>
      <c r="H20" s="320"/>
      <c r="I20" s="320"/>
      <c r="J20" s="320"/>
      <c r="K20" s="320"/>
      <c r="L20" s="321"/>
      <c r="N20" s="67" t="s">
        <v>525</v>
      </c>
    </row>
    <row r="21" spans="1:14" x14ac:dyDescent="0.2">
      <c r="A21" s="84"/>
      <c r="B21" s="179" t="s">
        <v>388</v>
      </c>
      <c r="C21" s="340">
        <f>'New Fin Ratios'!F24</f>
        <v>34892.300000000003</v>
      </c>
      <c r="D21" s="340">
        <f>'New Fin Ratios'!G24</f>
        <v>32952.1</v>
      </c>
      <c r="E21" s="321">
        <f>'New Fin Ratios'!H24</f>
        <v>0</v>
      </c>
      <c r="F21" s="320">
        <f>F19-F20</f>
        <v>0</v>
      </c>
      <c r="G21" s="320">
        <f t="shared" ref="G21:L21" si="4">G19-G20</f>
        <v>0</v>
      </c>
      <c r="H21" s="320">
        <f t="shared" si="4"/>
        <v>0</v>
      </c>
      <c r="I21" s="320">
        <f t="shared" si="4"/>
        <v>0</v>
      </c>
      <c r="J21" s="320">
        <f t="shared" si="4"/>
        <v>0</v>
      </c>
      <c r="K21" s="320">
        <f t="shared" si="4"/>
        <v>0</v>
      </c>
      <c r="L21" s="321">
        <f t="shared" si="4"/>
        <v>0</v>
      </c>
      <c r="N21" s="67" t="s">
        <v>524</v>
      </c>
    </row>
    <row r="22" spans="1:14" x14ac:dyDescent="0.2">
      <c r="A22" s="37"/>
      <c r="B22" s="179" t="s">
        <v>601</v>
      </c>
      <c r="C22" s="536">
        <f>'New Fin Ratios'!F79</f>
        <v>6.9231667441643829E-2</v>
      </c>
      <c r="D22" s="536">
        <f>'New Fin Ratios'!G79</f>
        <v>5.6308490027282672E-2</v>
      </c>
      <c r="E22" s="314">
        <f>'New Fin Ratios'!H79</f>
        <v>0</v>
      </c>
      <c r="F22" s="313">
        <f>F21/AVERAGE($D14,F14)</f>
        <v>0</v>
      </c>
      <c r="G22" s="313">
        <f t="shared" ref="G22:L22" si="5">G21/AVERAGE($D14,G14)</f>
        <v>0</v>
      </c>
      <c r="H22" s="313">
        <f t="shared" si="5"/>
        <v>0</v>
      </c>
      <c r="I22" s="313">
        <f t="shared" si="5"/>
        <v>0</v>
      </c>
      <c r="J22" s="313">
        <f t="shared" si="5"/>
        <v>0</v>
      </c>
      <c r="K22" s="313">
        <f t="shared" si="5"/>
        <v>0</v>
      </c>
      <c r="L22" s="314">
        <f t="shared" si="5"/>
        <v>0</v>
      </c>
      <c r="N22" s="67" t="s">
        <v>531</v>
      </c>
    </row>
    <row r="23" spans="1:14" x14ac:dyDescent="0.2">
      <c r="A23" s="37"/>
      <c r="B23" s="179" t="s">
        <v>602</v>
      </c>
      <c r="C23" s="536">
        <f>'New Fin Ratios'!F80</f>
        <v>7.3539859206475641E-2</v>
      </c>
      <c r="D23" s="536">
        <f>'New Fin Ratios'!G80</f>
        <v>21.152498109214765</v>
      </c>
      <c r="E23" s="314">
        <f>'New Fin Ratios'!H80</f>
        <v>0</v>
      </c>
      <c r="F23" s="313"/>
      <c r="G23" s="313"/>
      <c r="H23" s="313"/>
      <c r="I23" s="313"/>
      <c r="J23" s="313"/>
      <c r="K23" s="313"/>
      <c r="L23" s="314"/>
      <c r="N23" s="67" t="s">
        <v>530</v>
      </c>
    </row>
    <row r="24" spans="1:14" x14ac:dyDescent="0.2">
      <c r="A24" s="84"/>
      <c r="B24" s="179" t="s">
        <v>603</v>
      </c>
      <c r="C24" s="340">
        <f>'New Fin Ratios'!F29</f>
        <v>8730.1</v>
      </c>
      <c r="D24" s="340">
        <f>'New Fin Ratios'!G29</f>
        <v>10129.400000000001</v>
      </c>
      <c r="E24" s="321">
        <f>'New Fin Ratios'!H29</f>
        <v>0</v>
      </c>
      <c r="F24" s="320"/>
      <c r="G24" s="320"/>
      <c r="H24" s="320"/>
      <c r="I24" s="320"/>
      <c r="J24" s="320"/>
      <c r="K24" s="320"/>
      <c r="L24" s="321"/>
      <c r="N24" s="67" t="s">
        <v>513</v>
      </c>
    </row>
    <row r="25" spans="1:14" x14ac:dyDescent="0.2">
      <c r="A25" s="84"/>
      <c r="B25" s="179" t="s">
        <v>604</v>
      </c>
      <c r="C25" s="536">
        <f>'New Fin Ratios'!F83</f>
        <v>1.7321855536387532E-2</v>
      </c>
      <c r="D25" s="536">
        <f>'New Fin Ratios'!G83</f>
        <v>1.7309100751768693E-2</v>
      </c>
      <c r="E25" s="314">
        <f>'New Fin Ratios'!H83</f>
        <v>0</v>
      </c>
      <c r="F25" s="313">
        <f>F24/AVERAGE($D14,F14)</f>
        <v>0</v>
      </c>
      <c r="G25" s="313">
        <f t="shared" ref="G25:L25" si="6">G24/AVERAGE($D14,G14)</f>
        <v>0</v>
      </c>
      <c r="H25" s="313">
        <f t="shared" si="6"/>
        <v>0</v>
      </c>
      <c r="I25" s="313">
        <f t="shared" si="6"/>
        <v>0</v>
      </c>
      <c r="J25" s="313">
        <f t="shared" si="6"/>
        <v>0</v>
      </c>
      <c r="K25" s="313">
        <f t="shared" si="6"/>
        <v>0</v>
      </c>
      <c r="L25" s="314">
        <f t="shared" si="6"/>
        <v>0</v>
      </c>
      <c r="N25" s="67" t="s">
        <v>527</v>
      </c>
    </row>
    <row r="26" spans="1:14" x14ac:dyDescent="0.2">
      <c r="A26" s="84"/>
      <c r="B26" s="179" t="s">
        <v>605</v>
      </c>
      <c r="C26" s="340">
        <f>'New Fin Ratios'!F39</f>
        <v>3580.9000000000037</v>
      </c>
      <c r="D26" s="340">
        <f>'New Fin Ratios'!G39</f>
        <v>12349338.4</v>
      </c>
      <c r="E26" s="321">
        <f>'New Fin Ratios'!H39</f>
        <v>0</v>
      </c>
      <c r="F26" s="320"/>
      <c r="G26" s="320"/>
      <c r="H26" s="320"/>
      <c r="I26" s="320"/>
      <c r="J26" s="320"/>
      <c r="K26" s="320"/>
      <c r="L26" s="321"/>
      <c r="N26" s="67" t="s">
        <v>719</v>
      </c>
    </row>
    <row r="27" spans="1:14" x14ac:dyDescent="0.2">
      <c r="A27" s="84"/>
      <c r="B27" s="179" t="s">
        <v>606</v>
      </c>
      <c r="C27" s="536">
        <f>'New Fin Ratios'!F85</f>
        <v>7.1050540647014555E-3</v>
      </c>
      <c r="D27" s="536">
        <f>'New Fin Ratios'!G85</f>
        <v>21.102527551808201</v>
      </c>
      <c r="E27" s="314">
        <f>'New Fin Ratios'!H85</f>
        <v>0</v>
      </c>
      <c r="F27" s="313">
        <f>F26/AVERAGE($D14,F14)</f>
        <v>0</v>
      </c>
      <c r="G27" s="313">
        <f t="shared" ref="G27:L27" si="7">G26/AVERAGE($D14,G14)</f>
        <v>0</v>
      </c>
      <c r="H27" s="313">
        <f t="shared" si="7"/>
        <v>0</v>
      </c>
      <c r="I27" s="313">
        <f t="shared" si="7"/>
        <v>0</v>
      </c>
      <c r="J27" s="313">
        <f t="shared" si="7"/>
        <v>0</v>
      </c>
      <c r="K27" s="313">
        <f t="shared" si="7"/>
        <v>0</v>
      </c>
      <c r="L27" s="314">
        <f t="shared" si="7"/>
        <v>0</v>
      </c>
      <c r="N27" s="67" t="s">
        <v>512</v>
      </c>
    </row>
    <row r="28" spans="1:14" x14ac:dyDescent="0.2">
      <c r="A28" s="84"/>
      <c r="B28" s="179" t="s">
        <v>607</v>
      </c>
      <c r="C28" s="155">
        <f>'New Fin Ratios'!F109</f>
        <v>0.59345185040825621</v>
      </c>
      <c r="D28" s="155">
        <f>'New Fin Ratios'!G109</f>
        <v>0.60200715584135767</v>
      </c>
      <c r="E28" s="546">
        <f>'New Fin Ratios'!H109</f>
        <v>100</v>
      </c>
      <c r="F28" s="547"/>
      <c r="G28" s="547"/>
      <c r="H28" s="547"/>
      <c r="I28" s="547"/>
      <c r="J28" s="547"/>
      <c r="K28" s="547"/>
      <c r="L28" s="546"/>
      <c r="N28" s="67" t="s">
        <v>534</v>
      </c>
    </row>
    <row r="29" spans="1:14" x14ac:dyDescent="0.2">
      <c r="A29" s="84"/>
      <c r="B29" s="179" t="s">
        <v>434</v>
      </c>
      <c r="C29" s="274">
        <f>'New Fin Ratios'!F112</f>
        <v>4.3081917648318179E-3</v>
      </c>
      <c r="D29" s="274">
        <f>'New Fin Ratios'!G112</f>
        <v>21.096189619187481</v>
      </c>
      <c r="E29" s="548">
        <f>'New Fin Ratios'!H112</f>
        <v>0</v>
      </c>
      <c r="F29" s="549"/>
      <c r="G29" s="549"/>
      <c r="H29" s="549"/>
      <c r="I29" s="549"/>
      <c r="J29" s="549"/>
      <c r="K29" s="549"/>
      <c r="L29" s="548"/>
      <c r="N29" s="67" t="s">
        <v>518</v>
      </c>
    </row>
    <row r="30" spans="1:14" x14ac:dyDescent="0.2">
      <c r="A30" s="84"/>
      <c r="B30" s="179"/>
      <c r="C30" s="151"/>
      <c r="D30" s="151"/>
      <c r="E30" s="505"/>
      <c r="F30" s="301"/>
      <c r="G30" s="301"/>
      <c r="H30" s="301"/>
      <c r="I30" s="301"/>
      <c r="J30" s="301"/>
      <c r="K30" s="301"/>
      <c r="L30" s="505"/>
      <c r="N30" s="67" t="s">
        <v>75</v>
      </c>
    </row>
    <row r="31" spans="1:14" x14ac:dyDescent="0.2">
      <c r="A31" s="84"/>
      <c r="B31" s="188" t="s">
        <v>435</v>
      </c>
      <c r="C31" s="149"/>
      <c r="D31" s="149"/>
      <c r="E31" s="520"/>
      <c r="F31" s="519"/>
      <c r="G31" s="519"/>
      <c r="H31" s="519"/>
      <c r="I31" s="519"/>
      <c r="J31" s="519"/>
      <c r="K31" s="519"/>
      <c r="L31" s="520"/>
      <c r="N31" s="67" t="s">
        <v>720</v>
      </c>
    </row>
    <row r="32" spans="1:14" x14ac:dyDescent="0.2">
      <c r="A32" s="84"/>
      <c r="B32" s="179" t="s">
        <v>436</v>
      </c>
      <c r="C32" s="368">
        <f>'New Fin Ratios'!F118</f>
        <v>8.4</v>
      </c>
      <c r="D32" s="368">
        <f>'New Fin Ratios'!G118</f>
        <v>21</v>
      </c>
      <c r="E32" s="561">
        <f>'New Fin Ratios'!H118</f>
        <v>0</v>
      </c>
      <c r="F32" s="549"/>
      <c r="G32" s="549"/>
      <c r="H32" s="549"/>
      <c r="I32" s="549"/>
      <c r="J32" s="549">
        <f>G32</f>
        <v>0</v>
      </c>
      <c r="K32" s="549">
        <f t="shared" ref="K32:K33" si="8">H32</f>
        <v>0</v>
      </c>
      <c r="L32" s="548">
        <f t="shared" ref="L32:L33" si="9">I32</f>
        <v>0</v>
      </c>
      <c r="N32" s="67" t="s">
        <v>2</v>
      </c>
    </row>
    <row r="33" spans="1:12" x14ac:dyDescent="0.2">
      <c r="A33" s="84"/>
      <c r="B33" s="179" t="s">
        <v>440</v>
      </c>
      <c r="C33" s="368">
        <f>'New Fin Ratios'!F124</f>
        <v>5.6000000000000005</v>
      </c>
      <c r="D33" s="368">
        <f>'New Fin Ratios'!G124</f>
        <v>4.2</v>
      </c>
      <c r="E33" s="561">
        <f>'New Fin Ratios'!H124</f>
        <v>0</v>
      </c>
      <c r="F33" s="549"/>
      <c r="G33" s="549"/>
      <c r="H33" s="549"/>
      <c r="I33" s="549"/>
      <c r="J33" s="549">
        <f>G33</f>
        <v>0</v>
      </c>
      <c r="K33" s="549">
        <f t="shared" si="8"/>
        <v>0</v>
      </c>
      <c r="L33" s="548">
        <f t="shared" si="9"/>
        <v>0</v>
      </c>
    </row>
    <row r="34" spans="1:12" x14ac:dyDescent="0.2">
      <c r="A34" s="84"/>
      <c r="B34" s="179" t="s">
        <v>552</v>
      </c>
      <c r="C34" s="274">
        <f>'New Fin Ratios'!F119</f>
        <v>2.590212814613373E-2</v>
      </c>
      <c r="D34" s="274">
        <f>'New Fin Ratios'!G119</f>
        <v>0.29664867808472933</v>
      </c>
      <c r="E34" s="548">
        <f>'New Fin Ratios'!H119</f>
        <v>0</v>
      </c>
      <c r="F34" s="549"/>
      <c r="G34" s="549"/>
      <c r="H34" s="549"/>
      <c r="I34" s="549"/>
      <c r="J34" s="549"/>
      <c r="K34" s="549"/>
      <c r="L34" s="548"/>
    </row>
    <row r="35" spans="1:12" x14ac:dyDescent="0.2">
      <c r="A35" s="84"/>
      <c r="B35" s="179" t="s">
        <v>608</v>
      </c>
      <c r="C35" s="274">
        <f>'New Fin Ratios'!F128</f>
        <v>2.1374991155066317E-2</v>
      </c>
      <c r="D35" s="274">
        <f>'New Fin Ratios'!G128</f>
        <v>2.2607139190558449E-2</v>
      </c>
      <c r="E35" s="548">
        <f>'New Fin Ratios'!H128</f>
        <v>0</v>
      </c>
      <c r="F35" s="549">
        <f>F24/$D14</f>
        <v>0</v>
      </c>
      <c r="G35" s="549">
        <f t="shared" ref="G35:L35" si="10">G24/$D14</f>
        <v>0</v>
      </c>
      <c r="H35" s="549">
        <f t="shared" si="10"/>
        <v>0</v>
      </c>
      <c r="I35" s="549">
        <f t="shared" si="10"/>
        <v>0</v>
      </c>
      <c r="J35" s="549">
        <f t="shared" si="10"/>
        <v>0</v>
      </c>
      <c r="K35" s="549">
        <f t="shared" si="10"/>
        <v>0</v>
      </c>
      <c r="L35" s="548">
        <f t="shared" si="10"/>
        <v>0</v>
      </c>
    </row>
    <row r="36" spans="1:12" x14ac:dyDescent="0.2">
      <c r="A36" s="84"/>
      <c r="B36" s="179" t="s">
        <v>437</v>
      </c>
      <c r="C36" s="151">
        <f>'New Fin Ratios'!F120</f>
        <v>1.8735982405699825</v>
      </c>
      <c r="D36" s="151">
        <f>'New Fin Ratios'!G120</f>
        <v>1220.0864908089322</v>
      </c>
      <c r="E36" s="505">
        <f>'New Fin Ratios'!H120</f>
        <v>0</v>
      </c>
      <c r="F36" s="301"/>
      <c r="G36" s="301"/>
      <c r="H36" s="301"/>
      <c r="I36" s="301"/>
      <c r="J36" s="301"/>
      <c r="K36" s="301"/>
      <c r="L36" s="505"/>
    </row>
    <row r="37" spans="1:12" x14ac:dyDescent="0.2">
      <c r="A37" s="84"/>
      <c r="B37" s="179" t="s">
        <v>439</v>
      </c>
      <c r="C37" s="151">
        <f>'New Fin Ratios'!F122</f>
        <v>24.43146856177146</v>
      </c>
      <c r="D37" s="151">
        <f>'New Fin Ratios'!G122</f>
        <v>15.706565396498457</v>
      </c>
      <c r="E37" s="505">
        <f>'New Fin Ratios'!H122</f>
        <v>0</v>
      </c>
      <c r="F37" s="301" t="e">
        <f>F13/(F33*F14)</f>
        <v>#DIV/0!</v>
      </c>
      <c r="G37" s="301" t="e">
        <f t="shared" ref="G37:L37" si="11">G13/(G33*G14)</f>
        <v>#DIV/0!</v>
      </c>
      <c r="H37" s="301" t="e">
        <f t="shared" si="11"/>
        <v>#DIV/0!</v>
      </c>
      <c r="I37" s="301" t="e">
        <f t="shared" si="11"/>
        <v>#DIV/0!</v>
      </c>
      <c r="J37" s="301" t="e">
        <f t="shared" si="11"/>
        <v>#DIV/0!</v>
      </c>
      <c r="K37" s="301" t="e">
        <f t="shared" si="11"/>
        <v>#DIV/0!</v>
      </c>
      <c r="L37" s="505" t="e">
        <f t="shared" si="11"/>
        <v>#DIV/0!</v>
      </c>
    </row>
    <row r="38" spans="1:12" x14ac:dyDescent="0.2">
      <c r="A38" s="84"/>
      <c r="B38" s="179" t="s">
        <v>294</v>
      </c>
      <c r="C38" s="185">
        <f>'New Fin Ratios'!F386</f>
        <v>0.80428273242725468</v>
      </c>
      <c r="D38" s="185">
        <f>'New Fin Ratios'!G386</f>
        <v>0.39128637715280717</v>
      </c>
      <c r="E38" s="480" t="e">
        <f>'New Fin Ratios'!H386</f>
        <v>#DIV/0!</v>
      </c>
      <c r="F38" s="479" t="e">
        <f>'New Fin Ratios'!I386</f>
        <v>#DIV/0!</v>
      </c>
      <c r="G38" s="479" t="e">
        <f>'New Fin Ratios'!J386</f>
        <v>#DIV/0!</v>
      </c>
      <c r="H38" s="479" t="e">
        <f>'New Fin Ratios'!K386</f>
        <v>#DIV/0!</v>
      </c>
      <c r="I38" s="479" t="e">
        <f>'New Fin Ratios'!L386</f>
        <v>#DIV/0!</v>
      </c>
      <c r="J38" s="479" t="e">
        <f>G38</f>
        <v>#DIV/0!</v>
      </c>
      <c r="K38" s="479" t="e">
        <f>H38</f>
        <v>#DIV/0!</v>
      </c>
      <c r="L38" s="480" t="e">
        <f>J38</f>
        <v>#DIV/0!</v>
      </c>
    </row>
    <row r="39" spans="1:12" x14ac:dyDescent="0.2">
      <c r="A39" s="84"/>
      <c r="B39" s="179" t="s">
        <v>295</v>
      </c>
      <c r="C39" s="185">
        <f>'New Fin Ratios'!F387</f>
        <v>0.11212223618855809</v>
      </c>
      <c r="D39" s="185">
        <f>'New Fin Ratios'!G387</f>
        <v>0.57462516026225174</v>
      </c>
      <c r="E39" s="480" t="e">
        <f>'New Fin Ratios'!H387</f>
        <v>#DIV/0!</v>
      </c>
      <c r="F39" s="479" t="e">
        <f>'New Fin Ratios'!I387</f>
        <v>#DIV/0!</v>
      </c>
      <c r="G39" s="479" t="e">
        <f>'New Fin Ratios'!J387</f>
        <v>#DIV/0!</v>
      </c>
      <c r="H39" s="479" t="e">
        <f>'New Fin Ratios'!K387</f>
        <v>#DIV/0!</v>
      </c>
      <c r="I39" s="479" t="e">
        <f>'New Fin Ratios'!L387</f>
        <v>#DIV/0!</v>
      </c>
      <c r="J39" s="479" t="e">
        <f t="shared" ref="J39:J46" si="12">G39</f>
        <v>#DIV/0!</v>
      </c>
      <c r="K39" s="479" t="e">
        <f t="shared" ref="K39:K46" si="13">H39</f>
        <v>#DIV/0!</v>
      </c>
      <c r="L39" s="480" t="e">
        <f t="shared" ref="L39:L46" si="14">J39</f>
        <v>#DIV/0!</v>
      </c>
    </row>
    <row r="40" spans="1:12" x14ac:dyDescent="0.2">
      <c r="A40" s="84"/>
      <c r="B40" s="179" t="s">
        <v>296</v>
      </c>
      <c r="C40" s="185">
        <f>'New Fin Ratios'!F388</f>
        <v>0.91640496861581278</v>
      </c>
      <c r="D40" s="185">
        <f>'New Fin Ratios'!G388</f>
        <v>0.96591153741505875</v>
      </c>
      <c r="E40" s="480" t="e">
        <f>'New Fin Ratios'!H388</f>
        <v>#DIV/0!</v>
      </c>
      <c r="F40" s="479" t="e">
        <f>'New Fin Ratios'!I388</f>
        <v>#DIV/0!</v>
      </c>
      <c r="G40" s="479" t="e">
        <f>'New Fin Ratios'!J388</f>
        <v>#DIV/0!</v>
      </c>
      <c r="H40" s="479" t="e">
        <f>'New Fin Ratios'!K388</f>
        <v>#DIV/0!</v>
      </c>
      <c r="I40" s="479" t="e">
        <f>'New Fin Ratios'!L388</f>
        <v>#DIV/0!</v>
      </c>
      <c r="J40" s="479" t="e">
        <f t="shared" si="12"/>
        <v>#DIV/0!</v>
      </c>
      <c r="K40" s="479" t="e">
        <f t="shared" si="13"/>
        <v>#DIV/0!</v>
      </c>
      <c r="L40" s="480" t="e">
        <f t="shared" si="14"/>
        <v>#DIV/0!</v>
      </c>
    </row>
    <row r="41" spans="1:12" x14ac:dyDescent="0.2">
      <c r="A41" s="84"/>
      <c r="B41" s="179" t="s">
        <v>297</v>
      </c>
      <c r="C41" s="185">
        <f>'New Fin Ratios'!F389</f>
        <v>8.3595031384187113E-2</v>
      </c>
      <c r="D41" s="185">
        <f>'New Fin Ratios'!G389</f>
        <v>3.4088462584941207E-2</v>
      </c>
      <c r="E41" s="480" t="e">
        <f>'New Fin Ratios'!H389</f>
        <v>#DIV/0!</v>
      </c>
      <c r="F41" s="479" t="e">
        <f>'New Fin Ratios'!I389</f>
        <v>#DIV/0!</v>
      </c>
      <c r="G41" s="479" t="e">
        <f>'New Fin Ratios'!J389</f>
        <v>#DIV/0!</v>
      </c>
      <c r="H41" s="479" t="e">
        <f>'New Fin Ratios'!K389</f>
        <v>#DIV/0!</v>
      </c>
      <c r="I41" s="479" t="e">
        <f>'New Fin Ratios'!L389</f>
        <v>#DIV/0!</v>
      </c>
      <c r="J41" s="479" t="e">
        <f t="shared" si="12"/>
        <v>#DIV/0!</v>
      </c>
      <c r="K41" s="479" t="e">
        <f t="shared" si="13"/>
        <v>#DIV/0!</v>
      </c>
      <c r="L41" s="480" t="e">
        <f t="shared" si="14"/>
        <v>#DIV/0!</v>
      </c>
    </row>
    <row r="42" spans="1:12" x14ac:dyDescent="0.2">
      <c r="A42" s="84"/>
      <c r="B42" s="179" t="s">
        <v>298</v>
      </c>
      <c r="C42" s="185">
        <f>'New Fin Ratios'!F390</f>
        <v>2.4873632283106257E-2</v>
      </c>
      <c r="D42" s="185">
        <f>'New Fin Ratios'!G390</f>
        <v>3.2505353827307806E-2</v>
      </c>
      <c r="E42" s="480" t="e">
        <f>'New Fin Ratios'!H390</f>
        <v>#DIV/0!</v>
      </c>
      <c r="F42" s="479" t="e">
        <f>'New Fin Ratios'!I390</f>
        <v>#DIV/0!</v>
      </c>
      <c r="G42" s="479" t="e">
        <f>'New Fin Ratios'!J390</f>
        <v>#DIV/0!</v>
      </c>
      <c r="H42" s="479" t="e">
        <f>'New Fin Ratios'!K390</f>
        <v>#DIV/0!</v>
      </c>
      <c r="I42" s="479" t="e">
        <f>'New Fin Ratios'!L390</f>
        <v>#DIV/0!</v>
      </c>
      <c r="J42" s="479" t="e">
        <f t="shared" si="12"/>
        <v>#DIV/0!</v>
      </c>
      <c r="K42" s="479" t="e">
        <f t="shared" si="13"/>
        <v>#DIV/0!</v>
      </c>
      <c r="L42" s="480" t="e">
        <f t="shared" si="14"/>
        <v>#DIV/0!</v>
      </c>
    </row>
    <row r="43" spans="1:12" x14ac:dyDescent="0.2">
      <c r="A43" s="84"/>
      <c r="B43" s="179" t="s">
        <v>299</v>
      </c>
      <c r="C43" s="185">
        <f>'New Fin Ratios'!F391</f>
        <v>7.6874970050347907E-2</v>
      </c>
      <c r="D43" s="185">
        <f>'New Fin Ratios'!G391</f>
        <v>9.6979071909559528E-3</v>
      </c>
      <c r="E43" s="480" t="e">
        <f>'New Fin Ratios'!H391</f>
        <v>#DIV/0!</v>
      </c>
      <c r="F43" s="479" t="e">
        <f>'New Fin Ratios'!I391</f>
        <v>#DIV/0!</v>
      </c>
      <c r="G43" s="479" t="e">
        <f>'New Fin Ratios'!J391</f>
        <v>#DIV/0!</v>
      </c>
      <c r="H43" s="479" t="e">
        <f>'New Fin Ratios'!K391</f>
        <v>#DIV/0!</v>
      </c>
      <c r="I43" s="479" t="e">
        <f>'New Fin Ratios'!L391</f>
        <v>#DIV/0!</v>
      </c>
      <c r="J43" s="479" t="e">
        <f t="shared" si="12"/>
        <v>#DIV/0!</v>
      </c>
      <c r="K43" s="479" t="e">
        <f t="shared" si="13"/>
        <v>#DIV/0!</v>
      </c>
      <c r="L43" s="480" t="e">
        <f t="shared" si="14"/>
        <v>#DIV/0!</v>
      </c>
    </row>
    <row r="44" spans="1:12" x14ac:dyDescent="0.2">
      <c r="A44" s="84"/>
      <c r="B44" s="179" t="s">
        <v>300</v>
      </c>
      <c r="C44" s="185">
        <f>'New Fin Ratios'!F392</f>
        <v>3.1236000968280851E-2</v>
      </c>
      <c r="D44" s="185">
        <f>'New Fin Ratios'!G392</f>
        <v>1.8937100244107455E-2</v>
      </c>
      <c r="E44" s="480" t="e">
        <f>'New Fin Ratios'!H392</f>
        <v>#DIV/0!</v>
      </c>
      <c r="F44" s="479" t="e">
        <f>'New Fin Ratios'!I392</f>
        <v>#DIV/0!</v>
      </c>
      <c r="G44" s="479" t="e">
        <f>'New Fin Ratios'!J392</f>
        <v>#DIV/0!</v>
      </c>
      <c r="H44" s="479" t="e">
        <f>'New Fin Ratios'!K392</f>
        <v>#DIV/0!</v>
      </c>
      <c r="I44" s="479" t="e">
        <f>'New Fin Ratios'!L392</f>
        <v>#DIV/0!</v>
      </c>
      <c r="J44" s="479" t="e">
        <f t="shared" si="12"/>
        <v>#DIV/0!</v>
      </c>
      <c r="K44" s="479" t="e">
        <f t="shared" si="13"/>
        <v>#DIV/0!</v>
      </c>
      <c r="L44" s="480" t="e">
        <f t="shared" si="14"/>
        <v>#DIV/0!</v>
      </c>
    </row>
    <row r="45" spans="1:12" x14ac:dyDescent="0.2">
      <c r="A45" s="84"/>
      <c r="B45" s="179" t="s">
        <v>301</v>
      </c>
      <c r="C45" s="185">
        <f>'New Fin Ratios'!F393</f>
        <v>0.34735846775115986</v>
      </c>
      <c r="D45" s="185">
        <f>'New Fin Ratios'!G393</f>
        <v>0.42054682225865558</v>
      </c>
      <c r="E45" s="480" t="e">
        <f>'New Fin Ratios'!H393</f>
        <v>#DIV/0!</v>
      </c>
      <c r="F45" s="479" t="e">
        <f>'New Fin Ratios'!I393</f>
        <v>#DIV/0!</v>
      </c>
      <c r="G45" s="479" t="e">
        <f>'New Fin Ratios'!J393</f>
        <v>#DIV/0!</v>
      </c>
      <c r="H45" s="479" t="e">
        <f>'New Fin Ratios'!K393</f>
        <v>#DIV/0!</v>
      </c>
      <c r="I45" s="479" t="e">
        <f>'New Fin Ratios'!L393</f>
        <v>#DIV/0!</v>
      </c>
      <c r="J45" s="479" t="e">
        <f t="shared" si="12"/>
        <v>#DIV/0!</v>
      </c>
      <c r="K45" s="479" t="e">
        <f t="shared" si="13"/>
        <v>#DIV/0!</v>
      </c>
      <c r="L45" s="480" t="e">
        <f t="shared" si="14"/>
        <v>#DIV/0!</v>
      </c>
    </row>
    <row r="46" spans="1:12" x14ac:dyDescent="0.2">
      <c r="A46" s="84"/>
      <c r="B46" s="179" t="s">
        <v>305</v>
      </c>
      <c r="C46" s="185">
        <f>'New Fin Ratios'!F398</f>
        <v>5.7662268500242267E-2</v>
      </c>
      <c r="D46" s="185">
        <f>'New Fin Ratios'!G398</f>
        <v>3.2627358226749018E-2</v>
      </c>
      <c r="E46" s="480" t="e">
        <f>'New Fin Ratios'!H398</f>
        <v>#DIV/0!</v>
      </c>
      <c r="F46" s="479" t="e">
        <f>'New Fin Ratios'!I398</f>
        <v>#DIV/0!</v>
      </c>
      <c r="G46" s="479" t="e">
        <f>'New Fin Ratios'!J398</f>
        <v>#DIV/0!</v>
      </c>
      <c r="H46" s="479" t="e">
        <f>'New Fin Ratios'!K398</f>
        <v>#DIV/0!</v>
      </c>
      <c r="I46" s="479" t="e">
        <f>'New Fin Ratios'!L398</f>
        <v>#DIV/0!</v>
      </c>
      <c r="J46" s="479" t="e">
        <f t="shared" si="12"/>
        <v>#DIV/0!</v>
      </c>
      <c r="K46" s="479" t="e">
        <f t="shared" si="13"/>
        <v>#DIV/0!</v>
      </c>
      <c r="L46" s="480" t="e">
        <f t="shared" si="14"/>
        <v>#DIV/0!</v>
      </c>
    </row>
    <row r="47" spans="1:12" x14ac:dyDescent="0.2">
      <c r="A47" s="84"/>
      <c r="B47" s="179" t="s">
        <v>739</v>
      </c>
      <c r="C47" s="185">
        <f>'New Fin Ratios'!F134</f>
        <v>1.8758690531236792E-2</v>
      </c>
      <c r="D47" s="185">
        <f>'New Fin Ratios'!G134</f>
        <v>1.9147597624069805E-2</v>
      </c>
      <c r="E47" s="480"/>
      <c r="F47" s="479"/>
      <c r="G47" s="479"/>
      <c r="H47" s="479"/>
      <c r="I47" s="479"/>
      <c r="J47" s="479"/>
      <c r="K47" s="479"/>
      <c r="L47" s="480"/>
    </row>
    <row r="48" spans="1:12" x14ac:dyDescent="0.2">
      <c r="A48" s="84"/>
      <c r="B48" s="179" t="s">
        <v>740</v>
      </c>
      <c r="C48" s="185">
        <f>'New Fin Ratios'!F135</f>
        <v>0</v>
      </c>
      <c r="D48" s="185">
        <f>'New Fin Ratios'!G135</f>
        <v>0</v>
      </c>
      <c r="E48" s="480"/>
      <c r="F48" s="479"/>
      <c r="G48" s="479"/>
      <c r="H48" s="479"/>
      <c r="I48" s="479"/>
      <c r="J48" s="479"/>
      <c r="K48" s="479"/>
      <c r="L48" s="480"/>
    </row>
    <row r="49" spans="1:12" x14ac:dyDescent="0.2">
      <c r="A49" s="84"/>
      <c r="B49" s="179" t="s">
        <v>741</v>
      </c>
      <c r="C49" s="185">
        <f>'New Fin Ratios'!F136</f>
        <v>0</v>
      </c>
      <c r="D49" s="185">
        <f>'New Fin Ratios'!G136</f>
        <v>0</v>
      </c>
      <c r="E49" s="480"/>
      <c r="F49" s="479"/>
      <c r="G49" s="479"/>
      <c r="H49" s="479"/>
      <c r="I49" s="479"/>
      <c r="J49" s="479"/>
      <c r="K49" s="479"/>
      <c r="L49" s="480"/>
    </row>
    <row r="50" spans="1:12" x14ac:dyDescent="0.2">
      <c r="A50" s="84"/>
      <c r="B50" s="179" t="s">
        <v>742</v>
      </c>
      <c r="C50" s="185">
        <f>'New Fin Ratios'!F137</f>
        <v>0</v>
      </c>
      <c r="D50" s="185">
        <f>'New Fin Ratios'!G137</f>
        <v>0</v>
      </c>
      <c r="E50" s="480"/>
      <c r="F50" s="479"/>
      <c r="G50" s="479"/>
      <c r="H50" s="479"/>
      <c r="I50" s="479"/>
      <c r="J50" s="479"/>
      <c r="K50" s="479"/>
      <c r="L50" s="480"/>
    </row>
    <row r="51" spans="1:12" x14ac:dyDescent="0.2">
      <c r="A51" s="84"/>
      <c r="B51" s="356" t="s">
        <v>743</v>
      </c>
      <c r="C51" s="185">
        <f>'New Fin Ratios'!F138</f>
        <v>0</v>
      </c>
      <c r="D51" s="185">
        <f>'New Fin Ratios'!G138</f>
        <v>0</v>
      </c>
      <c r="E51" s="480"/>
      <c r="F51" s="479"/>
      <c r="G51" s="479"/>
      <c r="H51" s="479"/>
      <c r="I51" s="479"/>
      <c r="J51" s="479"/>
      <c r="K51" s="479"/>
      <c r="L51" s="480"/>
    </row>
    <row r="52" spans="1:12" x14ac:dyDescent="0.2">
      <c r="A52" s="84"/>
      <c r="B52" s="356" t="s">
        <v>814</v>
      </c>
      <c r="C52" s="185">
        <f>'New Fin Ratios'!F139</f>
        <v>0.21447595810398198</v>
      </c>
      <c r="D52" s="185">
        <f>'New Fin Ratios'!G139</f>
        <v>0.6278612204712628</v>
      </c>
      <c r="E52" s="480"/>
      <c r="F52" s="479"/>
      <c r="G52" s="479"/>
      <c r="H52" s="479"/>
      <c r="I52" s="479"/>
      <c r="J52" s="479"/>
      <c r="K52" s="479"/>
      <c r="L52" s="480"/>
    </row>
    <row r="53" spans="1:12" ht="25.5" x14ac:dyDescent="0.2">
      <c r="A53" s="84"/>
      <c r="B53" s="356" t="s">
        <v>815</v>
      </c>
      <c r="C53" s="312">
        <f>'New Fin Ratios'!F140</f>
        <v>0.32483084517493926</v>
      </c>
      <c r="D53" s="312">
        <f>'New Fin Ratios'!G140</f>
        <v>4.2576444281378072E-2</v>
      </c>
      <c r="E53" s="480"/>
      <c r="F53" s="550"/>
      <c r="G53" s="550"/>
      <c r="H53" s="550"/>
      <c r="I53" s="550"/>
      <c r="J53" s="550"/>
      <c r="K53" s="550"/>
      <c r="L53" s="480"/>
    </row>
    <row r="54" spans="1:12" x14ac:dyDescent="0.2">
      <c r="A54" s="84"/>
      <c r="B54" s="325"/>
      <c r="C54" s="312"/>
      <c r="D54" s="312"/>
      <c r="E54" s="480"/>
      <c r="F54" s="550"/>
      <c r="G54" s="550"/>
      <c r="H54" s="550"/>
      <c r="I54" s="550"/>
      <c r="J54" s="550"/>
      <c r="K54" s="550"/>
      <c r="L54" s="480"/>
    </row>
    <row r="55" spans="1:12" x14ac:dyDescent="0.2">
      <c r="A55" s="84"/>
      <c r="B55" s="179"/>
      <c r="C55" s="151"/>
      <c r="D55" s="151"/>
      <c r="E55" s="505"/>
      <c r="F55" s="301"/>
      <c r="G55" s="301"/>
      <c r="H55" s="301"/>
      <c r="I55" s="301"/>
      <c r="J55" s="301"/>
      <c r="K55" s="301"/>
      <c r="L55" s="505"/>
    </row>
    <row r="56" spans="1:12" x14ac:dyDescent="0.2">
      <c r="A56" s="84"/>
      <c r="B56" s="188" t="s">
        <v>441</v>
      </c>
      <c r="C56" s="149"/>
      <c r="D56" s="149"/>
      <c r="E56" s="520"/>
      <c r="F56" s="519"/>
      <c r="G56" s="519"/>
      <c r="H56" s="519"/>
      <c r="I56" s="519"/>
      <c r="J56" s="519"/>
      <c r="K56" s="519"/>
      <c r="L56" s="520"/>
    </row>
    <row r="57" spans="1:12" x14ac:dyDescent="0.2">
      <c r="A57" s="84"/>
      <c r="B57" s="179" t="s">
        <v>98</v>
      </c>
      <c r="C57" s="151">
        <f>'New Fin Ratios'!F147</f>
        <v>8.5279254352125307</v>
      </c>
      <c r="D57" s="151">
        <f>'New Fin Ratios'!G147</f>
        <v>9.1894669720003321</v>
      </c>
      <c r="E57" s="505">
        <f>'New Fin Ratios'!H147</f>
        <v>0</v>
      </c>
      <c r="F57" s="301"/>
      <c r="G57" s="301"/>
      <c r="H57" s="301"/>
      <c r="I57" s="301"/>
      <c r="J57" s="301">
        <f t="shared" ref="J57:L58" si="15">G57</f>
        <v>0</v>
      </c>
      <c r="K57" s="301">
        <f t="shared" si="15"/>
        <v>0</v>
      </c>
      <c r="L57" s="505">
        <f t="shared" si="15"/>
        <v>0</v>
      </c>
    </row>
    <row r="58" spans="1:12" x14ac:dyDescent="0.2">
      <c r="A58" s="84"/>
      <c r="B58" s="179" t="s">
        <v>99</v>
      </c>
      <c r="C58" s="185">
        <f>'New Fin Ratios'!F150</f>
        <v>21.990000000000002</v>
      </c>
      <c r="D58" s="185">
        <f>'New Fin Ratios'!G150</f>
        <v>22.5</v>
      </c>
      <c r="E58" s="480">
        <f>'New Fin Ratios'!H150</f>
        <v>0</v>
      </c>
      <c r="F58" s="479"/>
      <c r="G58" s="479"/>
      <c r="H58" s="479"/>
      <c r="I58" s="479"/>
      <c r="J58" s="479">
        <f t="shared" si="15"/>
        <v>0</v>
      </c>
      <c r="K58" s="479">
        <f t="shared" si="15"/>
        <v>0</v>
      </c>
      <c r="L58" s="480">
        <f t="shared" si="15"/>
        <v>0</v>
      </c>
    </row>
    <row r="59" spans="1:12" x14ac:dyDescent="0.2">
      <c r="A59" s="84"/>
      <c r="B59" s="179" t="s">
        <v>442</v>
      </c>
      <c r="C59" s="233">
        <f>'New Fin Ratios'!F202</f>
        <v>0.15701264557137179</v>
      </c>
      <c r="D59" s="233">
        <f>'New Fin Ratios'!G202</f>
        <v>0.19491129728872481</v>
      </c>
      <c r="E59" s="489">
        <f>'New Fin Ratios'!H202</f>
        <v>0</v>
      </c>
      <c r="F59" s="488"/>
      <c r="G59" s="488"/>
      <c r="H59" s="488"/>
      <c r="I59" s="488"/>
      <c r="J59" s="488"/>
      <c r="K59" s="488"/>
      <c r="L59" s="489"/>
    </row>
    <row r="60" spans="1:12" x14ac:dyDescent="0.2">
      <c r="A60" s="84"/>
      <c r="B60" s="179" t="s">
        <v>708</v>
      </c>
      <c r="C60" s="155">
        <f>'New Fin Ratios'!F152</f>
        <v>0.62843735799905487</v>
      </c>
      <c r="D60" s="155">
        <f>'New Fin Ratios'!G152</f>
        <v>0.600093187199918</v>
      </c>
      <c r="E60" s="505"/>
      <c r="F60" s="547"/>
      <c r="G60" s="547"/>
      <c r="H60" s="547"/>
      <c r="I60" s="547"/>
      <c r="J60" s="547"/>
      <c r="K60" s="547"/>
      <c r="L60" s="505"/>
    </row>
    <row r="61" spans="1:12" x14ac:dyDescent="0.2">
      <c r="A61" s="84"/>
      <c r="B61" s="179"/>
      <c r="C61" s="151"/>
      <c r="D61" s="151"/>
      <c r="E61" s="505"/>
      <c r="F61" s="301"/>
      <c r="G61" s="301"/>
      <c r="H61" s="301"/>
      <c r="I61" s="301"/>
      <c r="J61" s="301"/>
      <c r="K61" s="301"/>
      <c r="L61" s="505"/>
    </row>
    <row r="62" spans="1:12" x14ac:dyDescent="0.2">
      <c r="A62" s="84"/>
      <c r="B62" s="188" t="s">
        <v>444</v>
      </c>
      <c r="C62" s="149"/>
      <c r="D62" s="149"/>
      <c r="E62" s="520"/>
      <c r="F62" s="519"/>
      <c r="G62" s="519"/>
      <c r="H62" s="519"/>
      <c r="I62" s="519"/>
      <c r="J62" s="519"/>
      <c r="K62" s="519"/>
      <c r="L62" s="520"/>
    </row>
    <row r="63" spans="1:12" x14ac:dyDescent="0.2">
      <c r="A63" s="84"/>
      <c r="B63" s="179" t="s">
        <v>635</v>
      </c>
      <c r="C63" s="155">
        <f>'New Fin Ratios'!F180</f>
        <v>0</v>
      </c>
      <c r="D63" s="155">
        <f>'New Fin Ratios'!G180</f>
        <v>0</v>
      </c>
      <c r="E63" s="546">
        <f>'New Fin Ratios'!H180</f>
        <v>0</v>
      </c>
      <c r="F63" s="547"/>
      <c r="G63" s="547"/>
      <c r="H63" s="547"/>
      <c r="I63" s="547"/>
      <c r="J63" s="547"/>
      <c r="K63" s="547"/>
      <c r="L63" s="546"/>
    </row>
    <row r="64" spans="1:12" x14ac:dyDescent="0.2">
      <c r="A64" s="84"/>
      <c r="B64" s="179" t="s">
        <v>44</v>
      </c>
      <c r="C64" s="155">
        <f>'New Fin Ratios'!F181</f>
        <v>0</v>
      </c>
      <c r="D64" s="155">
        <f>'New Fin Ratios'!G181</f>
        <v>0</v>
      </c>
      <c r="E64" s="546">
        <f>'New Fin Ratios'!H181</f>
        <v>0</v>
      </c>
      <c r="F64" s="547"/>
      <c r="G64" s="547"/>
      <c r="H64" s="547"/>
      <c r="I64" s="547"/>
      <c r="J64" s="547"/>
      <c r="K64" s="547"/>
      <c r="L64" s="546"/>
    </row>
    <row r="65" spans="1:12" x14ac:dyDescent="0.2">
      <c r="A65" s="84"/>
      <c r="B65" s="179" t="s">
        <v>45</v>
      </c>
      <c r="C65" s="155">
        <f>'New Fin Ratios'!F182</f>
        <v>0.45331627295717014</v>
      </c>
      <c r="D65" s="155">
        <f>'New Fin Ratios'!G182</f>
        <v>0.52113606670328794</v>
      </c>
      <c r="E65" s="546">
        <f>'New Fin Ratios'!H182</f>
        <v>11522</v>
      </c>
      <c r="F65" s="547"/>
      <c r="G65" s="547"/>
      <c r="H65" s="547"/>
      <c r="I65" s="547"/>
      <c r="J65" s="547"/>
      <c r="K65" s="547"/>
      <c r="L65" s="546"/>
    </row>
    <row r="66" spans="1:12" x14ac:dyDescent="0.2">
      <c r="A66" s="84"/>
      <c r="B66" s="179" t="s">
        <v>278</v>
      </c>
      <c r="C66" s="155">
        <f>'New Fin Ratios'!F183</f>
        <v>0.32929515913610335</v>
      </c>
      <c r="D66" s="155">
        <f>'New Fin Ratios'!G183</f>
        <v>0.25393988744208162</v>
      </c>
      <c r="E66" s="546">
        <f>'New Fin Ratios'!H183</f>
        <v>0</v>
      </c>
      <c r="F66" s="547"/>
      <c r="G66" s="547"/>
      <c r="H66" s="547"/>
      <c r="I66" s="547"/>
      <c r="J66" s="547"/>
      <c r="K66" s="547"/>
      <c r="L66" s="546"/>
    </row>
    <row r="67" spans="1:12" x14ac:dyDescent="0.2">
      <c r="A67" s="84"/>
      <c r="B67" s="179" t="s">
        <v>277</v>
      </c>
      <c r="C67" s="155">
        <f>'New Fin Ratios'!F184</f>
        <v>9.2958356141275136E-2</v>
      </c>
      <c r="D67" s="155">
        <f>'New Fin Ratios'!G184</f>
        <v>6.7618821144362851E-2</v>
      </c>
      <c r="E67" s="546">
        <f>'New Fin Ratios'!H184</f>
        <v>11453</v>
      </c>
      <c r="F67" s="547"/>
      <c r="G67" s="547"/>
      <c r="H67" s="547"/>
      <c r="I67" s="547"/>
      <c r="J67" s="547"/>
      <c r="K67" s="547"/>
      <c r="L67" s="546"/>
    </row>
    <row r="68" spans="1:12" x14ac:dyDescent="0.2">
      <c r="A68" s="84"/>
      <c r="B68" s="179" t="s">
        <v>279</v>
      </c>
      <c r="C68" s="155">
        <f>'New Fin Ratios'!F185</f>
        <v>0</v>
      </c>
      <c r="D68" s="155">
        <f>'New Fin Ratios'!G185</f>
        <v>0</v>
      </c>
      <c r="E68" s="546">
        <f>'New Fin Ratios'!H185</f>
        <v>0</v>
      </c>
      <c r="F68" s="547"/>
      <c r="G68" s="547"/>
      <c r="H68" s="547"/>
      <c r="I68" s="547"/>
      <c r="J68" s="547"/>
      <c r="K68" s="547"/>
      <c r="L68" s="546"/>
    </row>
    <row r="69" spans="1:12" x14ac:dyDescent="0.2">
      <c r="A69" s="84"/>
      <c r="B69" s="179" t="s">
        <v>276</v>
      </c>
      <c r="C69" s="155">
        <f>'New Fin Ratios'!F186</f>
        <v>0</v>
      </c>
      <c r="D69" s="155">
        <f>'New Fin Ratios'!G186</f>
        <v>0</v>
      </c>
      <c r="E69" s="546">
        <f>'New Fin Ratios'!H186</f>
        <v>0</v>
      </c>
      <c r="F69" s="547"/>
      <c r="G69" s="547"/>
      <c r="H69" s="547"/>
      <c r="I69" s="547"/>
      <c r="J69" s="547"/>
      <c r="K69" s="547"/>
      <c r="L69" s="546"/>
    </row>
    <row r="70" spans="1:12" x14ac:dyDescent="0.2">
      <c r="A70" s="84"/>
      <c r="B70" s="179" t="s">
        <v>280</v>
      </c>
      <c r="C70" s="155">
        <f>'New Fin Ratios'!F187</f>
        <v>0</v>
      </c>
      <c r="D70" s="155">
        <f>'New Fin Ratios'!G187</f>
        <v>0</v>
      </c>
      <c r="E70" s="546">
        <f>'New Fin Ratios'!H187</f>
        <v>0</v>
      </c>
      <c r="F70" s="547"/>
      <c r="G70" s="547"/>
      <c r="H70" s="547"/>
      <c r="I70" s="547"/>
      <c r="J70" s="547"/>
      <c r="K70" s="547"/>
      <c r="L70" s="546"/>
    </row>
    <row r="71" spans="1:12" x14ac:dyDescent="0.2">
      <c r="A71" s="84"/>
      <c r="B71" s="179" t="s">
        <v>275</v>
      </c>
      <c r="C71" s="155">
        <f>'New Fin Ratios'!F188</f>
        <v>0</v>
      </c>
      <c r="D71" s="155">
        <f>'New Fin Ratios'!G188</f>
        <v>5.4663334162948635E-2</v>
      </c>
      <c r="E71" s="546">
        <f>'New Fin Ratios'!H188</f>
        <v>0</v>
      </c>
      <c r="F71" s="547"/>
      <c r="G71" s="547"/>
      <c r="H71" s="547"/>
      <c r="I71" s="547"/>
      <c r="J71" s="547"/>
      <c r="K71" s="547"/>
      <c r="L71" s="546"/>
    </row>
    <row r="72" spans="1:12" x14ac:dyDescent="0.2">
      <c r="A72" s="84"/>
      <c r="B72" s="179" t="s">
        <v>47</v>
      </c>
      <c r="C72" s="155">
        <f>'New Fin Ratios'!F189</f>
        <v>1.2550594026913119E-2</v>
      </c>
      <c r="D72" s="155">
        <f>'New Fin Ratios'!G189</f>
        <v>2.1341253295595997E-2</v>
      </c>
      <c r="E72" s="546">
        <f>'New Fin Ratios'!H189</f>
        <v>0</v>
      </c>
      <c r="F72" s="547"/>
      <c r="G72" s="547"/>
      <c r="H72" s="547"/>
      <c r="I72" s="547"/>
      <c r="J72" s="547"/>
      <c r="K72" s="547"/>
      <c r="L72" s="546"/>
    </row>
    <row r="73" spans="1:12" x14ac:dyDescent="0.2">
      <c r="A73" s="84"/>
      <c r="B73" s="179" t="s">
        <v>46</v>
      </c>
      <c r="C73" s="155">
        <f>'New Fin Ratios'!F190</f>
        <v>0</v>
      </c>
      <c r="D73" s="155">
        <f>'New Fin Ratios'!G190</f>
        <v>0</v>
      </c>
      <c r="E73" s="546">
        <f>'New Fin Ratios'!H190</f>
        <v>0</v>
      </c>
      <c r="F73" s="547"/>
      <c r="G73" s="547"/>
      <c r="H73" s="547"/>
      <c r="I73" s="547"/>
      <c r="J73" s="547"/>
      <c r="K73" s="547"/>
      <c r="L73" s="546"/>
    </row>
    <row r="74" spans="1:12" x14ac:dyDescent="0.2">
      <c r="A74" s="84"/>
      <c r="B74" s="179" t="s">
        <v>54</v>
      </c>
      <c r="C74" s="155">
        <f>'New Fin Ratios'!F191</f>
        <v>0</v>
      </c>
      <c r="D74" s="155">
        <f>'New Fin Ratios'!G191</f>
        <v>0</v>
      </c>
      <c r="E74" s="546">
        <f>'New Fin Ratios'!H191</f>
        <v>0</v>
      </c>
      <c r="F74" s="547"/>
      <c r="G74" s="547"/>
      <c r="H74" s="547"/>
      <c r="I74" s="547"/>
      <c r="J74" s="547"/>
      <c r="K74" s="547"/>
      <c r="L74" s="546"/>
    </row>
    <row r="75" spans="1:12" x14ac:dyDescent="0.2">
      <c r="A75" s="84"/>
      <c r="B75" s="179" t="s">
        <v>636</v>
      </c>
      <c r="C75" s="155">
        <f>'New Fin Ratios'!F192</f>
        <v>8.1616645469641647E-2</v>
      </c>
      <c r="D75" s="155">
        <f>'New Fin Ratios'!G192</f>
        <v>5.7016744001964464E-2</v>
      </c>
      <c r="E75" s="546">
        <f>'New Fin Ratios'!H192</f>
        <v>11468</v>
      </c>
      <c r="F75" s="547"/>
      <c r="G75" s="547"/>
      <c r="H75" s="547"/>
      <c r="I75" s="547"/>
      <c r="J75" s="547"/>
      <c r="K75" s="547"/>
      <c r="L75" s="546"/>
    </row>
    <row r="76" spans="1:12" x14ac:dyDescent="0.2">
      <c r="A76" s="84"/>
      <c r="B76" s="179" t="s">
        <v>637</v>
      </c>
      <c r="C76" s="155">
        <f>'New Fin Ratios'!F193</f>
        <v>0</v>
      </c>
      <c r="D76" s="155">
        <f>'New Fin Ratios'!G193</f>
        <v>0</v>
      </c>
      <c r="E76" s="546">
        <f>'New Fin Ratios'!H193</f>
        <v>0</v>
      </c>
      <c r="F76" s="547"/>
      <c r="G76" s="547"/>
      <c r="H76" s="547"/>
      <c r="I76" s="547"/>
      <c r="J76" s="547"/>
      <c r="K76" s="547"/>
      <c r="L76" s="546"/>
    </row>
    <row r="77" spans="1:12" x14ac:dyDescent="0.2">
      <c r="A77" s="84"/>
      <c r="B77" s="179" t="s">
        <v>2</v>
      </c>
      <c r="C77" s="155">
        <f>'New Fin Ratios'!F194</f>
        <v>3.0262972268896585E-2</v>
      </c>
      <c r="D77" s="155">
        <f>'New Fin Ratios'!G194</f>
        <v>2.4283893249758364E-2</v>
      </c>
      <c r="E77" s="546">
        <f>'New Fin Ratios'!H194</f>
        <v>0</v>
      </c>
      <c r="F77" s="547"/>
      <c r="G77" s="547"/>
      <c r="H77" s="547"/>
      <c r="I77" s="547"/>
      <c r="J77" s="547"/>
      <c r="K77" s="547"/>
      <c r="L77" s="546"/>
    </row>
    <row r="78" spans="1:12" x14ac:dyDescent="0.2">
      <c r="A78" s="84"/>
      <c r="B78" s="179" t="s">
        <v>247</v>
      </c>
      <c r="C78" s="155">
        <f>'New Fin Ratios'!F195</f>
        <v>1</v>
      </c>
      <c r="D78" s="155">
        <f>'New Fin Ratios'!G195</f>
        <v>1</v>
      </c>
      <c r="E78" s="546">
        <f>'New Fin Ratios'!H195</f>
        <v>0</v>
      </c>
      <c r="F78" s="547"/>
      <c r="G78" s="547"/>
      <c r="H78" s="547"/>
      <c r="I78" s="547"/>
      <c r="J78" s="547"/>
      <c r="K78" s="547"/>
      <c r="L78" s="546"/>
    </row>
    <row r="79" spans="1:12" x14ac:dyDescent="0.2">
      <c r="A79" s="84"/>
      <c r="B79" s="179"/>
      <c r="C79" s="233"/>
      <c r="D79" s="233"/>
      <c r="E79" s="489"/>
      <c r="F79" s="488"/>
      <c r="G79" s="488"/>
      <c r="H79" s="488"/>
      <c r="I79" s="488"/>
      <c r="J79" s="488"/>
      <c r="K79" s="488"/>
      <c r="L79" s="489"/>
    </row>
    <row r="80" spans="1:12" x14ac:dyDescent="0.2">
      <c r="A80" s="84"/>
      <c r="B80" s="188" t="s">
        <v>511</v>
      </c>
      <c r="C80" s="232"/>
      <c r="D80" s="232"/>
      <c r="E80" s="551"/>
      <c r="F80" s="552"/>
      <c r="G80" s="552"/>
      <c r="H80" s="552"/>
      <c r="I80" s="552"/>
      <c r="J80" s="552"/>
      <c r="K80" s="552"/>
      <c r="L80" s="551"/>
    </row>
    <row r="81" spans="1:12" x14ac:dyDescent="0.2">
      <c r="A81" s="84"/>
      <c r="B81" s="179" t="s">
        <v>663</v>
      </c>
      <c r="C81" s="233">
        <f>'New Fin Ratios'!F214</f>
        <v>0.9234786703625838</v>
      </c>
      <c r="D81" s="233">
        <f>'New Fin Ratios'!G214</f>
        <v>0.94430611270642084</v>
      </c>
      <c r="E81" s="489"/>
      <c r="F81" s="488"/>
      <c r="G81" s="488"/>
      <c r="H81" s="488"/>
      <c r="I81" s="488"/>
      <c r="J81" s="488"/>
      <c r="K81" s="488"/>
      <c r="L81" s="489"/>
    </row>
    <row r="82" spans="1:12" x14ac:dyDescent="0.2">
      <c r="A82" s="84"/>
      <c r="B82" s="179" t="s">
        <v>644</v>
      </c>
      <c r="C82" s="368">
        <f>'New Fin Ratios'!F216</f>
        <v>0.32</v>
      </c>
      <c r="D82" s="368">
        <f>'New Fin Ratios'!G216</f>
        <v>300</v>
      </c>
      <c r="E82" s="561"/>
      <c r="F82" s="488"/>
      <c r="G82" s="488"/>
      <c r="H82" s="488"/>
      <c r="I82" s="488"/>
      <c r="J82" s="488"/>
      <c r="K82" s="488"/>
      <c r="L82" s="489"/>
    </row>
    <row r="83" spans="1:12" ht="25.5" x14ac:dyDescent="0.2">
      <c r="A83" s="84"/>
      <c r="B83" s="179" t="s">
        <v>643</v>
      </c>
      <c r="C83" s="233">
        <f>'New Fin Ratios'!F217</f>
        <v>5.5735539218852957E-2</v>
      </c>
      <c r="D83" s="233">
        <f>'New Fin Ratios'!G217</f>
        <v>4.8215560686438612E-2</v>
      </c>
      <c r="E83" s="489"/>
      <c r="F83" s="488"/>
      <c r="G83" s="488"/>
      <c r="H83" s="488"/>
      <c r="I83" s="488"/>
      <c r="J83" s="488"/>
      <c r="K83" s="488"/>
      <c r="L83" s="489"/>
    </row>
    <row r="84" spans="1:12" x14ac:dyDescent="0.2">
      <c r="A84" s="84"/>
      <c r="B84" s="179" t="s">
        <v>665</v>
      </c>
      <c r="C84" s="233">
        <f>'New Fin Ratios'!F218</f>
        <v>0.36831398333266385</v>
      </c>
      <c r="D84" s="233">
        <f>'New Fin Ratios'!G218</f>
        <v>0.2354385384440133</v>
      </c>
      <c r="E84" s="489"/>
      <c r="F84" s="488"/>
      <c r="G84" s="488"/>
      <c r="H84" s="488"/>
      <c r="I84" s="488"/>
      <c r="J84" s="488"/>
      <c r="K84" s="488"/>
      <c r="L84" s="489"/>
    </row>
    <row r="85" spans="1:12" x14ac:dyDescent="0.2">
      <c r="A85" s="84"/>
      <c r="B85" s="179" t="s">
        <v>666</v>
      </c>
      <c r="C85" s="233">
        <f>'New Fin Ratios'!F219</f>
        <v>0.63168601666733615</v>
      </c>
      <c r="D85" s="233">
        <f>'New Fin Ratios'!G219</f>
        <v>0.7645614615559867</v>
      </c>
      <c r="E85" s="489"/>
      <c r="F85" s="488"/>
      <c r="G85" s="488"/>
      <c r="H85" s="488"/>
      <c r="I85" s="488"/>
      <c r="J85" s="488"/>
      <c r="K85" s="488"/>
      <c r="L85" s="489"/>
    </row>
    <row r="86" spans="1:12" x14ac:dyDescent="0.2">
      <c r="A86" s="84"/>
      <c r="B86" s="179"/>
      <c r="C86" s="233"/>
      <c r="D86" s="233"/>
      <c r="E86" s="489"/>
      <c r="F86" s="488"/>
      <c r="G86" s="488"/>
      <c r="H86" s="488"/>
      <c r="I86" s="488"/>
      <c r="J86" s="488"/>
      <c r="K86" s="488"/>
      <c r="L86" s="489"/>
    </row>
    <row r="87" spans="1:12" x14ac:dyDescent="0.2">
      <c r="A87" s="84"/>
      <c r="B87" s="188" t="s">
        <v>754</v>
      </c>
      <c r="C87" s="232"/>
      <c r="D87" s="232"/>
      <c r="E87" s="551"/>
      <c r="F87" s="552"/>
      <c r="G87" s="552"/>
      <c r="H87" s="552"/>
      <c r="I87" s="552"/>
      <c r="J87" s="552"/>
      <c r="K87" s="552"/>
      <c r="L87" s="551"/>
    </row>
    <row r="88" spans="1:12" x14ac:dyDescent="0.2">
      <c r="A88" s="84"/>
      <c r="B88" s="179" t="s">
        <v>755</v>
      </c>
      <c r="C88" s="233">
        <f>'New Fin Ratios'!F229</f>
        <v>0</v>
      </c>
      <c r="D88" s="233">
        <f>'New Fin Ratios'!G229</f>
        <v>0</v>
      </c>
      <c r="E88" s="489"/>
      <c r="F88" s="488"/>
      <c r="G88" s="488"/>
      <c r="H88" s="488"/>
      <c r="I88" s="488"/>
      <c r="J88" s="488"/>
      <c r="K88" s="488"/>
      <c r="L88" s="489"/>
    </row>
    <row r="89" spans="1:12" x14ac:dyDescent="0.2">
      <c r="A89" s="84"/>
      <c r="B89" s="179" t="s">
        <v>756</v>
      </c>
      <c r="C89" s="233">
        <f>'New Fin Ratios'!F230</f>
        <v>0</v>
      </c>
      <c r="D89" s="233">
        <f>'New Fin Ratios'!G230</f>
        <v>0</v>
      </c>
      <c r="E89" s="489"/>
      <c r="F89" s="488"/>
      <c r="G89" s="488"/>
      <c r="H89" s="488"/>
      <c r="I89" s="488"/>
      <c r="J89" s="488"/>
      <c r="K89" s="488"/>
      <c r="L89" s="489"/>
    </row>
    <row r="90" spans="1:12" x14ac:dyDescent="0.2">
      <c r="A90" s="84"/>
      <c r="B90" s="179" t="s">
        <v>757</v>
      </c>
      <c r="C90" s="233">
        <f>'New Fin Ratios'!F231</f>
        <v>0</v>
      </c>
      <c r="D90" s="233">
        <f>'New Fin Ratios'!G231</f>
        <v>0</v>
      </c>
      <c r="E90" s="489"/>
      <c r="F90" s="488"/>
      <c r="G90" s="488"/>
      <c r="H90" s="488"/>
      <c r="I90" s="488"/>
      <c r="J90" s="488"/>
      <c r="K90" s="488"/>
      <c r="L90" s="489"/>
    </row>
    <row r="91" spans="1:12" x14ac:dyDescent="0.2">
      <c r="A91" s="84"/>
      <c r="B91" s="179" t="s">
        <v>761</v>
      </c>
      <c r="C91" s="233">
        <f>'New Fin Ratios'!F235</f>
        <v>0</v>
      </c>
      <c r="D91" s="233">
        <f>'New Fin Ratios'!G235</f>
        <v>0</v>
      </c>
      <c r="E91" s="489"/>
      <c r="F91" s="488"/>
      <c r="G91" s="488"/>
      <c r="H91" s="488"/>
      <c r="I91" s="488"/>
      <c r="J91" s="488"/>
      <c r="K91" s="488"/>
      <c r="L91" s="489"/>
    </row>
    <row r="92" spans="1:12" ht="25.5" x14ac:dyDescent="0.2">
      <c r="A92" s="84"/>
      <c r="B92" s="179" t="s">
        <v>763</v>
      </c>
      <c r="C92" s="233">
        <f>'New Fin Ratios'!F237</f>
        <v>0</v>
      </c>
      <c r="D92" s="233">
        <f>'New Fin Ratios'!G237</f>
        <v>0</v>
      </c>
      <c r="E92" s="489"/>
      <c r="F92" s="488"/>
      <c r="G92" s="488"/>
      <c r="H92" s="488"/>
      <c r="I92" s="488"/>
      <c r="J92" s="488"/>
      <c r="K92" s="488"/>
      <c r="L92" s="489"/>
    </row>
    <row r="93" spans="1:12" x14ac:dyDescent="0.2">
      <c r="A93" s="84"/>
      <c r="B93" s="179"/>
      <c r="D93" s="233"/>
      <c r="E93" s="489"/>
      <c r="G93" s="488"/>
      <c r="I93" s="488"/>
      <c r="K93" s="488"/>
      <c r="L93" s="489"/>
    </row>
    <row r="94" spans="1:12" x14ac:dyDescent="0.2">
      <c r="A94" s="84"/>
      <c r="B94" s="188" t="s">
        <v>447</v>
      </c>
      <c r="C94" s="232" t="s">
        <v>613</v>
      </c>
      <c r="D94" s="232" t="s">
        <v>714</v>
      </c>
      <c r="E94" s="551" t="s">
        <v>453</v>
      </c>
      <c r="F94" s="552" t="s">
        <v>120</v>
      </c>
      <c r="G94" s="552" t="s">
        <v>121</v>
      </c>
      <c r="H94" s="552" t="s">
        <v>122</v>
      </c>
      <c r="I94" s="552" t="s">
        <v>123</v>
      </c>
      <c r="J94" s="552" t="s">
        <v>118</v>
      </c>
      <c r="K94" s="552" t="s">
        <v>119</v>
      </c>
      <c r="L94" s="551" t="s">
        <v>826</v>
      </c>
    </row>
    <row r="95" spans="1:12" x14ac:dyDescent="0.2">
      <c r="A95" s="84"/>
      <c r="B95" s="88" t="s">
        <v>501</v>
      </c>
      <c r="C95" s="233">
        <f>'New Fin Ratios'!C342</f>
        <v>0.67794001181204944</v>
      </c>
      <c r="D95" s="233">
        <f>'New Fin Ratios'!E339</f>
        <v>0</v>
      </c>
      <c r="E95" s="489">
        <f>'New Fin Ratios'!F339</f>
        <v>0</v>
      </c>
      <c r="F95" s="488" t="e">
        <f>'New Fin Ratios'!J342</f>
        <v>#DIV/0!</v>
      </c>
      <c r="G95" s="488" t="e">
        <f>'New Fin Ratios'!K342</f>
        <v>#DIV/0!</v>
      </c>
      <c r="H95" s="488" t="e">
        <f>'New Fin Ratios'!L342</f>
        <v>#DIV/0!</v>
      </c>
      <c r="I95" s="488" t="e">
        <f>'New Fin Ratios'!M342</f>
        <v>#DIV/0!</v>
      </c>
      <c r="J95" s="488" t="e">
        <f>G95</f>
        <v>#DIV/0!</v>
      </c>
      <c r="K95" s="488" t="e">
        <f>H95</f>
        <v>#DIV/0!</v>
      </c>
      <c r="L95" s="489" t="e">
        <f>J95</f>
        <v>#DIV/0!</v>
      </c>
    </row>
    <row r="96" spans="1:12" x14ac:dyDescent="0.2">
      <c r="A96" s="84"/>
      <c r="B96" s="88" t="s">
        <v>502</v>
      </c>
      <c r="C96" s="233">
        <f>'New Fin Ratios'!C343</f>
        <v>0.29141057782987806</v>
      </c>
      <c r="D96" s="233">
        <f>'New Fin Ratios'!E340</f>
        <v>0</v>
      </c>
      <c r="E96" s="489">
        <f>'New Fin Ratios'!F340</f>
        <v>0</v>
      </c>
      <c r="F96" s="488" t="e">
        <f>'New Fin Ratios'!J343</f>
        <v>#DIV/0!</v>
      </c>
      <c r="G96" s="488" t="e">
        <f>'New Fin Ratios'!K343</f>
        <v>#DIV/0!</v>
      </c>
      <c r="H96" s="488" t="e">
        <f>'New Fin Ratios'!L343</f>
        <v>#DIV/0!</v>
      </c>
      <c r="I96" s="488" t="e">
        <f>'New Fin Ratios'!M343</f>
        <v>#DIV/0!</v>
      </c>
      <c r="J96" s="488" t="e">
        <f t="shared" ref="J96:J102" si="16">G96</f>
        <v>#DIV/0!</v>
      </c>
      <c r="K96" s="488" t="e">
        <f t="shared" ref="K96:K102" si="17">H96</f>
        <v>#DIV/0!</v>
      </c>
      <c r="L96" s="489" t="e">
        <f t="shared" ref="L96:L102" si="18">J96</f>
        <v>#DIV/0!</v>
      </c>
    </row>
    <row r="97" spans="1:12" x14ac:dyDescent="0.2">
      <c r="A97" s="84"/>
      <c r="B97" s="88" t="s">
        <v>503</v>
      </c>
      <c r="C97" s="233">
        <f>'New Fin Ratios'!C344</f>
        <v>-0.31323175199956688</v>
      </c>
      <c r="D97" s="233">
        <f>'New Fin Ratios'!E341</f>
        <v>0</v>
      </c>
      <c r="E97" s="489">
        <f>'New Fin Ratios'!F341</f>
        <v>0</v>
      </c>
      <c r="F97" s="488" t="e">
        <f>'New Fin Ratios'!J344</f>
        <v>#DIV/0!</v>
      </c>
      <c r="G97" s="488" t="e">
        <f>'New Fin Ratios'!K344</f>
        <v>#DIV/0!</v>
      </c>
      <c r="H97" s="488" t="e">
        <f>'New Fin Ratios'!L344</f>
        <v>#DIV/0!</v>
      </c>
      <c r="I97" s="488" t="e">
        <f>'New Fin Ratios'!M344</f>
        <v>#DIV/0!</v>
      </c>
      <c r="J97" s="488" t="e">
        <f t="shared" si="16"/>
        <v>#DIV/0!</v>
      </c>
      <c r="K97" s="488" t="e">
        <f t="shared" si="17"/>
        <v>#DIV/0!</v>
      </c>
      <c r="L97" s="489" t="e">
        <f t="shared" si="18"/>
        <v>#DIV/0!</v>
      </c>
    </row>
    <row r="98" spans="1:12" x14ac:dyDescent="0.2">
      <c r="A98" s="84"/>
      <c r="B98" s="179"/>
      <c r="C98" s="233"/>
      <c r="D98" s="233"/>
      <c r="E98" s="489"/>
      <c r="F98" s="488"/>
      <c r="G98" s="488"/>
      <c r="H98" s="488"/>
      <c r="I98" s="488"/>
      <c r="J98" s="488"/>
      <c r="K98" s="488"/>
      <c r="L98" s="489"/>
    </row>
    <row r="99" spans="1:12" x14ac:dyDescent="0.2">
      <c r="A99" s="84"/>
      <c r="B99" s="239" t="s">
        <v>452</v>
      </c>
      <c r="C99" s="233"/>
      <c r="D99" s="233"/>
      <c r="E99" s="489"/>
      <c r="F99" s="488"/>
      <c r="G99" s="488"/>
      <c r="H99" s="488"/>
      <c r="I99" s="488"/>
      <c r="J99" s="488"/>
      <c r="K99" s="488"/>
      <c r="L99" s="489"/>
    </row>
    <row r="100" spans="1:12" x14ac:dyDescent="0.2">
      <c r="A100" s="84"/>
      <c r="B100" s="88" t="s">
        <v>501</v>
      </c>
      <c r="C100" s="233">
        <f>'New Fin Ratios'!C361</f>
        <v>0.72609169641246007</v>
      </c>
      <c r="D100" s="233">
        <f>'New Fin Ratios'!E358</f>
        <v>0</v>
      </c>
      <c r="E100" s="489">
        <f>'New Fin Ratios'!F358</f>
        <v>0</v>
      </c>
      <c r="F100" s="488" t="e">
        <f>'New Fin Ratios'!J361</f>
        <v>#DIV/0!</v>
      </c>
      <c r="G100" s="488" t="e">
        <f>'New Fin Ratios'!K361</f>
        <v>#DIV/0!</v>
      </c>
      <c r="H100" s="488" t="e">
        <f>'New Fin Ratios'!L361</f>
        <v>#DIV/0!</v>
      </c>
      <c r="I100" s="488" t="e">
        <f>'New Fin Ratios'!M361</f>
        <v>#DIV/0!</v>
      </c>
      <c r="J100" s="488" t="e">
        <f t="shared" si="16"/>
        <v>#DIV/0!</v>
      </c>
      <c r="K100" s="488" t="e">
        <f t="shared" si="17"/>
        <v>#DIV/0!</v>
      </c>
      <c r="L100" s="489" t="e">
        <f t="shared" si="18"/>
        <v>#DIV/0!</v>
      </c>
    </row>
    <row r="101" spans="1:12" x14ac:dyDescent="0.2">
      <c r="A101" s="84"/>
      <c r="B101" s="88" t="s">
        <v>502</v>
      </c>
      <c r="C101" s="233">
        <f>'New Fin Ratios'!C362</f>
        <v>0.32416196297502708</v>
      </c>
      <c r="D101" s="233">
        <f>'New Fin Ratios'!E359</f>
        <v>0</v>
      </c>
      <c r="E101" s="489">
        <f>'New Fin Ratios'!F359</f>
        <v>0</v>
      </c>
      <c r="F101" s="488" t="e">
        <f>'New Fin Ratios'!J362</f>
        <v>#DIV/0!</v>
      </c>
      <c r="G101" s="488" t="e">
        <f>'New Fin Ratios'!K362</f>
        <v>#DIV/0!</v>
      </c>
      <c r="H101" s="488" t="e">
        <f>'New Fin Ratios'!L362</f>
        <v>#DIV/0!</v>
      </c>
      <c r="I101" s="488" t="e">
        <f>'New Fin Ratios'!M362</f>
        <v>#DIV/0!</v>
      </c>
      <c r="J101" s="488" t="e">
        <f t="shared" si="16"/>
        <v>#DIV/0!</v>
      </c>
      <c r="K101" s="488" t="e">
        <f t="shared" si="17"/>
        <v>#DIV/0!</v>
      </c>
      <c r="L101" s="489" t="e">
        <f t="shared" si="18"/>
        <v>#DIV/0!</v>
      </c>
    </row>
    <row r="102" spans="1:12" x14ac:dyDescent="0.2">
      <c r="A102" s="84"/>
      <c r="B102" s="88" t="s">
        <v>503</v>
      </c>
      <c r="C102" s="233">
        <f>'New Fin Ratios'!C363</f>
        <v>-0.24465035740606897</v>
      </c>
      <c r="D102" s="233">
        <f>'New Fin Ratios'!E360</f>
        <v>0</v>
      </c>
      <c r="E102" s="489">
        <f>'New Fin Ratios'!F360</f>
        <v>0</v>
      </c>
      <c r="F102" s="488" t="e">
        <f>'New Fin Ratios'!J363</f>
        <v>#DIV/0!</v>
      </c>
      <c r="G102" s="488" t="e">
        <f>'New Fin Ratios'!K363</f>
        <v>#DIV/0!</v>
      </c>
      <c r="H102" s="488" t="e">
        <f>'New Fin Ratios'!L363</f>
        <v>#DIV/0!</v>
      </c>
      <c r="I102" s="488" t="e">
        <f>'New Fin Ratios'!M363</f>
        <v>#DIV/0!</v>
      </c>
      <c r="J102" s="488" t="e">
        <f t="shared" si="16"/>
        <v>#DIV/0!</v>
      </c>
      <c r="K102" s="488" t="e">
        <f t="shared" si="17"/>
        <v>#DIV/0!</v>
      </c>
      <c r="L102" s="489" t="e">
        <f t="shared" si="18"/>
        <v>#DIV/0!</v>
      </c>
    </row>
    <row r="103" spans="1:12" x14ac:dyDescent="0.2">
      <c r="A103" s="84"/>
      <c r="B103" s="88"/>
      <c r="E103" s="553"/>
      <c r="L103" s="553"/>
    </row>
    <row r="104" spans="1:12" x14ac:dyDescent="0.2">
      <c r="A104" s="84"/>
      <c r="B104" s="88" t="s">
        <v>504</v>
      </c>
      <c r="C104" s="177">
        <f>'New Fin Ratios'!C365</f>
        <v>3.326214500883677</v>
      </c>
      <c r="D104" s="177" t="e">
        <f>'New Fin Ratios'!E362</f>
        <v>#DIV/0!</v>
      </c>
      <c r="E104" s="554" t="e">
        <f>'New Fin Ratios'!F362</f>
        <v>#DIV/0!</v>
      </c>
      <c r="F104" s="555" t="e">
        <f>'New Fin Ratios'!J365</f>
        <v>#DIV/0!</v>
      </c>
      <c r="G104" s="555" t="e">
        <f>'New Fin Ratios'!K365</f>
        <v>#DIV/0!</v>
      </c>
      <c r="H104" s="555" t="e">
        <f>'New Fin Ratios'!L365</f>
        <v>#DIV/0!</v>
      </c>
      <c r="I104" s="555" t="e">
        <f>'New Fin Ratios'!M365</f>
        <v>#DIV/0!</v>
      </c>
      <c r="J104" s="555" t="e">
        <f t="shared" ref="J104:J108" si="19">G104</f>
        <v>#DIV/0!</v>
      </c>
      <c r="K104" s="555" t="e">
        <f t="shared" ref="K104:K108" si="20">H104</f>
        <v>#DIV/0!</v>
      </c>
      <c r="L104" s="554" t="e">
        <f t="shared" ref="L104:L108" si="21">J104</f>
        <v>#DIV/0!</v>
      </c>
    </row>
    <row r="105" spans="1:12" x14ac:dyDescent="0.2">
      <c r="A105" s="84"/>
      <c r="B105" s="88" t="s">
        <v>505</v>
      </c>
      <c r="C105" s="177">
        <f>'New Fin Ratios'!C366</f>
        <v>3.326214500883677</v>
      </c>
      <c r="D105" s="177" t="e">
        <f>'New Fin Ratios'!E363</f>
        <v>#DIV/0!</v>
      </c>
      <c r="E105" s="554" t="e">
        <f>'New Fin Ratios'!F363</f>
        <v>#DIV/0!</v>
      </c>
      <c r="F105" s="555" t="e">
        <f>'New Fin Ratios'!J366</f>
        <v>#DIV/0!</v>
      </c>
      <c r="G105" s="555" t="e">
        <f>'New Fin Ratios'!K366</f>
        <v>#DIV/0!</v>
      </c>
      <c r="H105" s="555" t="e">
        <f>'New Fin Ratios'!L366</f>
        <v>#DIV/0!</v>
      </c>
      <c r="I105" s="555" t="e">
        <f>'New Fin Ratios'!M366</f>
        <v>#DIV/0!</v>
      </c>
      <c r="J105" s="555" t="e">
        <f t="shared" si="19"/>
        <v>#DIV/0!</v>
      </c>
      <c r="K105" s="555" t="e">
        <f t="shared" si="20"/>
        <v>#DIV/0!</v>
      </c>
      <c r="L105" s="554" t="e">
        <f t="shared" si="21"/>
        <v>#DIV/0!</v>
      </c>
    </row>
    <row r="106" spans="1:12" x14ac:dyDescent="0.2">
      <c r="A106" s="84"/>
      <c r="B106" s="88" t="s">
        <v>506</v>
      </c>
      <c r="C106" s="177">
        <f>'New Fin Ratios'!C367</f>
        <v>9.0641957111271712</v>
      </c>
      <c r="D106" s="177">
        <f>'New Fin Ratios'!E364</f>
        <v>0</v>
      </c>
      <c r="E106" s="554">
        <f>'New Fin Ratios'!F364</f>
        <v>0</v>
      </c>
      <c r="F106" s="555" t="e">
        <f>'New Fin Ratios'!J367</f>
        <v>#DIV/0!</v>
      </c>
      <c r="G106" s="555" t="e">
        <f>'New Fin Ratios'!K367</f>
        <v>#DIV/0!</v>
      </c>
      <c r="H106" s="555" t="e">
        <f>'New Fin Ratios'!L367</f>
        <v>#DIV/0!</v>
      </c>
      <c r="I106" s="555" t="e">
        <f>'New Fin Ratios'!M367</f>
        <v>#DIV/0!</v>
      </c>
      <c r="J106" s="555" t="e">
        <f t="shared" si="19"/>
        <v>#DIV/0!</v>
      </c>
      <c r="K106" s="555" t="e">
        <f t="shared" si="20"/>
        <v>#DIV/0!</v>
      </c>
      <c r="L106" s="554" t="e">
        <f t="shared" si="21"/>
        <v>#DIV/0!</v>
      </c>
    </row>
    <row r="107" spans="1:12" x14ac:dyDescent="0.2">
      <c r="A107" s="84"/>
      <c r="B107" s="88" t="s">
        <v>507</v>
      </c>
      <c r="C107" s="177">
        <f>'New Fin Ratios'!C368</f>
        <v>8.2412189760051966</v>
      </c>
      <c r="D107" s="177" t="e">
        <f>'New Fin Ratios'!E365</f>
        <v>#DIV/0!</v>
      </c>
      <c r="E107" s="554" t="e">
        <f>'New Fin Ratios'!F365</f>
        <v>#DIV/0!</v>
      </c>
      <c r="F107" s="555" t="e">
        <f>'New Fin Ratios'!J368</f>
        <v>#DIV/0!</v>
      </c>
      <c r="G107" s="555" t="e">
        <f>'New Fin Ratios'!K368</f>
        <v>#DIV/0!</v>
      </c>
      <c r="H107" s="555" t="e">
        <f>'New Fin Ratios'!L368</f>
        <v>#DIV/0!</v>
      </c>
      <c r="I107" s="555" t="e">
        <f>'New Fin Ratios'!M368</f>
        <v>#DIV/0!</v>
      </c>
      <c r="J107" s="555" t="e">
        <f t="shared" si="19"/>
        <v>#DIV/0!</v>
      </c>
      <c r="K107" s="555" t="e">
        <f t="shared" si="20"/>
        <v>#DIV/0!</v>
      </c>
      <c r="L107" s="554" t="e">
        <f t="shared" si="21"/>
        <v>#DIV/0!</v>
      </c>
    </row>
    <row r="108" spans="1:12" x14ac:dyDescent="0.2">
      <c r="A108" s="84"/>
      <c r="B108" s="88" t="s">
        <v>508</v>
      </c>
      <c r="C108" s="177">
        <f>'New Fin Ratios'!C369</f>
        <v>8.2412189760051966</v>
      </c>
      <c r="D108" s="177" t="e">
        <f>'New Fin Ratios'!E366</f>
        <v>#DIV/0!</v>
      </c>
      <c r="E108" s="554" t="e">
        <f>'New Fin Ratios'!F366</f>
        <v>#DIV/0!</v>
      </c>
      <c r="F108" s="555" t="e">
        <f>'New Fin Ratios'!J369</f>
        <v>#DIV/0!</v>
      </c>
      <c r="G108" s="555" t="e">
        <f>'New Fin Ratios'!K369</f>
        <v>#DIV/0!</v>
      </c>
      <c r="H108" s="555" t="e">
        <f>'New Fin Ratios'!L369</f>
        <v>#DIV/0!</v>
      </c>
      <c r="I108" s="555" t="e">
        <f>'New Fin Ratios'!M369</f>
        <v>#DIV/0!</v>
      </c>
      <c r="J108" s="555" t="e">
        <f t="shared" si="19"/>
        <v>#DIV/0!</v>
      </c>
      <c r="K108" s="555" t="e">
        <f t="shared" si="20"/>
        <v>#DIV/0!</v>
      </c>
      <c r="L108" s="554" t="e">
        <f t="shared" si="21"/>
        <v>#DIV/0!</v>
      </c>
    </row>
    <row r="109" spans="1:12" x14ac:dyDescent="0.2">
      <c r="A109" s="84"/>
      <c r="B109" s="88"/>
      <c r="C109" s="177"/>
      <c r="D109" s="177"/>
      <c r="E109" s="554"/>
      <c r="F109" s="555"/>
      <c r="G109" s="555"/>
      <c r="H109" s="555"/>
      <c r="I109" s="555"/>
      <c r="J109" s="555"/>
      <c r="K109" s="555"/>
      <c r="L109" s="554"/>
    </row>
    <row r="110" spans="1:12" x14ac:dyDescent="0.2">
      <c r="A110" s="84"/>
      <c r="B110" s="188" t="s">
        <v>536</v>
      </c>
      <c r="C110" s="319" t="str">
        <f>D11</f>
        <v>FY21</v>
      </c>
      <c r="D110" s="232" t="str">
        <f>E11</f>
        <v>YTD</v>
      </c>
      <c r="E110" s="520"/>
      <c r="F110" s="556" t="s">
        <v>120</v>
      </c>
      <c r="G110" s="552" t="s">
        <v>121</v>
      </c>
      <c r="H110" s="556" t="s">
        <v>122</v>
      </c>
      <c r="I110" s="552" t="s">
        <v>123</v>
      </c>
      <c r="J110" s="556" t="s">
        <v>118</v>
      </c>
      <c r="K110" s="552" t="s">
        <v>119</v>
      </c>
      <c r="L110" s="520" t="s">
        <v>826</v>
      </c>
    </row>
    <row r="111" spans="1:12" x14ac:dyDescent="0.2">
      <c r="A111" s="84"/>
      <c r="B111" s="88" t="s">
        <v>522</v>
      </c>
      <c r="C111" s="233" t="e">
        <f>'New Fin Ratios'!G625</f>
        <v>#DIV/0!</v>
      </c>
      <c r="D111" s="233" t="str">
        <f>IFERROR('New Fin Ratios'!H625,"")</f>
        <v/>
      </c>
      <c r="E111" s="554"/>
      <c r="F111" s="488"/>
      <c r="G111" s="488"/>
      <c r="H111" s="488"/>
      <c r="I111" s="488"/>
      <c r="J111" s="488"/>
      <c r="K111" s="488"/>
      <c r="L111" s="554"/>
    </row>
    <row r="112" spans="1:12" x14ac:dyDescent="0.2">
      <c r="A112" s="84"/>
      <c r="B112" s="88" t="s">
        <v>715</v>
      </c>
      <c r="C112" s="233" t="e">
        <f>'New Fin Ratios'!G626</f>
        <v>#DIV/0!</v>
      </c>
      <c r="D112" s="233" t="str">
        <f>IFERROR('New Fin Ratios'!H626,"")</f>
        <v/>
      </c>
      <c r="E112" s="554"/>
      <c r="F112" s="488"/>
      <c r="G112" s="488"/>
      <c r="H112" s="488"/>
      <c r="I112" s="488"/>
      <c r="J112" s="488"/>
      <c r="K112" s="488"/>
      <c r="L112" s="554"/>
    </row>
    <row r="113" spans="1:12" x14ac:dyDescent="0.2">
      <c r="A113" s="84"/>
      <c r="B113" s="88" t="s">
        <v>716</v>
      </c>
      <c r="C113" s="233" t="e">
        <f>'New Fin Ratios'!G627</f>
        <v>#DIV/0!</v>
      </c>
      <c r="D113" s="233" t="str">
        <f>IFERROR('New Fin Ratios'!H627,"")</f>
        <v/>
      </c>
      <c r="E113" s="554"/>
      <c r="F113" s="488"/>
      <c r="G113" s="488"/>
      <c r="H113" s="488"/>
      <c r="I113" s="488"/>
      <c r="J113" s="488"/>
      <c r="K113" s="488"/>
      <c r="L113" s="554"/>
    </row>
    <row r="114" spans="1:12" x14ac:dyDescent="0.2">
      <c r="A114" s="84"/>
      <c r="B114" s="88" t="s">
        <v>519</v>
      </c>
      <c r="C114" s="233" t="e">
        <f>'New Fin Ratios'!G628</f>
        <v>#DIV/0!</v>
      </c>
      <c r="D114" s="233" t="str">
        <f>IFERROR('New Fin Ratios'!H628,"")</f>
        <v/>
      </c>
      <c r="E114" s="554"/>
      <c r="F114" s="488"/>
      <c r="G114" s="488"/>
      <c r="H114" s="488"/>
      <c r="I114" s="488"/>
      <c r="J114" s="488"/>
      <c r="K114" s="488"/>
      <c r="L114" s="554"/>
    </row>
    <row r="115" spans="1:12" x14ac:dyDescent="0.2">
      <c r="A115" s="84"/>
      <c r="B115" s="88" t="s">
        <v>520</v>
      </c>
      <c r="C115" s="233" t="e">
        <f>'New Fin Ratios'!G629</f>
        <v>#DIV/0!</v>
      </c>
      <c r="D115" s="233" t="str">
        <f>IFERROR('New Fin Ratios'!H629,"")</f>
        <v/>
      </c>
      <c r="E115" s="554"/>
      <c r="F115" s="488"/>
      <c r="G115" s="488"/>
      <c r="H115" s="488"/>
      <c r="I115" s="488"/>
      <c r="J115" s="488"/>
      <c r="K115" s="488"/>
      <c r="L115" s="554"/>
    </row>
    <row r="116" spans="1:12" x14ac:dyDescent="0.2">
      <c r="A116" s="84"/>
      <c r="B116" s="88" t="s">
        <v>517</v>
      </c>
      <c r="C116" s="233" t="e">
        <f>'New Fin Ratios'!G630</f>
        <v>#DIV/0!</v>
      </c>
      <c r="D116" s="233" t="str">
        <f>IFERROR('New Fin Ratios'!H630,"")</f>
        <v/>
      </c>
      <c r="E116" s="554"/>
      <c r="F116" s="488"/>
      <c r="G116" s="488"/>
      <c r="H116" s="488"/>
      <c r="I116" s="488"/>
      <c r="J116" s="488"/>
      <c r="K116" s="488"/>
      <c r="L116" s="554"/>
    </row>
    <row r="117" spans="1:12" x14ac:dyDescent="0.2">
      <c r="A117" s="84"/>
      <c r="B117" s="88" t="s">
        <v>533</v>
      </c>
      <c r="C117" s="233" t="e">
        <f>'New Fin Ratios'!G631</f>
        <v>#DIV/0!</v>
      </c>
      <c r="D117" s="233" t="str">
        <f>IFERROR('New Fin Ratios'!H631,"")</f>
        <v/>
      </c>
      <c r="E117" s="554"/>
      <c r="F117" s="488"/>
      <c r="G117" s="488"/>
      <c r="H117" s="488"/>
      <c r="I117" s="488"/>
      <c r="J117" s="488"/>
      <c r="K117" s="488"/>
      <c r="L117" s="554"/>
    </row>
    <row r="118" spans="1:12" x14ac:dyDescent="0.2">
      <c r="A118" s="84"/>
      <c r="B118" s="88" t="s">
        <v>514</v>
      </c>
      <c r="C118" s="233" t="e">
        <f>'New Fin Ratios'!G632</f>
        <v>#DIV/0!</v>
      </c>
      <c r="D118" s="233" t="str">
        <f>IFERROR('New Fin Ratios'!H632,"")</f>
        <v/>
      </c>
      <c r="E118" s="554"/>
      <c r="F118" s="488"/>
      <c r="G118" s="488"/>
      <c r="H118" s="488"/>
      <c r="I118" s="488"/>
      <c r="J118" s="488"/>
      <c r="K118" s="488"/>
      <c r="L118" s="554"/>
    </row>
    <row r="119" spans="1:12" x14ac:dyDescent="0.2">
      <c r="A119" s="84"/>
      <c r="B119" s="88" t="s">
        <v>515</v>
      </c>
      <c r="C119" s="233" t="e">
        <f>'New Fin Ratios'!G633</f>
        <v>#DIV/0!</v>
      </c>
      <c r="D119" s="233" t="str">
        <f>IFERROR('New Fin Ratios'!H633,"")</f>
        <v/>
      </c>
      <c r="E119" s="554"/>
      <c r="F119" s="488"/>
      <c r="G119" s="488"/>
      <c r="H119" s="488"/>
      <c r="I119" s="488"/>
      <c r="J119" s="488"/>
      <c r="K119" s="488"/>
      <c r="L119" s="554"/>
    </row>
    <row r="120" spans="1:12" x14ac:dyDescent="0.2">
      <c r="A120" s="84"/>
      <c r="B120" s="88" t="s">
        <v>717</v>
      </c>
      <c r="C120" s="233" t="e">
        <f>'New Fin Ratios'!G634</f>
        <v>#DIV/0!</v>
      </c>
      <c r="D120" s="233" t="str">
        <f>IFERROR('New Fin Ratios'!H634,"")</f>
        <v/>
      </c>
      <c r="E120" s="554"/>
      <c r="F120" s="488"/>
      <c r="G120" s="488"/>
      <c r="H120" s="488"/>
      <c r="I120" s="488"/>
      <c r="J120" s="488"/>
      <c r="K120" s="488"/>
      <c r="L120" s="554"/>
    </row>
    <row r="121" spans="1:12" x14ac:dyDescent="0.2">
      <c r="A121" s="84"/>
      <c r="B121" s="88" t="s">
        <v>718</v>
      </c>
      <c r="C121" s="233" t="e">
        <f>'New Fin Ratios'!G635</f>
        <v>#DIV/0!</v>
      </c>
      <c r="D121" s="233" t="str">
        <f>IFERROR('New Fin Ratios'!H635,"")</f>
        <v/>
      </c>
      <c r="E121" s="554"/>
      <c r="F121" s="488"/>
      <c r="G121" s="488"/>
      <c r="H121" s="488"/>
      <c r="I121" s="488"/>
      <c r="J121" s="488"/>
      <c r="K121" s="488"/>
      <c r="L121" s="554"/>
    </row>
    <row r="122" spans="1:12" x14ac:dyDescent="0.2">
      <c r="A122" s="84"/>
      <c r="B122" s="88" t="s">
        <v>523</v>
      </c>
      <c r="C122" s="233" t="e">
        <f>'New Fin Ratios'!G636</f>
        <v>#DIV/0!</v>
      </c>
      <c r="D122" s="233" t="str">
        <f>IFERROR('New Fin Ratios'!H636,"")</f>
        <v/>
      </c>
      <c r="E122" s="554"/>
      <c r="F122" s="488"/>
      <c r="G122" s="488"/>
      <c r="H122" s="488"/>
      <c r="I122" s="488"/>
      <c r="J122" s="488"/>
      <c r="K122" s="488"/>
      <c r="L122" s="554"/>
    </row>
    <row r="123" spans="1:12" x14ac:dyDescent="0.2">
      <c r="A123" s="84"/>
      <c r="B123" s="88" t="s">
        <v>516</v>
      </c>
      <c r="C123" s="233" t="e">
        <f>'New Fin Ratios'!G637</f>
        <v>#DIV/0!</v>
      </c>
      <c r="D123" s="233" t="str">
        <f>IFERROR('New Fin Ratios'!H637,"")</f>
        <v/>
      </c>
      <c r="E123" s="554"/>
      <c r="F123" s="488"/>
      <c r="G123" s="488"/>
      <c r="H123" s="488"/>
      <c r="I123" s="488"/>
      <c r="J123" s="488"/>
      <c r="K123" s="488"/>
      <c r="L123" s="554"/>
    </row>
    <row r="124" spans="1:12" x14ac:dyDescent="0.2">
      <c r="A124" s="84"/>
      <c r="B124" s="88" t="s">
        <v>532</v>
      </c>
      <c r="C124" s="233" t="e">
        <f>'New Fin Ratios'!G638</f>
        <v>#DIV/0!</v>
      </c>
      <c r="D124" s="233" t="str">
        <f>IFERROR('New Fin Ratios'!H638,"")</f>
        <v/>
      </c>
      <c r="E124" s="554"/>
      <c r="F124" s="488"/>
      <c r="G124" s="488"/>
      <c r="H124" s="488"/>
      <c r="I124" s="488"/>
      <c r="J124" s="488"/>
      <c r="K124" s="488"/>
      <c r="L124" s="554"/>
    </row>
    <row r="125" spans="1:12" x14ac:dyDescent="0.2">
      <c r="A125" s="84"/>
      <c r="B125" s="88" t="s">
        <v>521</v>
      </c>
      <c r="C125" s="233" t="e">
        <f>'New Fin Ratios'!G639</f>
        <v>#DIV/0!</v>
      </c>
      <c r="D125" s="233" t="str">
        <f>IFERROR('New Fin Ratios'!H639,"")</f>
        <v/>
      </c>
      <c r="E125" s="554"/>
      <c r="F125" s="488"/>
      <c r="G125" s="488"/>
      <c r="H125" s="488"/>
      <c r="I125" s="488"/>
      <c r="J125" s="488"/>
      <c r="K125" s="488"/>
      <c r="L125" s="554"/>
    </row>
    <row r="126" spans="1:12" x14ac:dyDescent="0.2">
      <c r="A126" s="84"/>
      <c r="B126" s="88" t="s">
        <v>529</v>
      </c>
      <c r="C126" s="233" t="e">
        <f>'New Fin Ratios'!G640</f>
        <v>#DIV/0!</v>
      </c>
      <c r="D126" s="233" t="str">
        <f>IFERROR('New Fin Ratios'!H640,"")</f>
        <v/>
      </c>
      <c r="E126" s="554"/>
      <c r="F126" s="488"/>
      <c r="G126" s="488"/>
      <c r="H126" s="488"/>
      <c r="I126" s="488"/>
      <c r="J126" s="488"/>
      <c r="K126" s="488"/>
      <c r="L126" s="554"/>
    </row>
    <row r="127" spans="1:12" x14ac:dyDescent="0.2">
      <c r="A127" s="84"/>
      <c r="B127" s="88" t="s">
        <v>528</v>
      </c>
      <c r="C127" s="233" t="e">
        <f>'New Fin Ratios'!G641</f>
        <v>#DIV/0!</v>
      </c>
      <c r="D127" s="233" t="str">
        <f>IFERROR('New Fin Ratios'!H641,"")</f>
        <v/>
      </c>
      <c r="E127" s="554"/>
      <c r="F127" s="488"/>
      <c r="G127" s="488"/>
      <c r="H127" s="488"/>
      <c r="I127" s="488"/>
      <c r="J127" s="488"/>
      <c r="K127" s="488"/>
      <c r="L127" s="554"/>
    </row>
    <row r="128" spans="1:12" x14ac:dyDescent="0.2">
      <c r="A128" s="84"/>
      <c r="B128" s="88" t="s">
        <v>526</v>
      </c>
      <c r="C128" s="233" t="e">
        <f>'New Fin Ratios'!G642</f>
        <v>#DIV/0!</v>
      </c>
      <c r="D128" s="233" t="str">
        <f>IFERROR('New Fin Ratios'!H642,"")</f>
        <v/>
      </c>
      <c r="E128" s="554"/>
      <c r="F128" s="488"/>
      <c r="G128" s="488"/>
      <c r="H128" s="488"/>
      <c r="I128" s="488"/>
      <c r="J128" s="488"/>
      <c r="K128" s="488"/>
      <c r="L128" s="554"/>
    </row>
    <row r="129" spans="1:12" x14ac:dyDescent="0.2">
      <c r="A129" s="84"/>
      <c r="B129" s="88" t="s">
        <v>525</v>
      </c>
      <c r="C129" s="233" t="e">
        <f>'New Fin Ratios'!G643</f>
        <v>#DIV/0!</v>
      </c>
      <c r="D129" s="233" t="str">
        <f>IFERROR('New Fin Ratios'!H643,"")</f>
        <v/>
      </c>
      <c r="E129" s="554"/>
      <c r="F129" s="488"/>
      <c r="G129" s="488"/>
      <c r="H129" s="488"/>
      <c r="I129" s="488"/>
      <c r="J129" s="488"/>
      <c r="K129" s="488"/>
      <c r="L129" s="554"/>
    </row>
    <row r="130" spans="1:12" x14ac:dyDescent="0.2">
      <c r="A130" s="84"/>
      <c r="B130" s="88" t="s">
        <v>524</v>
      </c>
      <c r="C130" s="233" t="e">
        <f>'New Fin Ratios'!G644</f>
        <v>#DIV/0!</v>
      </c>
      <c r="D130" s="233" t="str">
        <f>IFERROR('New Fin Ratios'!H644,"")</f>
        <v/>
      </c>
      <c r="E130" s="554"/>
      <c r="F130" s="488"/>
      <c r="G130" s="488"/>
      <c r="H130" s="488"/>
      <c r="I130" s="488"/>
      <c r="J130" s="488"/>
      <c r="K130" s="488"/>
      <c r="L130" s="554"/>
    </row>
    <row r="131" spans="1:12" x14ac:dyDescent="0.2">
      <c r="A131" s="84"/>
      <c r="B131" s="88" t="s">
        <v>531</v>
      </c>
      <c r="C131" s="233" t="e">
        <f>'New Fin Ratios'!G645</f>
        <v>#DIV/0!</v>
      </c>
      <c r="D131" s="233" t="str">
        <f>IFERROR('New Fin Ratios'!H645,"")</f>
        <v/>
      </c>
      <c r="E131" s="554"/>
      <c r="F131" s="488"/>
      <c r="G131" s="488"/>
      <c r="H131" s="488"/>
      <c r="I131" s="488"/>
      <c r="J131" s="488"/>
      <c r="K131" s="488"/>
      <c r="L131" s="554"/>
    </row>
    <row r="132" spans="1:12" x14ac:dyDescent="0.2">
      <c r="A132" s="84"/>
      <c r="B132" s="88" t="s">
        <v>530</v>
      </c>
      <c r="C132" s="233" t="e">
        <f>'New Fin Ratios'!G646</f>
        <v>#DIV/0!</v>
      </c>
      <c r="D132" s="233" t="str">
        <f>IFERROR('New Fin Ratios'!H646,"")</f>
        <v/>
      </c>
      <c r="E132" s="554"/>
      <c r="F132" s="488"/>
      <c r="G132" s="488"/>
      <c r="H132" s="488"/>
      <c r="I132" s="488"/>
      <c r="J132" s="488"/>
      <c r="K132" s="488"/>
      <c r="L132" s="554"/>
    </row>
    <row r="133" spans="1:12" x14ac:dyDescent="0.2">
      <c r="A133" s="84"/>
      <c r="B133" s="88" t="s">
        <v>513</v>
      </c>
      <c r="C133" s="233" t="e">
        <f>'New Fin Ratios'!G647</f>
        <v>#DIV/0!</v>
      </c>
      <c r="D133" s="233" t="str">
        <f>IFERROR('New Fin Ratios'!H647,"")</f>
        <v/>
      </c>
      <c r="E133" s="554"/>
      <c r="F133" s="488"/>
      <c r="G133" s="488"/>
      <c r="H133" s="488"/>
      <c r="I133" s="488"/>
      <c r="J133" s="488"/>
      <c r="K133" s="488"/>
      <c r="L133" s="554"/>
    </row>
    <row r="134" spans="1:12" x14ac:dyDescent="0.2">
      <c r="A134" s="84"/>
      <c r="B134" s="88" t="s">
        <v>527</v>
      </c>
      <c r="C134" s="233" t="e">
        <f>'New Fin Ratios'!G648</f>
        <v>#DIV/0!</v>
      </c>
      <c r="D134" s="233" t="str">
        <f>IFERROR('New Fin Ratios'!H648,"")</f>
        <v/>
      </c>
      <c r="E134" s="554"/>
      <c r="F134" s="488"/>
      <c r="G134" s="488"/>
      <c r="H134" s="488"/>
      <c r="I134" s="488"/>
      <c r="J134" s="488"/>
      <c r="K134" s="488"/>
      <c r="L134" s="554"/>
    </row>
    <row r="135" spans="1:12" x14ac:dyDescent="0.2">
      <c r="A135" s="84"/>
      <c r="B135" s="88" t="s">
        <v>719</v>
      </c>
      <c r="C135" s="233" t="e">
        <f>'New Fin Ratios'!G649</f>
        <v>#DIV/0!</v>
      </c>
      <c r="D135" s="233" t="str">
        <f>IFERROR('New Fin Ratios'!H649,"")</f>
        <v/>
      </c>
      <c r="E135" s="554"/>
      <c r="F135" s="488"/>
      <c r="G135" s="488"/>
      <c r="H135" s="488"/>
      <c r="I135" s="488"/>
      <c r="J135" s="488"/>
      <c r="K135" s="488"/>
      <c r="L135" s="554"/>
    </row>
    <row r="136" spans="1:12" x14ac:dyDescent="0.2">
      <c r="A136" s="84"/>
      <c r="B136" s="88" t="s">
        <v>512</v>
      </c>
      <c r="C136" s="233" t="e">
        <f>'New Fin Ratios'!G650</f>
        <v>#DIV/0!</v>
      </c>
      <c r="D136" s="233" t="str">
        <f>IFERROR('New Fin Ratios'!H650,"")</f>
        <v/>
      </c>
      <c r="E136" s="554"/>
      <c r="F136" s="488"/>
      <c r="G136" s="488"/>
      <c r="H136" s="488"/>
      <c r="I136" s="488"/>
      <c r="J136" s="488"/>
      <c r="K136" s="488"/>
      <c r="L136" s="554"/>
    </row>
    <row r="137" spans="1:12" x14ac:dyDescent="0.2">
      <c r="A137" s="84"/>
      <c r="B137" s="88" t="s">
        <v>534</v>
      </c>
      <c r="C137" s="233" t="e">
        <f>'New Fin Ratios'!G651</f>
        <v>#DIV/0!</v>
      </c>
      <c r="D137" s="233" t="str">
        <f>IFERROR('New Fin Ratios'!H651,"")</f>
        <v/>
      </c>
      <c r="E137" s="554"/>
      <c r="F137" s="488"/>
      <c r="G137" s="488"/>
      <c r="H137" s="488"/>
      <c r="I137" s="488"/>
      <c r="J137" s="488"/>
      <c r="K137" s="488"/>
      <c r="L137" s="554"/>
    </row>
    <row r="138" spans="1:12" x14ac:dyDescent="0.2">
      <c r="A138" s="84"/>
      <c r="B138" s="88" t="s">
        <v>518</v>
      </c>
      <c r="C138" s="233" t="e">
        <f>'New Fin Ratios'!G652</f>
        <v>#DIV/0!</v>
      </c>
      <c r="D138" s="233" t="str">
        <f>IFERROR('New Fin Ratios'!H652,"")</f>
        <v/>
      </c>
      <c r="E138" s="554"/>
      <c r="F138" s="488"/>
      <c r="G138" s="488"/>
      <c r="H138" s="488"/>
      <c r="I138" s="488"/>
      <c r="J138" s="488"/>
      <c r="K138" s="488"/>
      <c r="L138" s="554"/>
    </row>
    <row r="139" spans="1:12" x14ac:dyDescent="0.2">
      <c r="A139" s="84"/>
      <c r="B139" s="88" t="s">
        <v>75</v>
      </c>
      <c r="C139" s="233" t="e">
        <f>'New Fin Ratios'!G653</f>
        <v>#DIV/0!</v>
      </c>
      <c r="D139" s="233" t="str">
        <f>IFERROR('New Fin Ratios'!H653,"")</f>
        <v/>
      </c>
      <c r="E139" s="554"/>
      <c r="F139" s="488"/>
      <c r="G139" s="488"/>
      <c r="H139" s="488"/>
      <c r="I139" s="488"/>
      <c r="J139" s="488"/>
      <c r="K139" s="488"/>
      <c r="L139" s="554"/>
    </row>
    <row r="140" spans="1:12" x14ac:dyDescent="0.2">
      <c r="A140" s="84"/>
      <c r="B140" s="88" t="s">
        <v>720</v>
      </c>
      <c r="C140" s="233" t="e">
        <f>'New Fin Ratios'!G654</f>
        <v>#DIV/0!</v>
      </c>
      <c r="D140" s="233" t="str">
        <f>IFERROR('New Fin Ratios'!H654,"")</f>
        <v/>
      </c>
      <c r="E140" s="554"/>
      <c r="F140" s="488"/>
      <c r="G140" s="488"/>
      <c r="H140" s="488"/>
      <c r="I140" s="488"/>
      <c r="J140" s="488"/>
      <c r="K140" s="488"/>
      <c r="L140" s="554"/>
    </row>
    <row r="141" spans="1:12" x14ac:dyDescent="0.2">
      <c r="A141" s="84"/>
      <c r="B141" s="88" t="s">
        <v>2</v>
      </c>
      <c r="C141" s="233" t="e">
        <f>'New Fin Ratios'!G655</f>
        <v>#DIV/0!</v>
      </c>
      <c r="D141" s="233" t="str">
        <f>IFERROR('New Fin Ratios'!H655,"")</f>
        <v/>
      </c>
      <c r="E141" s="554"/>
      <c r="F141" s="488"/>
      <c r="G141" s="488"/>
      <c r="H141" s="488"/>
      <c r="I141" s="488"/>
      <c r="J141" s="488"/>
      <c r="K141" s="488"/>
      <c r="L141" s="554"/>
    </row>
    <row r="142" spans="1:12" ht="13.5" thickBot="1" x14ac:dyDescent="0.25">
      <c r="A142" s="263"/>
      <c r="B142" s="89"/>
      <c r="C142" s="264"/>
      <c r="D142" s="264"/>
      <c r="E142" s="557"/>
      <c r="F142" s="558"/>
      <c r="G142" s="558"/>
      <c r="H142" s="558"/>
      <c r="I142" s="558"/>
      <c r="J142" s="558"/>
      <c r="K142" s="558"/>
      <c r="L142" s="557"/>
    </row>
  </sheetData>
  <sheetProtection password="818A" sheet="1" objects="1" scenarios="1"/>
  <dataValidations count="5">
    <dataValidation type="list" allowBlank="1" showInputMessage="1" showErrorMessage="1" sqref="C5">
      <formula1>$N$2:$N$28</formula1>
    </dataValidation>
    <dataValidation type="list" allowBlank="1" showInputMessage="1" showErrorMessage="1" sqref="C9:E9">
      <formula1>"AAA,AA+,AA,AA-,A+,A,A-,BBB+,BBB,BBB-,BB+,BB,BB-,B+,B,B-,C,D"</formula1>
    </dataValidation>
    <dataValidation type="list" allowBlank="1" showInputMessage="1" showErrorMessage="1" sqref="C10:E10">
      <formula1>"Stable, Positive, Negative, Watch"</formula1>
    </dataValidation>
    <dataValidation type="list" allowBlank="1" showInputMessage="1" showErrorMessage="1" sqref="C7:E7">
      <formula1>"NBFC 1,NBFC 2,NBFC 3,NBFC 4,NBFC 5,NBFC 6,NBFC 7,NBFC 8"</formula1>
    </dataValidation>
    <dataValidation type="list" allowBlank="1" showInputMessage="1" showErrorMessage="1" sqref="C8:E8">
      <formula1>"HDB 1,HDB 2,HDB 3,HDB 4,HDB 5,HDB 6,HDB 7,HDB 8"</formula1>
    </dataValidation>
  </dataValidations>
  <pageMargins left="0.7" right="0.7" top="0.75" bottom="0.75" header="0.3" footer="0.3"/>
  <pageSetup paperSize="9" orientation="portrait" r:id="rId1"/>
  <headerFooter>
    <oddHeader>&amp;C&amp;"Calibri"&amp;11&amp;K000000 Classification - Restricted&amp;1#_x000D_</oddHeader>
    <oddFooter>&amp;C_x000D_&amp;1#&amp;"Calibri"&amp;11&amp;K000000 Classification -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22"/>
  <sheetViews>
    <sheetView showGridLines="0" workbookViewId="0">
      <pane xSplit="2" ySplit="1" topLeftCell="AM2" activePane="bottomRight" state="frozen"/>
      <selection pane="topRight" activeCell="C1" sqref="C1"/>
      <selection pane="bottomLeft" activeCell="A2" sqref="A2"/>
      <selection pane="bottomRight" activeCell="AU1" sqref="AU1"/>
    </sheetView>
  </sheetViews>
  <sheetFormatPr defaultColWidth="9.28515625" defaultRowHeight="12.75" x14ac:dyDescent="0.2"/>
  <cols>
    <col min="1" max="1" bestFit="true" customWidth="true" style="268" width="15.7109375" collapsed="true"/>
    <col min="2" max="2" customWidth="true" style="268" width="22.7109375" collapsed="true"/>
    <col min="3" max="3" style="268" width="9.28515625" collapsed="true"/>
    <col min="4" max="4" bestFit="true" customWidth="true" style="268" width="23.7109375" collapsed="true"/>
    <col min="5" max="16384" style="268" width="9.28515625" collapsed="true"/>
  </cols>
  <sheetData>
    <row r="1" spans="1:129" s="265" customFormat="1" ht="127.5" x14ac:dyDescent="0.2">
      <c r="A1" s="262" t="s">
        <v>110</v>
      </c>
      <c r="B1" s="262" t="s">
        <v>7</v>
      </c>
      <c r="C1" s="262" t="s">
        <v>598</v>
      </c>
      <c r="D1" s="262" t="s">
        <v>370</v>
      </c>
      <c r="E1" s="262" t="s">
        <v>371</v>
      </c>
      <c r="F1" s="262" t="s">
        <v>599</v>
      </c>
      <c r="G1" s="262" t="s">
        <v>381</v>
      </c>
      <c r="H1" s="262" t="s">
        <v>285</v>
      </c>
      <c r="I1" s="262" t="s">
        <v>426</v>
      </c>
      <c r="J1" s="179" t="s">
        <v>427</v>
      </c>
      <c r="K1" s="179" t="s">
        <v>600</v>
      </c>
      <c r="L1" s="179" t="s">
        <v>429</v>
      </c>
      <c r="M1" s="179" t="s">
        <v>430</v>
      </c>
      <c r="N1" s="262" t="s">
        <v>431</v>
      </c>
      <c r="O1" s="179" t="s">
        <v>386</v>
      </c>
      <c r="P1" s="179" t="s">
        <v>387</v>
      </c>
      <c r="Q1" s="179" t="s">
        <v>388</v>
      </c>
      <c r="R1" s="179" t="s">
        <v>601</v>
      </c>
      <c r="S1" s="179" t="s">
        <v>602</v>
      </c>
      <c r="T1" s="179" t="s">
        <v>603</v>
      </c>
      <c r="U1" s="179" t="s">
        <v>604</v>
      </c>
      <c r="V1" s="179" t="s">
        <v>605</v>
      </c>
      <c r="W1" s="179" t="s">
        <v>606</v>
      </c>
      <c r="X1" s="179" t="s">
        <v>607</v>
      </c>
      <c r="Y1" s="179" t="s">
        <v>434</v>
      </c>
      <c r="Z1" s="188" t="s">
        <v>435</v>
      </c>
      <c r="AA1" s="179" t="s">
        <v>436</v>
      </c>
      <c r="AB1" s="179" t="s">
        <v>440</v>
      </c>
      <c r="AC1" s="179" t="s">
        <v>552</v>
      </c>
      <c r="AD1" s="179" t="s">
        <v>608</v>
      </c>
      <c r="AE1" s="179" t="s">
        <v>437</v>
      </c>
      <c r="AF1" s="179" t="s">
        <v>439</v>
      </c>
      <c r="AG1" s="179" t="s">
        <v>294</v>
      </c>
      <c r="AH1" s="179" t="s">
        <v>295</v>
      </c>
      <c r="AI1" s="179" t="s">
        <v>296</v>
      </c>
      <c r="AJ1" s="179" t="s">
        <v>297</v>
      </c>
      <c r="AK1" s="179" t="s">
        <v>298</v>
      </c>
      <c r="AL1" s="179" t="s">
        <v>299</v>
      </c>
      <c r="AM1" s="179" t="s">
        <v>300</v>
      </c>
      <c r="AN1" s="179" t="s">
        <v>301</v>
      </c>
      <c r="AO1" s="179" t="s">
        <v>305</v>
      </c>
      <c r="AP1" s="179" t="s">
        <v>739</v>
      </c>
      <c r="AQ1" s="179" t="s">
        <v>740</v>
      </c>
      <c r="AR1" s="179" t="s">
        <v>741</v>
      </c>
      <c r="AS1" s="179" t="s">
        <v>742</v>
      </c>
      <c r="AT1" s="356" t="s">
        <v>743</v>
      </c>
      <c r="AU1" s="356" t="s">
        <v>814</v>
      </c>
      <c r="AV1" s="356" t="s">
        <v>815</v>
      </c>
      <c r="AW1" s="188" t="s">
        <v>441</v>
      </c>
      <c r="AX1" s="179" t="s">
        <v>98</v>
      </c>
      <c r="AY1" s="179" t="s">
        <v>99</v>
      </c>
      <c r="AZ1" s="179" t="s">
        <v>442</v>
      </c>
      <c r="BA1" s="179" t="s">
        <v>708</v>
      </c>
      <c r="BB1" s="188" t="s">
        <v>444</v>
      </c>
      <c r="BC1" s="179" t="s">
        <v>635</v>
      </c>
      <c r="BD1" s="179" t="s">
        <v>44</v>
      </c>
      <c r="BE1" s="179" t="s">
        <v>45</v>
      </c>
      <c r="BF1" s="179" t="s">
        <v>278</v>
      </c>
      <c r="BG1" s="179" t="s">
        <v>277</v>
      </c>
      <c r="BH1" s="179" t="s">
        <v>279</v>
      </c>
      <c r="BI1" s="179" t="s">
        <v>276</v>
      </c>
      <c r="BJ1" s="179" t="s">
        <v>280</v>
      </c>
      <c r="BK1" s="179" t="s">
        <v>275</v>
      </c>
      <c r="BL1" s="179" t="s">
        <v>47</v>
      </c>
      <c r="BM1" s="179" t="s">
        <v>46</v>
      </c>
      <c r="BN1" s="179" t="s">
        <v>54</v>
      </c>
      <c r="BO1" s="179" t="s">
        <v>636</v>
      </c>
      <c r="BP1" s="179" t="s">
        <v>637</v>
      </c>
      <c r="BQ1" s="179" t="s">
        <v>2</v>
      </c>
      <c r="BR1" s="179" t="s">
        <v>247</v>
      </c>
      <c r="BS1" s="188" t="s">
        <v>511</v>
      </c>
      <c r="BT1" s="179" t="s">
        <v>663</v>
      </c>
      <c r="BU1" s="179" t="s">
        <v>644</v>
      </c>
      <c r="BV1" s="179" t="s">
        <v>643</v>
      </c>
      <c r="BW1" s="179" t="s">
        <v>665</v>
      </c>
      <c r="BX1" s="179" t="s">
        <v>666</v>
      </c>
      <c r="BY1" s="188" t="s">
        <v>754</v>
      </c>
      <c r="BZ1" s="179" t="s">
        <v>755</v>
      </c>
      <c r="CA1" s="179" t="s">
        <v>756</v>
      </c>
      <c r="CB1" s="179" t="s">
        <v>757</v>
      </c>
      <c r="CC1" s="179" t="s">
        <v>761</v>
      </c>
      <c r="CD1" s="179" t="s">
        <v>763</v>
      </c>
      <c r="CE1" s="188" t="s">
        <v>447</v>
      </c>
      <c r="CF1" s="88" t="s">
        <v>501</v>
      </c>
      <c r="CG1" s="88" t="s">
        <v>502</v>
      </c>
      <c r="CH1" s="88" t="s">
        <v>503</v>
      </c>
      <c r="CI1" s="179"/>
      <c r="CJ1" s="239" t="s">
        <v>452</v>
      </c>
      <c r="CK1" s="88" t="s">
        <v>501</v>
      </c>
      <c r="CL1" s="88" t="s">
        <v>502</v>
      </c>
      <c r="CM1" s="88" t="s">
        <v>503</v>
      </c>
      <c r="CN1" s="88" t="s">
        <v>504</v>
      </c>
      <c r="CO1" s="88" t="s">
        <v>505</v>
      </c>
      <c r="CP1" s="88" t="s">
        <v>506</v>
      </c>
      <c r="CQ1" s="88" t="s">
        <v>507</v>
      </c>
      <c r="CR1" s="88" t="s">
        <v>508</v>
      </c>
      <c r="CS1" s="188" t="s">
        <v>536</v>
      </c>
      <c r="CT1" s="88" t="s">
        <v>522</v>
      </c>
      <c r="CU1" s="88" t="s">
        <v>715</v>
      </c>
      <c r="CV1" s="88" t="s">
        <v>716</v>
      </c>
      <c r="CW1" s="88" t="s">
        <v>519</v>
      </c>
      <c r="CX1" s="88" t="s">
        <v>520</v>
      </c>
      <c r="CY1" s="88" t="s">
        <v>517</v>
      </c>
      <c r="CZ1" s="88" t="s">
        <v>533</v>
      </c>
      <c r="DA1" s="88" t="s">
        <v>514</v>
      </c>
      <c r="DB1" s="88" t="s">
        <v>515</v>
      </c>
      <c r="DC1" s="88" t="s">
        <v>717</v>
      </c>
      <c r="DD1" s="88" t="s">
        <v>718</v>
      </c>
      <c r="DE1" s="88" t="s">
        <v>523</v>
      </c>
      <c r="DF1" s="88" t="s">
        <v>516</v>
      </c>
      <c r="DG1" s="88" t="s">
        <v>532</v>
      </c>
      <c r="DH1" s="88" t="s">
        <v>521</v>
      </c>
      <c r="DI1" s="88" t="s">
        <v>529</v>
      </c>
      <c r="DJ1" s="88" t="s">
        <v>528</v>
      </c>
      <c r="DK1" s="88" t="s">
        <v>526</v>
      </c>
      <c r="DL1" s="88" t="s">
        <v>525</v>
      </c>
      <c r="DM1" s="88" t="s">
        <v>524</v>
      </c>
      <c r="DN1" s="88" t="s">
        <v>531</v>
      </c>
      <c r="DO1" s="88" t="s">
        <v>530</v>
      </c>
      <c r="DP1" s="88" t="s">
        <v>513</v>
      </c>
      <c r="DQ1" s="88" t="s">
        <v>527</v>
      </c>
      <c r="DR1" s="88" t="s">
        <v>719</v>
      </c>
      <c r="DS1" s="88" t="s">
        <v>512</v>
      </c>
      <c r="DT1" s="88" t="s">
        <v>534</v>
      </c>
      <c r="DU1" s="88" t="s">
        <v>518</v>
      </c>
      <c r="DV1" s="88" t="s">
        <v>75</v>
      </c>
      <c r="DW1" s="88" t="s">
        <v>720</v>
      </c>
      <c r="DX1" s="88" t="s">
        <v>2</v>
      </c>
      <c r="DY1" s="88"/>
    </row>
    <row r="2" spans="1:129" x14ac:dyDescent="0.2">
      <c r="A2" s="266">
        <f>'Peer Comp'!C3</f>
        <v>332111</v>
      </c>
      <c r="B2" s="267" t="str">
        <f>'Peer Comp'!C4</f>
        <v>asdas</v>
      </c>
      <c r="C2" s="267">
        <f>'Peer Comp'!C5</f>
        <v>0</v>
      </c>
      <c r="D2" s="267">
        <f>'Peer Comp'!C7</f>
        <v>0</v>
      </c>
      <c r="E2" s="267">
        <f>'Peer Comp'!C8</f>
        <v>0</v>
      </c>
      <c r="F2" s="267" t="str">
        <f>'Peer Comp'!C9</f>
        <v>AA+</v>
      </c>
      <c r="G2" s="267" t="str">
        <f>'Peer Comp'!C10</f>
        <v>Stable</v>
      </c>
      <c r="H2" s="402" t="str">
        <f>'Peer Comp'!C11</f>
        <v>FY20</v>
      </c>
      <c r="I2" s="404" t="str">
        <f>""</f>
        <v/>
      </c>
      <c r="J2" s="405">
        <f>'Peer Comp'!C13</f>
        <v>61919.199999999997</v>
      </c>
      <c r="K2" s="405">
        <f>'Peer Comp'!C14</f>
        <v>448062.00000000006</v>
      </c>
      <c r="L2" s="405">
        <f>'Peer Comp'!C15</f>
        <v>542727.9</v>
      </c>
      <c r="M2" s="405">
        <f>'Peer Comp'!C16</f>
        <v>467125.3</v>
      </c>
      <c r="N2" s="404" t="str">
        <f>""</f>
        <v/>
      </c>
      <c r="O2" s="405">
        <f>'Peer Comp'!C19</f>
        <v>63778.3</v>
      </c>
      <c r="P2" s="405">
        <f>'Peer Comp'!C20</f>
        <v>28886</v>
      </c>
      <c r="Q2" s="405">
        <f>'Peer Comp'!C21</f>
        <v>34892.300000000003</v>
      </c>
      <c r="R2" s="406">
        <f>'Peer Comp'!C22</f>
        <v>6.9231667441643829E-2</v>
      </c>
      <c r="S2" s="406">
        <f>'Peer Comp'!C23</f>
        <v>7.3539859206475641E-2</v>
      </c>
      <c r="T2" s="405">
        <f>'Peer Comp'!C24</f>
        <v>8730.1</v>
      </c>
      <c r="U2" s="406">
        <f>'Peer Comp'!C25</f>
        <v>1.7321855536387532E-2</v>
      </c>
      <c r="V2" s="405">
        <f>'Peer Comp'!C26</f>
        <v>3580.9000000000037</v>
      </c>
      <c r="W2" s="406">
        <f>'Peer Comp'!C27</f>
        <v>7.1050540647014555E-3</v>
      </c>
      <c r="X2" s="407">
        <f>'Peer Comp'!C28</f>
        <v>0.59345185040825621</v>
      </c>
      <c r="Y2" s="408">
        <f>'Peer Comp'!C29</f>
        <v>4.3081917648318179E-3</v>
      </c>
      <c r="Z2" s="404" t="str">
        <f>""</f>
        <v/>
      </c>
      <c r="AA2" s="408">
        <f>'Peer Comp'!C32</f>
        <v>8.4</v>
      </c>
      <c r="AB2" s="408">
        <f>'Peer Comp'!C33</f>
        <v>5.6000000000000005</v>
      </c>
      <c r="AC2" s="408">
        <f>'Peer Comp'!C34</f>
        <v>2.590212814613373E-2</v>
      </c>
      <c r="AD2" s="408">
        <f>'Peer Comp'!C35</f>
        <v>2.1374991155066317E-2</v>
      </c>
      <c r="AE2" s="409">
        <f>'Peer Comp'!C36</f>
        <v>1.8735982405699825</v>
      </c>
      <c r="AF2" s="409">
        <f>'Peer Comp'!C37</f>
        <v>24.43146856177146</v>
      </c>
      <c r="AG2" s="410">
        <f>'Peer Comp'!C38</f>
        <v>0.80428273242725468</v>
      </c>
      <c r="AH2" s="410">
        <f>'Peer Comp'!C39</f>
        <v>0.11212223618855809</v>
      </c>
      <c r="AI2" s="410">
        <f>'Peer Comp'!C40</f>
        <v>0.91640496861581278</v>
      </c>
      <c r="AJ2" s="410">
        <f>'Peer Comp'!C41</f>
        <v>8.3595031384187113E-2</v>
      </c>
      <c r="AK2" s="410">
        <f>'Peer Comp'!C42</f>
        <v>2.4873632283106257E-2</v>
      </c>
      <c r="AL2" s="410">
        <f>'Peer Comp'!C43</f>
        <v>7.6874970050347907E-2</v>
      </c>
      <c r="AM2" s="410">
        <f>'Peer Comp'!C44</f>
        <v>3.1236000968280851E-2</v>
      </c>
      <c r="AN2" s="410">
        <f>'Peer Comp'!C45</f>
        <v>0.34735846775115986</v>
      </c>
      <c r="AO2" s="410">
        <f>'Peer Comp'!C46</f>
        <v>5.7662268500242267E-2</v>
      </c>
      <c r="AP2" s="410">
        <f>'Peer Comp'!C47</f>
        <v>1.8758690531236792E-2</v>
      </c>
      <c r="AQ2" s="410">
        <f>'Peer Comp'!C48</f>
        <v>0</v>
      </c>
      <c r="AR2" s="410">
        <f>'Peer Comp'!C49</f>
        <v>0</v>
      </c>
      <c r="AS2" s="410">
        <f>'Peer Comp'!C50</f>
        <v>0</v>
      </c>
      <c r="AT2" s="410">
        <f>'Peer Comp'!C51</f>
        <v>0</v>
      </c>
      <c r="AU2" s="410">
        <f>'Peer Comp'!C52</f>
        <v>0.21447595810398198</v>
      </c>
      <c r="AV2" s="411">
        <f>'Peer Comp'!C53</f>
        <v>0.32483084517493926</v>
      </c>
      <c r="AW2" s="404" t="str">
        <f>""</f>
        <v/>
      </c>
      <c r="AX2" s="409">
        <f>'Peer Comp'!C57</f>
        <v>8.5279254352125307</v>
      </c>
      <c r="AY2" s="410">
        <f>'Peer Comp'!C58</f>
        <v>21.990000000000002</v>
      </c>
      <c r="AZ2" s="412">
        <f>'Peer Comp'!C59</f>
        <v>0.15701264557137179</v>
      </c>
      <c r="BA2" s="407">
        <f>'Peer Comp'!C60</f>
        <v>0.62843735799905487</v>
      </c>
      <c r="BB2" s="404" t="str">
        <f>""</f>
        <v/>
      </c>
      <c r="BC2" s="407">
        <f>'Peer Comp'!C63</f>
        <v>0</v>
      </c>
      <c r="BD2" s="407">
        <f>'Peer Comp'!C64</f>
        <v>0</v>
      </c>
      <c r="BE2" s="407">
        <f>'Peer Comp'!C65</f>
        <v>0.45331627295717014</v>
      </c>
      <c r="BF2" s="407">
        <f>'Peer Comp'!C66</f>
        <v>0.32929515913610335</v>
      </c>
      <c r="BG2" s="407">
        <f>'Peer Comp'!C67</f>
        <v>9.2958356141275136E-2</v>
      </c>
      <c r="BH2" s="407">
        <f>'Peer Comp'!C68</f>
        <v>0</v>
      </c>
      <c r="BI2" s="407">
        <f>'Peer Comp'!C69</f>
        <v>0</v>
      </c>
      <c r="BJ2" s="407">
        <f>'Peer Comp'!C70</f>
        <v>0</v>
      </c>
      <c r="BK2" s="407">
        <f>'Peer Comp'!C71</f>
        <v>0</v>
      </c>
      <c r="BL2" s="407">
        <f>'Peer Comp'!C72</f>
        <v>1.2550594026913119E-2</v>
      </c>
      <c r="BM2" s="407">
        <f>'Peer Comp'!C73</f>
        <v>0</v>
      </c>
      <c r="BN2" s="407">
        <f>'Peer Comp'!C74</f>
        <v>0</v>
      </c>
      <c r="BO2" s="407">
        <f>'Peer Comp'!C75</f>
        <v>8.1616645469641647E-2</v>
      </c>
      <c r="BP2" s="407">
        <f>'Peer Comp'!C76</f>
        <v>0</v>
      </c>
      <c r="BQ2" s="407">
        <f>'Peer Comp'!C77</f>
        <v>3.0262972268896585E-2</v>
      </c>
      <c r="BR2" s="407">
        <f>'Peer Comp'!C78</f>
        <v>1</v>
      </c>
      <c r="BS2" s="404" t="str">
        <f>""</f>
        <v/>
      </c>
      <c r="BT2" s="412">
        <f>'Peer Comp'!C81</f>
        <v>0.9234786703625838</v>
      </c>
      <c r="BU2" s="412">
        <f>'Peer Comp'!C82</f>
        <v>0.32</v>
      </c>
      <c r="BV2" s="412">
        <f>'Peer Comp'!C83</f>
        <v>5.5735539218852957E-2</v>
      </c>
      <c r="BW2" s="412">
        <f>'Peer Comp'!C84</f>
        <v>0.36831398333266385</v>
      </c>
      <c r="BX2" s="412">
        <f>'Peer Comp'!C85</f>
        <v>0.63168601666733615</v>
      </c>
      <c r="BY2" s="404" t="str">
        <f>""</f>
        <v/>
      </c>
      <c r="BZ2" s="412">
        <f>'Peer Comp'!C88</f>
        <v>0</v>
      </c>
      <c r="CA2" s="412">
        <f>'Peer Comp'!C89</f>
        <v>0</v>
      </c>
      <c r="CB2" s="412">
        <f>'Peer Comp'!C90</f>
        <v>0</v>
      </c>
      <c r="CC2" s="412">
        <f>'Peer Comp'!C91</f>
        <v>0</v>
      </c>
      <c r="CD2" s="412">
        <f>'Peer Comp'!C92</f>
        <v>0</v>
      </c>
      <c r="CE2" s="404" t="str">
        <f>""</f>
        <v/>
      </c>
      <c r="CF2" s="412">
        <f>'Peer Comp'!C95</f>
        <v>0.67794001181204944</v>
      </c>
      <c r="CG2" s="412">
        <f>'Peer Comp'!C96</f>
        <v>0.29141057782987806</v>
      </c>
      <c r="CH2" s="412">
        <f>'Peer Comp'!C97</f>
        <v>-0.31323175199956688</v>
      </c>
      <c r="CI2" s="412">
        <f>'Peer Comp'!C98</f>
        <v>0</v>
      </c>
      <c r="CJ2" s="412">
        <f>'Peer Comp'!C99</f>
        <v>0</v>
      </c>
      <c r="CK2" s="412">
        <f>'Peer Comp'!C100</f>
        <v>0.72609169641246007</v>
      </c>
      <c r="CL2" s="412">
        <f>'Peer Comp'!C101</f>
        <v>0.32416196297502708</v>
      </c>
      <c r="CM2" s="412">
        <f>'Peer Comp'!C102</f>
        <v>-0.24465035740606897</v>
      </c>
      <c r="CN2" s="413">
        <f>'Peer Comp'!C104</f>
        <v>3.326214500883677</v>
      </c>
      <c r="CO2" s="413">
        <f>'Peer Comp'!C105</f>
        <v>3.326214500883677</v>
      </c>
      <c r="CP2" s="413">
        <f>'Peer Comp'!C106</f>
        <v>9.0641957111271712</v>
      </c>
      <c r="CQ2" s="413">
        <f>'Peer Comp'!C107</f>
        <v>8.2412189760051966</v>
      </c>
      <c r="CR2" s="413">
        <f>'Peer Comp'!C108</f>
        <v>8.2412189760051966</v>
      </c>
      <c r="CS2" s="404" t="str">
        <f>""</f>
        <v/>
      </c>
      <c r="CT2" s="412" t="e">
        <f>'Peer Comp'!C111</f>
        <v>#DIV/0!</v>
      </c>
      <c r="CU2" s="412" t="e">
        <f>'Peer Comp'!C112</f>
        <v>#DIV/0!</v>
      </c>
      <c r="CV2" s="412" t="e">
        <f>'Peer Comp'!C113</f>
        <v>#DIV/0!</v>
      </c>
      <c r="CW2" s="412" t="e">
        <f>'Peer Comp'!C114</f>
        <v>#DIV/0!</v>
      </c>
      <c r="CX2" s="412" t="e">
        <f>'Peer Comp'!C115</f>
        <v>#DIV/0!</v>
      </c>
      <c r="CY2" s="412" t="e">
        <f>'Peer Comp'!C116</f>
        <v>#DIV/0!</v>
      </c>
      <c r="CZ2" s="412" t="e">
        <f>'Peer Comp'!C117</f>
        <v>#DIV/0!</v>
      </c>
      <c r="DA2" s="412" t="e">
        <f>'Peer Comp'!C118</f>
        <v>#DIV/0!</v>
      </c>
      <c r="DB2" s="412" t="e">
        <f>'Peer Comp'!C119</f>
        <v>#DIV/0!</v>
      </c>
      <c r="DC2" s="412" t="e">
        <f>'Peer Comp'!C120</f>
        <v>#DIV/0!</v>
      </c>
      <c r="DD2" s="412" t="e">
        <f>'Peer Comp'!C121</f>
        <v>#DIV/0!</v>
      </c>
      <c r="DE2" s="412" t="e">
        <f>'Peer Comp'!C122</f>
        <v>#DIV/0!</v>
      </c>
      <c r="DF2" s="412" t="e">
        <f>'Peer Comp'!C123</f>
        <v>#DIV/0!</v>
      </c>
      <c r="DG2" s="412" t="e">
        <f>'Peer Comp'!C124</f>
        <v>#DIV/0!</v>
      </c>
      <c r="DH2" s="412" t="e">
        <f>'Peer Comp'!C125</f>
        <v>#DIV/0!</v>
      </c>
      <c r="DI2" s="412" t="e">
        <f>'Peer Comp'!C126</f>
        <v>#DIV/0!</v>
      </c>
      <c r="DJ2" s="412" t="e">
        <f>'Peer Comp'!C127</f>
        <v>#DIV/0!</v>
      </c>
      <c r="DK2" s="412" t="e">
        <f>'Peer Comp'!C128</f>
        <v>#DIV/0!</v>
      </c>
      <c r="DL2" s="412" t="e">
        <f>'Peer Comp'!C129</f>
        <v>#DIV/0!</v>
      </c>
      <c r="DM2" s="412" t="e">
        <f>'Peer Comp'!C130</f>
        <v>#DIV/0!</v>
      </c>
      <c r="DN2" s="412" t="e">
        <f>'Peer Comp'!C131</f>
        <v>#DIV/0!</v>
      </c>
      <c r="DO2" s="412" t="e">
        <f>'Peer Comp'!C132</f>
        <v>#DIV/0!</v>
      </c>
      <c r="DP2" s="412" t="e">
        <f>'Peer Comp'!C133</f>
        <v>#DIV/0!</v>
      </c>
      <c r="DQ2" s="412" t="e">
        <f>'Peer Comp'!C134</f>
        <v>#DIV/0!</v>
      </c>
      <c r="DR2" s="412" t="e">
        <f>'Peer Comp'!C135</f>
        <v>#DIV/0!</v>
      </c>
      <c r="DS2" s="412" t="e">
        <f>'Peer Comp'!C136</f>
        <v>#DIV/0!</v>
      </c>
      <c r="DT2" s="412" t="e">
        <f>'Peer Comp'!C137</f>
        <v>#DIV/0!</v>
      </c>
      <c r="DU2" s="412" t="e">
        <f>'Peer Comp'!C138</f>
        <v>#DIV/0!</v>
      </c>
      <c r="DV2" s="412" t="e">
        <f>'Peer Comp'!C139</f>
        <v>#DIV/0!</v>
      </c>
      <c r="DW2" s="412" t="e">
        <f>'Peer Comp'!C140</f>
        <v>#DIV/0!</v>
      </c>
      <c r="DX2" s="412" t="e">
        <f>'Peer Comp'!C141</f>
        <v>#DIV/0!</v>
      </c>
    </row>
    <row r="3" spans="1:129" x14ac:dyDescent="0.2">
      <c r="A3" s="267">
        <f t="shared" ref="A3:G3" si="0">A2</f>
        <v>332111</v>
      </c>
      <c r="B3" s="267" t="str">
        <f t="shared" si="0"/>
        <v>asdas</v>
      </c>
      <c r="C3" s="267">
        <f t="shared" si="0"/>
        <v>0</v>
      </c>
      <c r="D3" s="267">
        <f>D2</f>
        <v>0</v>
      </c>
      <c r="E3" s="267">
        <f t="shared" si="0"/>
        <v>0</v>
      </c>
      <c r="F3" s="267" t="str">
        <f t="shared" si="0"/>
        <v>AA+</v>
      </c>
      <c r="G3" s="267" t="str">
        <f t="shared" si="0"/>
        <v>Stable</v>
      </c>
      <c r="H3" s="402" t="str">
        <f>'Peer Comp'!D11</f>
        <v>FY21</v>
      </c>
      <c r="I3" s="404" t="str">
        <f>""</f>
        <v/>
      </c>
      <c r="J3" s="405">
        <f>'Peer Comp'!D13</f>
        <v>67088.3</v>
      </c>
      <c r="K3" s="405">
        <f>'Peer Comp'!D14</f>
        <v>496873.19999999995</v>
      </c>
      <c r="L3" s="405">
        <f>'Peer Comp'!D15</f>
        <v>627685.29999999993</v>
      </c>
      <c r="M3" s="405">
        <f>'Peer Comp'!D16</f>
        <v>541214.69999999995</v>
      </c>
      <c r="N3" s="404" t="str">
        <f>""</f>
        <v/>
      </c>
      <c r="O3" s="405">
        <f>'Peer Comp'!D19</f>
        <v>59830.1</v>
      </c>
      <c r="P3" s="405">
        <f>'Peer Comp'!D20</f>
        <v>26878</v>
      </c>
      <c r="Q3" s="405">
        <f>'Peer Comp'!D21</f>
        <v>32952.1</v>
      </c>
      <c r="R3" s="406">
        <f>'Peer Comp'!D22</f>
        <v>5.6308490027282672E-2</v>
      </c>
      <c r="S3" s="406">
        <f>'Peer Comp'!D23</f>
        <v>21.152498109214765</v>
      </c>
      <c r="T3" s="405">
        <f>'Peer Comp'!D24</f>
        <v>10129.400000000001</v>
      </c>
      <c r="U3" s="406">
        <f>'Peer Comp'!D25</f>
        <v>1.7309100751768693E-2</v>
      </c>
      <c r="V3" s="405">
        <f>'Peer Comp'!D26</f>
        <v>12349338.4</v>
      </c>
      <c r="W3" s="406">
        <f>'Peer Comp'!D27</f>
        <v>21.102527551808201</v>
      </c>
      <c r="X3" s="407">
        <f>'Peer Comp'!D28</f>
        <v>0.60200715584135767</v>
      </c>
      <c r="Y3" s="408">
        <f>'Peer Comp'!D29</f>
        <v>21.096189619187481</v>
      </c>
      <c r="Z3" s="404" t="str">
        <f>""</f>
        <v/>
      </c>
      <c r="AA3" s="408">
        <f>'Peer Comp'!D32</f>
        <v>21</v>
      </c>
      <c r="AB3" s="408">
        <f>'Peer Comp'!D33</f>
        <v>4.2</v>
      </c>
      <c r="AC3" s="408">
        <f>'Peer Comp'!D34</f>
        <v>0.29664867808472933</v>
      </c>
      <c r="AD3" s="408">
        <f>'Peer Comp'!D35</f>
        <v>2.2607139190558449E-2</v>
      </c>
      <c r="AE3" s="409">
        <f>'Peer Comp'!D36</f>
        <v>1220.0864908089322</v>
      </c>
      <c r="AF3" s="409">
        <f>'Peer Comp'!D37</f>
        <v>15.706565396498457</v>
      </c>
      <c r="AG3" s="410">
        <f>'Peer Comp'!D38</f>
        <v>0.39128637715280717</v>
      </c>
      <c r="AH3" s="410">
        <f>'Peer Comp'!D39</f>
        <v>0.57462516026225174</v>
      </c>
      <c r="AI3" s="410">
        <f>'Peer Comp'!D40</f>
        <v>0.96591153741505875</v>
      </c>
      <c r="AJ3" s="410">
        <f>'Peer Comp'!D41</f>
        <v>3.4088462584941207E-2</v>
      </c>
      <c r="AK3" s="410">
        <f>'Peer Comp'!D42</f>
        <v>3.2505353827307806E-2</v>
      </c>
      <c r="AL3" s="410">
        <f>'Peer Comp'!D43</f>
        <v>9.6979071909559528E-3</v>
      </c>
      <c r="AM3" s="410">
        <f>'Peer Comp'!D44</f>
        <v>1.8937100244107455E-2</v>
      </c>
      <c r="AN3" s="410">
        <f>'Peer Comp'!D45</f>
        <v>0.42054682225865558</v>
      </c>
      <c r="AO3" s="410">
        <f>'Peer Comp'!D46</f>
        <v>3.2627358226749018E-2</v>
      </c>
      <c r="AP3" s="410">
        <f>'Peer Comp'!D47</f>
        <v>1.9147597624069805E-2</v>
      </c>
      <c r="AQ3" s="410">
        <f>'Peer Comp'!D48</f>
        <v>0</v>
      </c>
      <c r="AR3" s="410">
        <f>'Peer Comp'!D49</f>
        <v>0</v>
      </c>
      <c r="AS3" s="410">
        <f>'Peer Comp'!D50</f>
        <v>0</v>
      </c>
      <c r="AT3" s="410">
        <f>'Peer Comp'!D51</f>
        <v>0</v>
      </c>
      <c r="AU3" s="410">
        <f>'Peer Comp'!D52</f>
        <v>0.6278612204712628</v>
      </c>
      <c r="AV3" s="411">
        <f>'Peer Comp'!D53</f>
        <v>4.2576444281378072E-2</v>
      </c>
      <c r="AW3" s="404" t="str">
        <f>""</f>
        <v/>
      </c>
      <c r="AX3" s="409">
        <f>'Peer Comp'!D57</f>
        <v>9.1894669720003321</v>
      </c>
      <c r="AY3" s="410">
        <f>'Peer Comp'!D58</f>
        <v>22.5</v>
      </c>
      <c r="AZ3" s="412">
        <f>'Peer Comp'!D59</f>
        <v>0.19491129728872481</v>
      </c>
      <c r="BA3" s="407">
        <f>'Peer Comp'!D60</f>
        <v>0.600093187199918</v>
      </c>
      <c r="BB3" s="404" t="str">
        <f>""</f>
        <v/>
      </c>
      <c r="BC3" s="407">
        <f>'Peer Comp'!D63</f>
        <v>0</v>
      </c>
      <c r="BD3" s="407">
        <f>'Peer Comp'!D64</f>
        <v>0</v>
      </c>
      <c r="BE3" s="407">
        <f>'Peer Comp'!D65</f>
        <v>0.52113606670328794</v>
      </c>
      <c r="BF3" s="407">
        <f>'Peer Comp'!D66</f>
        <v>0.25393988744208162</v>
      </c>
      <c r="BG3" s="407">
        <f>'Peer Comp'!D67</f>
        <v>6.7618821144362851E-2</v>
      </c>
      <c r="BH3" s="407">
        <f>'Peer Comp'!D68</f>
        <v>0</v>
      </c>
      <c r="BI3" s="407">
        <f>'Peer Comp'!D69</f>
        <v>0</v>
      </c>
      <c r="BJ3" s="407">
        <f>'Peer Comp'!D70</f>
        <v>0</v>
      </c>
      <c r="BK3" s="407">
        <f>'Peer Comp'!D71</f>
        <v>5.4663334162948635E-2</v>
      </c>
      <c r="BL3" s="407">
        <f>'Peer Comp'!D72</f>
        <v>2.1341253295595997E-2</v>
      </c>
      <c r="BM3" s="407">
        <f>'Peer Comp'!D73</f>
        <v>0</v>
      </c>
      <c r="BN3" s="407">
        <f>'Peer Comp'!D74</f>
        <v>0</v>
      </c>
      <c r="BO3" s="407">
        <f>'Peer Comp'!D75</f>
        <v>5.7016744001964464E-2</v>
      </c>
      <c r="BP3" s="407">
        <f>'Peer Comp'!D76</f>
        <v>0</v>
      </c>
      <c r="BQ3" s="407">
        <f>'Peer Comp'!D77</f>
        <v>2.4283893249758364E-2</v>
      </c>
      <c r="BR3" s="407">
        <f>'Peer Comp'!D78</f>
        <v>1</v>
      </c>
      <c r="BS3" s="404" t="str">
        <f>""</f>
        <v/>
      </c>
      <c r="BT3" s="412">
        <f>'Peer Comp'!D81</f>
        <v>0.94430611270642084</v>
      </c>
      <c r="BU3" s="412">
        <f>'Peer Comp'!D82</f>
        <v>300</v>
      </c>
      <c r="BV3" s="412">
        <f>'Peer Comp'!D83</f>
        <v>4.8215560686438612E-2</v>
      </c>
      <c r="BW3" s="412">
        <f>'Peer Comp'!D84</f>
        <v>0.2354385384440133</v>
      </c>
      <c r="BX3" s="412">
        <f>'Peer Comp'!D85</f>
        <v>0.7645614615559867</v>
      </c>
      <c r="BY3" s="404" t="str">
        <f>""</f>
        <v/>
      </c>
      <c r="BZ3" s="412">
        <f>'Peer Comp'!D88</f>
        <v>0</v>
      </c>
      <c r="CA3" s="412">
        <f>'Peer Comp'!D89</f>
        <v>0</v>
      </c>
      <c r="CB3" s="412">
        <f>'Peer Comp'!D90</f>
        <v>0</v>
      </c>
      <c r="CC3" s="412">
        <f>'Peer Comp'!D91</f>
        <v>0</v>
      </c>
      <c r="CD3" s="412">
        <f>'Peer Comp'!D92</f>
        <v>0</v>
      </c>
      <c r="CE3" s="404" t="str">
        <f>""</f>
        <v/>
      </c>
      <c r="CF3" s="412">
        <f>'Peer Comp'!D95</f>
        <v>0</v>
      </c>
      <c r="CG3" s="412">
        <f>'Peer Comp'!D96</f>
        <v>0</v>
      </c>
      <c r="CH3" s="412">
        <f>'Peer Comp'!D97</f>
        <v>0</v>
      </c>
      <c r="CI3" s="412">
        <f>'Peer Comp'!D98</f>
        <v>0</v>
      </c>
      <c r="CJ3" s="412">
        <f>'Peer Comp'!D99</f>
        <v>0</v>
      </c>
      <c r="CK3" s="412">
        <f>'Peer Comp'!D100</f>
        <v>0</v>
      </c>
      <c r="CL3" s="412">
        <f>'Peer Comp'!D101</f>
        <v>0</v>
      </c>
      <c r="CM3" s="412">
        <f>'Peer Comp'!D102</f>
        <v>0</v>
      </c>
      <c r="CN3" s="413" t="e">
        <f>'Peer Comp'!D104</f>
        <v>#DIV/0!</v>
      </c>
      <c r="CO3" s="413" t="e">
        <f>'Peer Comp'!D105</f>
        <v>#DIV/0!</v>
      </c>
      <c r="CP3" s="413">
        <f>'Peer Comp'!D106</f>
        <v>0</v>
      </c>
      <c r="CQ3" s="413" t="e">
        <f>'Peer Comp'!D107</f>
        <v>#DIV/0!</v>
      </c>
      <c r="CR3" s="413" t="e">
        <f>'Peer Comp'!D108</f>
        <v>#DIV/0!</v>
      </c>
      <c r="CS3" s="404" t="str">
        <f>""</f>
        <v/>
      </c>
      <c r="CT3" s="412" t="str">
        <f>'Peer Comp'!D111</f>
        <v/>
      </c>
      <c r="CU3" s="412" t="str">
        <f>'Peer Comp'!D112</f>
        <v/>
      </c>
      <c r="CV3" s="412" t="str">
        <f>'Peer Comp'!D113</f>
        <v/>
      </c>
      <c r="CW3" s="412" t="str">
        <f>'Peer Comp'!D114</f>
        <v/>
      </c>
      <c r="CX3" s="412" t="str">
        <f>'Peer Comp'!D115</f>
        <v/>
      </c>
      <c r="CY3" s="412" t="str">
        <f>'Peer Comp'!D116</f>
        <v/>
      </c>
      <c r="CZ3" s="412" t="str">
        <f>'Peer Comp'!D117</f>
        <v/>
      </c>
      <c r="DA3" s="412" t="str">
        <f>'Peer Comp'!D118</f>
        <v/>
      </c>
      <c r="DB3" s="412" t="str">
        <f>'Peer Comp'!D119</f>
        <v/>
      </c>
      <c r="DC3" s="412" t="str">
        <f>'Peer Comp'!D120</f>
        <v/>
      </c>
      <c r="DD3" s="412" t="str">
        <f>'Peer Comp'!D121</f>
        <v/>
      </c>
      <c r="DE3" s="412" t="str">
        <f>'Peer Comp'!D122</f>
        <v/>
      </c>
      <c r="DF3" s="412" t="str">
        <f>'Peer Comp'!D123</f>
        <v/>
      </c>
      <c r="DG3" s="412" t="str">
        <f>'Peer Comp'!D124</f>
        <v/>
      </c>
      <c r="DH3" s="412" t="str">
        <f>'Peer Comp'!D125</f>
        <v/>
      </c>
      <c r="DI3" s="412" t="str">
        <f>'Peer Comp'!D126</f>
        <v/>
      </c>
      <c r="DJ3" s="412" t="str">
        <f>'Peer Comp'!D127</f>
        <v/>
      </c>
      <c r="DK3" s="412" t="str">
        <f>'Peer Comp'!D128</f>
        <v/>
      </c>
      <c r="DL3" s="412" t="str">
        <f>'Peer Comp'!D129</f>
        <v/>
      </c>
      <c r="DM3" s="412" t="str">
        <f>'Peer Comp'!D130</f>
        <v/>
      </c>
      <c r="DN3" s="412" t="str">
        <f>'Peer Comp'!D131</f>
        <v/>
      </c>
      <c r="DO3" s="412" t="str">
        <f>'Peer Comp'!D132</f>
        <v/>
      </c>
      <c r="DP3" s="412" t="str">
        <f>'Peer Comp'!D133</f>
        <v/>
      </c>
      <c r="DQ3" s="412" t="str">
        <f>'Peer Comp'!D134</f>
        <v/>
      </c>
      <c r="DR3" s="412" t="str">
        <f>'Peer Comp'!D135</f>
        <v/>
      </c>
      <c r="DS3" s="412" t="str">
        <f>'Peer Comp'!D136</f>
        <v/>
      </c>
      <c r="DT3" s="412" t="str">
        <f>'Peer Comp'!D137</f>
        <v/>
      </c>
      <c r="DU3" s="412" t="str">
        <f>'Peer Comp'!D138</f>
        <v/>
      </c>
      <c r="DV3" s="412" t="str">
        <f>'Peer Comp'!D139</f>
        <v/>
      </c>
      <c r="DW3" s="412" t="str">
        <f>'Peer Comp'!D140</f>
        <v/>
      </c>
      <c r="DX3" s="412" t="str">
        <f>'Peer Comp'!D141</f>
        <v/>
      </c>
    </row>
    <row r="4" spans="1:129" x14ac:dyDescent="0.2">
      <c r="A4" s="266">
        <f t="shared" ref="A4:C4" si="1">A2</f>
        <v>332111</v>
      </c>
      <c r="B4" s="266" t="str">
        <f t="shared" si="1"/>
        <v>asdas</v>
      </c>
      <c r="C4" s="266">
        <f t="shared" si="1"/>
        <v>0</v>
      </c>
      <c r="D4" s="266">
        <f>D2</f>
        <v>0</v>
      </c>
      <c r="E4" s="266">
        <f t="shared" ref="E4:G4" si="2">E2</f>
        <v>0</v>
      </c>
      <c r="F4" s="266" t="str">
        <f t="shared" si="2"/>
        <v>AA+</v>
      </c>
      <c r="G4" s="266" t="str">
        <f t="shared" si="2"/>
        <v>Stable</v>
      </c>
      <c r="H4" s="403" t="str">
        <f>'Peer Comp'!E11</f>
        <v>YTD</v>
      </c>
      <c r="I4" s="404" t="str">
        <f>""</f>
        <v/>
      </c>
      <c r="J4" s="405">
        <f>'Peer Comp'!E13</f>
        <v>0</v>
      </c>
      <c r="K4" s="405">
        <f>'Peer Comp'!E14</f>
        <v>0</v>
      </c>
      <c r="L4" s="405">
        <f>'Peer Comp'!E15</f>
        <v>0</v>
      </c>
      <c r="M4" s="405">
        <f>'Peer Comp'!E16</f>
        <v>0</v>
      </c>
      <c r="N4" s="404" t="str">
        <f>""</f>
        <v/>
      </c>
      <c r="O4" s="405">
        <f>'Peer Comp'!E19</f>
        <v>0</v>
      </c>
      <c r="P4" s="405">
        <f>'Peer Comp'!E20</f>
        <v>0</v>
      </c>
      <c r="Q4" s="405">
        <f>'Peer Comp'!E21</f>
        <v>0</v>
      </c>
      <c r="R4" s="406">
        <f>'Peer Comp'!E22</f>
        <v>0</v>
      </c>
      <c r="S4" s="406">
        <f>'Peer Comp'!E23</f>
        <v>0</v>
      </c>
      <c r="T4" s="405">
        <f>'Peer Comp'!E24</f>
        <v>0</v>
      </c>
      <c r="U4" s="406">
        <f>'Peer Comp'!E25</f>
        <v>0</v>
      </c>
      <c r="V4" s="405">
        <f>'Peer Comp'!E26</f>
        <v>0</v>
      </c>
      <c r="W4" s="406">
        <f>'Peer Comp'!E27</f>
        <v>0</v>
      </c>
      <c r="X4" s="407">
        <f>'Peer Comp'!E28</f>
        <v>100</v>
      </c>
      <c r="Y4" s="408">
        <f>'Peer Comp'!E29</f>
        <v>0</v>
      </c>
      <c r="Z4" s="404" t="str">
        <f>""</f>
        <v/>
      </c>
      <c r="AA4" s="408">
        <f>'Peer Comp'!E32</f>
        <v>0</v>
      </c>
      <c r="AB4" s="408">
        <f>'Peer Comp'!E33</f>
        <v>0</v>
      </c>
      <c r="AC4" s="408">
        <f>'Peer Comp'!E34</f>
        <v>0</v>
      </c>
      <c r="AD4" s="408">
        <f>'Peer Comp'!E35</f>
        <v>0</v>
      </c>
      <c r="AE4" s="409">
        <f>'Peer Comp'!E36</f>
        <v>0</v>
      </c>
      <c r="AF4" s="409">
        <f>'Peer Comp'!E37</f>
        <v>0</v>
      </c>
      <c r="AG4" s="410" t="e">
        <f>'Peer Comp'!E38</f>
        <v>#DIV/0!</v>
      </c>
      <c r="AH4" s="410" t="e">
        <f>'Peer Comp'!E39</f>
        <v>#DIV/0!</v>
      </c>
      <c r="AI4" s="410" t="e">
        <f>'Peer Comp'!E40</f>
        <v>#DIV/0!</v>
      </c>
      <c r="AJ4" s="410" t="e">
        <f>'Peer Comp'!E41</f>
        <v>#DIV/0!</v>
      </c>
      <c r="AK4" s="410" t="e">
        <f>'Peer Comp'!E42</f>
        <v>#DIV/0!</v>
      </c>
      <c r="AL4" s="410" t="e">
        <f>'Peer Comp'!E43</f>
        <v>#DIV/0!</v>
      </c>
      <c r="AM4" s="410" t="e">
        <f>'Peer Comp'!E44</f>
        <v>#DIV/0!</v>
      </c>
      <c r="AN4" s="410" t="e">
        <f>'Peer Comp'!E45</f>
        <v>#DIV/0!</v>
      </c>
      <c r="AO4" s="410" t="e">
        <f>'Peer Comp'!E46</f>
        <v>#DIV/0!</v>
      </c>
      <c r="AP4" s="410">
        <f>'Peer Comp'!E47</f>
        <v>0</v>
      </c>
      <c r="AQ4" s="410">
        <f>'Peer Comp'!E48</f>
        <v>0</v>
      </c>
      <c r="AR4" s="410">
        <f>'Peer Comp'!E49</f>
        <v>0</v>
      </c>
      <c r="AS4" s="410">
        <f>'Peer Comp'!E50</f>
        <v>0</v>
      </c>
      <c r="AT4" s="410">
        <f>'Peer Comp'!E51</f>
        <v>0</v>
      </c>
      <c r="AU4" s="410">
        <f>'Peer Comp'!E52</f>
        <v>0</v>
      </c>
      <c r="AV4" s="411">
        <f>'Peer Comp'!E53</f>
        <v>0</v>
      </c>
      <c r="AW4" s="404" t="str">
        <f>""</f>
        <v/>
      </c>
      <c r="AX4" s="409">
        <f>'Peer Comp'!E57</f>
        <v>0</v>
      </c>
      <c r="AY4" s="410">
        <f>'Peer Comp'!E58</f>
        <v>0</v>
      </c>
      <c r="AZ4" s="412">
        <f>'Peer Comp'!E59</f>
        <v>0</v>
      </c>
      <c r="BA4" s="407">
        <f>'Peer Comp'!E60</f>
        <v>0</v>
      </c>
      <c r="BB4" s="404" t="str">
        <f>""</f>
        <v/>
      </c>
      <c r="BC4" s="407">
        <f>'Peer Comp'!E63</f>
        <v>0</v>
      </c>
      <c r="BD4" s="407">
        <f>'Peer Comp'!E64</f>
        <v>0</v>
      </c>
      <c r="BE4" s="407">
        <f>'Peer Comp'!E65</f>
        <v>11522</v>
      </c>
      <c r="BF4" s="407">
        <f>'Peer Comp'!E66</f>
        <v>0</v>
      </c>
      <c r="BG4" s="407">
        <f>'Peer Comp'!E67</f>
        <v>11453</v>
      </c>
      <c r="BH4" s="407">
        <f>'Peer Comp'!E68</f>
        <v>0</v>
      </c>
      <c r="BI4" s="407">
        <f>'Peer Comp'!E69</f>
        <v>0</v>
      </c>
      <c r="BJ4" s="407">
        <f>'Peer Comp'!E70</f>
        <v>0</v>
      </c>
      <c r="BK4" s="407">
        <f>'Peer Comp'!E71</f>
        <v>0</v>
      </c>
      <c r="BL4" s="407">
        <f>'Peer Comp'!E72</f>
        <v>0</v>
      </c>
      <c r="BM4" s="407">
        <f>'Peer Comp'!E73</f>
        <v>0</v>
      </c>
      <c r="BN4" s="407">
        <f>'Peer Comp'!E74</f>
        <v>0</v>
      </c>
      <c r="BO4" s="407">
        <f>'Peer Comp'!E75</f>
        <v>11468</v>
      </c>
      <c r="BP4" s="407">
        <f>'Peer Comp'!E76</f>
        <v>0</v>
      </c>
      <c r="BQ4" s="407">
        <f>'Peer Comp'!E77</f>
        <v>0</v>
      </c>
      <c r="BR4" s="407">
        <f>'Peer Comp'!E78</f>
        <v>0</v>
      </c>
      <c r="BS4" s="404" t="str">
        <f>""</f>
        <v/>
      </c>
      <c r="BT4" s="412">
        <f>'Peer Comp'!E81</f>
        <v>0</v>
      </c>
      <c r="BU4" s="412">
        <f>'Peer Comp'!E82</f>
        <v>0</v>
      </c>
      <c r="BV4" s="412">
        <f>'Peer Comp'!E83</f>
        <v>0</v>
      </c>
      <c r="BW4" s="412">
        <f>'Peer Comp'!E84</f>
        <v>0</v>
      </c>
      <c r="BX4" s="412">
        <f>'Peer Comp'!E85</f>
        <v>0</v>
      </c>
      <c r="BY4" s="404" t="str">
        <f>""</f>
        <v/>
      </c>
      <c r="BZ4" s="412">
        <f>'Peer Comp'!E88</f>
        <v>0</v>
      </c>
      <c r="CA4" s="412">
        <f>'Peer Comp'!E89</f>
        <v>0</v>
      </c>
      <c r="CB4" s="412">
        <f>'Peer Comp'!E90</f>
        <v>0</v>
      </c>
      <c r="CC4" s="412">
        <f>'Peer Comp'!E91</f>
        <v>0</v>
      </c>
      <c r="CD4" s="412">
        <f>'Peer Comp'!E92</f>
        <v>0</v>
      </c>
      <c r="CE4" s="404" t="str">
        <f>""</f>
        <v/>
      </c>
      <c r="CF4" s="412">
        <f>'Peer Comp'!E95</f>
        <v>0</v>
      </c>
      <c r="CG4" s="412">
        <f>'Peer Comp'!E96</f>
        <v>0</v>
      </c>
      <c r="CH4" s="412">
        <f>'Peer Comp'!E97</f>
        <v>0</v>
      </c>
      <c r="CI4" s="412">
        <f>'Peer Comp'!E98</f>
        <v>0</v>
      </c>
      <c r="CJ4" s="412">
        <f>'Peer Comp'!E99</f>
        <v>0</v>
      </c>
      <c r="CK4" s="412">
        <f>'Peer Comp'!E100</f>
        <v>0</v>
      </c>
      <c r="CL4" s="412">
        <f>'Peer Comp'!E101</f>
        <v>0</v>
      </c>
      <c r="CM4" s="412">
        <f>'Peer Comp'!E102</f>
        <v>0</v>
      </c>
      <c r="CN4" s="413" t="e">
        <f>'Peer Comp'!E104</f>
        <v>#DIV/0!</v>
      </c>
      <c r="CO4" s="413" t="e">
        <f>'Peer Comp'!E105</f>
        <v>#DIV/0!</v>
      </c>
      <c r="CP4" s="413">
        <f>'Peer Comp'!E106</f>
        <v>0</v>
      </c>
      <c r="CQ4" s="413" t="e">
        <f>'Peer Comp'!E107</f>
        <v>#DIV/0!</v>
      </c>
      <c r="CR4" s="413" t="e">
        <f>'Peer Comp'!E108</f>
        <v>#DIV/0!</v>
      </c>
      <c r="CS4" s="404" t="str">
        <f>""</f>
        <v/>
      </c>
      <c r="CT4" s="412">
        <f>'Peer Comp'!E111</f>
        <v>0</v>
      </c>
      <c r="CU4" s="412">
        <f>'Peer Comp'!E112</f>
        <v>0</v>
      </c>
      <c r="CV4" s="412">
        <f>'Peer Comp'!E113</f>
        <v>0</v>
      </c>
      <c r="CW4" s="412">
        <f>'Peer Comp'!E114</f>
        <v>0</v>
      </c>
      <c r="CX4" s="412">
        <f>'Peer Comp'!E115</f>
        <v>0</v>
      </c>
      <c r="CY4" s="412">
        <f>'Peer Comp'!E116</f>
        <v>0</v>
      </c>
      <c r="CZ4" s="412">
        <f>'Peer Comp'!E117</f>
        <v>0</v>
      </c>
      <c r="DA4" s="412">
        <f>'Peer Comp'!E118</f>
        <v>0</v>
      </c>
      <c r="DB4" s="412">
        <f>'Peer Comp'!E119</f>
        <v>0</v>
      </c>
      <c r="DC4" s="412">
        <f>'Peer Comp'!E120</f>
        <v>0</v>
      </c>
      <c r="DD4" s="412">
        <f>'Peer Comp'!E121</f>
        <v>0</v>
      </c>
      <c r="DE4" s="412">
        <f>'Peer Comp'!E122</f>
        <v>0</v>
      </c>
      <c r="DF4" s="412">
        <f>'Peer Comp'!E123</f>
        <v>0</v>
      </c>
      <c r="DG4" s="412">
        <f>'Peer Comp'!E124</f>
        <v>0</v>
      </c>
      <c r="DH4" s="412">
        <f>'Peer Comp'!E125</f>
        <v>0</v>
      </c>
      <c r="DI4" s="412">
        <f>'Peer Comp'!E126</f>
        <v>0</v>
      </c>
      <c r="DJ4" s="412">
        <f>'Peer Comp'!E127</f>
        <v>0</v>
      </c>
      <c r="DK4" s="412">
        <f>'Peer Comp'!E128</f>
        <v>0</v>
      </c>
      <c r="DL4" s="412">
        <f>'Peer Comp'!E129</f>
        <v>0</v>
      </c>
      <c r="DM4" s="412">
        <f>'Peer Comp'!E130</f>
        <v>0</v>
      </c>
      <c r="DN4" s="412">
        <f>'Peer Comp'!E131</f>
        <v>0</v>
      </c>
      <c r="DO4" s="412">
        <f>'Peer Comp'!E132</f>
        <v>0</v>
      </c>
      <c r="DP4" s="412">
        <f>'Peer Comp'!E133</f>
        <v>0</v>
      </c>
      <c r="DQ4" s="412">
        <f>'Peer Comp'!E134</f>
        <v>0</v>
      </c>
      <c r="DR4" s="412">
        <f>'Peer Comp'!E135</f>
        <v>0</v>
      </c>
      <c r="DS4" s="412">
        <f>'Peer Comp'!E136</f>
        <v>0</v>
      </c>
      <c r="DT4" s="412">
        <f>'Peer Comp'!E137</f>
        <v>0</v>
      </c>
      <c r="DU4" s="412">
        <f>'Peer Comp'!E138</f>
        <v>0</v>
      </c>
      <c r="DV4" s="412">
        <f>'Peer Comp'!E139</f>
        <v>0</v>
      </c>
      <c r="DW4" s="412">
        <f>'Peer Comp'!E140</f>
        <v>0</v>
      </c>
      <c r="DX4" s="412">
        <f>'Peer Comp'!E141</f>
        <v>0</v>
      </c>
    </row>
    <row r="5" spans="1:129" x14ac:dyDescent="0.2">
      <c r="A5" s="266">
        <f t="shared" ref="A5:G5" si="3">A3</f>
        <v>332111</v>
      </c>
      <c r="B5" s="266" t="str">
        <f t="shared" si="3"/>
        <v>asdas</v>
      </c>
      <c r="C5" s="266">
        <f t="shared" si="3"/>
        <v>0</v>
      </c>
      <c r="D5" s="266">
        <f t="shared" si="3"/>
        <v>0</v>
      </c>
      <c r="E5" s="266">
        <f t="shared" si="3"/>
        <v>0</v>
      </c>
      <c r="F5" s="266" t="str">
        <f t="shared" si="3"/>
        <v>AA+</v>
      </c>
      <c r="G5" s="266" t="str">
        <f t="shared" si="3"/>
        <v>Stable</v>
      </c>
      <c r="H5" s="403" t="str">
        <f>'Peer Comp'!F11</f>
        <v>Q1</v>
      </c>
      <c r="I5" s="404" t="str">
        <f>""</f>
        <v/>
      </c>
      <c r="J5" s="405">
        <f>'Peer Comp'!F13</f>
        <v>0</v>
      </c>
      <c r="K5" s="405">
        <f>'Peer Comp'!F14</f>
        <v>0</v>
      </c>
      <c r="L5" s="405">
        <f>'Peer Comp'!F15</f>
        <v>0</v>
      </c>
      <c r="M5" s="405">
        <f>'Peer Comp'!F16</f>
        <v>0</v>
      </c>
      <c r="N5" s="404" t="str">
        <f>""</f>
        <v/>
      </c>
      <c r="O5" s="405">
        <f>'Peer Comp'!F19</f>
        <v>0</v>
      </c>
      <c r="P5" s="405">
        <f>'Peer Comp'!F20</f>
        <v>0</v>
      </c>
      <c r="Q5" s="405">
        <f>'Peer Comp'!F21</f>
        <v>0</v>
      </c>
      <c r="R5" s="406">
        <f>'Peer Comp'!F22</f>
        <v>0</v>
      </c>
      <c r="S5" s="406">
        <f>'Peer Comp'!F23</f>
        <v>0</v>
      </c>
      <c r="T5" s="405">
        <f>'Peer Comp'!F24</f>
        <v>0</v>
      </c>
      <c r="U5" s="406">
        <f>'Peer Comp'!F25</f>
        <v>0</v>
      </c>
      <c r="V5" s="405">
        <f>'Peer Comp'!F26</f>
        <v>0</v>
      </c>
      <c r="W5" s="406">
        <f>'Peer Comp'!F27</f>
        <v>0</v>
      </c>
      <c r="X5" s="407">
        <f>'Peer Comp'!F28</f>
        <v>0</v>
      </c>
      <c r="Y5" s="408">
        <f>'Peer Comp'!F29</f>
        <v>0</v>
      </c>
      <c r="Z5" s="404" t="str">
        <f>""</f>
        <v/>
      </c>
      <c r="AA5" s="408">
        <f>'Peer Comp'!F32</f>
        <v>0</v>
      </c>
      <c r="AB5" s="408">
        <f>'Peer Comp'!F33</f>
        <v>0</v>
      </c>
      <c r="AC5" s="408">
        <f>'Peer Comp'!F34</f>
        <v>0</v>
      </c>
      <c r="AD5" s="408">
        <f>'Peer Comp'!F35</f>
        <v>0</v>
      </c>
      <c r="AE5" s="409">
        <f>'Peer Comp'!F36</f>
        <v>0</v>
      </c>
      <c r="AF5" s="409" t="e">
        <f>'Peer Comp'!F37</f>
        <v>#DIV/0!</v>
      </c>
      <c r="AG5" s="410" t="e">
        <f>'Peer Comp'!F38</f>
        <v>#DIV/0!</v>
      </c>
      <c r="AH5" s="410" t="e">
        <f>'Peer Comp'!F39</f>
        <v>#DIV/0!</v>
      </c>
      <c r="AI5" s="410" t="e">
        <f>'Peer Comp'!F40</f>
        <v>#DIV/0!</v>
      </c>
      <c r="AJ5" s="410" t="e">
        <f>'Peer Comp'!F41</f>
        <v>#DIV/0!</v>
      </c>
      <c r="AK5" s="410" t="e">
        <f>'Peer Comp'!F42</f>
        <v>#DIV/0!</v>
      </c>
      <c r="AL5" s="410" t="e">
        <f>'Peer Comp'!F43</f>
        <v>#DIV/0!</v>
      </c>
      <c r="AM5" s="410" t="e">
        <f>'Peer Comp'!F44</f>
        <v>#DIV/0!</v>
      </c>
      <c r="AN5" s="410" t="e">
        <f>'Peer Comp'!F45</f>
        <v>#DIV/0!</v>
      </c>
      <c r="AO5" s="410" t="e">
        <f>'Peer Comp'!F46</f>
        <v>#DIV/0!</v>
      </c>
      <c r="AP5" s="410">
        <f>'Peer Comp'!F47</f>
        <v>0</v>
      </c>
      <c r="AQ5" s="410">
        <f>'Peer Comp'!F48</f>
        <v>0</v>
      </c>
      <c r="AR5" s="410">
        <f>'Peer Comp'!F49</f>
        <v>0</v>
      </c>
      <c r="AS5" s="410">
        <f>'Peer Comp'!F50</f>
        <v>0</v>
      </c>
      <c r="AT5" s="410">
        <f>'Peer Comp'!F51</f>
        <v>0</v>
      </c>
      <c r="AU5" s="410">
        <f>'Peer Comp'!F52</f>
        <v>0</v>
      </c>
      <c r="AV5" s="411">
        <f>'Peer Comp'!F53</f>
        <v>0</v>
      </c>
      <c r="AW5" s="404" t="str">
        <f>""</f>
        <v/>
      </c>
      <c r="AX5" s="409">
        <f>'Peer Comp'!F57</f>
        <v>0</v>
      </c>
      <c r="AY5" s="410">
        <f>'Peer Comp'!F58</f>
        <v>0</v>
      </c>
      <c r="AZ5" s="412">
        <f>'Peer Comp'!F59</f>
        <v>0</v>
      </c>
      <c r="BA5" s="407">
        <f>'Peer Comp'!F60</f>
        <v>0</v>
      </c>
      <c r="BB5" s="404" t="str">
        <f>""</f>
        <v/>
      </c>
      <c r="BC5" s="407">
        <f>'Peer Comp'!F63</f>
        <v>0</v>
      </c>
      <c r="BD5" s="407">
        <f>'Peer Comp'!F64</f>
        <v>0</v>
      </c>
      <c r="BE5" s="407">
        <f>'Peer Comp'!F65</f>
        <v>0</v>
      </c>
      <c r="BF5" s="407">
        <f>'Peer Comp'!F66</f>
        <v>0</v>
      </c>
      <c r="BG5" s="407">
        <f>'Peer Comp'!F67</f>
        <v>0</v>
      </c>
      <c r="BH5" s="407">
        <f>'Peer Comp'!F68</f>
        <v>0</v>
      </c>
      <c r="BI5" s="407">
        <f>'Peer Comp'!F69</f>
        <v>0</v>
      </c>
      <c r="BJ5" s="407">
        <f>'Peer Comp'!F70</f>
        <v>0</v>
      </c>
      <c r="BK5" s="407">
        <f>'Peer Comp'!F71</f>
        <v>0</v>
      </c>
      <c r="BL5" s="407">
        <f>'Peer Comp'!F72</f>
        <v>0</v>
      </c>
      <c r="BM5" s="407">
        <f>'Peer Comp'!F73</f>
        <v>0</v>
      </c>
      <c r="BN5" s="407">
        <f>'Peer Comp'!F74</f>
        <v>0</v>
      </c>
      <c r="BO5" s="407">
        <f>'Peer Comp'!F75</f>
        <v>0</v>
      </c>
      <c r="BP5" s="407">
        <f>'Peer Comp'!F76</f>
        <v>0</v>
      </c>
      <c r="BQ5" s="407">
        <f>'Peer Comp'!F77</f>
        <v>0</v>
      </c>
      <c r="BR5" s="407">
        <f>'Peer Comp'!F78</f>
        <v>0</v>
      </c>
      <c r="BS5" s="404" t="str">
        <f>""</f>
        <v/>
      </c>
      <c r="BT5" s="412">
        <f>'Peer Comp'!F81</f>
        <v>0</v>
      </c>
      <c r="BU5" s="412">
        <f>'Peer Comp'!F82</f>
        <v>0</v>
      </c>
      <c r="BV5" s="412">
        <f>'Peer Comp'!F83</f>
        <v>0</v>
      </c>
      <c r="BW5" s="412">
        <f>'Peer Comp'!F84</f>
        <v>0</v>
      </c>
      <c r="BX5" s="412">
        <f>'Peer Comp'!F85</f>
        <v>0</v>
      </c>
      <c r="BY5" s="404" t="str">
        <f>""</f>
        <v/>
      </c>
      <c r="BZ5" s="412">
        <f>'Peer Comp'!F88</f>
        <v>0</v>
      </c>
      <c r="CA5" s="412">
        <f>'Peer Comp'!F89</f>
        <v>0</v>
      </c>
      <c r="CB5" s="412">
        <f>'Peer Comp'!F90</f>
        <v>0</v>
      </c>
      <c r="CC5" s="412">
        <f>'Peer Comp'!F91</f>
        <v>0</v>
      </c>
      <c r="CD5" s="412">
        <f>'Peer Comp'!F92</f>
        <v>0</v>
      </c>
      <c r="CE5" s="404" t="str">
        <f>""</f>
        <v/>
      </c>
      <c r="CF5" s="412" t="e">
        <f>'Peer Comp'!F95</f>
        <v>#DIV/0!</v>
      </c>
      <c r="CG5" s="412" t="e">
        <f>'Peer Comp'!F96</f>
        <v>#DIV/0!</v>
      </c>
      <c r="CH5" s="412" t="e">
        <f>'Peer Comp'!F97</f>
        <v>#DIV/0!</v>
      </c>
      <c r="CI5" s="412">
        <f>'Peer Comp'!F98</f>
        <v>0</v>
      </c>
      <c r="CJ5" s="412">
        <f>'Peer Comp'!F99</f>
        <v>0</v>
      </c>
      <c r="CK5" s="412" t="e">
        <f>'Peer Comp'!F100</f>
        <v>#DIV/0!</v>
      </c>
      <c r="CL5" s="412" t="e">
        <f>'Peer Comp'!F101</f>
        <v>#DIV/0!</v>
      </c>
      <c r="CM5" s="412" t="e">
        <f>'Peer Comp'!F102</f>
        <v>#DIV/0!</v>
      </c>
      <c r="CN5" s="413" t="e">
        <f>'Peer Comp'!F104</f>
        <v>#DIV/0!</v>
      </c>
      <c r="CO5" s="413" t="e">
        <f>'Peer Comp'!F105</f>
        <v>#DIV/0!</v>
      </c>
      <c r="CP5" s="413" t="e">
        <f>'Peer Comp'!F106</f>
        <v>#DIV/0!</v>
      </c>
      <c r="CQ5" s="413" t="e">
        <f>'Peer Comp'!F107</f>
        <v>#DIV/0!</v>
      </c>
      <c r="CR5" s="413" t="e">
        <f>'Peer Comp'!F108</f>
        <v>#DIV/0!</v>
      </c>
      <c r="CS5" s="404" t="str">
        <f>""</f>
        <v/>
      </c>
      <c r="CT5" s="412">
        <f>'Peer Comp'!F111</f>
        <v>0</v>
      </c>
      <c r="CU5" s="412">
        <f>'Peer Comp'!F112</f>
        <v>0</v>
      </c>
      <c r="CV5" s="412">
        <f>'Peer Comp'!F113</f>
        <v>0</v>
      </c>
      <c r="CW5" s="412">
        <f>'Peer Comp'!F114</f>
        <v>0</v>
      </c>
      <c r="CX5" s="412">
        <f>'Peer Comp'!F115</f>
        <v>0</v>
      </c>
      <c r="CY5" s="412">
        <f>'Peer Comp'!F116</f>
        <v>0</v>
      </c>
      <c r="CZ5" s="412">
        <f>'Peer Comp'!F117</f>
        <v>0</v>
      </c>
      <c r="DA5" s="412">
        <f>'Peer Comp'!F118</f>
        <v>0</v>
      </c>
      <c r="DB5" s="412">
        <f>'Peer Comp'!F119</f>
        <v>0</v>
      </c>
      <c r="DC5" s="412">
        <f>'Peer Comp'!F120</f>
        <v>0</v>
      </c>
      <c r="DD5" s="412">
        <f>'Peer Comp'!F121</f>
        <v>0</v>
      </c>
      <c r="DE5" s="412">
        <f>'Peer Comp'!F122</f>
        <v>0</v>
      </c>
      <c r="DF5" s="412">
        <f>'Peer Comp'!F123</f>
        <v>0</v>
      </c>
      <c r="DG5" s="412">
        <f>'Peer Comp'!F124</f>
        <v>0</v>
      </c>
      <c r="DH5" s="412">
        <f>'Peer Comp'!F125</f>
        <v>0</v>
      </c>
      <c r="DI5" s="412">
        <f>'Peer Comp'!F126</f>
        <v>0</v>
      </c>
      <c r="DJ5" s="412">
        <f>'Peer Comp'!F127</f>
        <v>0</v>
      </c>
      <c r="DK5" s="412">
        <f>'Peer Comp'!F128</f>
        <v>0</v>
      </c>
      <c r="DL5" s="412">
        <f>'Peer Comp'!F129</f>
        <v>0</v>
      </c>
      <c r="DM5" s="412">
        <f>'Peer Comp'!F130</f>
        <v>0</v>
      </c>
      <c r="DN5" s="412">
        <f>'Peer Comp'!F131</f>
        <v>0</v>
      </c>
      <c r="DO5" s="412">
        <f>'Peer Comp'!F132</f>
        <v>0</v>
      </c>
      <c r="DP5" s="412">
        <f>'Peer Comp'!F133</f>
        <v>0</v>
      </c>
      <c r="DQ5" s="412">
        <f>'Peer Comp'!F134</f>
        <v>0</v>
      </c>
      <c r="DR5" s="412">
        <f>'Peer Comp'!F135</f>
        <v>0</v>
      </c>
      <c r="DS5" s="412">
        <f>'Peer Comp'!F136</f>
        <v>0</v>
      </c>
      <c r="DT5" s="412">
        <f>'Peer Comp'!F137</f>
        <v>0</v>
      </c>
      <c r="DU5" s="412">
        <f>'Peer Comp'!F138</f>
        <v>0</v>
      </c>
      <c r="DV5" s="412">
        <f>'Peer Comp'!F139</f>
        <v>0</v>
      </c>
      <c r="DW5" s="412">
        <f>'Peer Comp'!F140</f>
        <v>0</v>
      </c>
      <c r="DX5" s="412">
        <f>'Peer Comp'!F141</f>
        <v>0</v>
      </c>
    </row>
    <row r="6" spans="1:129" x14ac:dyDescent="0.2">
      <c r="A6" s="266">
        <f t="shared" ref="A6:G6" si="4">A4</f>
        <v>332111</v>
      </c>
      <c r="B6" s="266" t="str">
        <f t="shared" si="4"/>
        <v>asdas</v>
      </c>
      <c r="C6" s="266">
        <f t="shared" si="4"/>
        <v>0</v>
      </c>
      <c r="D6" s="266">
        <f t="shared" si="4"/>
        <v>0</v>
      </c>
      <c r="E6" s="266">
        <f t="shared" si="4"/>
        <v>0</v>
      </c>
      <c r="F6" s="266" t="str">
        <f t="shared" si="4"/>
        <v>AA+</v>
      </c>
      <c r="G6" s="266" t="str">
        <f t="shared" si="4"/>
        <v>Stable</v>
      </c>
      <c r="H6" s="403" t="str">
        <f>'Peer Comp'!G11</f>
        <v>Q2</v>
      </c>
      <c r="I6" s="404" t="str">
        <f>""</f>
        <v/>
      </c>
      <c r="J6" s="405">
        <f>'Peer Comp'!G13</f>
        <v>0</v>
      </c>
      <c r="K6" s="405">
        <f>'Peer Comp'!G14</f>
        <v>0</v>
      </c>
      <c r="L6" s="405">
        <f>'Peer Comp'!G15</f>
        <v>0</v>
      </c>
      <c r="M6" s="405">
        <f>'Peer Comp'!G16</f>
        <v>0</v>
      </c>
      <c r="N6" s="404" t="str">
        <f>""</f>
        <v/>
      </c>
      <c r="O6" s="405">
        <f>'Peer Comp'!G19</f>
        <v>0</v>
      </c>
      <c r="P6" s="405">
        <f>'Peer Comp'!G20</f>
        <v>0</v>
      </c>
      <c r="Q6" s="405">
        <f>'Peer Comp'!G21</f>
        <v>0</v>
      </c>
      <c r="R6" s="406">
        <f>'Peer Comp'!G22</f>
        <v>0</v>
      </c>
      <c r="S6" s="406">
        <f>'Peer Comp'!G23</f>
        <v>0</v>
      </c>
      <c r="T6" s="405">
        <f>'Peer Comp'!G24</f>
        <v>0</v>
      </c>
      <c r="U6" s="406">
        <f>'Peer Comp'!G25</f>
        <v>0</v>
      </c>
      <c r="V6" s="405">
        <f>'Peer Comp'!G26</f>
        <v>0</v>
      </c>
      <c r="W6" s="406">
        <f>'Peer Comp'!G27</f>
        <v>0</v>
      </c>
      <c r="X6" s="407">
        <f>'Peer Comp'!G28</f>
        <v>0</v>
      </c>
      <c r="Y6" s="408">
        <f>'Peer Comp'!G29</f>
        <v>0</v>
      </c>
      <c r="Z6" s="404" t="str">
        <f>""</f>
        <v/>
      </c>
      <c r="AA6" s="408">
        <f>'Peer Comp'!G32</f>
        <v>0</v>
      </c>
      <c r="AB6" s="408">
        <f>'Peer Comp'!G33</f>
        <v>0</v>
      </c>
      <c r="AC6" s="408">
        <f>'Peer Comp'!G34</f>
        <v>0</v>
      </c>
      <c r="AD6" s="408">
        <f>'Peer Comp'!G35</f>
        <v>0</v>
      </c>
      <c r="AE6" s="409">
        <f>'Peer Comp'!G36</f>
        <v>0</v>
      </c>
      <c r="AF6" s="409" t="e">
        <f>'Peer Comp'!G37</f>
        <v>#DIV/0!</v>
      </c>
      <c r="AG6" s="410" t="e">
        <f>'Peer Comp'!G38</f>
        <v>#DIV/0!</v>
      </c>
      <c r="AH6" s="410" t="e">
        <f>'Peer Comp'!G39</f>
        <v>#DIV/0!</v>
      </c>
      <c r="AI6" s="410" t="e">
        <f>'Peer Comp'!G40</f>
        <v>#DIV/0!</v>
      </c>
      <c r="AJ6" s="410" t="e">
        <f>'Peer Comp'!G41</f>
        <v>#DIV/0!</v>
      </c>
      <c r="AK6" s="410" t="e">
        <f>'Peer Comp'!G42</f>
        <v>#DIV/0!</v>
      </c>
      <c r="AL6" s="410" t="e">
        <f>'Peer Comp'!G43</f>
        <v>#DIV/0!</v>
      </c>
      <c r="AM6" s="410" t="e">
        <f>'Peer Comp'!G44</f>
        <v>#DIV/0!</v>
      </c>
      <c r="AN6" s="410" t="e">
        <f>'Peer Comp'!G45</f>
        <v>#DIV/0!</v>
      </c>
      <c r="AO6" s="410" t="e">
        <f>'Peer Comp'!G46</f>
        <v>#DIV/0!</v>
      </c>
      <c r="AP6" s="410">
        <f>'Peer Comp'!G47</f>
        <v>0</v>
      </c>
      <c r="AQ6" s="410">
        <f>'Peer Comp'!G48</f>
        <v>0</v>
      </c>
      <c r="AR6" s="410">
        <f>'Peer Comp'!G49</f>
        <v>0</v>
      </c>
      <c r="AS6" s="410">
        <f>'Peer Comp'!G50</f>
        <v>0</v>
      </c>
      <c r="AT6" s="410">
        <f>'Peer Comp'!G51</f>
        <v>0</v>
      </c>
      <c r="AU6" s="410">
        <f>'Peer Comp'!G52</f>
        <v>0</v>
      </c>
      <c r="AV6" s="411">
        <f>'Peer Comp'!G53</f>
        <v>0</v>
      </c>
      <c r="AW6" s="404" t="str">
        <f>""</f>
        <v/>
      </c>
      <c r="AX6" s="409">
        <f>'Peer Comp'!G57</f>
        <v>0</v>
      </c>
      <c r="AY6" s="410">
        <f>'Peer Comp'!G58</f>
        <v>0</v>
      </c>
      <c r="AZ6" s="412">
        <f>'Peer Comp'!G59</f>
        <v>0</v>
      </c>
      <c r="BA6" s="407">
        <f>'Peer Comp'!G60</f>
        <v>0</v>
      </c>
      <c r="BB6" s="404" t="str">
        <f>""</f>
        <v/>
      </c>
      <c r="BC6" s="407">
        <f>'Peer Comp'!G63</f>
        <v>0</v>
      </c>
      <c r="BD6" s="407">
        <f>'Peer Comp'!G64</f>
        <v>0</v>
      </c>
      <c r="BE6" s="407">
        <f>'Peer Comp'!G65</f>
        <v>0</v>
      </c>
      <c r="BF6" s="407">
        <f>'Peer Comp'!G66</f>
        <v>0</v>
      </c>
      <c r="BG6" s="407">
        <f>'Peer Comp'!G67</f>
        <v>0</v>
      </c>
      <c r="BH6" s="407">
        <f>'Peer Comp'!G68</f>
        <v>0</v>
      </c>
      <c r="BI6" s="407">
        <f>'Peer Comp'!G69</f>
        <v>0</v>
      </c>
      <c r="BJ6" s="407">
        <f>'Peer Comp'!G70</f>
        <v>0</v>
      </c>
      <c r="BK6" s="407">
        <f>'Peer Comp'!G71</f>
        <v>0</v>
      </c>
      <c r="BL6" s="407">
        <f>'Peer Comp'!G72</f>
        <v>0</v>
      </c>
      <c r="BM6" s="407">
        <f>'Peer Comp'!G73</f>
        <v>0</v>
      </c>
      <c r="BN6" s="407">
        <f>'Peer Comp'!G74</f>
        <v>0</v>
      </c>
      <c r="BO6" s="407">
        <f>'Peer Comp'!G75</f>
        <v>0</v>
      </c>
      <c r="BP6" s="407">
        <f>'Peer Comp'!G76</f>
        <v>0</v>
      </c>
      <c r="BQ6" s="407">
        <f>'Peer Comp'!G77</f>
        <v>0</v>
      </c>
      <c r="BR6" s="407">
        <f>'Peer Comp'!G78</f>
        <v>0</v>
      </c>
      <c r="BS6" s="404" t="str">
        <f>""</f>
        <v/>
      </c>
      <c r="BT6" s="412">
        <f>'Peer Comp'!G81</f>
        <v>0</v>
      </c>
      <c r="BU6" s="412">
        <f>'Peer Comp'!G82</f>
        <v>0</v>
      </c>
      <c r="BV6" s="412">
        <f>'Peer Comp'!G83</f>
        <v>0</v>
      </c>
      <c r="BW6" s="412">
        <f>'Peer Comp'!G84</f>
        <v>0</v>
      </c>
      <c r="BX6" s="412">
        <f>'Peer Comp'!G85</f>
        <v>0</v>
      </c>
      <c r="BY6" s="404" t="str">
        <f>""</f>
        <v/>
      </c>
      <c r="BZ6" s="412">
        <f>'Peer Comp'!G88</f>
        <v>0</v>
      </c>
      <c r="CA6" s="412">
        <f>'Peer Comp'!G89</f>
        <v>0</v>
      </c>
      <c r="CB6" s="412">
        <f>'Peer Comp'!G90</f>
        <v>0</v>
      </c>
      <c r="CC6" s="412">
        <f>'Peer Comp'!G91</f>
        <v>0</v>
      </c>
      <c r="CD6" s="412">
        <f>'Peer Comp'!G92</f>
        <v>0</v>
      </c>
      <c r="CE6" s="404" t="str">
        <f>""</f>
        <v/>
      </c>
      <c r="CF6" s="412" t="e">
        <f>'Peer Comp'!G95</f>
        <v>#DIV/0!</v>
      </c>
      <c r="CG6" s="412" t="e">
        <f>'Peer Comp'!G96</f>
        <v>#DIV/0!</v>
      </c>
      <c r="CH6" s="412" t="e">
        <f>'Peer Comp'!G97</f>
        <v>#DIV/0!</v>
      </c>
      <c r="CI6" s="412">
        <f>'Peer Comp'!G98</f>
        <v>0</v>
      </c>
      <c r="CJ6" s="412">
        <f>'Peer Comp'!G99</f>
        <v>0</v>
      </c>
      <c r="CK6" s="412" t="e">
        <f>'Peer Comp'!G100</f>
        <v>#DIV/0!</v>
      </c>
      <c r="CL6" s="412" t="e">
        <f>'Peer Comp'!G101</f>
        <v>#DIV/0!</v>
      </c>
      <c r="CM6" s="412" t="e">
        <f>'Peer Comp'!G102</f>
        <v>#DIV/0!</v>
      </c>
      <c r="CN6" s="413" t="e">
        <f>'Peer Comp'!G104</f>
        <v>#DIV/0!</v>
      </c>
      <c r="CO6" s="413" t="e">
        <f>'Peer Comp'!G105</f>
        <v>#DIV/0!</v>
      </c>
      <c r="CP6" s="413" t="e">
        <f>'Peer Comp'!G106</f>
        <v>#DIV/0!</v>
      </c>
      <c r="CQ6" s="413" t="e">
        <f>'Peer Comp'!G107</f>
        <v>#DIV/0!</v>
      </c>
      <c r="CR6" s="413" t="e">
        <f>'Peer Comp'!G108</f>
        <v>#DIV/0!</v>
      </c>
      <c r="CS6" s="404" t="str">
        <f>""</f>
        <v/>
      </c>
      <c r="CT6" s="412">
        <f>'Peer Comp'!G111</f>
        <v>0</v>
      </c>
      <c r="CU6" s="412">
        <f>'Peer Comp'!G112</f>
        <v>0</v>
      </c>
      <c r="CV6" s="412">
        <f>'Peer Comp'!G113</f>
        <v>0</v>
      </c>
      <c r="CW6" s="412">
        <f>'Peer Comp'!G114</f>
        <v>0</v>
      </c>
      <c r="CX6" s="412">
        <f>'Peer Comp'!G115</f>
        <v>0</v>
      </c>
      <c r="CY6" s="412">
        <f>'Peer Comp'!G116</f>
        <v>0</v>
      </c>
      <c r="CZ6" s="412">
        <f>'Peer Comp'!G117</f>
        <v>0</v>
      </c>
      <c r="DA6" s="412">
        <f>'Peer Comp'!G118</f>
        <v>0</v>
      </c>
      <c r="DB6" s="412">
        <f>'Peer Comp'!G119</f>
        <v>0</v>
      </c>
      <c r="DC6" s="412">
        <f>'Peer Comp'!G120</f>
        <v>0</v>
      </c>
      <c r="DD6" s="412">
        <f>'Peer Comp'!G121</f>
        <v>0</v>
      </c>
      <c r="DE6" s="412">
        <f>'Peer Comp'!G122</f>
        <v>0</v>
      </c>
      <c r="DF6" s="412">
        <f>'Peer Comp'!G123</f>
        <v>0</v>
      </c>
      <c r="DG6" s="412">
        <f>'Peer Comp'!G124</f>
        <v>0</v>
      </c>
      <c r="DH6" s="412">
        <f>'Peer Comp'!G125</f>
        <v>0</v>
      </c>
      <c r="DI6" s="412">
        <f>'Peer Comp'!G126</f>
        <v>0</v>
      </c>
      <c r="DJ6" s="412">
        <f>'Peer Comp'!G127</f>
        <v>0</v>
      </c>
      <c r="DK6" s="412">
        <f>'Peer Comp'!G128</f>
        <v>0</v>
      </c>
      <c r="DL6" s="412">
        <f>'Peer Comp'!G129</f>
        <v>0</v>
      </c>
      <c r="DM6" s="412">
        <f>'Peer Comp'!G130</f>
        <v>0</v>
      </c>
      <c r="DN6" s="412">
        <f>'Peer Comp'!G131</f>
        <v>0</v>
      </c>
      <c r="DO6" s="412">
        <f>'Peer Comp'!G132</f>
        <v>0</v>
      </c>
      <c r="DP6" s="412">
        <f>'Peer Comp'!G133</f>
        <v>0</v>
      </c>
      <c r="DQ6" s="412">
        <f>'Peer Comp'!G134</f>
        <v>0</v>
      </c>
      <c r="DR6" s="412">
        <f>'Peer Comp'!G135</f>
        <v>0</v>
      </c>
      <c r="DS6" s="412">
        <f>'Peer Comp'!G136</f>
        <v>0</v>
      </c>
      <c r="DT6" s="412">
        <f>'Peer Comp'!G137</f>
        <v>0</v>
      </c>
      <c r="DU6" s="412">
        <f>'Peer Comp'!G138</f>
        <v>0</v>
      </c>
      <c r="DV6" s="412">
        <f>'Peer Comp'!G139</f>
        <v>0</v>
      </c>
      <c r="DW6" s="412">
        <f>'Peer Comp'!G140</f>
        <v>0</v>
      </c>
      <c r="DX6" s="412">
        <f>'Peer Comp'!G141</f>
        <v>0</v>
      </c>
    </row>
    <row r="7" spans="1:129" x14ac:dyDescent="0.2">
      <c r="A7" s="266">
        <f t="shared" ref="A7:G7" si="5">A5</f>
        <v>332111</v>
      </c>
      <c r="B7" s="266" t="str">
        <f t="shared" si="5"/>
        <v>asdas</v>
      </c>
      <c r="C7" s="266">
        <f t="shared" si="5"/>
        <v>0</v>
      </c>
      <c r="D7" s="266">
        <f t="shared" si="5"/>
        <v>0</v>
      </c>
      <c r="E7" s="266">
        <f t="shared" si="5"/>
        <v>0</v>
      </c>
      <c r="F7" s="266" t="str">
        <f t="shared" si="5"/>
        <v>AA+</v>
      </c>
      <c r="G7" s="266" t="str">
        <f t="shared" si="5"/>
        <v>Stable</v>
      </c>
      <c r="H7" s="403" t="str">
        <f>'Peer Comp'!H11</f>
        <v>Q3</v>
      </c>
      <c r="I7" s="404" t="str">
        <f>""</f>
        <v/>
      </c>
      <c r="J7" s="405">
        <f>'Peer Comp'!H13</f>
        <v>0</v>
      </c>
      <c r="K7" s="405">
        <f>'Peer Comp'!H14</f>
        <v>0</v>
      </c>
      <c r="L7" s="405">
        <f>'Peer Comp'!H15</f>
        <v>0</v>
      </c>
      <c r="M7" s="405">
        <f>'Peer Comp'!H16</f>
        <v>0</v>
      </c>
      <c r="N7" s="404" t="str">
        <f>""</f>
        <v/>
      </c>
      <c r="O7" s="405">
        <f>'Peer Comp'!H19</f>
        <v>0</v>
      </c>
      <c r="P7" s="405">
        <f>'Peer Comp'!H20</f>
        <v>0</v>
      </c>
      <c r="Q7" s="405">
        <f>'Peer Comp'!H21</f>
        <v>0</v>
      </c>
      <c r="R7" s="406">
        <f>'Peer Comp'!H22</f>
        <v>0</v>
      </c>
      <c r="S7" s="406">
        <f>'Peer Comp'!H23</f>
        <v>0</v>
      </c>
      <c r="T7" s="405">
        <f>'Peer Comp'!H24</f>
        <v>0</v>
      </c>
      <c r="U7" s="406">
        <f>'Peer Comp'!H25</f>
        <v>0</v>
      </c>
      <c r="V7" s="405">
        <f>'Peer Comp'!H26</f>
        <v>0</v>
      </c>
      <c r="W7" s="406">
        <f>'Peer Comp'!H27</f>
        <v>0</v>
      </c>
      <c r="X7" s="407">
        <f>'Peer Comp'!H28</f>
        <v>0</v>
      </c>
      <c r="Y7" s="408">
        <f>'Peer Comp'!H29</f>
        <v>0</v>
      </c>
      <c r="Z7" s="404" t="str">
        <f>""</f>
        <v/>
      </c>
      <c r="AA7" s="408">
        <f>'Peer Comp'!H32</f>
        <v>0</v>
      </c>
      <c r="AB7" s="408">
        <f>'Peer Comp'!H33</f>
        <v>0</v>
      </c>
      <c r="AC7" s="408">
        <f>'Peer Comp'!H34</f>
        <v>0</v>
      </c>
      <c r="AD7" s="408">
        <f>'Peer Comp'!H35</f>
        <v>0</v>
      </c>
      <c r="AE7" s="409">
        <f>'Peer Comp'!H36</f>
        <v>0</v>
      </c>
      <c r="AF7" s="409" t="e">
        <f>'Peer Comp'!H37</f>
        <v>#DIV/0!</v>
      </c>
      <c r="AG7" s="410" t="e">
        <f>'Peer Comp'!H38</f>
        <v>#DIV/0!</v>
      </c>
      <c r="AH7" s="410" t="e">
        <f>'Peer Comp'!H39</f>
        <v>#DIV/0!</v>
      </c>
      <c r="AI7" s="410" t="e">
        <f>'Peer Comp'!H40</f>
        <v>#DIV/0!</v>
      </c>
      <c r="AJ7" s="410" t="e">
        <f>'Peer Comp'!H41</f>
        <v>#DIV/0!</v>
      </c>
      <c r="AK7" s="410" t="e">
        <f>'Peer Comp'!H42</f>
        <v>#DIV/0!</v>
      </c>
      <c r="AL7" s="410" t="e">
        <f>'Peer Comp'!H43</f>
        <v>#DIV/0!</v>
      </c>
      <c r="AM7" s="410" t="e">
        <f>'Peer Comp'!H44</f>
        <v>#DIV/0!</v>
      </c>
      <c r="AN7" s="410" t="e">
        <f>'Peer Comp'!H45</f>
        <v>#DIV/0!</v>
      </c>
      <c r="AO7" s="410" t="e">
        <f>'Peer Comp'!H46</f>
        <v>#DIV/0!</v>
      </c>
      <c r="AP7" s="410">
        <f>'Peer Comp'!H47</f>
        <v>0</v>
      </c>
      <c r="AQ7" s="410">
        <f>'Peer Comp'!H48</f>
        <v>0</v>
      </c>
      <c r="AR7" s="410">
        <f>'Peer Comp'!H49</f>
        <v>0</v>
      </c>
      <c r="AS7" s="410">
        <f>'Peer Comp'!H50</f>
        <v>0</v>
      </c>
      <c r="AT7" s="410">
        <f>'Peer Comp'!H51</f>
        <v>0</v>
      </c>
      <c r="AU7" s="410">
        <f>'Peer Comp'!H52</f>
        <v>0</v>
      </c>
      <c r="AV7" s="411">
        <f>'Peer Comp'!H53</f>
        <v>0</v>
      </c>
      <c r="AW7" s="404" t="str">
        <f>""</f>
        <v/>
      </c>
      <c r="AX7" s="409">
        <f>'Peer Comp'!H57</f>
        <v>0</v>
      </c>
      <c r="AY7" s="410">
        <f>'Peer Comp'!H58</f>
        <v>0</v>
      </c>
      <c r="AZ7" s="412">
        <f>'Peer Comp'!H59</f>
        <v>0</v>
      </c>
      <c r="BA7" s="407">
        <f>'Peer Comp'!H60</f>
        <v>0</v>
      </c>
      <c r="BB7" s="404" t="str">
        <f>""</f>
        <v/>
      </c>
      <c r="BC7" s="407">
        <f>'Peer Comp'!H63</f>
        <v>0</v>
      </c>
      <c r="BD7" s="407">
        <f>'Peer Comp'!H64</f>
        <v>0</v>
      </c>
      <c r="BE7" s="407">
        <f>'Peer Comp'!H65</f>
        <v>0</v>
      </c>
      <c r="BF7" s="407">
        <f>'Peer Comp'!H66</f>
        <v>0</v>
      </c>
      <c r="BG7" s="407">
        <f>'Peer Comp'!H67</f>
        <v>0</v>
      </c>
      <c r="BH7" s="407">
        <f>'Peer Comp'!H68</f>
        <v>0</v>
      </c>
      <c r="BI7" s="407">
        <f>'Peer Comp'!H69</f>
        <v>0</v>
      </c>
      <c r="BJ7" s="407">
        <f>'Peer Comp'!H70</f>
        <v>0</v>
      </c>
      <c r="BK7" s="407">
        <f>'Peer Comp'!H71</f>
        <v>0</v>
      </c>
      <c r="BL7" s="407">
        <f>'Peer Comp'!H72</f>
        <v>0</v>
      </c>
      <c r="BM7" s="407">
        <f>'Peer Comp'!H73</f>
        <v>0</v>
      </c>
      <c r="BN7" s="407">
        <f>'Peer Comp'!H74</f>
        <v>0</v>
      </c>
      <c r="BO7" s="407">
        <f>'Peer Comp'!H75</f>
        <v>0</v>
      </c>
      <c r="BP7" s="407">
        <f>'Peer Comp'!H76</f>
        <v>0</v>
      </c>
      <c r="BQ7" s="407">
        <f>'Peer Comp'!H77</f>
        <v>0</v>
      </c>
      <c r="BR7" s="407">
        <f>'Peer Comp'!H78</f>
        <v>0</v>
      </c>
      <c r="BS7" s="404" t="str">
        <f>""</f>
        <v/>
      </c>
      <c r="BT7" s="412">
        <f>'Peer Comp'!H81</f>
        <v>0</v>
      </c>
      <c r="BU7" s="412">
        <f>'Peer Comp'!H82</f>
        <v>0</v>
      </c>
      <c r="BV7" s="412">
        <f>'Peer Comp'!H83</f>
        <v>0</v>
      </c>
      <c r="BW7" s="412">
        <f>'Peer Comp'!H84</f>
        <v>0</v>
      </c>
      <c r="BX7" s="412">
        <f>'Peer Comp'!H85</f>
        <v>0</v>
      </c>
      <c r="BY7" s="404" t="str">
        <f>""</f>
        <v/>
      </c>
      <c r="BZ7" s="412">
        <f>'Peer Comp'!H88</f>
        <v>0</v>
      </c>
      <c r="CA7" s="412">
        <f>'Peer Comp'!H89</f>
        <v>0</v>
      </c>
      <c r="CB7" s="412">
        <f>'Peer Comp'!H90</f>
        <v>0</v>
      </c>
      <c r="CC7" s="412">
        <f>'Peer Comp'!H91</f>
        <v>0</v>
      </c>
      <c r="CD7" s="412">
        <f>'Peer Comp'!H92</f>
        <v>0</v>
      </c>
      <c r="CE7" s="404" t="str">
        <f>""</f>
        <v/>
      </c>
      <c r="CF7" s="412" t="e">
        <f>'Peer Comp'!H95</f>
        <v>#DIV/0!</v>
      </c>
      <c r="CG7" s="412" t="e">
        <f>'Peer Comp'!H96</f>
        <v>#DIV/0!</v>
      </c>
      <c r="CH7" s="412" t="e">
        <f>'Peer Comp'!H97</f>
        <v>#DIV/0!</v>
      </c>
      <c r="CI7" s="412">
        <f>'Peer Comp'!H98</f>
        <v>0</v>
      </c>
      <c r="CJ7" s="412">
        <f>'Peer Comp'!H99</f>
        <v>0</v>
      </c>
      <c r="CK7" s="412" t="e">
        <f>'Peer Comp'!H100</f>
        <v>#DIV/0!</v>
      </c>
      <c r="CL7" s="412" t="e">
        <f>'Peer Comp'!H101</f>
        <v>#DIV/0!</v>
      </c>
      <c r="CM7" s="412" t="e">
        <f>'Peer Comp'!H102</f>
        <v>#DIV/0!</v>
      </c>
      <c r="CN7" s="413" t="e">
        <f>'Peer Comp'!H104</f>
        <v>#DIV/0!</v>
      </c>
      <c r="CO7" s="413" t="e">
        <f>'Peer Comp'!H105</f>
        <v>#DIV/0!</v>
      </c>
      <c r="CP7" s="413" t="e">
        <f>'Peer Comp'!H106</f>
        <v>#DIV/0!</v>
      </c>
      <c r="CQ7" s="413" t="e">
        <f>'Peer Comp'!H107</f>
        <v>#DIV/0!</v>
      </c>
      <c r="CR7" s="413" t="e">
        <f>'Peer Comp'!H108</f>
        <v>#DIV/0!</v>
      </c>
      <c r="CS7" s="404" t="str">
        <f>""</f>
        <v/>
      </c>
      <c r="CT7" s="412">
        <f>'Peer Comp'!H111</f>
        <v>0</v>
      </c>
      <c r="CU7" s="412">
        <f>'Peer Comp'!H112</f>
        <v>0</v>
      </c>
      <c r="CV7" s="412">
        <f>'Peer Comp'!H113</f>
        <v>0</v>
      </c>
      <c r="CW7" s="412">
        <f>'Peer Comp'!H114</f>
        <v>0</v>
      </c>
      <c r="CX7" s="412">
        <f>'Peer Comp'!H115</f>
        <v>0</v>
      </c>
      <c r="CY7" s="412">
        <f>'Peer Comp'!H116</f>
        <v>0</v>
      </c>
      <c r="CZ7" s="412">
        <f>'Peer Comp'!H117</f>
        <v>0</v>
      </c>
      <c r="DA7" s="412">
        <f>'Peer Comp'!H118</f>
        <v>0</v>
      </c>
      <c r="DB7" s="412">
        <f>'Peer Comp'!H119</f>
        <v>0</v>
      </c>
      <c r="DC7" s="412">
        <f>'Peer Comp'!H120</f>
        <v>0</v>
      </c>
      <c r="DD7" s="412">
        <f>'Peer Comp'!H121</f>
        <v>0</v>
      </c>
      <c r="DE7" s="412">
        <f>'Peer Comp'!H122</f>
        <v>0</v>
      </c>
      <c r="DF7" s="412">
        <f>'Peer Comp'!H123</f>
        <v>0</v>
      </c>
      <c r="DG7" s="412">
        <f>'Peer Comp'!H124</f>
        <v>0</v>
      </c>
      <c r="DH7" s="412">
        <f>'Peer Comp'!H125</f>
        <v>0</v>
      </c>
      <c r="DI7" s="412">
        <f>'Peer Comp'!H126</f>
        <v>0</v>
      </c>
      <c r="DJ7" s="412">
        <f>'Peer Comp'!H127</f>
        <v>0</v>
      </c>
      <c r="DK7" s="412">
        <f>'Peer Comp'!H128</f>
        <v>0</v>
      </c>
      <c r="DL7" s="412">
        <f>'Peer Comp'!H129</f>
        <v>0</v>
      </c>
      <c r="DM7" s="412">
        <f>'Peer Comp'!H130</f>
        <v>0</v>
      </c>
      <c r="DN7" s="412">
        <f>'Peer Comp'!H131</f>
        <v>0</v>
      </c>
      <c r="DO7" s="412">
        <f>'Peer Comp'!H132</f>
        <v>0</v>
      </c>
      <c r="DP7" s="412">
        <f>'Peer Comp'!H133</f>
        <v>0</v>
      </c>
      <c r="DQ7" s="412">
        <f>'Peer Comp'!H134</f>
        <v>0</v>
      </c>
      <c r="DR7" s="412">
        <f>'Peer Comp'!H135</f>
        <v>0</v>
      </c>
      <c r="DS7" s="412">
        <f>'Peer Comp'!H136</f>
        <v>0</v>
      </c>
      <c r="DT7" s="412">
        <f>'Peer Comp'!H137</f>
        <v>0</v>
      </c>
      <c r="DU7" s="412">
        <f>'Peer Comp'!H138</f>
        <v>0</v>
      </c>
      <c r="DV7" s="412">
        <f>'Peer Comp'!H139</f>
        <v>0</v>
      </c>
      <c r="DW7" s="412">
        <f>'Peer Comp'!H140</f>
        <v>0</v>
      </c>
      <c r="DX7" s="412">
        <f>'Peer Comp'!H141</f>
        <v>0</v>
      </c>
    </row>
    <row r="8" spans="1:129" x14ac:dyDescent="0.2">
      <c r="A8" s="266">
        <f t="shared" ref="A8:G8" si="6">A6</f>
        <v>332111</v>
      </c>
      <c r="B8" s="266" t="str">
        <f t="shared" si="6"/>
        <v>asdas</v>
      </c>
      <c r="C8" s="266">
        <f t="shared" si="6"/>
        <v>0</v>
      </c>
      <c r="D8" s="266">
        <f t="shared" si="6"/>
        <v>0</v>
      </c>
      <c r="E8" s="266">
        <f t="shared" si="6"/>
        <v>0</v>
      </c>
      <c r="F8" s="266" t="str">
        <f t="shared" si="6"/>
        <v>AA+</v>
      </c>
      <c r="G8" s="266" t="str">
        <f t="shared" si="6"/>
        <v>Stable</v>
      </c>
      <c r="H8" s="403" t="str">
        <f>'Peer Comp'!I11</f>
        <v>Q4</v>
      </c>
      <c r="I8" s="404" t="str">
        <f>""</f>
        <v/>
      </c>
      <c r="J8" s="405">
        <f>'Peer Comp'!I13</f>
        <v>0</v>
      </c>
      <c r="K8" s="405">
        <f>'Peer Comp'!I14</f>
        <v>0</v>
      </c>
      <c r="L8" s="405">
        <f>'Peer Comp'!I15</f>
        <v>0</v>
      </c>
      <c r="M8" s="405">
        <f>'Peer Comp'!I16</f>
        <v>0</v>
      </c>
      <c r="N8" s="404" t="str">
        <f>""</f>
        <v/>
      </c>
      <c r="O8" s="405">
        <f>'Peer Comp'!I19</f>
        <v>0</v>
      </c>
      <c r="P8" s="405">
        <f>'Peer Comp'!I20</f>
        <v>0</v>
      </c>
      <c r="Q8" s="405">
        <f>'Peer Comp'!I21</f>
        <v>0</v>
      </c>
      <c r="R8" s="406">
        <f>'Peer Comp'!I22</f>
        <v>0</v>
      </c>
      <c r="S8" s="406">
        <f>'Peer Comp'!I23</f>
        <v>0</v>
      </c>
      <c r="T8" s="405">
        <f>'Peer Comp'!I24</f>
        <v>0</v>
      </c>
      <c r="U8" s="406">
        <f>'Peer Comp'!I25</f>
        <v>0</v>
      </c>
      <c r="V8" s="405">
        <f>'Peer Comp'!I26</f>
        <v>0</v>
      </c>
      <c r="W8" s="406">
        <f>'Peer Comp'!I27</f>
        <v>0</v>
      </c>
      <c r="X8" s="407">
        <f>'Peer Comp'!I28</f>
        <v>0</v>
      </c>
      <c r="Y8" s="408">
        <f>'Peer Comp'!I29</f>
        <v>0</v>
      </c>
      <c r="Z8" s="404" t="str">
        <f>""</f>
        <v/>
      </c>
      <c r="AA8" s="408">
        <f>'Peer Comp'!I32</f>
        <v>0</v>
      </c>
      <c r="AB8" s="408">
        <f>'Peer Comp'!I33</f>
        <v>0</v>
      </c>
      <c r="AC8" s="408">
        <f>'Peer Comp'!I34</f>
        <v>0</v>
      </c>
      <c r="AD8" s="408">
        <f>'Peer Comp'!I35</f>
        <v>0</v>
      </c>
      <c r="AE8" s="409">
        <f>'Peer Comp'!I36</f>
        <v>0</v>
      </c>
      <c r="AF8" s="409" t="e">
        <f>'Peer Comp'!I37</f>
        <v>#DIV/0!</v>
      </c>
      <c r="AG8" s="410" t="e">
        <f>'Peer Comp'!I38</f>
        <v>#DIV/0!</v>
      </c>
      <c r="AH8" s="410" t="e">
        <f>'Peer Comp'!I39</f>
        <v>#DIV/0!</v>
      </c>
      <c r="AI8" s="410" t="e">
        <f>'Peer Comp'!I40</f>
        <v>#DIV/0!</v>
      </c>
      <c r="AJ8" s="410" t="e">
        <f>'Peer Comp'!I41</f>
        <v>#DIV/0!</v>
      </c>
      <c r="AK8" s="410" t="e">
        <f>'Peer Comp'!I42</f>
        <v>#DIV/0!</v>
      </c>
      <c r="AL8" s="410" t="e">
        <f>'Peer Comp'!I43</f>
        <v>#DIV/0!</v>
      </c>
      <c r="AM8" s="410" t="e">
        <f>'Peer Comp'!I44</f>
        <v>#DIV/0!</v>
      </c>
      <c r="AN8" s="410" t="e">
        <f>'Peer Comp'!I45</f>
        <v>#DIV/0!</v>
      </c>
      <c r="AO8" s="410" t="e">
        <f>'Peer Comp'!I46</f>
        <v>#DIV/0!</v>
      </c>
      <c r="AP8" s="410">
        <f>'Peer Comp'!I47</f>
        <v>0</v>
      </c>
      <c r="AQ8" s="410">
        <f>'Peer Comp'!I48</f>
        <v>0</v>
      </c>
      <c r="AR8" s="410">
        <f>'Peer Comp'!I49</f>
        <v>0</v>
      </c>
      <c r="AS8" s="410">
        <f>'Peer Comp'!I50</f>
        <v>0</v>
      </c>
      <c r="AT8" s="410">
        <f>'Peer Comp'!I51</f>
        <v>0</v>
      </c>
      <c r="AU8" s="410">
        <f>'Peer Comp'!I52</f>
        <v>0</v>
      </c>
      <c r="AV8" s="411">
        <f>'Peer Comp'!I53</f>
        <v>0</v>
      </c>
      <c r="AW8" s="404" t="str">
        <f>""</f>
        <v/>
      </c>
      <c r="AX8" s="409">
        <f>'Peer Comp'!I57</f>
        <v>0</v>
      </c>
      <c r="AY8" s="410">
        <f>'Peer Comp'!I58</f>
        <v>0</v>
      </c>
      <c r="AZ8" s="412">
        <f>'Peer Comp'!I59</f>
        <v>0</v>
      </c>
      <c r="BA8" s="407">
        <f>'Peer Comp'!I60</f>
        <v>0</v>
      </c>
      <c r="BB8" s="404" t="str">
        <f>""</f>
        <v/>
      </c>
      <c r="BC8" s="407">
        <f>'Peer Comp'!I63</f>
        <v>0</v>
      </c>
      <c r="BD8" s="407">
        <f>'Peer Comp'!I64</f>
        <v>0</v>
      </c>
      <c r="BE8" s="407">
        <f>'Peer Comp'!I65</f>
        <v>0</v>
      </c>
      <c r="BF8" s="407">
        <f>'Peer Comp'!I66</f>
        <v>0</v>
      </c>
      <c r="BG8" s="407">
        <f>'Peer Comp'!I67</f>
        <v>0</v>
      </c>
      <c r="BH8" s="407">
        <f>'Peer Comp'!I68</f>
        <v>0</v>
      </c>
      <c r="BI8" s="407">
        <f>'Peer Comp'!I69</f>
        <v>0</v>
      </c>
      <c r="BJ8" s="407">
        <f>'Peer Comp'!I70</f>
        <v>0</v>
      </c>
      <c r="BK8" s="407">
        <f>'Peer Comp'!I71</f>
        <v>0</v>
      </c>
      <c r="BL8" s="407">
        <f>'Peer Comp'!I72</f>
        <v>0</v>
      </c>
      <c r="BM8" s="407">
        <f>'Peer Comp'!I73</f>
        <v>0</v>
      </c>
      <c r="BN8" s="407">
        <f>'Peer Comp'!I74</f>
        <v>0</v>
      </c>
      <c r="BO8" s="407">
        <f>'Peer Comp'!I75</f>
        <v>0</v>
      </c>
      <c r="BP8" s="407">
        <f>'Peer Comp'!I76</f>
        <v>0</v>
      </c>
      <c r="BQ8" s="407">
        <f>'Peer Comp'!I77</f>
        <v>0</v>
      </c>
      <c r="BR8" s="407">
        <f>'Peer Comp'!I78</f>
        <v>0</v>
      </c>
      <c r="BS8" s="404" t="str">
        <f>""</f>
        <v/>
      </c>
      <c r="BT8" s="412">
        <f>'Peer Comp'!I81</f>
        <v>0</v>
      </c>
      <c r="BU8" s="412">
        <f>'Peer Comp'!I82</f>
        <v>0</v>
      </c>
      <c r="BV8" s="412">
        <f>'Peer Comp'!I83</f>
        <v>0</v>
      </c>
      <c r="BW8" s="412">
        <f>'Peer Comp'!I84</f>
        <v>0</v>
      </c>
      <c r="BX8" s="412">
        <f>'Peer Comp'!I85</f>
        <v>0</v>
      </c>
      <c r="BY8" s="404" t="str">
        <f>""</f>
        <v/>
      </c>
      <c r="BZ8" s="412">
        <f>'Peer Comp'!I88</f>
        <v>0</v>
      </c>
      <c r="CA8" s="412">
        <f>'Peer Comp'!I89</f>
        <v>0</v>
      </c>
      <c r="CB8" s="412">
        <f>'Peer Comp'!I90</f>
        <v>0</v>
      </c>
      <c r="CC8" s="412">
        <f>'Peer Comp'!I91</f>
        <v>0</v>
      </c>
      <c r="CD8" s="412">
        <f>'Peer Comp'!I92</f>
        <v>0</v>
      </c>
      <c r="CE8" s="404" t="str">
        <f>""</f>
        <v/>
      </c>
      <c r="CF8" s="412" t="e">
        <f>'Peer Comp'!I95</f>
        <v>#DIV/0!</v>
      </c>
      <c r="CG8" s="412" t="e">
        <f>'Peer Comp'!I96</f>
        <v>#DIV/0!</v>
      </c>
      <c r="CH8" s="412" t="e">
        <f>'Peer Comp'!I97</f>
        <v>#DIV/0!</v>
      </c>
      <c r="CI8" s="412">
        <f>'Peer Comp'!I98</f>
        <v>0</v>
      </c>
      <c r="CJ8" s="412">
        <f>'Peer Comp'!I99</f>
        <v>0</v>
      </c>
      <c r="CK8" s="412" t="e">
        <f>'Peer Comp'!I100</f>
        <v>#DIV/0!</v>
      </c>
      <c r="CL8" s="412" t="e">
        <f>'Peer Comp'!I101</f>
        <v>#DIV/0!</v>
      </c>
      <c r="CM8" s="412" t="e">
        <f>'Peer Comp'!I102</f>
        <v>#DIV/0!</v>
      </c>
      <c r="CN8" s="413" t="e">
        <f>'Peer Comp'!I104</f>
        <v>#DIV/0!</v>
      </c>
      <c r="CO8" s="413" t="e">
        <f>'Peer Comp'!I105</f>
        <v>#DIV/0!</v>
      </c>
      <c r="CP8" s="413" t="e">
        <f>'Peer Comp'!I106</f>
        <v>#DIV/0!</v>
      </c>
      <c r="CQ8" s="413" t="e">
        <f>'Peer Comp'!I107</f>
        <v>#DIV/0!</v>
      </c>
      <c r="CR8" s="413" t="e">
        <f>'Peer Comp'!I108</f>
        <v>#DIV/0!</v>
      </c>
      <c r="CS8" s="404" t="str">
        <f>""</f>
        <v/>
      </c>
      <c r="CT8" s="412">
        <f>'Peer Comp'!I111</f>
        <v>0</v>
      </c>
      <c r="CU8" s="412">
        <f>'Peer Comp'!I112</f>
        <v>0</v>
      </c>
      <c r="CV8" s="412">
        <f>'Peer Comp'!I113</f>
        <v>0</v>
      </c>
      <c r="CW8" s="412">
        <f>'Peer Comp'!I114</f>
        <v>0</v>
      </c>
      <c r="CX8" s="412">
        <f>'Peer Comp'!I115</f>
        <v>0</v>
      </c>
      <c r="CY8" s="412">
        <f>'Peer Comp'!I116</f>
        <v>0</v>
      </c>
      <c r="CZ8" s="412">
        <f>'Peer Comp'!I117</f>
        <v>0</v>
      </c>
      <c r="DA8" s="412">
        <f>'Peer Comp'!I118</f>
        <v>0</v>
      </c>
      <c r="DB8" s="412">
        <f>'Peer Comp'!I119</f>
        <v>0</v>
      </c>
      <c r="DC8" s="412">
        <f>'Peer Comp'!I120</f>
        <v>0</v>
      </c>
      <c r="DD8" s="412">
        <f>'Peer Comp'!I121</f>
        <v>0</v>
      </c>
      <c r="DE8" s="412">
        <f>'Peer Comp'!I122</f>
        <v>0</v>
      </c>
      <c r="DF8" s="412">
        <f>'Peer Comp'!I123</f>
        <v>0</v>
      </c>
      <c r="DG8" s="412">
        <f>'Peer Comp'!I124</f>
        <v>0</v>
      </c>
      <c r="DH8" s="412">
        <f>'Peer Comp'!I125</f>
        <v>0</v>
      </c>
      <c r="DI8" s="412">
        <f>'Peer Comp'!I126</f>
        <v>0</v>
      </c>
      <c r="DJ8" s="412">
        <f>'Peer Comp'!I127</f>
        <v>0</v>
      </c>
      <c r="DK8" s="412">
        <f>'Peer Comp'!I128</f>
        <v>0</v>
      </c>
      <c r="DL8" s="412">
        <f>'Peer Comp'!I129</f>
        <v>0</v>
      </c>
      <c r="DM8" s="412">
        <f>'Peer Comp'!I130</f>
        <v>0</v>
      </c>
      <c r="DN8" s="412">
        <f>'Peer Comp'!I131</f>
        <v>0</v>
      </c>
      <c r="DO8" s="412">
        <f>'Peer Comp'!I132</f>
        <v>0</v>
      </c>
      <c r="DP8" s="412">
        <f>'Peer Comp'!I133</f>
        <v>0</v>
      </c>
      <c r="DQ8" s="412">
        <f>'Peer Comp'!I134</f>
        <v>0</v>
      </c>
      <c r="DR8" s="412">
        <f>'Peer Comp'!I135</f>
        <v>0</v>
      </c>
      <c r="DS8" s="412">
        <f>'Peer Comp'!I136</f>
        <v>0</v>
      </c>
      <c r="DT8" s="412">
        <f>'Peer Comp'!I137</f>
        <v>0</v>
      </c>
      <c r="DU8" s="412">
        <f>'Peer Comp'!I138</f>
        <v>0</v>
      </c>
      <c r="DV8" s="412">
        <f>'Peer Comp'!I139</f>
        <v>0</v>
      </c>
      <c r="DW8" s="412">
        <f>'Peer Comp'!I140</f>
        <v>0</v>
      </c>
      <c r="DX8" s="412">
        <f>'Peer Comp'!I141</f>
        <v>0</v>
      </c>
    </row>
    <row r="9" spans="1:129" x14ac:dyDescent="0.2">
      <c r="A9" s="266">
        <f t="shared" ref="A9:G9" si="7">A7</f>
        <v>332111</v>
      </c>
      <c r="B9" s="266" t="str">
        <f t="shared" si="7"/>
        <v>asdas</v>
      </c>
      <c r="C9" s="266">
        <f t="shared" si="7"/>
        <v>0</v>
      </c>
      <c r="D9" s="266">
        <f t="shared" si="7"/>
        <v>0</v>
      </c>
      <c r="E9" s="266">
        <f t="shared" si="7"/>
        <v>0</v>
      </c>
      <c r="F9" s="266" t="str">
        <f t="shared" si="7"/>
        <v>AA+</v>
      </c>
      <c r="G9" s="266" t="str">
        <f t="shared" si="7"/>
        <v>Stable</v>
      </c>
      <c r="H9" s="403" t="str">
        <f>'Peer Comp'!J11</f>
        <v>H1</v>
      </c>
      <c r="I9" s="404" t="str">
        <f>""</f>
        <v/>
      </c>
      <c r="J9" s="405">
        <f>'Peer Comp'!J13</f>
        <v>0</v>
      </c>
      <c r="K9" s="405">
        <f>'Peer Comp'!J14</f>
        <v>0</v>
      </c>
      <c r="L9" s="405">
        <f>'Peer Comp'!J15</f>
        <v>0</v>
      </c>
      <c r="M9" s="405">
        <f>'Peer Comp'!J16</f>
        <v>0</v>
      </c>
      <c r="N9" s="404" t="str">
        <f>""</f>
        <v/>
      </c>
      <c r="O9" s="405">
        <f>'Peer Comp'!J19</f>
        <v>0</v>
      </c>
      <c r="P9" s="405">
        <f>'Peer Comp'!J20</f>
        <v>0</v>
      </c>
      <c r="Q9" s="405">
        <f>'Peer Comp'!J21</f>
        <v>0</v>
      </c>
      <c r="R9" s="406">
        <f>'Peer Comp'!J22</f>
        <v>0</v>
      </c>
      <c r="S9" s="406">
        <f>'Peer Comp'!J23</f>
        <v>0</v>
      </c>
      <c r="T9" s="405">
        <f>'Peer Comp'!J24</f>
        <v>0</v>
      </c>
      <c r="U9" s="406">
        <f>'Peer Comp'!J25</f>
        <v>0</v>
      </c>
      <c r="V9" s="405">
        <f>'Peer Comp'!J26</f>
        <v>0</v>
      </c>
      <c r="W9" s="406">
        <f>'Peer Comp'!J27</f>
        <v>0</v>
      </c>
      <c r="X9" s="407">
        <f>'Peer Comp'!J28</f>
        <v>0</v>
      </c>
      <c r="Y9" s="408">
        <f>'Peer Comp'!J29</f>
        <v>0</v>
      </c>
      <c r="Z9" s="404" t="str">
        <f>""</f>
        <v/>
      </c>
      <c r="AA9" s="408">
        <f>'Peer Comp'!J32</f>
        <v>0</v>
      </c>
      <c r="AB9" s="408">
        <f>'Peer Comp'!J33</f>
        <v>0</v>
      </c>
      <c r="AC9" s="408">
        <f>'Peer Comp'!J34</f>
        <v>0</v>
      </c>
      <c r="AD9" s="408">
        <f>'Peer Comp'!J35</f>
        <v>0</v>
      </c>
      <c r="AE9" s="409">
        <f>'Peer Comp'!J36</f>
        <v>0</v>
      </c>
      <c r="AF9" s="409" t="e">
        <f>'Peer Comp'!J37</f>
        <v>#DIV/0!</v>
      </c>
      <c r="AG9" s="410" t="e">
        <f>'Peer Comp'!J38</f>
        <v>#DIV/0!</v>
      </c>
      <c r="AH9" s="410" t="e">
        <f>'Peer Comp'!J39</f>
        <v>#DIV/0!</v>
      </c>
      <c r="AI9" s="410" t="e">
        <f>'Peer Comp'!J40</f>
        <v>#DIV/0!</v>
      </c>
      <c r="AJ9" s="410" t="e">
        <f>'Peer Comp'!J41</f>
        <v>#DIV/0!</v>
      </c>
      <c r="AK9" s="410" t="e">
        <f>'Peer Comp'!J42</f>
        <v>#DIV/0!</v>
      </c>
      <c r="AL9" s="410" t="e">
        <f>'Peer Comp'!J43</f>
        <v>#DIV/0!</v>
      </c>
      <c r="AM9" s="410" t="e">
        <f>'Peer Comp'!J44</f>
        <v>#DIV/0!</v>
      </c>
      <c r="AN9" s="410" t="e">
        <f>'Peer Comp'!J45</f>
        <v>#DIV/0!</v>
      </c>
      <c r="AO9" s="410" t="e">
        <f>'Peer Comp'!J46</f>
        <v>#DIV/0!</v>
      </c>
      <c r="AP9" s="410">
        <f>'Peer Comp'!J47</f>
        <v>0</v>
      </c>
      <c r="AQ9" s="410">
        <f>'Peer Comp'!J48</f>
        <v>0</v>
      </c>
      <c r="AR9" s="410">
        <f>'Peer Comp'!J49</f>
        <v>0</v>
      </c>
      <c r="AS9" s="410">
        <f>'Peer Comp'!J50</f>
        <v>0</v>
      </c>
      <c r="AT9" s="410">
        <f>'Peer Comp'!J51</f>
        <v>0</v>
      </c>
      <c r="AU9" s="410">
        <f>'Peer Comp'!J52</f>
        <v>0</v>
      </c>
      <c r="AV9" s="411">
        <f>'Peer Comp'!J53</f>
        <v>0</v>
      </c>
      <c r="AW9" s="404" t="str">
        <f>""</f>
        <v/>
      </c>
      <c r="AX9" s="409">
        <f>'Peer Comp'!J57</f>
        <v>0</v>
      </c>
      <c r="AY9" s="410">
        <f>'Peer Comp'!J58</f>
        <v>0</v>
      </c>
      <c r="AZ9" s="412">
        <f>'Peer Comp'!J59</f>
        <v>0</v>
      </c>
      <c r="BA9" s="407">
        <f>'Peer Comp'!J60</f>
        <v>0</v>
      </c>
      <c r="BB9" s="404" t="str">
        <f>""</f>
        <v/>
      </c>
      <c r="BC9" s="407">
        <f>'Peer Comp'!J63</f>
        <v>0</v>
      </c>
      <c r="BD9" s="407">
        <f>'Peer Comp'!J64</f>
        <v>0</v>
      </c>
      <c r="BE9" s="407">
        <f>'Peer Comp'!J65</f>
        <v>0</v>
      </c>
      <c r="BF9" s="407">
        <f>'Peer Comp'!J66</f>
        <v>0</v>
      </c>
      <c r="BG9" s="407">
        <f>'Peer Comp'!J67</f>
        <v>0</v>
      </c>
      <c r="BH9" s="407">
        <f>'Peer Comp'!J68</f>
        <v>0</v>
      </c>
      <c r="BI9" s="407">
        <f>'Peer Comp'!J69</f>
        <v>0</v>
      </c>
      <c r="BJ9" s="407">
        <f>'Peer Comp'!J70</f>
        <v>0</v>
      </c>
      <c r="BK9" s="407">
        <f>'Peer Comp'!J71</f>
        <v>0</v>
      </c>
      <c r="BL9" s="407">
        <f>'Peer Comp'!J72</f>
        <v>0</v>
      </c>
      <c r="BM9" s="407">
        <f>'Peer Comp'!J73</f>
        <v>0</v>
      </c>
      <c r="BN9" s="407">
        <f>'Peer Comp'!J74</f>
        <v>0</v>
      </c>
      <c r="BO9" s="407">
        <f>'Peer Comp'!J75</f>
        <v>0</v>
      </c>
      <c r="BP9" s="407">
        <f>'Peer Comp'!J76</f>
        <v>0</v>
      </c>
      <c r="BQ9" s="407">
        <f>'Peer Comp'!J77</f>
        <v>0</v>
      </c>
      <c r="BR9" s="407">
        <f>'Peer Comp'!J78</f>
        <v>0</v>
      </c>
      <c r="BS9" s="404" t="str">
        <f>""</f>
        <v/>
      </c>
      <c r="BT9" s="412">
        <f>'Peer Comp'!J81</f>
        <v>0</v>
      </c>
      <c r="BU9" s="412">
        <f>'Peer Comp'!J82</f>
        <v>0</v>
      </c>
      <c r="BV9" s="412">
        <f>'Peer Comp'!J83</f>
        <v>0</v>
      </c>
      <c r="BW9" s="412">
        <f>'Peer Comp'!J84</f>
        <v>0</v>
      </c>
      <c r="BX9" s="412">
        <f>'Peer Comp'!J85</f>
        <v>0</v>
      </c>
      <c r="BY9" s="404" t="str">
        <f>""</f>
        <v/>
      </c>
      <c r="BZ9" s="412">
        <f>'Peer Comp'!J88</f>
        <v>0</v>
      </c>
      <c r="CA9" s="412">
        <f>'Peer Comp'!J89</f>
        <v>0</v>
      </c>
      <c r="CB9" s="412">
        <f>'Peer Comp'!J90</f>
        <v>0</v>
      </c>
      <c r="CC9" s="412">
        <f>'Peer Comp'!J91</f>
        <v>0</v>
      </c>
      <c r="CD9" s="412">
        <f>'Peer Comp'!J92</f>
        <v>0</v>
      </c>
      <c r="CE9" s="404" t="str">
        <f>""</f>
        <v/>
      </c>
      <c r="CF9" s="412" t="e">
        <f>'Peer Comp'!J95</f>
        <v>#DIV/0!</v>
      </c>
      <c r="CG9" s="412" t="e">
        <f>'Peer Comp'!J96</f>
        <v>#DIV/0!</v>
      </c>
      <c r="CH9" s="412" t="e">
        <f>'Peer Comp'!J97</f>
        <v>#DIV/0!</v>
      </c>
      <c r="CI9" s="412">
        <f>'Peer Comp'!J98</f>
        <v>0</v>
      </c>
      <c r="CJ9" s="412">
        <f>'Peer Comp'!J99</f>
        <v>0</v>
      </c>
      <c r="CK9" s="412" t="e">
        <f>'Peer Comp'!J100</f>
        <v>#DIV/0!</v>
      </c>
      <c r="CL9" s="412" t="e">
        <f>'Peer Comp'!J101</f>
        <v>#DIV/0!</v>
      </c>
      <c r="CM9" s="412" t="e">
        <f>'Peer Comp'!J102</f>
        <v>#DIV/0!</v>
      </c>
      <c r="CN9" s="413" t="e">
        <f>'Peer Comp'!J104</f>
        <v>#DIV/0!</v>
      </c>
      <c r="CO9" s="413" t="e">
        <f>'Peer Comp'!J105</f>
        <v>#DIV/0!</v>
      </c>
      <c r="CP9" s="413" t="e">
        <f>'Peer Comp'!J106</f>
        <v>#DIV/0!</v>
      </c>
      <c r="CQ9" s="413" t="e">
        <f>'Peer Comp'!J107</f>
        <v>#DIV/0!</v>
      </c>
      <c r="CR9" s="413" t="e">
        <f>'Peer Comp'!J108</f>
        <v>#DIV/0!</v>
      </c>
      <c r="CS9" s="404" t="str">
        <f>""</f>
        <v/>
      </c>
      <c r="CT9" s="412">
        <f>'Peer Comp'!J111</f>
        <v>0</v>
      </c>
      <c r="CU9" s="412">
        <f>'Peer Comp'!J112</f>
        <v>0</v>
      </c>
      <c r="CV9" s="412">
        <f>'Peer Comp'!J113</f>
        <v>0</v>
      </c>
      <c r="CW9" s="412">
        <f>'Peer Comp'!J114</f>
        <v>0</v>
      </c>
      <c r="CX9" s="412">
        <f>'Peer Comp'!J115</f>
        <v>0</v>
      </c>
      <c r="CY9" s="412">
        <f>'Peer Comp'!J116</f>
        <v>0</v>
      </c>
      <c r="CZ9" s="412">
        <f>'Peer Comp'!J117</f>
        <v>0</v>
      </c>
      <c r="DA9" s="412">
        <f>'Peer Comp'!J118</f>
        <v>0</v>
      </c>
      <c r="DB9" s="412">
        <f>'Peer Comp'!J119</f>
        <v>0</v>
      </c>
      <c r="DC9" s="412">
        <f>'Peer Comp'!J120</f>
        <v>0</v>
      </c>
      <c r="DD9" s="412">
        <f>'Peer Comp'!J121</f>
        <v>0</v>
      </c>
      <c r="DE9" s="412">
        <f>'Peer Comp'!J122</f>
        <v>0</v>
      </c>
      <c r="DF9" s="412">
        <f>'Peer Comp'!J123</f>
        <v>0</v>
      </c>
      <c r="DG9" s="412">
        <f>'Peer Comp'!J124</f>
        <v>0</v>
      </c>
      <c r="DH9" s="412">
        <f>'Peer Comp'!J125</f>
        <v>0</v>
      </c>
      <c r="DI9" s="412">
        <f>'Peer Comp'!J126</f>
        <v>0</v>
      </c>
      <c r="DJ9" s="412">
        <f>'Peer Comp'!J127</f>
        <v>0</v>
      </c>
      <c r="DK9" s="412">
        <f>'Peer Comp'!J128</f>
        <v>0</v>
      </c>
      <c r="DL9" s="412">
        <f>'Peer Comp'!J129</f>
        <v>0</v>
      </c>
      <c r="DM9" s="412">
        <f>'Peer Comp'!J130</f>
        <v>0</v>
      </c>
      <c r="DN9" s="412">
        <f>'Peer Comp'!J131</f>
        <v>0</v>
      </c>
      <c r="DO9" s="412">
        <f>'Peer Comp'!J132</f>
        <v>0</v>
      </c>
      <c r="DP9" s="412">
        <f>'Peer Comp'!J133</f>
        <v>0</v>
      </c>
      <c r="DQ9" s="412">
        <f>'Peer Comp'!J134</f>
        <v>0</v>
      </c>
      <c r="DR9" s="412">
        <f>'Peer Comp'!J135</f>
        <v>0</v>
      </c>
      <c r="DS9" s="412">
        <f>'Peer Comp'!J136</f>
        <v>0</v>
      </c>
      <c r="DT9" s="412">
        <f>'Peer Comp'!J137</f>
        <v>0</v>
      </c>
      <c r="DU9" s="412">
        <f>'Peer Comp'!J138</f>
        <v>0</v>
      </c>
      <c r="DV9" s="412">
        <f>'Peer Comp'!J139</f>
        <v>0</v>
      </c>
      <c r="DW9" s="412">
        <f>'Peer Comp'!J140</f>
        <v>0</v>
      </c>
      <c r="DX9" s="412">
        <f>'Peer Comp'!J141</f>
        <v>0</v>
      </c>
    </row>
    <row r="10" spans="1:129" x14ac:dyDescent="0.2">
      <c r="A10" s="266">
        <f t="shared" ref="A10:G10" si="8">A8</f>
        <v>332111</v>
      </c>
      <c r="B10" s="266" t="str">
        <f t="shared" si="8"/>
        <v>asdas</v>
      </c>
      <c r="C10" s="266">
        <f t="shared" si="8"/>
        <v>0</v>
      </c>
      <c r="D10" s="266">
        <f t="shared" si="8"/>
        <v>0</v>
      </c>
      <c r="E10" s="266">
        <f t="shared" si="8"/>
        <v>0</v>
      </c>
      <c r="F10" s="266" t="str">
        <f t="shared" si="8"/>
        <v>AA+</v>
      </c>
      <c r="G10" s="266" t="str">
        <f t="shared" si="8"/>
        <v>Stable</v>
      </c>
      <c r="H10" s="403" t="str">
        <f>'Peer Comp'!K11</f>
        <v>9M</v>
      </c>
      <c r="I10" s="404" t="str">
        <f>""</f>
        <v/>
      </c>
      <c r="J10" s="405">
        <f>'Peer Comp'!K13</f>
        <v>0</v>
      </c>
      <c r="K10" s="405">
        <f>'Peer Comp'!K14</f>
        <v>0</v>
      </c>
      <c r="L10" s="405">
        <f>'Peer Comp'!K15</f>
        <v>0</v>
      </c>
      <c r="M10" s="405">
        <f>'Peer Comp'!K16</f>
        <v>0</v>
      </c>
      <c r="N10" s="404" t="str">
        <f>""</f>
        <v/>
      </c>
      <c r="O10" s="405">
        <f>'Peer Comp'!K19</f>
        <v>0</v>
      </c>
      <c r="P10" s="405">
        <f>'Peer Comp'!K20</f>
        <v>0</v>
      </c>
      <c r="Q10" s="405">
        <f>'Peer Comp'!K21</f>
        <v>0</v>
      </c>
      <c r="R10" s="406">
        <f>'Peer Comp'!K22</f>
        <v>0</v>
      </c>
      <c r="S10" s="406">
        <f>'Peer Comp'!K23</f>
        <v>0</v>
      </c>
      <c r="T10" s="405">
        <f>'Peer Comp'!K24</f>
        <v>0</v>
      </c>
      <c r="U10" s="406">
        <f>'Peer Comp'!K25</f>
        <v>0</v>
      </c>
      <c r="V10" s="405">
        <f>'Peer Comp'!K26</f>
        <v>0</v>
      </c>
      <c r="W10" s="406">
        <f>'Peer Comp'!K27</f>
        <v>0</v>
      </c>
      <c r="X10" s="407">
        <f>'Peer Comp'!K28</f>
        <v>0</v>
      </c>
      <c r="Y10" s="408">
        <f>'Peer Comp'!K29</f>
        <v>0</v>
      </c>
      <c r="Z10" s="404" t="str">
        <f>""</f>
        <v/>
      </c>
      <c r="AA10" s="408">
        <f>'Peer Comp'!K32</f>
        <v>0</v>
      </c>
      <c r="AB10" s="408">
        <f>'Peer Comp'!K33</f>
        <v>0</v>
      </c>
      <c r="AC10" s="408">
        <f>'Peer Comp'!K34</f>
        <v>0</v>
      </c>
      <c r="AD10" s="408">
        <f>'Peer Comp'!K35</f>
        <v>0</v>
      </c>
      <c r="AE10" s="409">
        <f>'Peer Comp'!K36</f>
        <v>0</v>
      </c>
      <c r="AF10" s="409" t="e">
        <f>'Peer Comp'!K37</f>
        <v>#DIV/0!</v>
      </c>
      <c r="AG10" s="410" t="e">
        <f>'Peer Comp'!K38</f>
        <v>#DIV/0!</v>
      </c>
      <c r="AH10" s="410" t="e">
        <f>'Peer Comp'!K39</f>
        <v>#DIV/0!</v>
      </c>
      <c r="AI10" s="410" t="e">
        <f>'Peer Comp'!K40</f>
        <v>#DIV/0!</v>
      </c>
      <c r="AJ10" s="410" t="e">
        <f>'Peer Comp'!K41</f>
        <v>#DIV/0!</v>
      </c>
      <c r="AK10" s="410" t="e">
        <f>'Peer Comp'!K42</f>
        <v>#DIV/0!</v>
      </c>
      <c r="AL10" s="410" t="e">
        <f>'Peer Comp'!K43</f>
        <v>#DIV/0!</v>
      </c>
      <c r="AM10" s="410" t="e">
        <f>'Peer Comp'!K44</f>
        <v>#DIV/0!</v>
      </c>
      <c r="AN10" s="410" t="e">
        <f>'Peer Comp'!K45</f>
        <v>#DIV/0!</v>
      </c>
      <c r="AO10" s="410" t="e">
        <f>'Peer Comp'!K46</f>
        <v>#DIV/0!</v>
      </c>
      <c r="AP10" s="410">
        <f>'Peer Comp'!K47</f>
        <v>0</v>
      </c>
      <c r="AQ10" s="410">
        <f>'Peer Comp'!K48</f>
        <v>0</v>
      </c>
      <c r="AR10" s="410">
        <f>'Peer Comp'!K49</f>
        <v>0</v>
      </c>
      <c r="AS10" s="410">
        <f>'Peer Comp'!K50</f>
        <v>0</v>
      </c>
      <c r="AT10" s="410">
        <f>'Peer Comp'!K51</f>
        <v>0</v>
      </c>
      <c r="AU10" s="410">
        <f>'Peer Comp'!K52</f>
        <v>0</v>
      </c>
      <c r="AV10" s="411">
        <f>'Peer Comp'!K53</f>
        <v>0</v>
      </c>
      <c r="AW10" s="404" t="str">
        <f>""</f>
        <v/>
      </c>
      <c r="AX10" s="409">
        <f>'Peer Comp'!K57</f>
        <v>0</v>
      </c>
      <c r="AY10" s="410">
        <f>'Peer Comp'!K58</f>
        <v>0</v>
      </c>
      <c r="AZ10" s="412">
        <f>'Peer Comp'!K59</f>
        <v>0</v>
      </c>
      <c r="BA10" s="407">
        <f>'Peer Comp'!K60</f>
        <v>0</v>
      </c>
      <c r="BB10" s="404" t="str">
        <f>""</f>
        <v/>
      </c>
      <c r="BC10" s="407">
        <f>'Peer Comp'!K63</f>
        <v>0</v>
      </c>
      <c r="BD10" s="407">
        <f>'Peer Comp'!K64</f>
        <v>0</v>
      </c>
      <c r="BE10" s="407">
        <f>'Peer Comp'!K65</f>
        <v>0</v>
      </c>
      <c r="BF10" s="407">
        <f>'Peer Comp'!K66</f>
        <v>0</v>
      </c>
      <c r="BG10" s="407">
        <f>'Peer Comp'!K67</f>
        <v>0</v>
      </c>
      <c r="BH10" s="407">
        <f>'Peer Comp'!K68</f>
        <v>0</v>
      </c>
      <c r="BI10" s="407">
        <f>'Peer Comp'!K69</f>
        <v>0</v>
      </c>
      <c r="BJ10" s="407">
        <f>'Peer Comp'!K70</f>
        <v>0</v>
      </c>
      <c r="BK10" s="407">
        <f>'Peer Comp'!K71</f>
        <v>0</v>
      </c>
      <c r="BL10" s="407">
        <f>'Peer Comp'!K72</f>
        <v>0</v>
      </c>
      <c r="BM10" s="407">
        <f>'Peer Comp'!K73</f>
        <v>0</v>
      </c>
      <c r="BN10" s="407">
        <f>'Peer Comp'!K74</f>
        <v>0</v>
      </c>
      <c r="BO10" s="407">
        <f>'Peer Comp'!K75</f>
        <v>0</v>
      </c>
      <c r="BP10" s="407">
        <f>'Peer Comp'!K76</f>
        <v>0</v>
      </c>
      <c r="BQ10" s="407">
        <f>'Peer Comp'!K77</f>
        <v>0</v>
      </c>
      <c r="BR10" s="407">
        <f>'Peer Comp'!K78</f>
        <v>0</v>
      </c>
      <c r="BS10" s="404" t="str">
        <f>""</f>
        <v/>
      </c>
      <c r="BT10" s="412">
        <f>'Peer Comp'!K81</f>
        <v>0</v>
      </c>
      <c r="BU10" s="412">
        <f>'Peer Comp'!K82</f>
        <v>0</v>
      </c>
      <c r="BV10" s="412">
        <f>'Peer Comp'!K83</f>
        <v>0</v>
      </c>
      <c r="BW10" s="412">
        <f>'Peer Comp'!K84</f>
        <v>0</v>
      </c>
      <c r="BX10" s="412">
        <f>'Peer Comp'!K85</f>
        <v>0</v>
      </c>
      <c r="BY10" s="404" t="str">
        <f>""</f>
        <v/>
      </c>
      <c r="BZ10" s="412">
        <f>'Peer Comp'!K88</f>
        <v>0</v>
      </c>
      <c r="CA10" s="412">
        <f>'Peer Comp'!K89</f>
        <v>0</v>
      </c>
      <c r="CB10" s="412">
        <f>'Peer Comp'!K90</f>
        <v>0</v>
      </c>
      <c r="CC10" s="412">
        <f>'Peer Comp'!K91</f>
        <v>0</v>
      </c>
      <c r="CD10" s="412">
        <f>'Peer Comp'!K92</f>
        <v>0</v>
      </c>
      <c r="CE10" s="404" t="str">
        <f>""</f>
        <v/>
      </c>
      <c r="CF10" s="412" t="e">
        <f>'Peer Comp'!K95</f>
        <v>#DIV/0!</v>
      </c>
      <c r="CG10" s="412" t="e">
        <f>'Peer Comp'!K96</f>
        <v>#DIV/0!</v>
      </c>
      <c r="CH10" s="412" t="e">
        <f>'Peer Comp'!K97</f>
        <v>#DIV/0!</v>
      </c>
      <c r="CI10" s="412">
        <f>'Peer Comp'!K98</f>
        <v>0</v>
      </c>
      <c r="CJ10" s="412">
        <f>'Peer Comp'!K99</f>
        <v>0</v>
      </c>
      <c r="CK10" s="412" t="e">
        <f>'Peer Comp'!K100</f>
        <v>#DIV/0!</v>
      </c>
      <c r="CL10" s="412" t="e">
        <f>'Peer Comp'!K101</f>
        <v>#DIV/0!</v>
      </c>
      <c r="CM10" s="412" t="e">
        <f>'Peer Comp'!K102</f>
        <v>#DIV/0!</v>
      </c>
      <c r="CN10" s="413" t="e">
        <f>'Peer Comp'!K104</f>
        <v>#DIV/0!</v>
      </c>
      <c r="CO10" s="413" t="e">
        <f>'Peer Comp'!K105</f>
        <v>#DIV/0!</v>
      </c>
      <c r="CP10" s="413" t="e">
        <f>'Peer Comp'!K106</f>
        <v>#DIV/0!</v>
      </c>
      <c r="CQ10" s="413" t="e">
        <f>'Peer Comp'!K107</f>
        <v>#DIV/0!</v>
      </c>
      <c r="CR10" s="413" t="e">
        <f>'Peer Comp'!K108</f>
        <v>#DIV/0!</v>
      </c>
      <c r="CS10" s="404" t="str">
        <f>""</f>
        <v/>
      </c>
      <c r="CT10" s="412">
        <f>'Peer Comp'!K111</f>
        <v>0</v>
      </c>
      <c r="CU10" s="412">
        <f>'Peer Comp'!K112</f>
        <v>0</v>
      </c>
      <c r="CV10" s="412">
        <f>'Peer Comp'!K113</f>
        <v>0</v>
      </c>
      <c r="CW10" s="412">
        <f>'Peer Comp'!K114</f>
        <v>0</v>
      </c>
      <c r="CX10" s="412">
        <f>'Peer Comp'!K115</f>
        <v>0</v>
      </c>
      <c r="CY10" s="412">
        <f>'Peer Comp'!K116</f>
        <v>0</v>
      </c>
      <c r="CZ10" s="412">
        <f>'Peer Comp'!K117</f>
        <v>0</v>
      </c>
      <c r="DA10" s="412">
        <f>'Peer Comp'!K118</f>
        <v>0</v>
      </c>
      <c r="DB10" s="412">
        <f>'Peer Comp'!K119</f>
        <v>0</v>
      </c>
      <c r="DC10" s="412">
        <f>'Peer Comp'!K120</f>
        <v>0</v>
      </c>
      <c r="DD10" s="412">
        <f>'Peer Comp'!K121</f>
        <v>0</v>
      </c>
      <c r="DE10" s="412">
        <f>'Peer Comp'!K122</f>
        <v>0</v>
      </c>
      <c r="DF10" s="412">
        <f>'Peer Comp'!K123</f>
        <v>0</v>
      </c>
      <c r="DG10" s="412">
        <f>'Peer Comp'!K124</f>
        <v>0</v>
      </c>
      <c r="DH10" s="412">
        <f>'Peer Comp'!K125</f>
        <v>0</v>
      </c>
      <c r="DI10" s="412">
        <f>'Peer Comp'!K126</f>
        <v>0</v>
      </c>
      <c r="DJ10" s="412">
        <f>'Peer Comp'!K127</f>
        <v>0</v>
      </c>
      <c r="DK10" s="412">
        <f>'Peer Comp'!K128</f>
        <v>0</v>
      </c>
      <c r="DL10" s="412">
        <f>'Peer Comp'!K129</f>
        <v>0</v>
      </c>
      <c r="DM10" s="412">
        <f>'Peer Comp'!K130</f>
        <v>0</v>
      </c>
      <c r="DN10" s="412">
        <f>'Peer Comp'!K131</f>
        <v>0</v>
      </c>
      <c r="DO10" s="412">
        <f>'Peer Comp'!K132</f>
        <v>0</v>
      </c>
      <c r="DP10" s="412">
        <f>'Peer Comp'!K133</f>
        <v>0</v>
      </c>
      <c r="DQ10" s="412">
        <f>'Peer Comp'!K134</f>
        <v>0</v>
      </c>
      <c r="DR10" s="412">
        <f>'Peer Comp'!K135</f>
        <v>0</v>
      </c>
      <c r="DS10" s="412">
        <f>'Peer Comp'!K136</f>
        <v>0</v>
      </c>
      <c r="DT10" s="412">
        <f>'Peer Comp'!K137</f>
        <v>0</v>
      </c>
      <c r="DU10" s="412">
        <f>'Peer Comp'!K138</f>
        <v>0</v>
      </c>
      <c r="DV10" s="412">
        <f>'Peer Comp'!K139</f>
        <v>0</v>
      </c>
      <c r="DW10" s="412">
        <f>'Peer Comp'!K140</f>
        <v>0</v>
      </c>
      <c r="DX10" s="412">
        <f>'Peer Comp'!K141</f>
        <v>0</v>
      </c>
    </row>
    <row r="11" spans="1:129" x14ac:dyDescent="0.2">
      <c r="A11" s="266">
        <f t="shared" ref="A11:G11" si="9">A9</f>
        <v>332111</v>
      </c>
      <c r="B11" s="266" t="str">
        <f t="shared" si="9"/>
        <v>asdas</v>
      </c>
      <c r="C11" s="266">
        <f t="shared" si="9"/>
        <v>0</v>
      </c>
      <c r="D11" s="266">
        <f t="shared" si="9"/>
        <v>0</v>
      </c>
      <c r="E11" s="266">
        <f t="shared" si="9"/>
        <v>0</v>
      </c>
      <c r="F11" s="266" t="str">
        <f t="shared" si="9"/>
        <v>AA+</v>
      </c>
      <c r="G11" s="266" t="str">
        <f t="shared" si="9"/>
        <v>Stable</v>
      </c>
      <c r="H11" s="403" t="str">
        <f>'Peer Comp'!L11</f>
        <v>12M</v>
      </c>
      <c r="I11" s="404" t="str">
        <f>""</f>
        <v/>
      </c>
      <c r="J11" s="405">
        <f>'Peer Comp'!L13</f>
        <v>0</v>
      </c>
      <c r="K11" s="405">
        <f>'Peer Comp'!L14</f>
        <v>0</v>
      </c>
      <c r="L11" s="405">
        <f>'Peer Comp'!L15</f>
        <v>0</v>
      </c>
      <c r="M11" s="405">
        <f>'Peer Comp'!L16</f>
        <v>0</v>
      </c>
      <c r="N11" s="404" t="str">
        <f>""</f>
        <v/>
      </c>
      <c r="O11" s="405">
        <f>'Peer Comp'!L19</f>
        <v>0</v>
      </c>
      <c r="P11" s="405">
        <f>'Peer Comp'!L20</f>
        <v>0</v>
      </c>
      <c r="Q11" s="405">
        <f>'Peer Comp'!L21</f>
        <v>0</v>
      </c>
      <c r="R11" s="406">
        <f>'Peer Comp'!L22</f>
        <v>0</v>
      </c>
      <c r="S11" s="406">
        <f>'Peer Comp'!L23</f>
        <v>0</v>
      </c>
      <c r="T11" s="405">
        <f>'Peer Comp'!L24</f>
        <v>0</v>
      </c>
      <c r="U11" s="406">
        <f>'Peer Comp'!L25</f>
        <v>0</v>
      </c>
      <c r="V11" s="405">
        <f>'Peer Comp'!L26</f>
        <v>0</v>
      </c>
      <c r="W11" s="406">
        <f>'Peer Comp'!L27</f>
        <v>0</v>
      </c>
      <c r="X11" s="407">
        <f>'Peer Comp'!L28</f>
        <v>0</v>
      </c>
      <c r="Y11" s="408">
        <f>'Peer Comp'!L29</f>
        <v>0</v>
      </c>
      <c r="Z11" s="404" t="str">
        <f>""</f>
        <v/>
      </c>
      <c r="AA11" s="408">
        <f>'Peer Comp'!L32</f>
        <v>0</v>
      </c>
      <c r="AB11" s="408">
        <f>'Peer Comp'!L33</f>
        <v>0</v>
      </c>
      <c r="AC11" s="408">
        <f>'Peer Comp'!L34</f>
        <v>0</v>
      </c>
      <c r="AD11" s="408">
        <f>'Peer Comp'!L35</f>
        <v>0</v>
      </c>
      <c r="AE11" s="409">
        <f>'Peer Comp'!L36</f>
        <v>0</v>
      </c>
      <c r="AF11" s="409" t="e">
        <f>'Peer Comp'!L37</f>
        <v>#DIV/0!</v>
      </c>
      <c r="AG11" s="410" t="e">
        <f>'Peer Comp'!L38</f>
        <v>#DIV/0!</v>
      </c>
      <c r="AH11" s="410" t="e">
        <f>'Peer Comp'!L39</f>
        <v>#DIV/0!</v>
      </c>
      <c r="AI11" s="410" t="e">
        <f>'Peer Comp'!L40</f>
        <v>#DIV/0!</v>
      </c>
      <c r="AJ11" s="410" t="e">
        <f>'Peer Comp'!L41</f>
        <v>#DIV/0!</v>
      </c>
      <c r="AK11" s="410" t="e">
        <f>'Peer Comp'!L42</f>
        <v>#DIV/0!</v>
      </c>
      <c r="AL11" s="410" t="e">
        <f>'Peer Comp'!L43</f>
        <v>#DIV/0!</v>
      </c>
      <c r="AM11" s="410" t="e">
        <f>'Peer Comp'!L44</f>
        <v>#DIV/0!</v>
      </c>
      <c r="AN11" s="410" t="e">
        <f>'Peer Comp'!L45</f>
        <v>#DIV/0!</v>
      </c>
      <c r="AO11" s="410" t="e">
        <f>'Peer Comp'!L46</f>
        <v>#DIV/0!</v>
      </c>
      <c r="AP11" s="410">
        <f>'Peer Comp'!L47</f>
        <v>0</v>
      </c>
      <c r="AQ11" s="410">
        <f>'Peer Comp'!L48</f>
        <v>0</v>
      </c>
      <c r="AR11" s="410">
        <f>'Peer Comp'!L49</f>
        <v>0</v>
      </c>
      <c r="AS11" s="410">
        <f>'Peer Comp'!L50</f>
        <v>0</v>
      </c>
      <c r="AT11" s="410">
        <f>'Peer Comp'!L51</f>
        <v>0</v>
      </c>
      <c r="AU11" s="410">
        <f>'Peer Comp'!L52</f>
        <v>0</v>
      </c>
      <c r="AV11" s="411">
        <f>'Peer Comp'!L53</f>
        <v>0</v>
      </c>
      <c r="AW11" s="404" t="str">
        <f>""</f>
        <v/>
      </c>
      <c r="AX11" s="409">
        <f>'Peer Comp'!L57</f>
        <v>0</v>
      </c>
      <c r="AY11" s="410">
        <f>'Peer Comp'!L58</f>
        <v>0</v>
      </c>
      <c r="AZ11" s="412">
        <f>'Peer Comp'!L59</f>
        <v>0</v>
      </c>
      <c r="BA11" s="407">
        <f>'Peer Comp'!L60</f>
        <v>0</v>
      </c>
      <c r="BB11" s="404" t="str">
        <f>""</f>
        <v/>
      </c>
      <c r="BC11" s="407">
        <f>'Peer Comp'!L63</f>
        <v>0</v>
      </c>
      <c r="BD11" s="407">
        <f>'Peer Comp'!L64</f>
        <v>0</v>
      </c>
      <c r="BE11" s="407">
        <f>'Peer Comp'!L65</f>
        <v>0</v>
      </c>
      <c r="BF11" s="407">
        <f>'Peer Comp'!L66</f>
        <v>0</v>
      </c>
      <c r="BG11" s="407">
        <f>'Peer Comp'!L67</f>
        <v>0</v>
      </c>
      <c r="BH11" s="407">
        <f>'Peer Comp'!L68</f>
        <v>0</v>
      </c>
      <c r="BI11" s="407">
        <f>'Peer Comp'!L69</f>
        <v>0</v>
      </c>
      <c r="BJ11" s="407">
        <f>'Peer Comp'!L70</f>
        <v>0</v>
      </c>
      <c r="BK11" s="407">
        <f>'Peer Comp'!L71</f>
        <v>0</v>
      </c>
      <c r="BL11" s="407">
        <f>'Peer Comp'!L72</f>
        <v>0</v>
      </c>
      <c r="BM11" s="407">
        <f>'Peer Comp'!L73</f>
        <v>0</v>
      </c>
      <c r="BN11" s="407">
        <f>'Peer Comp'!L74</f>
        <v>0</v>
      </c>
      <c r="BO11" s="407">
        <f>'Peer Comp'!L75</f>
        <v>0</v>
      </c>
      <c r="BP11" s="407">
        <f>'Peer Comp'!L76</f>
        <v>0</v>
      </c>
      <c r="BQ11" s="407">
        <f>'Peer Comp'!L77</f>
        <v>0</v>
      </c>
      <c r="BR11" s="407">
        <f>'Peer Comp'!L78</f>
        <v>0</v>
      </c>
      <c r="BS11" s="404" t="str">
        <f>""</f>
        <v/>
      </c>
      <c r="BT11" s="412">
        <f>'Peer Comp'!L81</f>
        <v>0</v>
      </c>
      <c r="BU11" s="412">
        <f>'Peer Comp'!L82</f>
        <v>0</v>
      </c>
      <c r="BV11" s="412">
        <f>'Peer Comp'!L83</f>
        <v>0</v>
      </c>
      <c r="BW11" s="412">
        <f>'Peer Comp'!L84</f>
        <v>0</v>
      </c>
      <c r="BX11" s="412">
        <f>'Peer Comp'!L85</f>
        <v>0</v>
      </c>
      <c r="BY11" s="404" t="str">
        <f>""</f>
        <v/>
      </c>
      <c r="BZ11" s="412">
        <f>'Peer Comp'!L88</f>
        <v>0</v>
      </c>
      <c r="CA11" s="412">
        <f>'Peer Comp'!L89</f>
        <v>0</v>
      </c>
      <c r="CB11" s="412">
        <f>'Peer Comp'!L90</f>
        <v>0</v>
      </c>
      <c r="CC11" s="412">
        <f>'Peer Comp'!L91</f>
        <v>0</v>
      </c>
      <c r="CD11" s="412">
        <f>'Peer Comp'!L92</f>
        <v>0</v>
      </c>
      <c r="CE11" s="404" t="str">
        <f>""</f>
        <v/>
      </c>
      <c r="CF11" s="412" t="e">
        <f>'Peer Comp'!L95</f>
        <v>#DIV/0!</v>
      </c>
      <c r="CG11" s="412" t="e">
        <f>'Peer Comp'!L96</f>
        <v>#DIV/0!</v>
      </c>
      <c r="CH11" s="412" t="e">
        <f>'Peer Comp'!L97</f>
        <v>#DIV/0!</v>
      </c>
      <c r="CI11" s="412">
        <f>'Peer Comp'!L98</f>
        <v>0</v>
      </c>
      <c r="CJ11" s="412">
        <f>'Peer Comp'!L99</f>
        <v>0</v>
      </c>
      <c r="CK11" s="412" t="e">
        <f>'Peer Comp'!L100</f>
        <v>#DIV/0!</v>
      </c>
      <c r="CL11" s="412" t="e">
        <f>'Peer Comp'!L101</f>
        <v>#DIV/0!</v>
      </c>
      <c r="CM11" s="412" t="e">
        <f>'Peer Comp'!L102</f>
        <v>#DIV/0!</v>
      </c>
      <c r="CN11" s="413" t="e">
        <f>'Peer Comp'!L104</f>
        <v>#DIV/0!</v>
      </c>
      <c r="CO11" s="413" t="e">
        <f>'Peer Comp'!L105</f>
        <v>#DIV/0!</v>
      </c>
      <c r="CP11" s="413" t="e">
        <f>'Peer Comp'!L106</f>
        <v>#DIV/0!</v>
      </c>
      <c r="CQ11" s="413" t="e">
        <f>'Peer Comp'!L107</f>
        <v>#DIV/0!</v>
      </c>
      <c r="CR11" s="413" t="e">
        <f>'Peer Comp'!L108</f>
        <v>#DIV/0!</v>
      </c>
      <c r="CS11" s="404" t="str">
        <f>""</f>
        <v/>
      </c>
      <c r="CT11" s="412">
        <f>'Peer Comp'!L111</f>
        <v>0</v>
      </c>
      <c r="CU11" s="412">
        <f>'Peer Comp'!L112</f>
        <v>0</v>
      </c>
      <c r="CV11" s="412">
        <f>'Peer Comp'!L113</f>
        <v>0</v>
      </c>
      <c r="CW11" s="412">
        <f>'Peer Comp'!L114</f>
        <v>0</v>
      </c>
      <c r="CX11" s="412">
        <f>'Peer Comp'!L115</f>
        <v>0</v>
      </c>
      <c r="CY11" s="412">
        <f>'Peer Comp'!L116</f>
        <v>0</v>
      </c>
      <c r="CZ11" s="412">
        <f>'Peer Comp'!L117</f>
        <v>0</v>
      </c>
      <c r="DA11" s="412">
        <f>'Peer Comp'!L118</f>
        <v>0</v>
      </c>
      <c r="DB11" s="412">
        <f>'Peer Comp'!L119</f>
        <v>0</v>
      </c>
      <c r="DC11" s="412">
        <f>'Peer Comp'!L120</f>
        <v>0</v>
      </c>
      <c r="DD11" s="412">
        <f>'Peer Comp'!L121</f>
        <v>0</v>
      </c>
      <c r="DE11" s="412">
        <f>'Peer Comp'!L122</f>
        <v>0</v>
      </c>
      <c r="DF11" s="412">
        <f>'Peer Comp'!L123</f>
        <v>0</v>
      </c>
      <c r="DG11" s="412">
        <f>'Peer Comp'!L124</f>
        <v>0</v>
      </c>
      <c r="DH11" s="412">
        <f>'Peer Comp'!L125</f>
        <v>0</v>
      </c>
      <c r="DI11" s="412">
        <f>'Peer Comp'!L126</f>
        <v>0</v>
      </c>
      <c r="DJ11" s="412">
        <f>'Peer Comp'!L127</f>
        <v>0</v>
      </c>
      <c r="DK11" s="412">
        <f>'Peer Comp'!L128</f>
        <v>0</v>
      </c>
      <c r="DL11" s="412">
        <f>'Peer Comp'!L129</f>
        <v>0</v>
      </c>
      <c r="DM11" s="412">
        <f>'Peer Comp'!L130</f>
        <v>0</v>
      </c>
      <c r="DN11" s="412">
        <f>'Peer Comp'!L131</f>
        <v>0</v>
      </c>
      <c r="DO11" s="412">
        <f>'Peer Comp'!L132</f>
        <v>0</v>
      </c>
      <c r="DP11" s="412">
        <f>'Peer Comp'!L133</f>
        <v>0</v>
      </c>
      <c r="DQ11" s="412">
        <f>'Peer Comp'!L134</f>
        <v>0</v>
      </c>
      <c r="DR11" s="412">
        <f>'Peer Comp'!L135</f>
        <v>0</v>
      </c>
      <c r="DS11" s="412">
        <f>'Peer Comp'!L136</f>
        <v>0</v>
      </c>
      <c r="DT11" s="412">
        <f>'Peer Comp'!L137</f>
        <v>0</v>
      </c>
      <c r="DU11" s="412">
        <f>'Peer Comp'!L138</f>
        <v>0</v>
      </c>
      <c r="DV11" s="412">
        <f>'Peer Comp'!L139</f>
        <v>0</v>
      </c>
      <c r="DW11" s="412">
        <f>'Peer Comp'!L140</f>
        <v>0</v>
      </c>
      <c r="DX11" s="412">
        <f>'Peer Comp'!L141</f>
        <v>0</v>
      </c>
    </row>
    <row r="15" spans="1:129" x14ac:dyDescent="0.2">
      <c r="A15" s="179"/>
      <c r="B15" s="320"/>
      <c r="C15" s="320"/>
      <c r="D15" s="320"/>
      <c r="E15" s="320"/>
      <c r="F15" s="320"/>
      <c r="G15" s="320"/>
      <c r="H15" s="320"/>
      <c r="I15" s="320"/>
      <c r="J15" s="320"/>
      <c r="K15" s="320"/>
      <c r="L15" s="320"/>
    </row>
    <row r="16" spans="1:129" x14ac:dyDescent="0.2">
      <c r="A16" s="179"/>
      <c r="B16" s="320"/>
      <c r="C16" s="320"/>
      <c r="D16" s="320"/>
      <c r="E16" s="320"/>
      <c r="F16" s="320"/>
      <c r="G16" s="320"/>
      <c r="H16" s="320"/>
      <c r="I16" s="320"/>
      <c r="J16" s="320"/>
      <c r="K16" s="320"/>
      <c r="L16" s="320"/>
    </row>
    <row r="17" spans="1:12" x14ac:dyDescent="0.2">
      <c r="A17" s="179"/>
      <c r="B17" s="320"/>
      <c r="C17" s="320"/>
      <c r="D17" s="320"/>
      <c r="E17" s="320"/>
      <c r="F17" s="320"/>
      <c r="G17" s="320"/>
      <c r="H17" s="320"/>
      <c r="I17" s="320"/>
      <c r="J17" s="320"/>
      <c r="K17" s="320"/>
      <c r="L17" s="320"/>
    </row>
    <row r="18" spans="1:12" x14ac:dyDescent="0.2">
      <c r="A18" s="179"/>
      <c r="B18" s="320"/>
      <c r="C18" s="320"/>
      <c r="D18" s="320"/>
      <c r="E18" s="320"/>
      <c r="F18" s="320"/>
      <c r="G18" s="320"/>
      <c r="H18" s="320"/>
      <c r="I18" s="320"/>
      <c r="J18" s="320"/>
      <c r="K18" s="320"/>
      <c r="L18" s="320"/>
    </row>
    <row r="19" spans="1:12" x14ac:dyDescent="0.2">
      <c r="A19" s="179"/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</row>
    <row r="20" spans="1:12" x14ac:dyDescent="0.2">
      <c r="A20" s="262"/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</row>
    <row r="21" spans="1:12" x14ac:dyDescent="0.2">
      <c r="A21" s="179"/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</row>
    <row r="22" spans="1:12" x14ac:dyDescent="0.2">
      <c r="A22" s="179"/>
      <c r="B22" s="320"/>
      <c r="C22" s="320"/>
      <c r="D22" s="320"/>
      <c r="E22" s="320"/>
      <c r="F22" s="320"/>
      <c r="G22" s="320"/>
      <c r="H22" s="320"/>
      <c r="I22" s="320"/>
      <c r="J22" s="320"/>
      <c r="K22" s="320"/>
      <c r="L22" s="320"/>
    </row>
    <row r="23" spans="1:12" x14ac:dyDescent="0.2">
      <c r="A23" s="17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</row>
    <row r="24" spans="1:12" x14ac:dyDescent="0.2">
      <c r="A24" s="179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</row>
    <row r="25" spans="1:12" x14ac:dyDescent="0.2">
      <c r="A25" s="179"/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</row>
    <row r="26" spans="1:12" x14ac:dyDescent="0.2">
      <c r="A26" s="179"/>
      <c r="B26" s="320"/>
      <c r="C26" s="320"/>
      <c r="D26" s="320"/>
      <c r="E26" s="320"/>
      <c r="F26" s="320"/>
      <c r="G26" s="320"/>
      <c r="H26" s="320"/>
      <c r="I26" s="320"/>
      <c r="J26" s="320"/>
      <c r="K26" s="320"/>
      <c r="L26" s="320"/>
    </row>
    <row r="27" spans="1:12" x14ac:dyDescent="0.2">
      <c r="A27" s="179"/>
      <c r="B27" s="313"/>
      <c r="C27" s="313"/>
      <c r="D27" s="313"/>
      <c r="E27" s="313"/>
      <c r="F27" s="313"/>
      <c r="G27" s="313"/>
      <c r="H27" s="313"/>
      <c r="I27" s="313"/>
      <c r="J27" s="313"/>
      <c r="K27" s="313"/>
      <c r="L27" s="313"/>
    </row>
    <row r="28" spans="1:12" x14ac:dyDescent="0.2">
      <c r="A28" s="179"/>
      <c r="B28" s="320"/>
      <c r="C28" s="320"/>
      <c r="D28" s="320"/>
      <c r="E28" s="320"/>
      <c r="F28" s="320"/>
      <c r="G28" s="320"/>
      <c r="H28" s="320"/>
      <c r="I28" s="320"/>
      <c r="J28" s="320"/>
      <c r="K28" s="320"/>
      <c r="L28" s="320"/>
    </row>
    <row r="29" spans="1:12" x14ac:dyDescent="0.2">
      <c r="A29" s="179"/>
      <c r="B29" s="313"/>
      <c r="C29" s="313"/>
      <c r="D29" s="313"/>
      <c r="E29" s="313"/>
      <c r="F29" s="313"/>
      <c r="G29" s="313"/>
      <c r="H29" s="313"/>
      <c r="I29" s="313"/>
      <c r="J29" s="313"/>
      <c r="K29" s="313"/>
      <c r="L29" s="313"/>
    </row>
    <row r="30" spans="1:12" x14ac:dyDescent="0.2">
      <c r="A30" s="179"/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</row>
    <row r="31" spans="1:12" x14ac:dyDescent="0.2">
      <c r="A31" s="179"/>
      <c r="B31" s="274"/>
      <c r="C31" s="274"/>
      <c r="D31" s="274"/>
      <c r="E31" s="274"/>
      <c r="F31" s="274"/>
      <c r="G31" s="274"/>
      <c r="H31" s="274"/>
      <c r="I31" s="274"/>
      <c r="J31" s="274"/>
      <c r="K31" s="274"/>
      <c r="L31" s="274"/>
    </row>
    <row r="32" spans="1:12" x14ac:dyDescent="0.2">
      <c r="A32" s="179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</row>
    <row r="33" spans="1:12" x14ac:dyDescent="0.2">
      <c r="A33" s="188"/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</row>
    <row r="34" spans="1:12" x14ac:dyDescent="0.2">
      <c r="A34" s="179"/>
      <c r="B34" s="274"/>
      <c r="C34" s="274"/>
      <c r="D34" s="274"/>
      <c r="E34" s="274"/>
      <c r="F34" s="274"/>
      <c r="G34" s="274"/>
      <c r="H34" s="274"/>
      <c r="I34" s="274"/>
      <c r="J34" s="274"/>
      <c r="K34" s="274"/>
      <c r="L34" s="274"/>
    </row>
    <row r="35" spans="1:12" x14ac:dyDescent="0.2">
      <c r="A35" s="179"/>
      <c r="B35" s="274"/>
      <c r="C35" s="274"/>
      <c r="D35" s="274"/>
      <c r="E35" s="274"/>
      <c r="F35" s="274"/>
      <c r="G35" s="274"/>
      <c r="H35" s="274"/>
      <c r="I35" s="274"/>
      <c r="J35" s="274"/>
      <c r="K35" s="274"/>
      <c r="L35" s="274"/>
    </row>
    <row r="36" spans="1:12" x14ac:dyDescent="0.2">
      <c r="A36" s="179"/>
      <c r="B36" s="274"/>
      <c r="C36" s="274"/>
      <c r="D36" s="274"/>
      <c r="E36" s="274"/>
      <c r="F36" s="274"/>
      <c r="G36" s="274"/>
      <c r="H36" s="274"/>
      <c r="I36" s="274"/>
      <c r="J36" s="274"/>
      <c r="K36" s="274"/>
      <c r="L36" s="274"/>
    </row>
    <row r="37" spans="1:12" x14ac:dyDescent="0.2">
      <c r="A37" s="179"/>
      <c r="B37" s="274"/>
      <c r="C37" s="274"/>
      <c r="D37" s="274"/>
      <c r="E37" s="274"/>
      <c r="F37" s="274"/>
      <c r="G37" s="274"/>
      <c r="H37" s="274"/>
      <c r="I37" s="274"/>
      <c r="J37" s="274"/>
      <c r="K37" s="274"/>
      <c r="L37" s="274"/>
    </row>
    <row r="38" spans="1:12" x14ac:dyDescent="0.2">
      <c r="A38" s="179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</row>
    <row r="39" spans="1:12" x14ac:dyDescent="0.2">
      <c r="A39" s="179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</row>
    <row r="40" spans="1:12" x14ac:dyDescent="0.2">
      <c r="A40" s="179"/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</row>
    <row r="41" spans="1:12" x14ac:dyDescent="0.2">
      <c r="A41" s="179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</row>
    <row r="42" spans="1:12" x14ac:dyDescent="0.2">
      <c r="A42" s="179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</row>
    <row r="43" spans="1:12" x14ac:dyDescent="0.2">
      <c r="A43" s="179"/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</row>
    <row r="44" spans="1:12" x14ac:dyDescent="0.2">
      <c r="A44" s="179"/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</row>
    <row r="45" spans="1:12" x14ac:dyDescent="0.2">
      <c r="A45" s="179"/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</row>
    <row r="46" spans="1:12" x14ac:dyDescent="0.2">
      <c r="A46" s="179"/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</row>
    <row r="47" spans="1:12" x14ac:dyDescent="0.2">
      <c r="A47" s="179"/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</row>
    <row r="48" spans="1:12" x14ac:dyDescent="0.2">
      <c r="A48" s="179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</row>
    <row r="49" spans="1:12" x14ac:dyDescent="0.2">
      <c r="A49" s="179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</row>
    <row r="50" spans="1:12" x14ac:dyDescent="0.2">
      <c r="A50" s="179"/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</row>
    <row r="51" spans="1:12" x14ac:dyDescent="0.2">
      <c r="A51" s="179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</row>
    <row r="52" spans="1:12" x14ac:dyDescent="0.2">
      <c r="A52" s="179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</row>
    <row r="53" spans="1:12" x14ac:dyDescent="0.2">
      <c r="A53" s="356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</row>
    <row r="54" spans="1:12" x14ac:dyDescent="0.2">
      <c r="A54" s="356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</row>
    <row r="55" spans="1:12" x14ac:dyDescent="0.2">
      <c r="A55" s="356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12"/>
    </row>
    <row r="56" spans="1:12" x14ac:dyDescent="0.2">
      <c r="A56" s="325"/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12"/>
    </row>
    <row r="57" spans="1:12" x14ac:dyDescent="0.2">
      <c r="A57" s="179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</row>
    <row r="58" spans="1:12" x14ac:dyDescent="0.2">
      <c r="A58" s="188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</row>
    <row r="59" spans="1:12" x14ac:dyDescent="0.2">
      <c r="A59" s="179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</row>
    <row r="60" spans="1:12" x14ac:dyDescent="0.2">
      <c r="A60" s="179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</row>
    <row r="61" spans="1:12" x14ac:dyDescent="0.2">
      <c r="A61" s="179"/>
      <c r="B61" s="233"/>
      <c r="C61" s="233"/>
      <c r="D61" s="233"/>
      <c r="E61" s="233"/>
      <c r="F61" s="233"/>
      <c r="G61" s="233"/>
      <c r="H61" s="233"/>
      <c r="I61" s="233"/>
      <c r="J61" s="233"/>
      <c r="K61" s="233"/>
      <c r="L61" s="233"/>
    </row>
    <row r="62" spans="1:12" x14ac:dyDescent="0.2">
      <c r="A62" s="179"/>
      <c r="B62" s="155"/>
      <c r="C62" s="155"/>
      <c r="D62" s="155"/>
      <c r="E62" s="155"/>
      <c r="F62" s="155"/>
      <c r="G62" s="155"/>
      <c r="H62" s="155"/>
      <c r="I62" s="155"/>
      <c r="J62" s="155"/>
      <c r="K62" s="155"/>
      <c r="L62" s="155"/>
    </row>
    <row r="63" spans="1:12" x14ac:dyDescent="0.2">
      <c r="A63" s="179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</row>
    <row r="64" spans="1:12" x14ac:dyDescent="0.2">
      <c r="A64" s="188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</row>
    <row r="65" spans="1:12" x14ac:dyDescent="0.2">
      <c r="A65" s="179"/>
      <c r="B65" s="155"/>
      <c r="C65" s="155"/>
      <c r="D65" s="155"/>
      <c r="E65" s="155"/>
      <c r="F65" s="155"/>
      <c r="G65" s="155"/>
      <c r="H65" s="155"/>
      <c r="I65" s="155"/>
      <c r="J65" s="155"/>
      <c r="K65" s="155"/>
      <c r="L65" s="155"/>
    </row>
    <row r="66" spans="1:12" x14ac:dyDescent="0.2">
      <c r="A66" s="179"/>
      <c r="B66" s="155"/>
      <c r="C66" s="155"/>
      <c r="D66" s="155"/>
      <c r="E66" s="155"/>
      <c r="F66" s="155"/>
      <c r="G66" s="155"/>
      <c r="H66" s="155"/>
      <c r="I66" s="155"/>
      <c r="J66" s="155"/>
      <c r="K66" s="155"/>
      <c r="L66" s="155"/>
    </row>
    <row r="67" spans="1:12" x14ac:dyDescent="0.2">
      <c r="A67" s="179"/>
      <c r="B67" s="155"/>
      <c r="C67" s="155"/>
      <c r="D67" s="155"/>
      <c r="E67" s="155"/>
      <c r="F67" s="155"/>
      <c r="G67" s="155"/>
      <c r="H67" s="155"/>
      <c r="I67" s="155"/>
      <c r="J67" s="155"/>
      <c r="K67" s="155"/>
      <c r="L67" s="155"/>
    </row>
    <row r="68" spans="1:12" x14ac:dyDescent="0.2">
      <c r="A68" s="179"/>
      <c r="B68" s="155"/>
      <c r="C68" s="155"/>
      <c r="D68" s="155"/>
      <c r="E68" s="155"/>
      <c r="F68" s="155"/>
      <c r="G68" s="155"/>
      <c r="H68" s="155"/>
      <c r="I68" s="155"/>
      <c r="J68" s="155"/>
      <c r="K68" s="155"/>
      <c r="L68" s="155"/>
    </row>
    <row r="69" spans="1:12" x14ac:dyDescent="0.2">
      <c r="A69" s="179"/>
      <c r="B69" s="155"/>
      <c r="C69" s="155"/>
      <c r="D69" s="155"/>
      <c r="E69" s="155"/>
      <c r="F69" s="155"/>
      <c r="G69" s="155"/>
      <c r="H69" s="155"/>
      <c r="I69" s="155"/>
      <c r="J69" s="155"/>
      <c r="K69" s="155"/>
      <c r="L69" s="155"/>
    </row>
    <row r="70" spans="1:12" x14ac:dyDescent="0.2">
      <c r="A70" s="179"/>
      <c r="B70" s="155"/>
      <c r="C70" s="155"/>
      <c r="D70" s="155"/>
      <c r="E70" s="155"/>
      <c r="F70" s="155"/>
      <c r="G70" s="155"/>
      <c r="H70" s="155"/>
      <c r="I70" s="155"/>
      <c r="J70" s="155"/>
      <c r="K70" s="155"/>
      <c r="L70" s="155"/>
    </row>
    <row r="71" spans="1:12" x14ac:dyDescent="0.2">
      <c r="A71" s="179"/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</row>
    <row r="72" spans="1:12" x14ac:dyDescent="0.2">
      <c r="A72" s="179"/>
      <c r="B72" s="155"/>
      <c r="C72" s="155"/>
      <c r="D72" s="155"/>
      <c r="E72" s="155"/>
      <c r="F72" s="155"/>
      <c r="G72" s="155"/>
      <c r="H72" s="155"/>
      <c r="I72" s="155"/>
      <c r="J72" s="155"/>
      <c r="K72" s="155"/>
      <c r="L72" s="155"/>
    </row>
    <row r="73" spans="1:12" x14ac:dyDescent="0.2">
      <c r="A73" s="179"/>
      <c r="B73" s="155"/>
      <c r="C73" s="155"/>
      <c r="D73" s="155"/>
      <c r="E73" s="155"/>
      <c r="F73" s="155"/>
      <c r="G73" s="155"/>
      <c r="H73" s="155"/>
      <c r="I73" s="155"/>
      <c r="J73" s="155"/>
      <c r="K73" s="155"/>
      <c r="L73" s="155"/>
    </row>
    <row r="74" spans="1:12" x14ac:dyDescent="0.2">
      <c r="A74" s="179"/>
      <c r="B74" s="155"/>
      <c r="C74" s="155"/>
      <c r="D74" s="155"/>
      <c r="E74" s="155"/>
      <c r="F74" s="155"/>
      <c r="G74" s="155"/>
      <c r="H74" s="155"/>
      <c r="I74" s="155"/>
      <c r="J74" s="155"/>
      <c r="K74" s="155"/>
      <c r="L74" s="155"/>
    </row>
    <row r="75" spans="1:12" x14ac:dyDescent="0.2">
      <c r="A75" s="179"/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</row>
    <row r="76" spans="1:12" x14ac:dyDescent="0.2">
      <c r="A76" s="179"/>
      <c r="B76" s="155"/>
      <c r="C76" s="155"/>
      <c r="D76" s="155"/>
      <c r="E76" s="155"/>
      <c r="F76" s="155"/>
      <c r="G76" s="155"/>
      <c r="H76" s="155"/>
      <c r="I76" s="155"/>
      <c r="J76" s="155"/>
      <c r="K76" s="155"/>
      <c r="L76" s="155"/>
    </row>
    <row r="77" spans="1:12" x14ac:dyDescent="0.2">
      <c r="A77" s="179"/>
      <c r="B77" s="155"/>
      <c r="C77" s="155"/>
      <c r="D77" s="155"/>
      <c r="E77" s="155"/>
      <c r="F77" s="155"/>
      <c r="G77" s="155"/>
      <c r="H77" s="155"/>
      <c r="I77" s="155"/>
      <c r="J77" s="155"/>
      <c r="K77" s="155"/>
      <c r="L77" s="155"/>
    </row>
    <row r="78" spans="1:12" x14ac:dyDescent="0.2">
      <c r="A78" s="179"/>
      <c r="B78" s="155"/>
      <c r="C78" s="155"/>
      <c r="D78" s="155"/>
      <c r="E78" s="155"/>
      <c r="F78" s="155"/>
      <c r="G78" s="155"/>
      <c r="H78" s="155"/>
      <c r="I78" s="155"/>
      <c r="J78" s="155"/>
      <c r="K78" s="155"/>
      <c r="L78" s="155"/>
    </row>
    <row r="79" spans="1:12" x14ac:dyDescent="0.2">
      <c r="A79" s="179"/>
      <c r="B79" s="155"/>
      <c r="C79" s="155"/>
      <c r="D79" s="155"/>
      <c r="E79" s="155"/>
      <c r="F79" s="155"/>
      <c r="G79" s="155"/>
      <c r="H79" s="155"/>
      <c r="I79" s="155"/>
      <c r="J79" s="155"/>
      <c r="K79" s="155"/>
      <c r="L79" s="155"/>
    </row>
    <row r="80" spans="1:12" x14ac:dyDescent="0.2">
      <c r="A80" s="179"/>
      <c r="B80" s="155"/>
      <c r="C80" s="155"/>
      <c r="D80" s="155"/>
      <c r="E80" s="155"/>
      <c r="F80" s="155"/>
      <c r="G80" s="155"/>
      <c r="H80" s="155"/>
      <c r="I80" s="155"/>
      <c r="J80" s="155"/>
      <c r="K80" s="155"/>
      <c r="L80" s="155"/>
    </row>
    <row r="81" spans="1:12" x14ac:dyDescent="0.2">
      <c r="A81" s="179"/>
      <c r="B81" s="233"/>
      <c r="C81" s="233"/>
      <c r="D81" s="233"/>
      <c r="E81" s="233"/>
      <c r="F81" s="233"/>
      <c r="G81" s="233"/>
      <c r="H81" s="233"/>
      <c r="I81" s="233"/>
      <c r="J81" s="233"/>
      <c r="K81" s="233"/>
      <c r="L81" s="233"/>
    </row>
    <row r="82" spans="1:12" x14ac:dyDescent="0.2">
      <c r="A82" s="188"/>
      <c r="B82" s="232"/>
      <c r="C82" s="232"/>
      <c r="D82" s="232"/>
      <c r="E82" s="232"/>
      <c r="F82" s="232"/>
      <c r="G82" s="232"/>
      <c r="H82" s="232"/>
      <c r="I82" s="232"/>
      <c r="J82" s="232"/>
      <c r="K82" s="232"/>
      <c r="L82" s="232"/>
    </row>
    <row r="83" spans="1:12" x14ac:dyDescent="0.2">
      <c r="A83" s="179"/>
      <c r="B83" s="233"/>
      <c r="C83" s="233"/>
      <c r="D83" s="233"/>
      <c r="E83" s="233"/>
      <c r="F83" s="233"/>
      <c r="G83" s="233"/>
      <c r="H83" s="233"/>
      <c r="I83" s="233"/>
      <c r="J83" s="233"/>
      <c r="K83" s="233"/>
      <c r="L83" s="233"/>
    </row>
    <row r="84" spans="1:12" x14ac:dyDescent="0.2">
      <c r="A84" s="179"/>
      <c r="B84" s="233"/>
      <c r="C84" s="233"/>
      <c r="D84" s="233"/>
      <c r="E84" s="233"/>
      <c r="F84" s="233"/>
      <c r="G84" s="233"/>
      <c r="H84" s="233"/>
      <c r="I84" s="233"/>
      <c r="J84" s="233"/>
      <c r="K84" s="233"/>
      <c r="L84" s="233"/>
    </row>
    <row r="85" spans="1:12" x14ac:dyDescent="0.2">
      <c r="A85" s="179"/>
      <c r="B85" s="233"/>
      <c r="C85" s="233"/>
      <c r="D85" s="233"/>
      <c r="E85" s="233"/>
      <c r="F85" s="233"/>
      <c r="G85" s="233"/>
      <c r="H85" s="233"/>
      <c r="I85" s="233"/>
      <c r="J85" s="233"/>
      <c r="K85" s="233"/>
      <c r="L85" s="233"/>
    </row>
    <row r="86" spans="1:12" x14ac:dyDescent="0.2">
      <c r="A86" s="179"/>
      <c r="B86" s="233"/>
      <c r="C86" s="233"/>
      <c r="D86" s="233"/>
      <c r="E86" s="233"/>
      <c r="F86" s="233"/>
      <c r="G86" s="233"/>
      <c r="H86" s="233"/>
      <c r="I86" s="233"/>
      <c r="J86" s="233"/>
      <c r="K86" s="233"/>
      <c r="L86" s="233"/>
    </row>
    <row r="87" spans="1:12" x14ac:dyDescent="0.2">
      <c r="A87" s="179"/>
      <c r="B87" s="233"/>
      <c r="C87" s="233"/>
      <c r="D87" s="233"/>
      <c r="E87" s="233"/>
      <c r="F87" s="233"/>
      <c r="G87" s="233"/>
      <c r="H87" s="233"/>
      <c r="I87" s="233"/>
      <c r="J87" s="233"/>
      <c r="K87" s="233"/>
      <c r="L87" s="233"/>
    </row>
    <row r="88" spans="1:12" x14ac:dyDescent="0.2">
      <c r="A88" s="179"/>
      <c r="B88" s="233"/>
      <c r="C88" s="233"/>
      <c r="D88" s="233"/>
      <c r="E88" s="233"/>
      <c r="F88" s="233"/>
      <c r="G88" s="233"/>
      <c r="H88" s="233"/>
      <c r="I88" s="233"/>
      <c r="J88" s="233"/>
      <c r="K88" s="233"/>
      <c r="L88" s="233"/>
    </row>
    <row r="89" spans="1:12" x14ac:dyDescent="0.2">
      <c r="A89" s="188"/>
      <c r="B89" s="232"/>
      <c r="C89" s="232"/>
      <c r="D89" s="232"/>
      <c r="E89" s="232"/>
      <c r="F89" s="232"/>
      <c r="G89" s="232"/>
      <c r="H89" s="232"/>
      <c r="I89" s="232"/>
      <c r="J89" s="232"/>
      <c r="K89" s="232"/>
      <c r="L89" s="232"/>
    </row>
    <row r="90" spans="1:12" x14ac:dyDescent="0.2">
      <c r="A90" s="179"/>
      <c r="B90" s="233"/>
      <c r="C90" s="233"/>
      <c r="D90" s="233"/>
      <c r="E90" s="233"/>
      <c r="F90" s="233"/>
      <c r="G90" s="233"/>
      <c r="H90" s="233"/>
      <c r="I90" s="233"/>
      <c r="J90" s="233"/>
      <c r="K90" s="233"/>
      <c r="L90" s="233"/>
    </row>
    <row r="91" spans="1:12" x14ac:dyDescent="0.2">
      <c r="A91" s="179"/>
      <c r="B91" s="233"/>
      <c r="C91" s="233"/>
      <c r="D91" s="233"/>
      <c r="E91" s="233"/>
      <c r="F91" s="233"/>
      <c r="G91" s="233"/>
      <c r="H91" s="233"/>
      <c r="I91" s="233"/>
      <c r="J91" s="233"/>
      <c r="K91" s="233"/>
      <c r="L91" s="233"/>
    </row>
    <row r="92" spans="1:12" x14ac:dyDescent="0.2">
      <c r="A92" s="179"/>
      <c r="B92" s="233"/>
      <c r="C92" s="233"/>
      <c r="D92" s="233"/>
      <c r="E92" s="233"/>
      <c r="F92" s="233"/>
      <c r="G92" s="233"/>
      <c r="H92" s="233"/>
      <c r="I92" s="233"/>
      <c r="J92" s="233"/>
      <c r="K92" s="233"/>
      <c r="L92" s="233"/>
    </row>
    <row r="93" spans="1:12" x14ac:dyDescent="0.2">
      <c r="A93" s="179"/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</row>
    <row r="94" spans="1:12" x14ac:dyDescent="0.2">
      <c r="A94" s="179"/>
      <c r="B94" s="233"/>
      <c r="C94" s="233"/>
      <c r="D94" s="233"/>
      <c r="E94" s="233"/>
      <c r="F94" s="233"/>
      <c r="G94" s="233"/>
      <c r="H94" s="233"/>
      <c r="I94" s="233"/>
      <c r="J94" s="233"/>
      <c r="K94" s="233"/>
      <c r="L94" s="233"/>
    </row>
    <row r="95" spans="1:12" x14ac:dyDescent="0.2">
      <c r="A95" s="179"/>
    </row>
    <row r="96" spans="1:12" x14ac:dyDescent="0.2">
      <c r="A96" s="188"/>
      <c r="B96" s="232"/>
      <c r="C96" s="232"/>
      <c r="D96" s="232"/>
      <c r="E96" s="232"/>
      <c r="F96" s="232"/>
      <c r="G96" s="232"/>
      <c r="H96" s="232"/>
      <c r="I96" s="232"/>
      <c r="J96" s="232"/>
      <c r="K96" s="232"/>
      <c r="L96" s="232"/>
    </row>
    <row r="97" spans="1:12" x14ac:dyDescent="0.2">
      <c r="A97" s="88"/>
      <c r="B97" s="233"/>
      <c r="C97" s="233"/>
      <c r="D97" s="233"/>
      <c r="E97" s="233"/>
      <c r="F97" s="233"/>
      <c r="G97" s="233"/>
      <c r="H97" s="233"/>
      <c r="I97" s="233"/>
      <c r="J97" s="233"/>
      <c r="K97" s="233"/>
      <c r="L97" s="233"/>
    </row>
    <row r="98" spans="1:12" x14ac:dyDescent="0.2">
      <c r="A98" s="88"/>
      <c r="B98" s="233"/>
      <c r="C98" s="233"/>
      <c r="D98" s="233"/>
      <c r="E98" s="233"/>
      <c r="F98" s="233"/>
      <c r="G98" s="233"/>
      <c r="H98" s="233"/>
      <c r="I98" s="233"/>
      <c r="J98" s="233"/>
      <c r="K98" s="233"/>
      <c r="L98" s="233"/>
    </row>
    <row r="99" spans="1:12" x14ac:dyDescent="0.2">
      <c r="A99" s="88"/>
      <c r="B99" s="233"/>
      <c r="C99" s="233"/>
      <c r="D99" s="233"/>
      <c r="E99" s="233"/>
      <c r="F99" s="233"/>
      <c r="G99" s="233"/>
      <c r="H99" s="233"/>
      <c r="I99" s="233"/>
      <c r="J99" s="233"/>
      <c r="K99" s="233"/>
      <c r="L99" s="233"/>
    </row>
    <row r="100" spans="1:12" x14ac:dyDescent="0.2">
      <c r="A100" s="179"/>
      <c r="B100" s="233"/>
      <c r="C100" s="233"/>
      <c r="D100" s="233"/>
      <c r="E100" s="233"/>
      <c r="F100" s="233"/>
      <c r="G100" s="233"/>
      <c r="H100" s="233"/>
      <c r="I100" s="233"/>
      <c r="J100" s="233"/>
      <c r="K100" s="233"/>
      <c r="L100" s="233"/>
    </row>
    <row r="101" spans="1:12" x14ac:dyDescent="0.2">
      <c r="A101" s="239"/>
      <c r="B101" s="233"/>
      <c r="C101" s="233"/>
      <c r="D101" s="233"/>
      <c r="E101" s="233"/>
      <c r="F101" s="233"/>
      <c r="G101" s="233"/>
      <c r="H101" s="233"/>
      <c r="I101" s="233"/>
      <c r="J101" s="233"/>
      <c r="K101" s="233"/>
      <c r="L101" s="233"/>
    </row>
    <row r="102" spans="1:12" x14ac:dyDescent="0.2">
      <c r="A102" s="88"/>
      <c r="B102" s="233"/>
      <c r="C102" s="233"/>
      <c r="D102" s="233"/>
      <c r="E102" s="233"/>
      <c r="F102" s="233"/>
      <c r="G102" s="233"/>
      <c r="H102" s="233"/>
      <c r="I102" s="233"/>
      <c r="J102" s="233"/>
      <c r="K102" s="233"/>
      <c r="L102" s="233"/>
    </row>
    <row r="103" spans="1:12" x14ac:dyDescent="0.2">
      <c r="A103" s="88"/>
      <c r="B103" s="233"/>
      <c r="C103" s="233"/>
      <c r="D103" s="233"/>
      <c r="E103" s="233"/>
      <c r="F103" s="233"/>
      <c r="G103" s="233"/>
      <c r="H103" s="233"/>
      <c r="I103" s="233"/>
      <c r="J103" s="233"/>
      <c r="K103" s="233"/>
      <c r="L103" s="233"/>
    </row>
    <row r="104" spans="1:12" x14ac:dyDescent="0.2">
      <c r="A104" s="88"/>
      <c r="B104" s="233"/>
      <c r="C104" s="233"/>
      <c r="D104" s="233"/>
      <c r="E104" s="233"/>
      <c r="F104" s="233"/>
      <c r="G104" s="233"/>
      <c r="H104" s="233"/>
      <c r="I104" s="233"/>
      <c r="J104" s="233"/>
      <c r="K104" s="233"/>
      <c r="L104" s="233"/>
    </row>
    <row r="105" spans="1:12" x14ac:dyDescent="0.2">
      <c r="A105" s="88"/>
    </row>
    <row r="106" spans="1:12" x14ac:dyDescent="0.2">
      <c r="A106" s="88"/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</row>
    <row r="107" spans="1:12" x14ac:dyDescent="0.2">
      <c r="A107" s="88"/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</row>
    <row r="108" spans="1:12" x14ac:dyDescent="0.2">
      <c r="A108" s="88"/>
      <c r="B108" s="177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</row>
    <row r="109" spans="1:12" x14ac:dyDescent="0.2">
      <c r="A109" s="88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</row>
    <row r="110" spans="1:12" x14ac:dyDescent="0.2">
      <c r="A110" s="88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</row>
    <row r="111" spans="1:12" x14ac:dyDescent="0.2">
      <c r="A111" s="88"/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</row>
    <row r="112" spans="1:12" x14ac:dyDescent="0.2">
      <c r="A112" s="188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19"/>
    </row>
    <row r="113" spans="1:12" x14ac:dyDescent="0.2">
      <c r="A113" s="88"/>
      <c r="B113" s="233"/>
      <c r="C113" s="233"/>
      <c r="D113" s="233"/>
      <c r="E113" s="233"/>
      <c r="F113" s="233"/>
      <c r="G113" s="233"/>
      <c r="H113" s="233"/>
      <c r="I113" s="233"/>
      <c r="J113" s="233"/>
      <c r="K113" s="233"/>
      <c r="L113" s="233"/>
    </row>
    <row r="114" spans="1:12" x14ac:dyDescent="0.2">
      <c r="A114" s="88"/>
      <c r="B114" s="233"/>
      <c r="C114" s="233"/>
      <c r="D114" s="233"/>
      <c r="E114" s="233"/>
      <c r="F114" s="233"/>
      <c r="G114" s="233"/>
      <c r="H114" s="233"/>
      <c r="I114" s="233"/>
      <c r="J114" s="233"/>
      <c r="K114" s="233"/>
      <c r="L114" s="233"/>
    </row>
    <row r="115" spans="1:12" x14ac:dyDescent="0.2">
      <c r="A115" s="88"/>
      <c r="B115" s="233"/>
      <c r="C115" s="233"/>
      <c r="D115" s="233"/>
      <c r="E115" s="233"/>
      <c r="F115" s="233"/>
      <c r="G115" s="233"/>
      <c r="H115" s="233"/>
      <c r="I115" s="233"/>
      <c r="J115" s="233"/>
      <c r="K115" s="233"/>
      <c r="L115" s="233"/>
    </row>
    <row r="116" spans="1:12" x14ac:dyDescent="0.2">
      <c r="A116" s="88"/>
      <c r="B116" s="233"/>
      <c r="C116" s="233"/>
      <c r="D116" s="233"/>
      <c r="E116" s="233"/>
      <c r="F116" s="233"/>
      <c r="G116" s="233"/>
      <c r="H116" s="233"/>
      <c r="I116" s="233"/>
      <c r="J116" s="233"/>
      <c r="K116" s="233"/>
      <c r="L116" s="233"/>
    </row>
    <row r="117" spans="1:12" x14ac:dyDescent="0.2">
      <c r="A117" s="88"/>
      <c r="B117" s="233"/>
      <c r="C117" s="233"/>
      <c r="D117" s="233"/>
      <c r="E117" s="233"/>
      <c r="F117" s="233"/>
      <c r="G117" s="233"/>
      <c r="H117" s="233"/>
      <c r="I117" s="233"/>
      <c r="J117" s="233"/>
      <c r="K117" s="233"/>
      <c r="L117" s="233"/>
    </row>
    <row r="118" spans="1:12" x14ac:dyDescent="0.2">
      <c r="A118" s="88"/>
      <c r="B118" s="233"/>
      <c r="C118" s="233"/>
      <c r="D118" s="233"/>
      <c r="E118" s="233"/>
      <c r="F118" s="233"/>
      <c r="G118" s="233"/>
      <c r="H118" s="233"/>
      <c r="I118" s="233"/>
      <c r="J118" s="233"/>
      <c r="K118" s="233"/>
      <c r="L118" s="233"/>
    </row>
    <row r="119" spans="1:12" x14ac:dyDescent="0.2">
      <c r="A119" s="88"/>
      <c r="B119" s="233"/>
      <c r="C119" s="233"/>
      <c r="D119" s="233"/>
      <c r="E119" s="233"/>
      <c r="F119" s="233"/>
      <c r="G119" s="233"/>
      <c r="H119" s="233"/>
      <c r="I119" s="233"/>
      <c r="J119" s="233"/>
      <c r="K119" s="233"/>
      <c r="L119" s="233"/>
    </row>
    <row r="120" spans="1:12" x14ac:dyDescent="0.2">
      <c r="A120" s="88"/>
      <c r="B120" s="233"/>
      <c r="C120" s="233"/>
      <c r="D120" s="233"/>
      <c r="E120" s="233"/>
      <c r="F120" s="233"/>
      <c r="G120" s="233"/>
      <c r="H120" s="233"/>
      <c r="I120" s="233"/>
      <c r="J120" s="233"/>
      <c r="K120" s="233"/>
      <c r="L120" s="233"/>
    </row>
    <row r="121" spans="1:12" x14ac:dyDescent="0.2">
      <c r="A121" s="88"/>
      <c r="B121" s="233"/>
      <c r="C121" s="233"/>
      <c r="D121" s="233"/>
      <c r="E121" s="233"/>
      <c r="F121" s="233"/>
      <c r="G121" s="233"/>
      <c r="H121" s="233"/>
      <c r="I121" s="233"/>
      <c r="J121" s="233"/>
      <c r="K121" s="233"/>
      <c r="L121" s="233"/>
    </row>
    <row r="122" spans="1:12" x14ac:dyDescent="0.2">
      <c r="A122" s="88"/>
      <c r="B122" s="233"/>
      <c r="C122" s="233"/>
      <c r="D122" s="233"/>
      <c r="E122" s="233"/>
      <c r="F122" s="233"/>
      <c r="G122" s="233"/>
      <c r="H122" s="233"/>
      <c r="I122" s="233"/>
      <c r="J122" s="233"/>
      <c r="K122" s="233"/>
      <c r="L122" s="233"/>
    </row>
    <row r="123" spans="1:12" x14ac:dyDescent="0.2">
      <c r="A123" s="88"/>
      <c r="B123" s="233"/>
      <c r="C123" s="233"/>
      <c r="D123" s="233"/>
      <c r="E123" s="233"/>
      <c r="F123" s="233"/>
      <c r="G123" s="233"/>
      <c r="H123" s="233"/>
      <c r="I123" s="233"/>
      <c r="J123" s="233"/>
      <c r="K123" s="233"/>
      <c r="L123" s="233"/>
    </row>
    <row r="124" spans="1:12" x14ac:dyDescent="0.2">
      <c r="A124" s="88"/>
      <c r="B124" s="233"/>
      <c r="C124" s="233"/>
      <c r="D124" s="233"/>
      <c r="E124" s="233"/>
      <c r="F124" s="233"/>
      <c r="G124" s="233"/>
      <c r="H124" s="233"/>
      <c r="I124" s="233"/>
      <c r="J124" s="233"/>
      <c r="K124" s="233"/>
      <c r="L124" s="233"/>
    </row>
    <row r="125" spans="1:12" x14ac:dyDescent="0.2">
      <c r="A125" s="88"/>
      <c r="B125" s="233"/>
      <c r="C125" s="233"/>
      <c r="D125" s="233"/>
      <c r="E125" s="233"/>
      <c r="F125" s="233"/>
      <c r="G125" s="233"/>
      <c r="H125" s="233"/>
      <c r="I125" s="233"/>
      <c r="J125" s="233"/>
      <c r="K125" s="233"/>
      <c r="L125" s="233"/>
    </row>
    <row r="126" spans="1:12" x14ac:dyDescent="0.2">
      <c r="A126" s="88"/>
      <c r="B126" s="233"/>
      <c r="C126" s="233"/>
      <c r="D126" s="233"/>
      <c r="E126" s="233"/>
      <c r="F126" s="233"/>
      <c r="G126" s="233"/>
      <c r="H126" s="233"/>
      <c r="I126" s="233"/>
      <c r="J126" s="233"/>
      <c r="K126" s="233"/>
      <c r="L126" s="233"/>
    </row>
    <row r="127" spans="1:12" x14ac:dyDescent="0.2">
      <c r="A127" s="88"/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</row>
    <row r="128" spans="1:12" x14ac:dyDescent="0.2">
      <c r="A128" s="88"/>
      <c r="B128" s="233"/>
      <c r="C128" s="233"/>
      <c r="D128" s="233"/>
      <c r="E128" s="233"/>
      <c r="F128" s="233"/>
      <c r="G128" s="233"/>
      <c r="H128" s="233"/>
      <c r="I128" s="233"/>
      <c r="J128" s="233"/>
      <c r="K128" s="233"/>
      <c r="L128" s="233"/>
    </row>
    <row r="129" spans="1:12" x14ac:dyDescent="0.2">
      <c r="A129" s="88"/>
      <c r="B129" s="233"/>
      <c r="C129" s="233"/>
      <c r="D129" s="233"/>
      <c r="E129" s="233"/>
      <c r="F129" s="233"/>
      <c r="G129" s="233"/>
      <c r="H129" s="233"/>
      <c r="I129" s="233"/>
      <c r="J129" s="233"/>
      <c r="K129" s="233"/>
      <c r="L129" s="233"/>
    </row>
    <row r="130" spans="1:12" x14ac:dyDescent="0.2">
      <c r="A130" s="88"/>
      <c r="B130" s="233"/>
      <c r="C130" s="233"/>
      <c r="D130" s="233"/>
      <c r="E130" s="233"/>
      <c r="F130" s="233"/>
      <c r="G130" s="233"/>
      <c r="H130" s="233"/>
      <c r="I130" s="233"/>
      <c r="J130" s="233"/>
      <c r="K130" s="233"/>
      <c r="L130" s="233"/>
    </row>
    <row r="131" spans="1:12" x14ac:dyDescent="0.2">
      <c r="A131" s="88"/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</row>
    <row r="132" spans="1:12" x14ac:dyDescent="0.2">
      <c r="A132" s="88"/>
      <c r="B132" s="233"/>
      <c r="C132" s="233"/>
      <c r="D132" s="233"/>
      <c r="E132" s="233"/>
      <c r="F132" s="233"/>
      <c r="G132" s="233"/>
      <c r="H132" s="233"/>
      <c r="I132" s="233"/>
      <c r="J132" s="233"/>
      <c r="K132" s="233"/>
      <c r="L132" s="233"/>
    </row>
    <row r="133" spans="1:12" x14ac:dyDescent="0.2">
      <c r="A133" s="88"/>
      <c r="B133" s="233"/>
      <c r="C133" s="233"/>
      <c r="D133" s="233"/>
      <c r="E133" s="233"/>
      <c r="F133" s="233"/>
      <c r="G133" s="233"/>
      <c r="H133" s="233"/>
      <c r="I133" s="233"/>
      <c r="J133" s="233"/>
      <c r="K133" s="233"/>
      <c r="L133" s="233"/>
    </row>
    <row r="134" spans="1:12" x14ac:dyDescent="0.2">
      <c r="A134" s="88"/>
      <c r="B134" s="233"/>
      <c r="C134" s="233"/>
      <c r="D134" s="233"/>
      <c r="E134" s="233"/>
      <c r="F134" s="233"/>
      <c r="G134" s="233"/>
      <c r="H134" s="233"/>
      <c r="I134" s="233"/>
      <c r="J134" s="233"/>
      <c r="K134" s="233"/>
      <c r="L134" s="233"/>
    </row>
    <row r="135" spans="1:12" x14ac:dyDescent="0.2">
      <c r="A135" s="88"/>
      <c r="B135" s="233"/>
      <c r="C135" s="233"/>
      <c r="D135" s="233"/>
      <c r="E135" s="233"/>
      <c r="F135" s="233"/>
      <c r="G135" s="233"/>
      <c r="H135" s="233"/>
      <c r="I135" s="233"/>
      <c r="J135" s="233"/>
      <c r="K135" s="233"/>
      <c r="L135" s="233"/>
    </row>
    <row r="136" spans="1:12" x14ac:dyDescent="0.2">
      <c r="A136" s="88"/>
      <c r="B136" s="233"/>
      <c r="C136" s="233"/>
      <c r="D136" s="233"/>
      <c r="E136" s="233"/>
      <c r="F136" s="233"/>
      <c r="G136" s="233"/>
      <c r="H136" s="233"/>
      <c r="I136" s="233"/>
      <c r="J136" s="233"/>
      <c r="K136" s="233"/>
      <c r="L136" s="233"/>
    </row>
    <row r="137" spans="1:12" x14ac:dyDescent="0.2">
      <c r="A137" s="88"/>
      <c r="B137" s="233"/>
      <c r="C137" s="233"/>
      <c r="D137" s="233"/>
      <c r="E137" s="233"/>
      <c r="F137" s="233"/>
      <c r="G137" s="233"/>
      <c r="H137" s="233"/>
      <c r="I137" s="233"/>
      <c r="J137" s="233"/>
      <c r="K137" s="233"/>
      <c r="L137" s="233"/>
    </row>
    <row r="138" spans="1:12" x14ac:dyDescent="0.2">
      <c r="A138" s="88"/>
      <c r="B138" s="233"/>
      <c r="C138" s="233"/>
      <c r="D138" s="233"/>
      <c r="E138" s="233"/>
      <c r="F138" s="233"/>
      <c r="G138" s="233"/>
      <c r="H138" s="233"/>
      <c r="I138" s="233"/>
      <c r="J138" s="233"/>
      <c r="K138" s="233"/>
      <c r="L138" s="233"/>
    </row>
    <row r="139" spans="1:12" x14ac:dyDescent="0.2">
      <c r="A139" s="88"/>
      <c r="B139" s="233"/>
      <c r="C139" s="233"/>
      <c r="D139" s="233"/>
      <c r="E139" s="233"/>
      <c r="F139" s="233"/>
      <c r="G139" s="233"/>
      <c r="H139" s="233"/>
      <c r="I139" s="233"/>
      <c r="J139" s="233"/>
      <c r="K139" s="233"/>
      <c r="L139" s="233"/>
    </row>
    <row r="140" spans="1:12" x14ac:dyDescent="0.2">
      <c r="A140" s="88"/>
      <c r="B140" s="233"/>
      <c r="C140" s="233"/>
      <c r="D140" s="233"/>
      <c r="E140" s="233"/>
      <c r="F140" s="233"/>
      <c r="G140" s="233"/>
      <c r="H140" s="233"/>
      <c r="I140" s="233"/>
      <c r="J140" s="233"/>
      <c r="K140" s="233"/>
      <c r="L140" s="233"/>
    </row>
    <row r="141" spans="1:12" x14ac:dyDescent="0.2">
      <c r="A141" s="88"/>
      <c r="B141" s="233"/>
      <c r="C141" s="233"/>
      <c r="D141" s="233"/>
      <c r="E141" s="233"/>
      <c r="F141" s="233"/>
      <c r="G141" s="233"/>
      <c r="H141" s="233"/>
      <c r="I141" s="233"/>
      <c r="J141" s="233"/>
      <c r="K141" s="233"/>
      <c r="L141" s="233"/>
    </row>
    <row r="142" spans="1:12" x14ac:dyDescent="0.2">
      <c r="A142" s="88"/>
      <c r="B142" s="233"/>
      <c r="C142" s="233"/>
      <c r="D142" s="233"/>
      <c r="E142" s="233"/>
      <c r="F142" s="233"/>
      <c r="G142" s="233"/>
      <c r="H142" s="233"/>
      <c r="I142" s="233"/>
      <c r="J142" s="233"/>
      <c r="K142" s="233"/>
      <c r="L142" s="233"/>
    </row>
    <row r="143" spans="1:12" x14ac:dyDescent="0.2">
      <c r="A143" s="88"/>
      <c r="B143" s="233"/>
      <c r="C143" s="233"/>
      <c r="D143" s="233"/>
      <c r="E143" s="233"/>
      <c r="F143" s="233"/>
      <c r="G143" s="233"/>
      <c r="H143" s="233"/>
      <c r="I143" s="233"/>
      <c r="J143" s="233"/>
      <c r="K143" s="233"/>
      <c r="L143" s="233"/>
    </row>
    <row r="144" spans="1:12" x14ac:dyDescent="0.2">
      <c r="A144" s="269"/>
      <c r="B144" s="269"/>
      <c r="C144" s="269"/>
    </row>
    <row r="145" spans="1:3" x14ac:dyDescent="0.2">
      <c r="A145" s="269"/>
      <c r="B145" s="269"/>
      <c r="C145" s="269"/>
    </row>
    <row r="146" spans="1:3" x14ac:dyDescent="0.2">
      <c r="A146" s="269"/>
      <c r="B146" s="269"/>
      <c r="C146" s="269"/>
    </row>
    <row r="147" spans="1:3" x14ac:dyDescent="0.2">
      <c r="A147" s="269"/>
      <c r="B147" s="269"/>
      <c r="C147" s="269"/>
    </row>
    <row r="148" spans="1:3" x14ac:dyDescent="0.2">
      <c r="A148" s="269"/>
      <c r="B148" s="269"/>
      <c r="C148" s="269"/>
    </row>
    <row r="149" spans="1:3" x14ac:dyDescent="0.2">
      <c r="A149" s="269"/>
      <c r="B149" s="269"/>
      <c r="C149" s="269"/>
    </row>
    <row r="150" spans="1:3" x14ac:dyDescent="0.2">
      <c r="A150" s="269"/>
      <c r="B150" s="269"/>
      <c r="C150" s="269"/>
    </row>
    <row r="151" spans="1:3" x14ac:dyDescent="0.2">
      <c r="A151" s="269"/>
      <c r="B151" s="269"/>
      <c r="C151" s="269"/>
    </row>
    <row r="152" spans="1:3" x14ac:dyDescent="0.2">
      <c r="A152" s="269"/>
      <c r="B152" s="269"/>
      <c r="C152" s="269"/>
    </row>
    <row r="153" spans="1:3" x14ac:dyDescent="0.2">
      <c r="A153" s="269"/>
      <c r="B153" s="269"/>
      <c r="C153" s="269"/>
    </row>
    <row r="154" spans="1:3" x14ac:dyDescent="0.2">
      <c r="A154" s="269"/>
      <c r="B154" s="269"/>
      <c r="C154" s="269"/>
    </row>
    <row r="155" spans="1:3" x14ac:dyDescent="0.2">
      <c r="A155" s="269"/>
      <c r="B155" s="269"/>
      <c r="C155" s="269"/>
    </row>
    <row r="156" spans="1:3" x14ac:dyDescent="0.2">
      <c r="A156" s="269"/>
      <c r="B156" s="269"/>
      <c r="C156" s="269"/>
    </row>
    <row r="157" spans="1:3" x14ac:dyDescent="0.2">
      <c r="A157" s="269"/>
      <c r="B157" s="269"/>
      <c r="C157" s="269"/>
    </row>
    <row r="158" spans="1:3" x14ac:dyDescent="0.2">
      <c r="A158" s="269"/>
      <c r="B158" s="269"/>
      <c r="C158" s="269"/>
    </row>
    <row r="159" spans="1:3" x14ac:dyDescent="0.2">
      <c r="A159" s="269"/>
      <c r="B159" s="269"/>
      <c r="C159" s="269"/>
    </row>
    <row r="160" spans="1:3" x14ac:dyDescent="0.2">
      <c r="A160" s="269"/>
      <c r="B160" s="269"/>
      <c r="C160" s="269"/>
    </row>
    <row r="161" spans="1:3" x14ac:dyDescent="0.2">
      <c r="A161" s="269"/>
      <c r="B161" s="269"/>
      <c r="C161" s="269"/>
    </row>
    <row r="162" spans="1:3" x14ac:dyDescent="0.2">
      <c r="A162" s="269"/>
      <c r="B162" s="269"/>
      <c r="C162" s="269"/>
    </row>
    <row r="163" spans="1:3" x14ac:dyDescent="0.2">
      <c r="A163" s="269"/>
      <c r="B163" s="269"/>
      <c r="C163" s="269"/>
    </row>
    <row r="164" spans="1:3" x14ac:dyDescent="0.2">
      <c r="A164" s="269"/>
      <c r="B164" s="269"/>
      <c r="C164" s="269"/>
    </row>
    <row r="165" spans="1:3" x14ac:dyDescent="0.2">
      <c r="A165" s="269"/>
      <c r="B165" s="269"/>
      <c r="C165" s="269"/>
    </row>
    <row r="166" spans="1:3" x14ac:dyDescent="0.2">
      <c r="A166" s="269"/>
      <c r="B166" s="269"/>
      <c r="C166" s="269"/>
    </row>
    <row r="167" spans="1:3" x14ac:dyDescent="0.2">
      <c r="A167" s="269"/>
      <c r="B167" s="269"/>
      <c r="C167" s="269"/>
    </row>
    <row r="168" spans="1:3" x14ac:dyDescent="0.2">
      <c r="A168" s="269"/>
      <c r="B168" s="269"/>
      <c r="C168" s="269"/>
    </row>
    <row r="169" spans="1:3" x14ac:dyDescent="0.2">
      <c r="A169" s="269"/>
      <c r="B169" s="269"/>
      <c r="C169" s="269"/>
    </row>
    <row r="170" spans="1:3" x14ac:dyDescent="0.2">
      <c r="A170" s="269"/>
      <c r="B170" s="269"/>
      <c r="C170" s="269"/>
    </row>
    <row r="171" spans="1:3" x14ac:dyDescent="0.2">
      <c r="A171" s="269"/>
      <c r="B171" s="269"/>
      <c r="C171" s="269"/>
    </row>
    <row r="172" spans="1:3" x14ac:dyDescent="0.2">
      <c r="A172" s="269"/>
      <c r="B172" s="269"/>
      <c r="C172" s="269"/>
    </row>
    <row r="173" spans="1:3" x14ac:dyDescent="0.2">
      <c r="A173" s="269"/>
      <c r="B173" s="269"/>
      <c r="C173" s="269"/>
    </row>
    <row r="174" spans="1:3" x14ac:dyDescent="0.2">
      <c r="A174" s="269"/>
      <c r="B174" s="269"/>
      <c r="C174" s="269"/>
    </row>
    <row r="175" spans="1:3" x14ac:dyDescent="0.2">
      <c r="A175" s="269"/>
      <c r="B175" s="269"/>
      <c r="C175" s="269"/>
    </row>
    <row r="176" spans="1:3" x14ac:dyDescent="0.2">
      <c r="A176" s="269"/>
      <c r="B176" s="269"/>
      <c r="C176" s="269"/>
    </row>
    <row r="177" spans="1:3" x14ac:dyDescent="0.2">
      <c r="A177" s="269"/>
      <c r="B177" s="269"/>
      <c r="C177" s="269"/>
    </row>
    <row r="178" spans="1:3" x14ac:dyDescent="0.2">
      <c r="A178" s="269"/>
      <c r="B178" s="269"/>
      <c r="C178" s="269"/>
    </row>
    <row r="179" spans="1:3" x14ac:dyDescent="0.2">
      <c r="A179" s="269"/>
      <c r="B179" s="269"/>
      <c r="C179" s="269"/>
    </row>
    <row r="180" spans="1:3" x14ac:dyDescent="0.2">
      <c r="A180" s="269"/>
      <c r="B180" s="269"/>
      <c r="C180" s="269"/>
    </row>
    <row r="181" spans="1:3" x14ac:dyDescent="0.2">
      <c r="A181" s="269"/>
      <c r="B181" s="269"/>
      <c r="C181" s="269"/>
    </row>
    <row r="182" spans="1:3" x14ac:dyDescent="0.2">
      <c r="A182" s="269"/>
      <c r="B182" s="269"/>
      <c r="C182" s="269"/>
    </row>
    <row r="183" spans="1:3" x14ac:dyDescent="0.2">
      <c r="A183" s="269"/>
      <c r="B183" s="269"/>
      <c r="C183" s="269"/>
    </row>
    <row r="184" spans="1:3" x14ac:dyDescent="0.2">
      <c r="A184" s="269"/>
      <c r="B184" s="269"/>
      <c r="C184" s="269"/>
    </row>
    <row r="185" spans="1:3" x14ac:dyDescent="0.2">
      <c r="A185" s="269"/>
      <c r="B185" s="269"/>
      <c r="C185" s="269"/>
    </row>
    <row r="186" spans="1:3" x14ac:dyDescent="0.2">
      <c r="A186" s="269"/>
      <c r="B186" s="269"/>
      <c r="C186" s="269"/>
    </row>
    <row r="187" spans="1:3" x14ac:dyDescent="0.2">
      <c r="A187" s="269"/>
      <c r="B187" s="269"/>
      <c r="C187" s="269"/>
    </row>
    <row r="188" spans="1:3" x14ac:dyDescent="0.2">
      <c r="A188" s="269"/>
      <c r="B188" s="269"/>
      <c r="C188" s="269"/>
    </row>
    <row r="189" spans="1:3" x14ac:dyDescent="0.2">
      <c r="A189" s="269"/>
      <c r="B189" s="269"/>
      <c r="C189" s="269"/>
    </row>
    <row r="190" spans="1:3" x14ac:dyDescent="0.2">
      <c r="A190" s="269"/>
      <c r="B190" s="269"/>
      <c r="C190" s="269"/>
    </row>
    <row r="191" spans="1:3" x14ac:dyDescent="0.2">
      <c r="A191" s="269"/>
      <c r="B191" s="269"/>
      <c r="C191" s="269"/>
    </row>
    <row r="192" spans="1:3" x14ac:dyDescent="0.2">
      <c r="A192" s="269"/>
      <c r="B192" s="269"/>
      <c r="C192" s="269"/>
    </row>
    <row r="193" spans="1:3" x14ac:dyDescent="0.2">
      <c r="A193" s="269"/>
      <c r="B193" s="269"/>
      <c r="C193" s="269"/>
    </row>
    <row r="194" spans="1:3" x14ac:dyDescent="0.2">
      <c r="A194" s="269"/>
      <c r="B194" s="269"/>
      <c r="C194" s="269"/>
    </row>
    <row r="195" spans="1:3" x14ac:dyDescent="0.2">
      <c r="A195" s="269"/>
      <c r="B195" s="269"/>
      <c r="C195" s="269"/>
    </row>
    <row r="196" spans="1:3" x14ac:dyDescent="0.2">
      <c r="A196" s="269"/>
      <c r="B196" s="269"/>
      <c r="C196" s="269"/>
    </row>
    <row r="197" spans="1:3" x14ac:dyDescent="0.2">
      <c r="A197" s="269"/>
      <c r="B197" s="269"/>
      <c r="C197" s="269"/>
    </row>
    <row r="198" spans="1:3" x14ac:dyDescent="0.2">
      <c r="A198" s="269"/>
      <c r="B198" s="269"/>
      <c r="C198" s="269"/>
    </row>
    <row r="199" spans="1:3" x14ac:dyDescent="0.2">
      <c r="A199" s="269"/>
      <c r="B199" s="269"/>
      <c r="C199" s="269"/>
    </row>
    <row r="200" spans="1:3" x14ac:dyDescent="0.2">
      <c r="A200" s="269"/>
      <c r="B200" s="269"/>
      <c r="C200" s="269"/>
    </row>
    <row r="201" spans="1:3" x14ac:dyDescent="0.2">
      <c r="A201" s="269"/>
      <c r="B201" s="269"/>
      <c r="C201" s="269"/>
    </row>
    <row r="202" spans="1:3" x14ac:dyDescent="0.2">
      <c r="A202" s="269"/>
      <c r="B202" s="269"/>
      <c r="C202" s="269"/>
    </row>
    <row r="203" spans="1:3" x14ac:dyDescent="0.2">
      <c r="A203" s="269"/>
      <c r="B203" s="269"/>
      <c r="C203" s="269"/>
    </row>
    <row r="204" spans="1:3" x14ac:dyDescent="0.2">
      <c r="A204" s="269"/>
      <c r="B204" s="269"/>
      <c r="C204" s="269"/>
    </row>
    <row r="205" spans="1:3" x14ac:dyDescent="0.2">
      <c r="A205" s="269"/>
      <c r="B205" s="269"/>
      <c r="C205" s="269"/>
    </row>
    <row r="206" spans="1:3" x14ac:dyDescent="0.2">
      <c r="A206" s="269"/>
      <c r="B206" s="269"/>
      <c r="C206" s="269"/>
    </row>
    <row r="207" spans="1:3" x14ac:dyDescent="0.2">
      <c r="A207" s="269"/>
      <c r="B207" s="269"/>
      <c r="C207" s="269"/>
    </row>
    <row r="208" spans="1:3" x14ac:dyDescent="0.2">
      <c r="A208" s="269"/>
      <c r="B208" s="269"/>
      <c r="C208" s="269"/>
    </row>
    <row r="209" spans="1:3" x14ac:dyDescent="0.2">
      <c r="A209" s="269"/>
      <c r="B209" s="269"/>
      <c r="C209" s="269"/>
    </row>
    <row r="210" spans="1:3" x14ac:dyDescent="0.2">
      <c r="A210" s="269"/>
      <c r="B210" s="269"/>
      <c r="C210" s="269"/>
    </row>
    <row r="211" spans="1:3" x14ac:dyDescent="0.2">
      <c r="A211" s="269"/>
      <c r="B211" s="269"/>
      <c r="C211" s="269"/>
    </row>
    <row r="212" spans="1:3" x14ac:dyDescent="0.2">
      <c r="A212" s="269"/>
      <c r="B212" s="269"/>
      <c r="C212" s="269"/>
    </row>
    <row r="213" spans="1:3" x14ac:dyDescent="0.2">
      <c r="A213" s="269"/>
      <c r="B213" s="269"/>
      <c r="C213" s="269"/>
    </row>
    <row r="214" spans="1:3" x14ac:dyDescent="0.2">
      <c r="A214" s="269"/>
      <c r="B214" s="269"/>
      <c r="C214" s="269"/>
    </row>
    <row r="215" spans="1:3" x14ac:dyDescent="0.2">
      <c r="A215" s="269"/>
      <c r="B215" s="269"/>
      <c r="C215" s="269"/>
    </row>
    <row r="216" spans="1:3" x14ac:dyDescent="0.2">
      <c r="A216" s="269"/>
      <c r="B216" s="269"/>
      <c r="C216" s="269"/>
    </row>
    <row r="217" spans="1:3" x14ac:dyDescent="0.2">
      <c r="A217" s="269"/>
      <c r="B217" s="269"/>
      <c r="C217" s="269"/>
    </row>
    <row r="218" spans="1:3" x14ac:dyDescent="0.2">
      <c r="A218" s="269"/>
      <c r="B218" s="269"/>
      <c r="C218" s="269"/>
    </row>
    <row r="219" spans="1:3" x14ac:dyDescent="0.2">
      <c r="A219" s="269"/>
      <c r="B219" s="269"/>
      <c r="C219" s="269"/>
    </row>
    <row r="220" spans="1:3" x14ac:dyDescent="0.2">
      <c r="A220" s="269"/>
      <c r="B220" s="269"/>
      <c r="C220" s="269"/>
    </row>
    <row r="221" spans="1:3" x14ac:dyDescent="0.2">
      <c r="A221" s="269"/>
      <c r="B221" s="269"/>
      <c r="C221" s="269"/>
    </row>
    <row r="222" spans="1:3" x14ac:dyDescent="0.2">
      <c r="A222" s="269"/>
      <c r="B222" s="269"/>
      <c r="C222" s="269"/>
    </row>
  </sheetData>
  <pageMargins left="0.7" right="0.7" top="0.75" bottom="0.75" header="0.3" footer="0.3"/>
  <pageSetup paperSize="9" orientation="portrait" r:id="rId1"/>
  <headerFooter>
    <oddHeader>&amp;C&amp;"Calibri"&amp;11&amp;K000000 Classification - Restricted&amp;1#_x000D_</oddHeader>
    <oddFooter>&amp;C_x000D_&amp;1#&amp;"Calibri"&amp;11&amp;K000000 Classification -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Lookup</vt:lpstr>
      <vt:lpstr>New Fin Ratios</vt:lpstr>
      <vt:lpstr>Model Ratios</vt:lpstr>
      <vt:lpstr>CAM Online Data</vt:lpstr>
      <vt:lpstr>Peer Comp</vt:lpstr>
      <vt:lpstr>Peer Comp MIS</vt:lpstr>
      <vt:lpstr>Sheet1!Print_Area</vt:lpstr>
    </vt:vector>
  </TitlesOfParts>
  <Company>Crisil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2003-09-01T06:38:41Z</dcterms:created>
  <dc:creator>bhavnap</dc:creator>
  <lastModifiedBy>Pravin Lohote</lastModifiedBy>
  <lastPrinted>2005-08-18T07:24:56Z</lastPrinted>
  <dcterms:modified xsi:type="dcterms:W3CDTF">2022-04-08T05:45:38Z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6dc3acd-eb0e-4370-b090-cfef97c607e6_Enabled">
    <vt:lpwstr>true</vt:lpwstr>
  </property>
  <property fmtid="{D5CDD505-2E9C-101B-9397-08002B2CF9AE}" pid="3" name="MSIP_Label_96dc3acd-eb0e-4370-b090-cfef97c607e6_SetDate">
    <vt:lpwstr>2021-10-14T13:53:20Z</vt:lpwstr>
  </property>
  <property fmtid="{D5CDD505-2E9C-101B-9397-08002B2CF9AE}" pid="4" name="MSIP_Label_96dc3acd-eb0e-4370-b090-cfef97c607e6_Method">
    <vt:lpwstr>Privileged</vt:lpwstr>
  </property>
  <property fmtid="{D5CDD505-2E9C-101B-9397-08002B2CF9AE}" pid="5" name="MSIP_Label_96dc3acd-eb0e-4370-b090-cfef97c607e6_Name">
    <vt:lpwstr>Restricted (Highly Confidential)!</vt:lpwstr>
  </property>
  <property fmtid="{D5CDD505-2E9C-101B-9397-08002B2CF9AE}" pid="6" name="MSIP_Label_96dc3acd-eb0e-4370-b090-cfef97c607e6_SiteId">
    <vt:lpwstr>827fd022-05a6-4e57-be9c-cc069b6ae62d</vt:lpwstr>
  </property>
  <property fmtid="{D5CDD505-2E9C-101B-9397-08002B2CF9AE}" pid="7" name="MSIP_Label_96dc3acd-eb0e-4370-b090-cfef97c607e6_ActionId">
    <vt:lpwstr>6ff1f2b4-a238-48bf-b623-7d2b15fc725c</vt:lpwstr>
  </property>
  <property fmtid="{D5CDD505-2E9C-101B-9397-08002B2CF9AE}" pid="8" name="MSIP_Label_96dc3acd-eb0e-4370-b090-cfef97c607e6_ContentBits">
    <vt:lpwstr>3</vt:lpwstr>
  </property>
</Properties>
</file>