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180B036B-8615-0C48-BF34-F6D91A68D928}" xr6:coauthVersionLast="45" xr6:coauthVersionMax="45" xr10:uidLastSave="{00000000-0000-0000-0000-000000000000}"/>
  <bookViews>
    <workbookView xWindow="740" yWindow="460" windowWidth="24120" windowHeight="16340" activeTab="5" xr2:uid="{BAE652E6-99CF-044B-A16A-4D1DC21C6130}"/>
  </bookViews>
  <sheets>
    <sheet name="Cover" sheetId="2" r:id="rId1"/>
    <sheet name="Biomass" sheetId="3" r:id="rId2"/>
    <sheet name="Richness" sheetId="4" r:id="rId3"/>
    <sheet name="Diversity(H&amp;D)" sheetId="8" r:id="rId4"/>
    <sheet name="Diversity(H)" sheetId="9" r:id="rId5"/>
    <sheet name="Exotics" sheetId="6" r:id="rId6"/>
    <sheet name="Sys_review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6" l="1"/>
  <c r="K18" i="6"/>
  <c r="H19" i="6"/>
  <c r="H18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20" i="6"/>
  <c r="L37" i="6"/>
  <c r="L36" i="6"/>
  <c r="K37" i="6"/>
  <c r="K36" i="6"/>
  <c r="I37" i="6"/>
  <c r="I36" i="6"/>
  <c r="H37" i="6"/>
  <c r="H36" i="6"/>
  <c r="L35" i="6"/>
  <c r="K35" i="6"/>
  <c r="I35" i="6"/>
  <c r="H35" i="6"/>
  <c r="T19" i="7" l="1"/>
  <c r="T641" i="7"/>
  <c r="T350" i="7"/>
  <c r="P25" i="9" l="1"/>
  <c r="P24" i="9"/>
  <c r="P23" i="9"/>
  <c r="P22" i="9"/>
  <c r="P21" i="9"/>
  <c r="P20" i="9"/>
  <c r="P19" i="9"/>
  <c r="P18" i="9"/>
  <c r="P17" i="9"/>
  <c r="P16" i="9"/>
  <c r="P15" i="9"/>
  <c r="N15" i="9"/>
  <c r="J15" i="9"/>
  <c r="P14" i="9"/>
  <c r="N14" i="9"/>
  <c r="J14" i="9"/>
  <c r="P13" i="9"/>
  <c r="N13" i="9"/>
  <c r="J13" i="9"/>
  <c r="P12" i="9"/>
  <c r="N12" i="9"/>
  <c r="J12" i="9"/>
  <c r="P11" i="9"/>
  <c r="N11" i="9"/>
  <c r="J11" i="9"/>
  <c r="P10" i="9"/>
  <c r="N10" i="9"/>
  <c r="J10" i="9"/>
  <c r="P9" i="9"/>
  <c r="N9" i="9"/>
  <c r="J9" i="9"/>
  <c r="P8" i="9"/>
  <c r="N8" i="9"/>
  <c r="J8" i="9"/>
  <c r="P7" i="9"/>
  <c r="N7" i="9"/>
  <c r="J7" i="9"/>
  <c r="P6" i="9"/>
  <c r="N6" i="9"/>
  <c r="J6" i="9"/>
  <c r="P5" i="9"/>
  <c r="N5" i="9"/>
  <c r="J5" i="9"/>
  <c r="P4" i="9"/>
  <c r="N4" i="9"/>
  <c r="J4" i="9"/>
  <c r="P3" i="9"/>
  <c r="N3" i="9"/>
  <c r="J3" i="9"/>
  <c r="N2" i="9"/>
  <c r="H37" i="8" l="1"/>
  <c r="L37" i="8"/>
  <c r="N4" i="8"/>
  <c r="N5" i="8"/>
  <c r="N6" i="8"/>
  <c r="N7" i="8"/>
  <c r="N8" i="8"/>
  <c r="N9" i="8"/>
  <c r="N10" i="8"/>
  <c r="N11" i="8"/>
  <c r="N12" i="8"/>
  <c r="N13" i="8"/>
  <c r="N14" i="8"/>
  <c r="N3" i="8"/>
  <c r="J3" i="8"/>
  <c r="J4" i="8"/>
  <c r="J5" i="8"/>
  <c r="J6" i="8"/>
  <c r="J7" i="8"/>
  <c r="J8" i="8"/>
  <c r="J9" i="8"/>
  <c r="J10" i="8"/>
  <c r="J11" i="8"/>
  <c r="J12" i="8"/>
  <c r="J13" i="8"/>
  <c r="J14" i="8"/>
  <c r="N16" i="8"/>
  <c r="N17" i="8"/>
  <c r="N18" i="8"/>
  <c r="N19" i="8"/>
  <c r="N20" i="8"/>
  <c r="N21" i="8"/>
  <c r="N22" i="8"/>
  <c r="N23" i="8"/>
  <c r="N24" i="8"/>
  <c r="N25" i="8"/>
  <c r="N26" i="8"/>
  <c r="N15" i="8"/>
  <c r="J16" i="8"/>
  <c r="J17" i="8"/>
  <c r="J18" i="8"/>
  <c r="J19" i="8"/>
  <c r="J20" i="8"/>
  <c r="J21" i="8"/>
  <c r="J22" i="8"/>
  <c r="J23" i="8"/>
  <c r="J24" i="8"/>
  <c r="J25" i="8"/>
  <c r="J26" i="8"/>
  <c r="J15" i="8"/>
  <c r="P28" i="8"/>
  <c r="P29" i="8"/>
  <c r="P30" i="8"/>
  <c r="P31" i="8"/>
  <c r="P32" i="8"/>
  <c r="P33" i="8"/>
  <c r="P34" i="8"/>
  <c r="P35" i="8"/>
  <c r="P36" i="8"/>
  <c r="P27" i="8"/>
  <c r="H64" i="8"/>
  <c r="H66" i="8"/>
  <c r="H68" i="8"/>
  <c r="H70" i="8"/>
  <c r="H72" i="8"/>
  <c r="H74" i="8"/>
  <c r="H76" i="8"/>
  <c r="H80" i="8"/>
  <c r="H82" i="8"/>
  <c r="H84" i="8"/>
  <c r="H86" i="8"/>
  <c r="G78" i="8"/>
  <c r="H78" i="8" s="1"/>
  <c r="H88" i="8"/>
  <c r="H90" i="8"/>
  <c r="H92" i="8"/>
  <c r="H94" i="8"/>
  <c r="H96" i="8"/>
  <c r="H102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64" i="8"/>
  <c r="P17" i="8"/>
  <c r="P18" i="8"/>
  <c r="P19" i="8"/>
  <c r="P20" i="8"/>
  <c r="P21" i="8"/>
  <c r="P22" i="8"/>
  <c r="P23" i="8"/>
  <c r="P24" i="8"/>
  <c r="P25" i="8"/>
  <c r="P26" i="8"/>
  <c r="P16" i="8"/>
  <c r="P15" i="8"/>
  <c r="P4" i="8"/>
  <c r="P5" i="8"/>
  <c r="P6" i="8"/>
  <c r="P7" i="8"/>
  <c r="P8" i="8"/>
  <c r="P9" i="8"/>
  <c r="P10" i="8"/>
  <c r="P11" i="8"/>
  <c r="P12" i="8"/>
  <c r="P13" i="8"/>
  <c r="P14" i="8"/>
  <c r="P3" i="8"/>
  <c r="N2" i="8"/>
  <c r="N37" i="8" l="1"/>
  <c r="M38" i="8" s="1"/>
  <c r="J37" i="8"/>
  <c r="I38" i="8" s="1"/>
  <c r="J160" i="4"/>
  <c r="N160" i="4"/>
  <c r="P160" i="4"/>
  <c r="E624" i="7" l="1"/>
  <c r="E623" i="7"/>
  <c r="E622" i="7"/>
  <c r="E627" i="7"/>
  <c r="E626" i="7"/>
  <c r="E620" i="7"/>
  <c r="E619" i="7"/>
  <c r="E618" i="7"/>
  <c r="E616" i="7"/>
  <c r="E615" i="7"/>
  <c r="E614" i="7"/>
  <c r="E613" i="7"/>
  <c r="E345" i="7"/>
  <c r="E344" i="7"/>
  <c r="E327" i="7"/>
  <c r="E326" i="7"/>
  <c r="E325" i="7"/>
  <c r="E323" i="7"/>
  <c r="E322" i="7"/>
  <c r="E321" i="7"/>
  <c r="E319" i="7"/>
  <c r="E318" i="7"/>
  <c r="E317" i="7"/>
  <c r="E316" i="7"/>
  <c r="E342" i="7"/>
  <c r="E341" i="7"/>
  <c r="E339" i="7"/>
  <c r="E338" i="7"/>
  <c r="E337" i="7"/>
  <c r="E335" i="7"/>
  <c r="E334" i="7"/>
  <c r="E333" i="7"/>
  <c r="E331" i="7"/>
  <c r="E330" i="7"/>
  <c r="E329" i="7"/>
  <c r="E328" i="7"/>
  <c r="N103" i="4" l="1"/>
  <c r="N104" i="4"/>
  <c r="N105" i="4"/>
  <c r="N106" i="4"/>
  <c r="N107" i="4"/>
  <c r="N108" i="4"/>
  <c r="N109" i="4"/>
  <c r="N110" i="4"/>
  <c r="N111" i="4"/>
  <c r="N21" i="4"/>
  <c r="N50" i="4"/>
  <c r="N96" i="4"/>
  <c r="N97" i="4"/>
  <c r="N98" i="4"/>
  <c r="N99" i="4"/>
  <c r="N100" i="4"/>
  <c r="N101" i="4"/>
  <c r="N38" i="4"/>
  <c r="N39" i="4"/>
  <c r="N40" i="4"/>
  <c r="N41" i="4"/>
  <c r="N42" i="4"/>
  <c r="N43" i="4"/>
  <c r="N44" i="4"/>
  <c r="N45" i="4"/>
  <c r="N46" i="4"/>
  <c r="N47" i="4"/>
  <c r="N48" i="4"/>
  <c r="N49" i="4"/>
  <c r="N3" i="4"/>
  <c r="N4" i="4"/>
  <c r="N5" i="4"/>
  <c r="N6" i="4"/>
  <c r="N7" i="4"/>
  <c r="N8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02" i="4"/>
  <c r="J103" i="4"/>
  <c r="J104" i="4"/>
  <c r="J105" i="4"/>
  <c r="J106" i="4"/>
  <c r="J107" i="4"/>
  <c r="J108" i="4"/>
  <c r="J109" i="4"/>
  <c r="J110" i="4"/>
  <c r="J111" i="4"/>
  <c r="J21" i="4"/>
  <c r="J50" i="4"/>
  <c r="J96" i="4"/>
  <c r="J97" i="4"/>
  <c r="J98" i="4"/>
  <c r="J99" i="4"/>
  <c r="J100" i="4"/>
  <c r="J101" i="4"/>
  <c r="J38" i="4"/>
  <c r="J39" i="4"/>
  <c r="J40" i="4"/>
  <c r="J41" i="4"/>
  <c r="J42" i="4"/>
  <c r="J43" i="4"/>
  <c r="J44" i="4"/>
  <c r="J45" i="4"/>
  <c r="J46" i="4"/>
  <c r="J47" i="4"/>
  <c r="J48" i="4"/>
  <c r="J49" i="4"/>
  <c r="J3" i="4"/>
  <c r="J4" i="4"/>
  <c r="J5" i="4"/>
  <c r="J6" i="4"/>
  <c r="J7" i="4"/>
  <c r="J8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02" i="4"/>
  <c r="N118" i="3"/>
  <c r="N119" i="3"/>
  <c r="N120" i="3"/>
  <c r="N121" i="3"/>
  <c r="N122" i="3"/>
  <c r="N123" i="3"/>
  <c r="N124" i="3"/>
  <c r="N126" i="3"/>
  <c r="N127" i="3"/>
  <c r="N128" i="3"/>
  <c r="N35" i="3"/>
  <c r="N36" i="3"/>
  <c r="N37" i="3"/>
  <c r="N38" i="3"/>
  <c r="N39" i="3"/>
  <c r="N40" i="3"/>
  <c r="N41" i="3"/>
  <c r="N42" i="3"/>
  <c r="N43" i="3"/>
  <c r="N44" i="3"/>
  <c r="N45" i="3"/>
  <c r="N46" i="3"/>
  <c r="N160" i="3"/>
  <c r="N161" i="3"/>
  <c r="N162" i="3"/>
  <c r="N163" i="3"/>
  <c r="N164" i="3"/>
  <c r="N165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14" i="3"/>
  <c r="N79" i="3"/>
  <c r="N80" i="3"/>
  <c r="N81" i="3"/>
  <c r="N82" i="3"/>
  <c r="N83" i="3"/>
  <c r="N84" i="3"/>
  <c r="N85" i="3"/>
  <c r="N86" i="3"/>
  <c r="N87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268" i="3"/>
  <c r="N269" i="3"/>
  <c r="N11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18" i="3"/>
  <c r="J119" i="3"/>
  <c r="J120" i="3"/>
  <c r="J121" i="3"/>
  <c r="J122" i="3"/>
  <c r="J123" i="3"/>
  <c r="J124" i="3"/>
  <c r="J126" i="3"/>
  <c r="J127" i="3"/>
  <c r="J128" i="3"/>
  <c r="J35" i="3"/>
  <c r="J36" i="3"/>
  <c r="J37" i="3"/>
  <c r="J38" i="3"/>
  <c r="J39" i="3"/>
  <c r="J40" i="3"/>
  <c r="J41" i="3"/>
  <c r="J42" i="3"/>
  <c r="J43" i="3"/>
  <c r="J44" i="3"/>
  <c r="J45" i="3"/>
  <c r="J46" i="3"/>
  <c r="J160" i="3"/>
  <c r="J161" i="3"/>
  <c r="J162" i="3"/>
  <c r="J163" i="3"/>
  <c r="J164" i="3"/>
  <c r="J165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14" i="3"/>
  <c r="J79" i="3"/>
  <c r="J80" i="3"/>
  <c r="J81" i="3"/>
  <c r="J82" i="3"/>
  <c r="J83" i="3"/>
  <c r="J84" i="3"/>
  <c r="J85" i="3"/>
  <c r="J86" i="3"/>
  <c r="J87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268" i="3"/>
  <c r="J269" i="3"/>
  <c r="J117" i="3"/>
  <c r="P154" i="4"/>
  <c r="P155" i="4"/>
  <c r="P156" i="4"/>
  <c r="P157" i="4"/>
  <c r="P158" i="4"/>
  <c r="P159" i="4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97" i="2"/>
  <c r="N198" i="2"/>
  <c r="N199" i="2"/>
  <c r="N200" i="2"/>
  <c r="N201" i="2"/>
  <c r="N202" i="2"/>
  <c r="N203" i="2"/>
  <c r="N204" i="2"/>
  <c r="N205" i="2"/>
  <c r="N208" i="2"/>
  <c r="N209" i="2"/>
  <c r="J209" i="2"/>
  <c r="J208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97" i="2"/>
  <c r="J198" i="2"/>
  <c r="J199" i="2"/>
  <c r="J200" i="2"/>
  <c r="J201" i="2"/>
  <c r="J202" i="2"/>
  <c r="J203" i="2"/>
  <c r="J204" i="2"/>
  <c r="J205" i="2"/>
  <c r="J73" i="2"/>
  <c r="J70" i="2"/>
  <c r="P207" i="2" l="1"/>
  <c r="P210" i="2"/>
  <c r="P211" i="2"/>
  <c r="P212" i="2"/>
  <c r="P213" i="2"/>
  <c r="P214" i="2"/>
  <c r="P215" i="2"/>
  <c r="P208" i="2"/>
  <c r="P209" i="2"/>
  <c r="P206" i="2"/>
  <c r="E153" i="4" l="1"/>
  <c r="E152" i="4"/>
  <c r="E151" i="4"/>
  <c r="E149" i="4"/>
  <c r="E148" i="4"/>
  <c r="E146" i="4"/>
  <c r="E145" i="4"/>
  <c r="E144" i="4"/>
  <c r="E142" i="4"/>
  <c r="E141" i="4"/>
  <c r="E140" i="4"/>
  <c r="E139" i="4"/>
  <c r="I102" i="3"/>
  <c r="E102" i="3"/>
  <c r="I101" i="3"/>
  <c r="E101" i="3"/>
  <c r="I100" i="3"/>
  <c r="I99" i="3"/>
  <c r="E99" i="3"/>
  <c r="I98" i="3"/>
  <c r="E98" i="3"/>
  <c r="I97" i="3"/>
  <c r="E97" i="3"/>
  <c r="I96" i="3"/>
  <c r="I95" i="3"/>
  <c r="E95" i="3"/>
  <c r="I94" i="3"/>
  <c r="E94" i="3"/>
  <c r="I93" i="3"/>
  <c r="E93" i="3"/>
  <c r="I92" i="3"/>
  <c r="I91" i="3"/>
  <c r="E91" i="3"/>
  <c r="I90" i="3"/>
  <c r="E90" i="3"/>
  <c r="I89" i="3"/>
  <c r="E89" i="3"/>
  <c r="I88" i="3"/>
  <c r="E88" i="3"/>
  <c r="L196" i="2"/>
  <c r="N196" i="2" s="1"/>
  <c r="H196" i="2"/>
  <c r="J196" i="2" s="1"/>
  <c r="E196" i="2"/>
  <c r="L195" i="2"/>
  <c r="N195" i="2" s="1"/>
  <c r="H195" i="2"/>
  <c r="J195" i="2" s="1"/>
  <c r="E195" i="2"/>
  <c r="L194" i="2"/>
  <c r="N194" i="2" s="1"/>
  <c r="H194" i="2"/>
  <c r="J194" i="2" s="1"/>
  <c r="L193" i="2"/>
  <c r="N193" i="2" s="1"/>
  <c r="H193" i="2"/>
  <c r="J193" i="2" s="1"/>
  <c r="E193" i="2"/>
  <c r="L192" i="2"/>
  <c r="N192" i="2" s="1"/>
  <c r="H192" i="2"/>
  <c r="J192" i="2" s="1"/>
  <c r="E192" i="2"/>
  <c r="L191" i="2"/>
  <c r="N191" i="2" s="1"/>
  <c r="H191" i="2"/>
  <c r="J191" i="2" s="1"/>
  <c r="E191" i="2"/>
  <c r="L190" i="2"/>
  <c r="N190" i="2" s="1"/>
  <c r="H190" i="2"/>
  <c r="J190" i="2" s="1"/>
  <c r="L189" i="2"/>
  <c r="N189" i="2" s="1"/>
  <c r="H189" i="2"/>
  <c r="J189" i="2" s="1"/>
  <c r="E189" i="2"/>
  <c r="L188" i="2"/>
  <c r="N188" i="2" s="1"/>
  <c r="H188" i="2"/>
  <c r="J188" i="2" s="1"/>
  <c r="E188" i="2"/>
  <c r="L187" i="2"/>
  <c r="N187" i="2" s="1"/>
  <c r="H187" i="2"/>
  <c r="J187" i="2" s="1"/>
  <c r="E187" i="2"/>
  <c r="L186" i="2"/>
  <c r="N186" i="2" s="1"/>
  <c r="H186" i="2"/>
  <c r="J186" i="2" s="1"/>
  <c r="L185" i="2"/>
  <c r="N185" i="2" s="1"/>
  <c r="H185" i="2"/>
  <c r="J185" i="2" s="1"/>
  <c r="E185" i="2"/>
  <c r="L184" i="2"/>
  <c r="N184" i="2" s="1"/>
  <c r="H184" i="2"/>
  <c r="J184" i="2" s="1"/>
  <c r="E184" i="2"/>
  <c r="L183" i="2"/>
  <c r="N183" i="2" s="1"/>
  <c r="H183" i="2"/>
  <c r="J183" i="2" s="1"/>
  <c r="E183" i="2"/>
  <c r="L182" i="2"/>
  <c r="N182" i="2" s="1"/>
  <c r="H182" i="2"/>
  <c r="E182" i="2"/>
  <c r="J182" i="2" l="1"/>
</calcChain>
</file>

<file path=xl/sharedStrings.xml><?xml version="1.0" encoding="utf-8"?>
<sst xmlns="http://schemas.openxmlformats.org/spreadsheetml/2006/main" count="12889" uniqueCount="204">
  <si>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</si>
  <si>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</si>
  <si>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</si>
  <si>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</si>
  <si>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</si>
  <si>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</si>
  <si>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</si>
  <si>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</si>
  <si>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</si>
  <si>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</si>
  <si>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</si>
  <si>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</si>
  <si>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</si>
  <si>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</si>
  <si>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</si>
  <si>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</si>
  <si>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</si>
  <si>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</si>
  <si>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</si>
  <si>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</si>
  <si>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</si>
  <si>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</si>
  <si>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</si>
  <si>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</si>
  <si>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</si>
  <si>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</si>
  <si>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</si>
  <si>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</si>
  <si>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</si>
  <si>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</si>
  <si>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</si>
  <si>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</si>
  <si>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Joplin, Missouri, USA</t>
  </si>
  <si>
    <t>Leadville, CO, USA</t>
  </si>
  <si>
    <t>Kowaljow</t>
  </si>
  <si>
    <t xml:space="preserve">N </t>
  </si>
  <si>
    <t>medium</t>
  </si>
  <si>
    <t>Bariloche, Argentina</t>
  </si>
  <si>
    <t>MadejÛn</t>
  </si>
  <si>
    <t>El vicario, spain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</si>
  <si>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</si>
  <si>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</si>
  <si>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</si>
  <si>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</si>
  <si>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</si>
  <si>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</si>
  <si>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</si>
  <si>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</si>
  <si>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</si>
  <si>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</si>
  <si>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</si>
  <si>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</si>
  <si>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</si>
  <si>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</si>
  <si>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</si>
  <si>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</si>
  <si>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</si>
  <si>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</si>
  <si>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</si>
  <si>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</si>
  <si>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</si>
  <si>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</si>
  <si>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</si>
  <si>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</si>
  <si>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</si>
  <si>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</si>
  <si>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</si>
  <si>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</si>
  <si>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</si>
  <si>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</si>
  <si>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</si>
  <si>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</si>
  <si>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</si>
  <si>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</si>
  <si>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</si>
  <si>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</si>
  <si>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</si>
  <si>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</si>
  <si>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</si>
  <si>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</si>
  <si>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</si>
  <si>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</si>
  <si>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</si>
  <si>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</si>
  <si>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</si>
  <si>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</si>
  <si>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</si>
  <si>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</si>
  <si>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</si>
  <si>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</si>
  <si>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</si>
  <si>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</si>
  <si>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</si>
  <si>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</si>
  <si>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</si>
  <si>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</si>
  <si>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</si>
  <si>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</si>
  <si>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</si>
  <si>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</si>
  <si>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</si>
  <si>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</si>
  <si>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</si>
  <si>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</si>
  <si>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</si>
  <si>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</si>
  <si>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</si>
  <si>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</si>
  <si>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</si>
  <si>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</si>
  <si>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</si>
  <si>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</si>
  <si>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</si>
  <si>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</si>
  <si>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</si>
  <si>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</si>
  <si>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</si>
  <si>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</si>
  <si>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</si>
  <si>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</si>
  <si>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</si>
  <si>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</si>
  <si>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</si>
  <si>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</si>
  <si>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</si>
  <si>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</si>
  <si>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</si>
  <si>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</si>
  <si>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</si>
  <si>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</si>
  <si>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</si>
  <si>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</si>
  <si>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</si>
  <si>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</si>
  <si>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</si>
  <si>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</si>
  <si>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</si>
  <si>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</si>
  <si>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</si>
  <si>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</si>
  <si>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</si>
  <si>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</si>
  <si>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</si>
  <si>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S.disturbance</t>
  </si>
  <si>
    <t>Burned</t>
  </si>
  <si>
    <t>multapp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</si>
  <si>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</si>
  <si>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</si>
  <si>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</si>
  <si>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</si>
  <si>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</si>
  <si>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</si>
  <si>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</si>
  <si>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</si>
  <si>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</si>
  <si>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</si>
  <si>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</si>
  <si>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</si>
  <si>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biomass</t>
  </si>
  <si>
    <t>richness</t>
  </si>
  <si>
    <t>Brazil</t>
  </si>
  <si>
    <t>Varela, Gobbi, Laos</t>
  </si>
  <si>
    <t>Challhuaco Valley</t>
  </si>
  <si>
    <t>Catalonia,</t>
  </si>
  <si>
    <t>Nahuel Huapi National Park, Argentina</t>
  </si>
  <si>
    <t>Siebielec,Siebielec,Stuczynski, Sugier, Grzeda, Grzadziel</t>
  </si>
  <si>
    <t>Murcia</t>
  </si>
  <si>
    <t>Carabassa</t>
  </si>
  <si>
    <t>Nahuel Huapi National Park</t>
  </si>
  <si>
    <t>Paper ID</t>
  </si>
  <si>
    <t>Response</t>
  </si>
  <si>
    <t>Cover</t>
  </si>
  <si>
    <t>Biomass</t>
  </si>
  <si>
    <t>Richness</t>
  </si>
  <si>
    <t>Pichtel</t>
  </si>
  <si>
    <t>Pichel</t>
  </si>
  <si>
    <t>richness by annuals and perennials</t>
  </si>
  <si>
    <t>species cover</t>
  </si>
  <si>
    <t xml:space="preserve">Borden </t>
  </si>
  <si>
    <t>cover by annual rye, cheatgrass, perennial grasses, forbs, shrubs, other volunteer annual species</t>
  </si>
  <si>
    <t>cover by succulent p forb, p grass, a grass, lichen, litter, bare</t>
  </si>
  <si>
    <t>Larcheveque</t>
  </si>
  <si>
    <t>cover by some species</t>
  </si>
  <si>
    <t>relative bomass by A, B, P forbs and grasses and shrubs</t>
  </si>
  <si>
    <t>abundance diagrams</t>
  </si>
  <si>
    <t>Siebielec</t>
  </si>
  <si>
    <t>species P/A, PCA</t>
  </si>
  <si>
    <t>diveristy of forbs and grasses</t>
  </si>
  <si>
    <t>PCA, relative abundance by species</t>
  </si>
  <si>
    <t>Measured variable</t>
  </si>
  <si>
    <t>MoreN-PeÒaranda</t>
  </si>
  <si>
    <t>ZorNza</t>
  </si>
  <si>
    <t>Ferreiro, Satti, Gonzalez-Polo, MazzariN</t>
  </si>
  <si>
    <t>Correa, BalduiN, Teza, Baptista</t>
  </si>
  <si>
    <t>Mixture (Y/N)</t>
  </si>
  <si>
    <t>MoreN-PeÔøΩaranda</t>
  </si>
  <si>
    <t xml:space="preserve">ZorNza, Gomez-Garrido, Martinez-Martinez, Gomez-Lopez, et. al. </t>
  </si>
  <si>
    <t>MoreN-Penaranda</t>
  </si>
  <si>
    <t>N. of plants/m2 by some species</t>
  </si>
  <si>
    <t>caNnical disciminant analysis</t>
  </si>
  <si>
    <t>species cover, N richness</t>
  </si>
  <si>
    <t>N of plants per m2</t>
  </si>
  <si>
    <t>eadville, CO, USA</t>
  </si>
  <si>
    <t>percent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</si>
</sst>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  <xf numFmtId="165" fontId="0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J220"/>
  <sheetViews>
    <sheetView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M1" sqref="M1:M1048576"/>
    </sheetView>
  </sheetViews>
  <sheetFormatPr baseColWidth="10" defaultRowHeight="16" x14ac:dyDescent="0.2"/>
  <cols>
    <col min="24" max="25" width="26" customWidth="1"/>
    <col min="27" max="27" width="11.33203125" style="12" bestFit="1" customWidth="1"/>
  </cols>
  <sheetData>
    <row r="1" spans="1:29" x14ac:dyDescent="0.2">
      <c r="A1" t="s">
        <v>169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90</v>
      </c>
      <c r="Z1" t="s">
        <v>23</v>
      </c>
      <c r="AA1" s="12" t="s">
        <v>24</v>
      </c>
      <c r="AB1" t="s">
        <v>25</v>
      </c>
      <c r="AC1" t="s">
        <v>26</v>
      </c>
    </row>
    <row r="2" spans="1:2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3</v>
      </c>
      <c r="G2" t="s">
        <v>28</v>
      </c>
      <c r="H2">
        <v>93.9</v>
      </c>
      <c r="I2">
        <v>1.69</v>
      </c>
      <c r="J2">
        <v>1.69</v>
      </c>
      <c r="K2">
        <v>3</v>
      </c>
      <c r="L2">
        <v>5.08</v>
      </c>
      <c r="M2">
        <v>3.95</v>
      </c>
      <c r="N2">
        <v>3.95</v>
      </c>
      <c r="O2">
        <v>12</v>
      </c>
      <c r="P2">
        <v>13</v>
      </c>
      <c r="Q2">
        <v>14</v>
      </c>
      <c r="R2">
        <v>108.7</v>
      </c>
      <c r="S2" t="s">
        <v>29</v>
      </c>
      <c r="T2" t="s">
        <v>30</v>
      </c>
      <c r="U2" t="s">
        <v>31</v>
      </c>
      <c r="V2" t="s">
        <v>29</v>
      </c>
      <c r="W2" t="s">
        <v>31</v>
      </c>
      <c r="X2" t="s">
        <v>32</v>
      </c>
      <c r="Y2" t="s">
        <v>91</v>
      </c>
      <c r="Z2">
        <v>37.084159999999997</v>
      </c>
      <c r="AA2" s="12">
        <v>-94.513050000000007</v>
      </c>
      <c r="AB2" t="s">
        <v>29</v>
      </c>
      <c r="AC2">
        <v>0.75939999999999996</v>
      </c>
    </row>
    <row r="3" spans="1:2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3</v>
      </c>
      <c r="G3" t="s">
        <v>28</v>
      </c>
      <c r="H3">
        <v>50.17</v>
      </c>
      <c r="I3">
        <v>6.78</v>
      </c>
      <c r="J3">
        <v>6.78</v>
      </c>
      <c r="K3">
        <v>3</v>
      </c>
      <c r="L3">
        <v>5.08</v>
      </c>
      <c r="M3">
        <v>3.95</v>
      </c>
      <c r="N3">
        <v>3.95</v>
      </c>
      <c r="O3">
        <v>12</v>
      </c>
      <c r="P3">
        <v>13</v>
      </c>
      <c r="Q3">
        <v>14</v>
      </c>
      <c r="R3">
        <v>108.7</v>
      </c>
      <c r="S3" t="s">
        <v>29</v>
      </c>
      <c r="T3" t="s">
        <v>30</v>
      </c>
      <c r="U3" t="s">
        <v>31</v>
      </c>
      <c r="V3" t="s">
        <v>29</v>
      </c>
      <c r="W3" t="s">
        <v>31</v>
      </c>
      <c r="X3" t="s">
        <v>32</v>
      </c>
      <c r="Y3" t="s">
        <v>91</v>
      </c>
      <c r="Z3">
        <v>37.084159999999997</v>
      </c>
      <c r="AA3" s="12">
        <v>-94.513050000000007</v>
      </c>
      <c r="AB3" t="s">
        <v>29</v>
      </c>
      <c r="AC3">
        <v>0.75939999999999996</v>
      </c>
    </row>
    <row r="4" spans="1:2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3</v>
      </c>
      <c r="G4" t="s">
        <v>28</v>
      </c>
      <c r="H4">
        <v>93.38</v>
      </c>
      <c r="I4">
        <v>8.3000000000000007</v>
      </c>
      <c r="J4">
        <v>8.3000000000000007</v>
      </c>
      <c r="K4">
        <v>3</v>
      </c>
      <c r="L4">
        <v>3.37</v>
      </c>
      <c r="M4">
        <v>2.82</v>
      </c>
      <c r="N4">
        <v>2.82</v>
      </c>
      <c r="O4">
        <v>7</v>
      </c>
      <c r="P4">
        <v>8</v>
      </c>
      <c r="Q4">
        <v>-0.6</v>
      </c>
      <c r="R4">
        <v>57</v>
      </c>
      <c r="S4" t="s">
        <v>29</v>
      </c>
      <c r="T4" t="s">
        <v>30</v>
      </c>
      <c r="U4" t="s">
        <v>31</v>
      </c>
      <c r="V4" t="s">
        <v>29</v>
      </c>
      <c r="W4" t="s">
        <v>31</v>
      </c>
      <c r="X4" t="s">
        <v>33</v>
      </c>
      <c r="Y4" t="s">
        <v>91</v>
      </c>
      <c r="Z4">
        <v>39.200000000000003</v>
      </c>
      <c r="AA4" s="12">
        <v>-106.35</v>
      </c>
      <c r="AB4" t="s">
        <v>29</v>
      </c>
      <c r="AC4">
        <v>0.32</v>
      </c>
    </row>
    <row r="5" spans="1:2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3</v>
      </c>
      <c r="G5" t="s">
        <v>28</v>
      </c>
      <c r="H5">
        <v>15.09</v>
      </c>
      <c r="I5">
        <v>8.58</v>
      </c>
      <c r="J5">
        <v>8.58</v>
      </c>
      <c r="K5">
        <v>3</v>
      </c>
      <c r="L5">
        <v>3.37</v>
      </c>
      <c r="M5">
        <v>2.82</v>
      </c>
      <c r="N5">
        <v>2.82</v>
      </c>
      <c r="O5">
        <v>7</v>
      </c>
      <c r="P5">
        <v>8</v>
      </c>
      <c r="Q5">
        <v>-0.6</v>
      </c>
      <c r="R5">
        <v>57</v>
      </c>
      <c r="S5" t="s">
        <v>29</v>
      </c>
      <c r="T5" t="s">
        <v>30</v>
      </c>
      <c r="U5" t="s">
        <v>31</v>
      </c>
      <c r="V5" t="s">
        <v>29</v>
      </c>
      <c r="W5" t="s">
        <v>31</v>
      </c>
      <c r="X5" t="s">
        <v>33</v>
      </c>
      <c r="Y5" t="s">
        <v>91</v>
      </c>
      <c r="Z5">
        <v>39.200000000000003</v>
      </c>
      <c r="AA5" s="12">
        <v>-106.35</v>
      </c>
      <c r="AB5" t="s">
        <v>29</v>
      </c>
      <c r="AC5">
        <v>0.32</v>
      </c>
    </row>
    <row r="6" spans="1:2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3</v>
      </c>
      <c r="G6" t="s">
        <v>28</v>
      </c>
      <c r="H6">
        <v>9.99</v>
      </c>
      <c r="I6">
        <v>8.9</v>
      </c>
      <c r="J6">
        <v>8.9</v>
      </c>
      <c r="K6">
        <v>3</v>
      </c>
      <c r="L6">
        <v>3.37</v>
      </c>
      <c r="M6">
        <v>2.82</v>
      </c>
      <c r="N6">
        <v>2.82</v>
      </c>
      <c r="O6">
        <v>7</v>
      </c>
      <c r="P6">
        <v>8</v>
      </c>
      <c r="Q6">
        <v>-0.6</v>
      </c>
      <c r="R6">
        <v>57</v>
      </c>
      <c r="S6" t="s">
        <v>29</v>
      </c>
      <c r="T6" t="s">
        <v>30</v>
      </c>
      <c r="U6" t="s">
        <v>31</v>
      </c>
      <c r="V6" t="s">
        <v>29</v>
      </c>
      <c r="W6" t="s">
        <v>31</v>
      </c>
      <c r="X6" t="s">
        <v>33</v>
      </c>
      <c r="Y6" t="s">
        <v>91</v>
      </c>
      <c r="Z6">
        <v>39.200000000000003</v>
      </c>
      <c r="AA6" s="12">
        <v>-106.35</v>
      </c>
      <c r="AB6" t="s">
        <v>29</v>
      </c>
      <c r="AC6">
        <v>0.32</v>
      </c>
    </row>
    <row r="7" spans="1:2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3</v>
      </c>
      <c r="G7" t="s">
        <v>28</v>
      </c>
      <c r="H7">
        <v>50.16</v>
      </c>
      <c r="I7">
        <v>9.99</v>
      </c>
      <c r="J7">
        <v>9.99</v>
      </c>
      <c r="K7">
        <v>3</v>
      </c>
      <c r="L7">
        <v>3.37</v>
      </c>
      <c r="M7">
        <v>2.82</v>
      </c>
      <c r="N7">
        <v>2.82</v>
      </c>
      <c r="O7">
        <v>7</v>
      </c>
      <c r="P7">
        <v>8</v>
      </c>
      <c r="Q7">
        <v>-0.6</v>
      </c>
      <c r="R7">
        <v>57</v>
      </c>
      <c r="S7" t="s">
        <v>29</v>
      </c>
      <c r="T7" t="s">
        <v>30</v>
      </c>
      <c r="U7" t="s">
        <v>31</v>
      </c>
      <c r="V7" t="s">
        <v>29</v>
      </c>
      <c r="W7" t="s">
        <v>31</v>
      </c>
      <c r="X7" t="s">
        <v>33</v>
      </c>
      <c r="Y7" t="s">
        <v>91</v>
      </c>
      <c r="Z7">
        <v>39.200000000000003</v>
      </c>
      <c r="AA7" s="12">
        <v>-106.35</v>
      </c>
      <c r="AB7" t="s">
        <v>29</v>
      </c>
      <c r="AC7">
        <v>0.32</v>
      </c>
    </row>
    <row r="8" spans="1:2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3</v>
      </c>
      <c r="G8" t="s">
        <v>28</v>
      </c>
      <c r="H8">
        <v>23.45</v>
      </c>
      <c r="I8">
        <v>15.96</v>
      </c>
      <c r="J8">
        <v>15.96</v>
      </c>
      <c r="K8">
        <v>3</v>
      </c>
      <c r="L8">
        <v>3.37</v>
      </c>
      <c r="M8">
        <v>2.82</v>
      </c>
      <c r="N8">
        <v>2.82</v>
      </c>
      <c r="O8">
        <v>7</v>
      </c>
      <c r="P8">
        <v>8</v>
      </c>
      <c r="Q8">
        <v>-0.6</v>
      </c>
      <c r="R8">
        <v>57</v>
      </c>
      <c r="S8" t="s">
        <v>29</v>
      </c>
      <c r="T8" t="s">
        <v>30</v>
      </c>
      <c r="U8" t="s">
        <v>31</v>
      </c>
      <c r="V8" t="s">
        <v>29</v>
      </c>
      <c r="W8" t="s">
        <v>31</v>
      </c>
      <c r="X8" t="s">
        <v>33</v>
      </c>
      <c r="Y8" t="s">
        <v>91</v>
      </c>
      <c r="Z8">
        <v>39.200000000000003</v>
      </c>
      <c r="AA8" s="12">
        <v>-106.35</v>
      </c>
      <c r="AB8" t="s">
        <v>29</v>
      </c>
      <c r="AC8">
        <v>0.32</v>
      </c>
    </row>
    <row r="9" spans="1:29" x14ac:dyDescent="0.2">
      <c r="A9">
        <v>3</v>
      </c>
      <c r="B9">
        <v>1</v>
      </c>
      <c r="C9" t="s">
        <v>34</v>
      </c>
      <c r="D9">
        <v>2010</v>
      </c>
      <c r="E9">
        <v>40</v>
      </c>
      <c r="F9">
        <v>4</v>
      </c>
      <c r="G9" t="s">
        <v>28</v>
      </c>
      <c r="H9">
        <v>19.149999999999999</v>
      </c>
      <c r="I9">
        <v>3.33</v>
      </c>
      <c r="J9">
        <v>3.33</v>
      </c>
      <c r="K9">
        <v>4</v>
      </c>
      <c r="L9">
        <v>11.42</v>
      </c>
      <c r="M9">
        <v>4.2699999999999996</v>
      </c>
      <c r="N9">
        <v>4.2699999999999996</v>
      </c>
      <c r="O9">
        <v>2</v>
      </c>
      <c r="P9">
        <v>3</v>
      </c>
      <c r="Q9">
        <v>9.4</v>
      </c>
      <c r="R9">
        <v>56.5</v>
      </c>
      <c r="S9" t="s">
        <v>29</v>
      </c>
      <c r="T9" t="s">
        <v>36</v>
      </c>
      <c r="U9" t="s">
        <v>29</v>
      </c>
      <c r="V9" t="s">
        <v>31</v>
      </c>
      <c r="W9" t="s">
        <v>31</v>
      </c>
      <c r="X9" t="s">
        <v>37</v>
      </c>
      <c r="Y9" t="s">
        <v>92</v>
      </c>
      <c r="Z9">
        <v>-40.573329999999999</v>
      </c>
      <c r="AA9" s="12">
        <v>-70.832499999999996</v>
      </c>
      <c r="AB9" t="s">
        <v>29</v>
      </c>
      <c r="AC9">
        <v>0.44740000000000002</v>
      </c>
    </row>
    <row r="10" spans="1:29" x14ac:dyDescent="0.2">
      <c r="A10">
        <v>3</v>
      </c>
      <c r="B10">
        <v>2</v>
      </c>
      <c r="C10" t="s">
        <v>34</v>
      </c>
      <c r="D10">
        <v>2010</v>
      </c>
      <c r="E10">
        <v>40</v>
      </c>
      <c r="F10">
        <v>4</v>
      </c>
      <c r="G10" t="s">
        <v>28</v>
      </c>
      <c r="H10">
        <v>26.21</v>
      </c>
      <c r="I10">
        <v>9.58</v>
      </c>
      <c r="J10">
        <v>9.58</v>
      </c>
      <c r="K10">
        <v>4</v>
      </c>
      <c r="L10">
        <v>11.42</v>
      </c>
      <c r="M10">
        <v>4.2699999999999996</v>
      </c>
      <c r="N10">
        <v>4.2699999999999996</v>
      </c>
      <c r="O10">
        <v>2</v>
      </c>
      <c r="P10">
        <v>3</v>
      </c>
      <c r="Q10">
        <v>9.4</v>
      </c>
      <c r="R10">
        <v>56.5</v>
      </c>
      <c r="S10" t="s">
        <v>29</v>
      </c>
      <c r="T10" t="s">
        <v>36</v>
      </c>
      <c r="U10" t="s">
        <v>29</v>
      </c>
      <c r="V10" t="s">
        <v>31</v>
      </c>
      <c r="W10" t="s">
        <v>31</v>
      </c>
      <c r="X10" t="s">
        <v>37</v>
      </c>
      <c r="Y10" t="s">
        <v>92</v>
      </c>
      <c r="Z10">
        <v>-40.573329999999999</v>
      </c>
      <c r="AA10" s="12">
        <v>-70.832499999999996</v>
      </c>
      <c r="AB10" t="s">
        <v>29</v>
      </c>
      <c r="AC10">
        <v>0.44740000000000002</v>
      </c>
    </row>
    <row r="11" spans="1:29" x14ac:dyDescent="0.2">
      <c r="A11">
        <v>4</v>
      </c>
      <c r="B11">
        <v>1</v>
      </c>
      <c r="C11" t="s">
        <v>38</v>
      </c>
      <c r="D11">
        <v>2006</v>
      </c>
      <c r="E11">
        <v>60</v>
      </c>
      <c r="F11">
        <v>3</v>
      </c>
      <c r="G11" t="s">
        <v>28</v>
      </c>
      <c r="H11">
        <v>81.819999999999993</v>
      </c>
      <c r="I11">
        <v>7.76</v>
      </c>
      <c r="J11">
        <v>7.76</v>
      </c>
      <c r="K11">
        <v>3</v>
      </c>
      <c r="L11">
        <v>32.25</v>
      </c>
      <c r="M11">
        <v>11.67</v>
      </c>
      <c r="N11">
        <v>11.67</v>
      </c>
      <c r="O11">
        <v>0.75</v>
      </c>
      <c r="P11">
        <v>1</v>
      </c>
      <c r="Q11">
        <v>18</v>
      </c>
      <c r="R11">
        <v>55.2</v>
      </c>
      <c r="S11" t="s">
        <v>35</v>
      </c>
      <c r="T11" t="s">
        <v>30</v>
      </c>
      <c r="U11" t="s">
        <v>31</v>
      </c>
      <c r="V11" t="s">
        <v>31</v>
      </c>
      <c r="W11" t="s">
        <v>29</v>
      </c>
      <c r="X11" t="s">
        <v>39</v>
      </c>
      <c r="Y11" t="s">
        <v>93</v>
      </c>
      <c r="Z11">
        <v>37.439160000000001</v>
      </c>
      <c r="AA11" s="12">
        <v>-6.21638</v>
      </c>
      <c r="AB11" t="s">
        <v>29</v>
      </c>
      <c r="AC11">
        <v>0.29709999999999998</v>
      </c>
    </row>
    <row r="12" spans="1:29" x14ac:dyDescent="0.2">
      <c r="A12">
        <v>5</v>
      </c>
      <c r="B12">
        <v>1</v>
      </c>
      <c r="C12" t="s">
        <v>190</v>
      </c>
      <c r="D12">
        <v>2004</v>
      </c>
      <c r="E12">
        <v>350</v>
      </c>
      <c r="F12">
        <v>12</v>
      </c>
      <c r="G12" t="s">
        <v>28</v>
      </c>
      <c r="H12">
        <v>96.1</v>
      </c>
      <c r="I12">
        <v>4.5999999999999996</v>
      </c>
      <c r="J12">
        <v>4.5999999999999996</v>
      </c>
      <c r="K12">
        <v>12</v>
      </c>
      <c r="L12">
        <v>78.2</v>
      </c>
      <c r="M12">
        <v>16.100000000000001</v>
      </c>
      <c r="N12">
        <v>16.100000000000001</v>
      </c>
      <c r="O12">
        <v>2.58</v>
      </c>
      <c r="P12">
        <v>3</v>
      </c>
      <c r="Q12">
        <v>14.5</v>
      </c>
      <c r="R12">
        <v>77.8</v>
      </c>
      <c r="S12" t="s">
        <v>35</v>
      </c>
      <c r="T12" t="s">
        <v>30</v>
      </c>
      <c r="U12" t="s">
        <v>31</v>
      </c>
      <c r="V12" t="s">
        <v>31</v>
      </c>
      <c r="W12" t="s">
        <v>31</v>
      </c>
      <c r="X12" t="s">
        <v>40</v>
      </c>
      <c r="Y12" t="s">
        <v>93</v>
      </c>
      <c r="Z12">
        <v>42.036110000000001</v>
      </c>
      <c r="AA12" s="12">
        <v>2.8172199999999998</v>
      </c>
      <c r="AB12" t="s">
        <v>29</v>
      </c>
      <c r="AC12">
        <v>0.51649999999999996</v>
      </c>
    </row>
    <row r="13" spans="1:29" x14ac:dyDescent="0.2">
      <c r="A13">
        <v>6</v>
      </c>
      <c r="B13">
        <v>1</v>
      </c>
      <c r="C13" t="s">
        <v>41</v>
      </c>
      <c r="D13">
        <v>2018</v>
      </c>
      <c r="E13">
        <v>17</v>
      </c>
      <c r="F13">
        <v>3</v>
      </c>
      <c r="G13" t="s">
        <v>28</v>
      </c>
      <c r="H13">
        <v>17</v>
      </c>
      <c r="I13">
        <v>2</v>
      </c>
      <c r="J13">
        <v>2</v>
      </c>
      <c r="K13">
        <v>3</v>
      </c>
      <c r="L13">
        <v>9</v>
      </c>
      <c r="M13">
        <v>2</v>
      </c>
      <c r="N13">
        <v>2</v>
      </c>
      <c r="O13">
        <v>2</v>
      </c>
      <c r="P13">
        <v>3</v>
      </c>
      <c r="Q13">
        <v>2.1</v>
      </c>
      <c r="R13">
        <v>62</v>
      </c>
      <c r="S13" t="s">
        <v>35</v>
      </c>
      <c r="T13" t="s">
        <v>30</v>
      </c>
      <c r="U13" t="s">
        <v>31</v>
      </c>
      <c r="V13" t="s">
        <v>29</v>
      </c>
      <c r="W13" t="s">
        <v>31</v>
      </c>
      <c r="X13" t="s">
        <v>42</v>
      </c>
      <c r="Y13" t="s">
        <v>91</v>
      </c>
      <c r="Z13">
        <v>44.793660000000003</v>
      </c>
      <c r="AA13" s="12">
        <v>-118.50112</v>
      </c>
      <c r="AB13" t="s">
        <v>29</v>
      </c>
      <c r="AC13">
        <v>0.50429999999999997</v>
      </c>
    </row>
    <row r="14" spans="1:29" x14ac:dyDescent="0.2">
      <c r="A14">
        <v>6</v>
      </c>
      <c r="B14">
        <v>2</v>
      </c>
      <c r="C14" t="s">
        <v>41</v>
      </c>
      <c r="D14">
        <v>2018</v>
      </c>
      <c r="E14">
        <v>17</v>
      </c>
      <c r="F14">
        <v>3</v>
      </c>
      <c r="G14" t="s">
        <v>28</v>
      </c>
      <c r="H14">
        <v>28</v>
      </c>
      <c r="I14">
        <v>2</v>
      </c>
      <c r="J14">
        <v>2</v>
      </c>
      <c r="K14">
        <v>3</v>
      </c>
      <c r="L14">
        <v>9</v>
      </c>
      <c r="M14">
        <v>2</v>
      </c>
      <c r="N14">
        <v>2</v>
      </c>
      <c r="O14">
        <v>2</v>
      </c>
      <c r="P14">
        <v>3</v>
      </c>
      <c r="Q14">
        <v>2.1</v>
      </c>
      <c r="R14">
        <v>62</v>
      </c>
      <c r="S14" t="s">
        <v>35</v>
      </c>
      <c r="T14" t="s">
        <v>30</v>
      </c>
      <c r="U14" t="s">
        <v>31</v>
      </c>
      <c r="V14" t="s">
        <v>29</v>
      </c>
      <c r="W14" t="s">
        <v>31</v>
      </c>
      <c r="X14" t="s">
        <v>42</v>
      </c>
      <c r="Y14" t="s">
        <v>91</v>
      </c>
      <c r="Z14">
        <v>44.793660000000003</v>
      </c>
      <c r="AA14" s="12">
        <v>-118.50112</v>
      </c>
      <c r="AB14" t="s">
        <v>29</v>
      </c>
      <c r="AC14">
        <v>0.50429999999999997</v>
      </c>
    </row>
    <row r="15" spans="1:29" x14ac:dyDescent="0.2">
      <c r="A15">
        <v>6</v>
      </c>
      <c r="B15">
        <v>3</v>
      </c>
      <c r="C15" t="s">
        <v>41</v>
      </c>
      <c r="D15">
        <v>2018</v>
      </c>
      <c r="E15">
        <v>17</v>
      </c>
      <c r="F15">
        <v>3</v>
      </c>
      <c r="G15" t="s">
        <v>28</v>
      </c>
      <c r="H15">
        <v>27</v>
      </c>
      <c r="I15">
        <v>2</v>
      </c>
      <c r="J15">
        <v>2</v>
      </c>
      <c r="K15">
        <v>3</v>
      </c>
      <c r="L15">
        <v>9</v>
      </c>
      <c r="M15">
        <v>2</v>
      </c>
      <c r="N15">
        <v>2</v>
      </c>
      <c r="O15">
        <v>2</v>
      </c>
      <c r="P15">
        <v>3</v>
      </c>
      <c r="Q15">
        <v>2.1</v>
      </c>
      <c r="R15">
        <v>62</v>
      </c>
      <c r="S15" t="s">
        <v>35</v>
      </c>
      <c r="T15" t="s">
        <v>30</v>
      </c>
      <c r="U15" t="s">
        <v>31</v>
      </c>
      <c r="V15" t="s">
        <v>29</v>
      </c>
      <c r="W15" t="s">
        <v>31</v>
      </c>
      <c r="X15" t="s">
        <v>42</v>
      </c>
      <c r="Y15" t="s">
        <v>91</v>
      </c>
      <c r="Z15">
        <v>44.793660000000003</v>
      </c>
      <c r="AA15" s="12">
        <v>-118.50112</v>
      </c>
      <c r="AB15" t="s">
        <v>29</v>
      </c>
      <c r="AC15">
        <v>0.50429999999999997</v>
      </c>
    </row>
    <row r="16" spans="1:29" x14ac:dyDescent="0.2">
      <c r="A16">
        <v>6</v>
      </c>
      <c r="B16">
        <v>4</v>
      </c>
      <c r="C16" t="s">
        <v>41</v>
      </c>
      <c r="D16">
        <v>2018</v>
      </c>
      <c r="E16">
        <v>17</v>
      </c>
      <c r="F16">
        <v>3</v>
      </c>
      <c r="G16" t="s">
        <v>28</v>
      </c>
      <c r="H16">
        <v>21</v>
      </c>
      <c r="I16">
        <v>2</v>
      </c>
      <c r="J16">
        <v>2</v>
      </c>
      <c r="K16">
        <v>3</v>
      </c>
      <c r="L16">
        <v>8</v>
      </c>
      <c r="M16">
        <v>1</v>
      </c>
      <c r="N16">
        <v>1</v>
      </c>
      <c r="O16">
        <v>2</v>
      </c>
      <c r="P16">
        <v>3</v>
      </c>
      <c r="Q16">
        <v>2.1</v>
      </c>
      <c r="R16">
        <v>62</v>
      </c>
      <c r="S16" t="s">
        <v>35</v>
      </c>
      <c r="T16" t="s">
        <v>30</v>
      </c>
      <c r="U16" t="s">
        <v>31</v>
      </c>
      <c r="V16" t="s">
        <v>29</v>
      </c>
      <c r="W16" t="s">
        <v>31</v>
      </c>
      <c r="X16" t="s">
        <v>42</v>
      </c>
      <c r="Y16" t="s">
        <v>91</v>
      </c>
      <c r="Z16">
        <v>44.793660000000003</v>
      </c>
      <c r="AA16" s="12">
        <v>-118.50112</v>
      </c>
      <c r="AB16" t="s">
        <v>29</v>
      </c>
      <c r="AC16">
        <v>0.50429999999999997</v>
      </c>
    </row>
    <row r="17" spans="1:29" x14ac:dyDescent="0.2">
      <c r="A17">
        <v>6</v>
      </c>
      <c r="B17">
        <v>5</v>
      </c>
      <c r="C17" t="s">
        <v>41</v>
      </c>
      <c r="D17">
        <v>2018</v>
      </c>
      <c r="E17">
        <v>17</v>
      </c>
      <c r="F17">
        <v>3</v>
      </c>
      <c r="G17" t="s">
        <v>28</v>
      </c>
      <c r="H17">
        <v>10</v>
      </c>
      <c r="I17">
        <v>2</v>
      </c>
      <c r="J17">
        <v>2</v>
      </c>
      <c r="K17">
        <v>3</v>
      </c>
      <c r="L17">
        <v>8</v>
      </c>
      <c r="M17">
        <v>1</v>
      </c>
      <c r="N17">
        <v>1</v>
      </c>
      <c r="O17">
        <v>2</v>
      </c>
      <c r="P17">
        <v>3</v>
      </c>
      <c r="Q17">
        <v>2.1</v>
      </c>
      <c r="R17">
        <v>62</v>
      </c>
      <c r="S17" t="s">
        <v>35</v>
      </c>
      <c r="T17" t="s">
        <v>30</v>
      </c>
      <c r="U17" t="s">
        <v>31</v>
      </c>
      <c r="V17" t="s">
        <v>29</v>
      </c>
      <c r="W17" t="s">
        <v>31</v>
      </c>
      <c r="X17" t="s">
        <v>42</v>
      </c>
      <c r="Y17" t="s">
        <v>91</v>
      </c>
      <c r="Z17">
        <v>44.793660000000003</v>
      </c>
      <c r="AA17" s="12">
        <v>-118.50112</v>
      </c>
      <c r="AB17" t="s">
        <v>29</v>
      </c>
      <c r="AC17">
        <v>0.50429999999999997</v>
      </c>
    </row>
    <row r="18" spans="1:29" x14ac:dyDescent="0.2">
      <c r="A18">
        <v>6</v>
      </c>
      <c r="B18">
        <v>6</v>
      </c>
      <c r="C18" t="s">
        <v>41</v>
      </c>
      <c r="D18">
        <v>2018</v>
      </c>
      <c r="E18">
        <v>17</v>
      </c>
      <c r="F18">
        <v>3</v>
      </c>
      <c r="G18" t="s">
        <v>28</v>
      </c>
      <c r="H18">
        <v>31</v>
      </c>
      <c r="I18">
        <v>2</v>
      </c>
      <c r="J18">
        <v>2</v>
      </c>
      <c r="K18">
        <v>3</v>
      </c>
      <c r="L18">
        <v>8</v>
      </c>
      <c r="M18">
        <v>1</v>
      </c>
      <c r="N18">
        <v>1</v>
      </c>
      <c r="O18">
        <v>2</v>
      </c>
      <c r="P18">
        <v>3</v>
      </c>
      <c r="Q18">
        <v>2.1</v>
      </c>
      <c r="R18">
        <v>62</v>
      </c>
      <c r="S18" t="s">
        <v>35</v>
      </c>
      <c r="T18" t="s">
        <v>30</v>
      </c>
      <c r="U18" t="s">
        <v>31</v>
      </c>
      <c r="V18" t="s">
        <v>29</v>
      </c>
      <c r="W18" t="s">
        <v>31</v>
      </c>
      <c r="X18" t="s">
        <v>42</v>
      </c>
      <c r="Y18" t="s">
        <v>91</v>
      </c>
      <c r="Z18">
        <v>44.793660000000003</v>
      </c>
      <c r="AA18" s="12">
        <v>-118.50112</v>
      </c>
      <c r="AB18" t="s">
        <v>29</v>
      </c>
      <c r="AC18">
        <v>0.50429999999999997</v>
      </c>
    </row>
    <row r="19" spans="1:29" x14ac:dyDescent="0.2">
      <c r="A19">
        <v>6</v>
      </c>
      <c r="B19">
        <v>7</v>
      </c>
      <c r="C19" t="s">
        <v>41</v>
      </c>
      <c r="D19">
        <v>2018</v>
      </c>
      <c r="E19">
        <v>17</v>
      </c>
      <c r="F19">
        <v>3</v>
      </c>
      <c r="G19" t="s">
        <v>28</v>
      </c>
      <c r="H19">
        <v>18</v>
      </c>
      <c r="I19">
        <v>3</v>
      </c>
      <c r="J19">
        <v>3</v>
      </c>
      <c r="K19">
        <v>3</v>
      </c>
      <c r="L19">
        <v>9</v>
      </c>
      <c r="M19">
        <v>2</v>
      </c>
      <c r="N19">
        <v>2</v>
      </c>
      <c r="O19">
        <v>2</v>
      </c>
      <c r="P19">
        <v>3</v>
      </c>
      <c r="Q19">
        <v>2.1</v>
      </c>
      <c r="R19">
        <v>62</v>
      </c>
      <c r="S19" t="s">
        <v>35</v>
      </c>
      <c r="T19" t="s">
        <v>30</v>
      </c>
      <c r="U19" t="s">
        <v>31</v>
      </c>
      <c r="V19" t="s">
        <v>29</v>
      </c>
      <c r="W19" t="s">
        <v>31</v>
      </c>
      <c r="X19" t="s">
        <v>42</v>
      </c>
      <c r="Y19" t="s">
        <v>91</v>
      </c>
      <c r="Z19">
        <v>44.793660000000003</v>
      </c>
      <c r="AA19" s="12">
        <v>-118.50112</v>
      </c>
      <c r="AB19" t="s">
        <v>29</v>
      </c>
      <c r="AC19">
        <v>0.50429999999999997</v>
      </c>
    </row>
    <row r="20" spans="1:29" x14ac:dyDescent="0.2">
      <c r="A20">
        <v>6</v>
      </c>
      <c r="B20">
        <v>8</v>
      </c>
      <c r="C20" t="s">
        <v>41</v>
      </c>
      <c r="D20">
        <v>2018</v>
      </c>
      <c r="E20">
        <v>17</v>
      </c>
      <c r="F20">
        <v>3</v>
      </c>
      <c r="G20" t="s">
        <v>28</v>
      </c>
      <c r="H20">
        <v>29</v>
      </c>
      <c r="I20">
        <v>3</v>
      </c>
      <c r="J20">
        <v>3</v>
      </c>
      <c r="K20">
        <v>3</v>
      </c>
      <c r="L20">
        <v>8</v>
      </c>
      <c r="M20">
        <v>1</v>
      </c>
      <c r="N20">
        <v>1</v>
      </c>
      <c r="O20">
        <v>2</v>
      </c>
      <c r="P20">
        <v>3</v>
      </c>
      <c r="Q20">
        <v>2.1</v>
      </c>
      <c r="R20">
        <v>62</v>
      </c>
      <c r="S20" t="s">
        <v>35</v>
      </c>
      <c r="T20" t="s">
        <v>30</v>
      </c>
      <c r="U20" t="s">
        <v>31</v>
      </c>
      <c r="V20" t="s">
        <v>29</v>
      </c>
      <c r="W20" t="s">
        <v>31</v>
      </c>
      <c r="X20" t="s">
        <v>42</v>
      </c>
      <c r="Y20" t="s">
        <v>91</v>
      </c>
      <c r="Z20">
        <v>44.793660000000003</v>
      </c>
      <c r="AA20" s="12">
        <v>-118.50112</v>
      </c>
      <c r="AB20" t="s">
        <v>29</v>
      </c>
      <c r="AC20">
        <v>0.50429999999999997</v>
      </c>
    </row>
    <row r="21" spans="1:29" x14ac:dyDescent="0.2">
      <c r="A21">
        <v>7</v>
      </c>
      <c r="B21">
        <v>1</v>
      </c>
      <c r="C21" t="s">
        <v>43</v>
      </c>
      <c r="D21">
        <v>2014</v>
      </c>
      <c r="E21">
        <v>10</v>
      </c>
      <c r="F21">
        <v>5</v>
      </c>
      <c r="G21" t="s">
        <v>28</v>
      </c>
      <c r="H21">
        <v>98.88</v>
      </c>
      <c r="I21">
        <v>1.83</v>
      </c>
      <c r="J21">
        <v>1.83</v>
      </c>
      <c r="K21">
        <v>5</v>
      </c>
      <c r="L21">
        <v>90.03</v>
      </c>
      <c r="M21">
        <v>3.65</v>
      </c>
      <c r="N21">
        <v>3.65</v>
      </c>
      <c r="O21">
        <v>1.08</v>
      </c>
      <c r="P21">
        <v>2</v>
      </c>
      <c r="Q21">
        <v>16.100000000000001</v>
      </c>
      <c r="R21">
        <v>61.8</v>
      </c>
      <c r="S21" t="s">
        <v>35</v>
      </c>
      <c r="T21" t="s">
        <v>44</v>
      </c>
      <c r="U21" t="s">
        <v>29</v>
      </c>
      <c r="V21" t="s">
        <v>29</v>
      </c>
      <c r="W21" t="s">
        <v>31</v>
      </c>
      <c r="X21" t="s">
        <v>40</v>
      </c>
      <c r="Y21" t="s">
        <v>93</v>
      </c>
      <c r="Z21">
        <v>41.434519000000002</v>
      </c>
      <c r="AA21" s="12">
        <v>2.1908799999999999</v>
      </c>
      <c r="AB21" t="s">
        <v>31</v>
      </c>
      <c r="AC21">
        <v>0.4587</v>
      </c>
    </row>
    <row r="22" spans="1:29" x14ac:dyDescent="0.2">
      <c r="A22">
        <v>7</v>
      </c>
      <c r="B22">
        <v>2</v>
      </c>
      <c r="C22" t="s">
        <v>43</v>
      </c>
      <c r="D22">
        <v>2014</v>
      </c>
      <c r="E22">
        <v>10</v>
      </c>
      <c r="F22">
        <v>5</v>
      </c>
      <c r="G22" t="s">
        <v>28</v>
      </c>
      <c r="H22">
        <v>96.77</v>
      </c>
      <c r="I22">
        <v>2.67</v>
      </c>
      <c r="J22">
        <v>2.67</v>
      </c>
      <c r="K22">
        <v>5</v>
      </c>
      <c r="L22">
        <v>90.03</v>
      </c>
      <c r="M22">
        <v>3.65</v>
      </c>
      <c r="N22">
        <v>3.65</v>
      </c>
      <c r="O22">
        <v>1.08</v>
      </c>
      <c r="P22">
        <v>2</v>
      </c>
      <c r="Q22">
        <v>16.100000000000001</v>
      </c>
      <c r="R22">
        <v>61.8</v>
      </c>
      <c r="S22" t="s">
        <v>35</v>
      </c>
      <c r="T22" t="s">
        <v>44</v>
      </c>
      <c r="U22" t="s">
        <v>29</v>
      </c>
      <c r="V22" t="s">
        <v>29</v>
      </c>
      <c r="W22" t="s">
        <v>31</v>
      </c>
      <c r="X22" t="s">
        <v>40</v>
      </c>
      <c r="Y22" t="s">
        <v>93</v>
      </c>
      <c r="Z22">
        <v>41.434519000000002</v>
      </c>
      <c r="AA22" s="12">
        <v>2.1908799999999999</v>
      </c>
      <c r="AB22" t="s">
        <v>31</v>
      </c>
      <c r="AC22">
        <v>0.4587</v>
      </c>
    </row>
    <row r="23" spans="1:29" x14ac:dyDescent="0.2">
      <c r="A23">
        <v>7</v>
      </c>
      <c r="B23">
        <v>3</v>
      </c>
      <c r="C23" t="s">
        <v>43</v>
      </c>
      <c r="D23">
        <v>2014</v>
      </c>
      <c r="E23">
        <v>10</v>
      </c>
      <c r="F23">
        <v>5</v>
      </c>
      <c r="G23" t="s">
        <v>28</v>
      </c>
      <c r="H23">
        <v>97.19</v>
      </c>
      <c r="I23">
        <v>3.51</v>
      </c>
      <c r="J23">
        <v>3.51</v>
      </c>
      <c r="K23">
        <v>5</v>
      </c>
      <c r="L23">
        <v>90.03</v>
      </c>
      <c r="M23">
        <v>3.65</v>
      </c>
      <c r="N23">
        <v>3.65</v>
      </c>
      <c r="O23">
        <v>1.08</v>
      </c>
      <c r="P23">
        <v>2</v>
      </c>
      <c r="Q23">
        <v>16.100000000000001</v>
      </c>
      <c r="R23">
        <v>61.8</v>
      </c>
      <c r="S23" t="s">
        <v>35</v>
      </c>
      <c r="T23" t="s">
        <v>44</v>
      </c>
      <c r="U23" t="s">
        <v>29</v>
      </c>
      <c r="V23" t="s">
        <v>29</v>
      </c>
      <c r="W23" t="s">
        <v>31</v>
      </c>
      <c r="X23" t="s">
        <v>40</v>
      </c>
      <c r="Y23" t="s">
        <v>93</v>
      </c>
      <c r="Z23">
        <v>41.434519000000002</v>
      </c>
      <c r="AA23" s="12">
        <v>2.1908799999999999</v>
      </c>
      <c r="AB23" t="s">
        <v>31</v>
      </c>
      <c r="AC23">
        <v>0.4587</v>
      </c>
    </row>
    <row r="24" spans="1:29" x14ac:dyDescent="0.2">
      <c r="A24">
        <v>7</v>
      </c>
      <c r="B24">
        <v>4</v>
      </c>
      <c r="C24" t="s">
        <v>43</v>
      </c>
      <c r="D24">
        <v>2014</v>
      </c>
      <c r="E24">
        <v>10</v>
      </c>
      <c r="F24">
        <v>5</v>
      </c>
      <c r="G24" t="s">
        <v>28</v>
      </c>
      <c r="H24">
        <v>89.75</v>
      </c>
      <c r="I24">
        <v>4.07</v>
      </c>
      <c r="J24">
        <v>4.07</v>
      </c>
      <c r="K24">
        <v>5</v>
      </c>
      <c r="L24">
        <v>80.760000000000005</v>
      </c>
      <c r="M24">
        <v>7.87</v>
      </c>
      <c r="N24">
        <v>7.87</v>
      </c>
      <c r="O24">
        <v>0.08</v>
      </c>
      <c r="P24">
        <v>1</v>
      </c>
      <c r="Q24">
        <v>16.100000000000001</v>
      </c>
      <c r="R24">
        <v>61.8</v>
      </c>
      <c r="S24" t="s">
        <v>35</v>
      </c>
      <c r="T24" t="s">
        <v>44</v>
      </c>
      <c r="U24" t="s">
        <v>29</v>
      </c>
      <c r="V24" t="s">
        <v>29</v>
      </c>
      <c r="W24" t="s">
        <v>31</v>
      </c>
      <c r="X24" t="s">
        <v>40</v>
      </c>
      <c r="Y24" t="s">
        <v>93</v>
      </c>
      <c r="Z24">
        <v>41.434519000000002</v>
      </c>
      <c r="AA24" s="12">
        <v>2.1908799999999999</v>
      </c>
      <c r="AB24" t="s">
        <v>31</v>
      </c>
      <c r="AC24">
        <v>0.4587</v>
      </c>
    </row>
    <row r="25" spans="1:29" x14ac:dyDescent="0.2">
      <c r="A25">
        <v>7</v>
      </c>
      <c r="B25">
        <v>5</v>
      </c>
      <c r="C25" t="s">
        <v>43</v>
      </c>
      <c r="D25">
        <v>2014</v>
      </c>
      <c r="E25">
        <v>10</v>
      </c>
      <c r="F25">
        <v>5</v>
      </c>
      <c r="G25" t="s">
        <v>28</v>
      </c>
      <c r="H25">
        <v>85.53</v>
      </c>
      <c r="I25">
        <v>4.21</v>
      </c>
      <c r="J25">
        <v>4.21</v>
      </c>
      <c r="K25">
        <v>5</v>
      </c>
      <c r="L25">
        <v>80.760000000000005</v>
      </c>
      <c r="M25">
        <v>7.87</v>
      </c>
      <c r="N25">
        <v>7.87</v>
      </c>
      <c r="O25">
        <v>0.08</v>
      </c>
      <c r="P25">
        <v>1</v>
      </c>
      <c r="Q25">
        <v>16.100000000000001</v>
      </c>
      <c r="R25">
        <v>61.8</v>
      </c>
      <c r="S25" t="s">
        <v>35</v>
      </c>
      <c r="T25" t="s">
        <v>44</v>
      </c>
      <c r="U25" t="s">
        <v>29</v>
      </c>
      <c r="V25" t="s">
        <v>29</v>
      </c>
      <c r="W25" t="s">
        <v>31</v>
      </c>
      <c r="X25" t="s">
        <v>40</v>
      </c>
      <c r="Y25" t="s">
        <v>93</v>
      </c>
      <c r="Z25">
        <v>41.434519000000002</v>
      </c>
      <c r="AA25" s="12">
        <v>2.1908799999999999</v>
      </c>
      <c r="AB25" t="s">
        <v>31</v>
      </c>
      <c r="AC25">
        <v>0.4587</v>
      </c>
    </row>
    <row r="26" spans="1:29" x14ac:dyDescent="0.2">
      <c r="A26">
        <v>7</v>
      </c>
      <c r="B26">
        <v>6</v>
      </c>
      <c r="C26" t="s">
        <v>43</v>
      </c>
      <c r="D26">
        <v>2014</v>
      </c>
      <c r="E26">
        <v>10</v>
      </c>
      <c r="F26">
        <v>5</v>
      </c>
      <c r="G26" t="s">
        <v>28</v>
      </c>
      <c r="H26">
        <v>94.1</v>
      </c>
      <c r="I26">
        <v>5.76</v>
      </c>
      <c r="J26">
        <v>5.76</v>
      </c>
      <c r="K26">
        <v>5</v>
      </c>
      <c r="L26">
        <v>80.760000000000005</v>
      </c>
      <c r="M26">
        <v>7.87</v>
      </c>
      <c r="N26">
        <v>7.87</v>
      </c>
      <c r="O26">
        <v>0.08</v>
      </c>
      <c r="P26">
        <v>1</v>
      </c>
      <c r="Q26">
        <v>16.100000000000001</v>
      </c>
      <c r="R26">
        <v>61.8</v>
      </c>
      <c r="S26" t="s">
        <v>35</v>
      </c>
      <c r="T26" t="s">
        <v>44</v>
      </c>
      <c r="U26" t="s">
        <v>29</v>
      </c>
      <c r="V26" t="s">
        <v>29</v>
      </c>
      <c r="W26" t="s">
        <v>31</v>
      </c>
      <c r="X26" t="s">
        <v>40</v>
      </c>
      <c r="Y26" t="s">
        <v>93</v>
      </c>
      <c r="Z26">
        <v>41.434519000000002</v>
      </c>
      <c r="AA26" s="12">
        <v>2.1908799999999999</v>
      </c>
      <c r="AB26" t="s">
        <v>31</v>
      </c>
      <c r="AC26">
        <v>0.4587</v>
      </c>
    </row>
    <row r="27" spans="1:29" x14ac:dyDescent="0.2">
      <c r="A27">
        <v>8</v>
      </c>
      <c r="B27">
        <v>1</v>
      </c>
      <c r="C27" t="s">
        <v>45</v>
      </c>
      <c r="D27">
        <v>2015</v>
      </c>
      <c r="E27">
        <v>30</v>
      </c>
      <c r="F27">
        <v>3</v>
      </c>
      <c r="G27" t="s">
        <v>28</v>
      </c>
      <c r="H27">
        <v>98</v>
      </c>
      <c r="I27">
        <v>2</v>
      </c>
      <c r="J27">
        <v>2</v>
      </c>
      <c r="K27">
        <v>3</v>
      </c>
      <c r="L27">
        <v>58</v>
      </c>
      <c r="M27">
        <v>20</v>
      </c>
      <c r="N27">
        <v>20</v>
      </c>
      <c r="O27">
        <v>8</v>
      </c>
      <c r="P27">
        <v>9</v>
      </c>
      <c r="Q27">
        <v>18</v>
      </c>
      <c r="R27">
        <v>55.2</v>
      </c>
      <c r="S27" t="s">
        <v>29</v>
      </c>
      <c r="T27" t="s">
        <v>46</v>
      </c>
      <c r="U27" t="s">
        <v>31</v>
      </c>
      <c r="V27" t="s">
        <v>31</v>
      </c>
      <c r="W27" t="s">
        <v>29</v>
      </c>
      <c r="X27" t="s">
        <v>47</v>
      </c>
      <c r="Y27" t="s">
        <v>93</v>
      </c>
      <c r="Z27">
        <v>37.439169999999997</v>
      </c>
      <c r="AA27" s="12">
        <v>-6.2163899999999996</v>
      </c>
      <c r="AB27" t="s">
        <v>29</v>
      </c>
      <c r="AC27">
        <v>0.29709999999999998</v>
      </c>
    </row>
    <row r="28" spans="1:29" x14ac:dyDescent="0.2">
      <c r="A28">
        <v>8</v>
      </c>
      <c r="B28">
        <v>2</v>
      </c>
      <c r="C28" t="s">
        <v>45</v>
      </c>
      <c r="D28">
        <v>2015</v>
      </c>
      <c r="E28">
        <v>30</v>
      </c>
      <c r="F28">
        <v>3</v>
      </c>
      <c r="G28" t="s">
        <v>28</v>
      </c>
      <c r="H28">
        <v>92</v>
      </c>
      <c r="I28">
        <v>6</v>
      </c>
      <c r="J28">
        <v>6</v>
      </c>
      <c r="K28">
        <v>3</v>
      </c>
      <c r="L28">
        <v>58</v>
      </c>
      <c r="M28">
        <v>20</v>
      </c>
      <c r="N28">
        <v>20</v>
      </c>
      <c r="O28">
        <v>8</v>
      </c>
      <c r="P28">
        <v>9</v>
      </c>
      <c r="Q28">
        <v>18</v>
      </c>
      <c r="R28">
        <v>55.2</v>
      </c>
      <c r="S28" t="s">
        <v>29</v>
      </c>
      <c r="T28" t="s">
        <v>46</v>
      </c>
      <c r="U28" t="s">
        <v>31</v>
      </c>
      <c r="V28" t="s">
        <v>31</v>
      </c>
      <c r="W28" t="s">
        <v>29</v>
      </c>
      <c r="X28" t="s">
        <v>47</v>
      </c>
      <c r="Y28" t="s">
        <v>93</v>
      </c>
      <c r="Z28">
        <v>37.439169999999997</v>
      </c>
      <c r="AA28" s="12">
        <v>-6.2163899999999996</v>
      </c>
      <c r="AB28" t="s">
        <v>29</v>
      </c>
      <c r="AC28">
        <v>0.29709999999999998</v>
      </c>
    </row>
    <row r="29" spans="1:29" x14ac:dyDescent="0.2">
      <c r="A29">
        <v>9</v>
      </c>
      <c r="B29">
        <v>1</v>
      </c>
      <c r="C29" t="s">
        <v>48</v>
      </c>
      <c r="D29">
        <v>2000</v>
      </c>
      <c r="E29">
        <v>195</v>
      </c>
      <c r="F29">
        <v>12</v>
      </c>
      <c r="G29" t="s">
        <v>49</v>
      </c>
      <c r="H29">
        <v>90.29</v>
      </c>
      <c r="I29">
        <v>14.38</v>
      </c>
      <c r="J29">
        <v>14.38</v>
      </c>
      <c r="K29">
        <v>12</v>
      </c>
      <c r="L29">
        <v>5.84</v>
      </c>
      <c r="M29">
        <v>7.64</v>
      </c>
      <c r="N29">
        <v>7.64</v>
      </c>
      <c r="O29">
        <v>5</v>
      </c>
      <c r="P29">
        <v>6</v>
      </c>
      <c r="Q29">
        <v>16.100000000000001</v>
      </c>
      <c r="R29">
        <v>33.5</v>
      </c>
      <c r="S29" t="s">
        <v>35</v>
      </c>
      <c r="T29" t="s">
        <v>44</v>
      </c>
      <c r="U29" t="s">
        <v>31</v>
      </c>
      <c r="V29" t="s">
        <v>31</v>
      </c>
      <c r="W29" t="s">
        <v>31</v>
      </c>
      <c r="X29" t="s">
        <v>50</v>
      </c>
      <c r="Y29" t="s">
        <v>93</v>
      </c>
      <c r="Z29">
        <v>38.183329999999998</v>
      </c>
      <c r="AA29" s="12">
        <v>-1.8333299999999999</v>
      </c>
      <c r="AB29" t="s">
        <v>31</v>
      </c>
      <c r="AC29">
        <v>0.20100000000000001</v>
      </c>
    </row>
    <row r="30" spans="1:29" x14ac:dyDescent="0.2">
      <c r="A30">
        <v>9</v>
      </c>
      <c r="B30">
        <v>2</v>
      </c>
      <c r="C30" t="s">
        <v>48</v>
      </c>
      <c r="D30">
        <v>2000</v>
      </c>
      <c r="E30">
        <v>130</v>
      </c>
      <c r="F30">
        <v>12</v>
      </c>
      <c r="G30" t="s">
        <v>49</v>
      </c>
      <c r="H30">
        <v>83.55</v>
      </c>
      <c r="I30">
        <v>18.87</v>
      </c>
      <c r="J30">
        <v>18.87</v>
      </c>
      <c r="K30">
        <v>12</v>
      </c>
      <c r="L30">
        <v>5.84</v>
      </c>
      <c r="M30">
        <v>7.64</v>
      </c>
      <c r="N30">
        <v>7.64</v>
      </c>
      <c r="O30">
        <v>5</v>
      </c>
      <c r="P30">
        <v>6</v>
      </c>
      <c r="Q30">
        <v>16.100000000000001</v>
      </c>
      <c r="R30">
        <v>33.5</v>
      </c>
      <c r="S30" t="s">
        <v>35</v>
      </c>
      <c r="T30" t="s">
        <v>44</v>
      </c>
      <c r="U30" t="s">
        <v>31</v>
      </c>
      <c r="V30" t="s">
        <v>31</v>
      </c>
      <c r="W30" t="s">
        <v>31</v>
      </c>
      <c r="X30" t="s">
        <v>50</v>
      </c>
      <c r="Y30" t="s">
        <v>93</v>
      </c>
      <c r="Z30">
        <v>38.183329999999998</v>
      </c>
      <c r="AA30" s="12">
        <v>-1.8333299999999999</v>
      </c>
      <c r="AB30" t="s">
        <v>31</v>
      </c>
      <c r="AC30">
        <v>0.20100000000000001</v>
      </c>
    </row>
    <row r="31" spans="1:29" x14ac:dyDescent="0.2">
      <c r="A31">
        <v>9</v>
      </c>
      <c r="B31">
        <v>3</v>
      </c>
      <c r="C31" t="s">
        <v>48</v>
      </c>
      <c r="D31">
        <v>2000</v>
      </c>
      <c r="E31">
        <v>260</v>
      </c>
      <c r="F31">
        <v>12</v>
      </c>
      <c r="G31" t="s">
        <v>49</v>
      </c>
      <c r="H31">
        <v>99.37</v>
      </c>
      <c r="I31">
        <v>22.47</v>
      </c>
      <c r="J31">
        <v>22.47</v>
      </c>
      <c r="K31">
        <v>12</v>
      </c>
      <c r="L31">
        <v>5.84</v>
      </c>
      <c r="M31">
        <v>7.64</v>
      </c>
      <c r="N31">
        <v>7.64</v>
      </c>
      <c r="O31">
        <v>5</v>
      </c>
      <c r="P31">
        <v>6</v>
      </c>
      <c r="Q31">
        <v>16.100000000000001</v>
      </c>
      <c r="R31">
        <v>33.5</v>
      </c>
      <c r="S31" t="s">
        <v>35</v>
      </c>
      <c r="T31" t="s">
        <v>44</v>
      </c>
      <c r="U31" t="s">
        <v>31</v>
      </c>
      <c r="V31" t="s">
        <v>31</v>
      </c>
      <c r="W31" t="s">
        <v>31</v>
      </c>
      <c r="X31" t="s">
        <v>50</v>
      </c>
      <c r="Y31" t="s">
        <v>93</v>
      </c>
      <c r="Z31">
        <v>38.183329999999998</v>
      </c>
      <c r="AA31" s="12">
        <v>-1.8333299999999999</v>
      </c>
      <c r="AB31" t="s">
        <v>31</v>
      </c>
      <c r="AC31">
        <v>0.20100000000000001</v>
      </c>
    </row>
    <row r="32" spans="1:29" x14ac:dyDescent="0.2">
      <c r="A32">
        <v>9</v>
      </c>
      <c r="B32">
        <v>4</v>
      </c>
      <c r="C32" t="s">
        <v>48</v>
      </c>
      <c r="D32">
        <v>2000</v>
      </c>
      <c r="E32">
        <v>65</v>
      </c>
      <c r="F32">
        <v>12</v>
      </c>
      <c r="G32" t="s">
        <v>49</v>
      </c>
      <c r="H32">
        <v>52.54</v>
      </c>
      <c r="I32">
        <v>23.82</v>
      </c>
      <c r="J32">
        <v>23.82</v>
      </c>
      <c r="K32">
        <v>12</v>
      </c>
      <c r="L32">
        <v>5.84</v>
      </c>
      <c r="M32">
        <v>7.64</v>
      </c>
      <c r="N32">
        <v>7.64</v>
      </c>
      <c r="O32">
        <v>5</v>
      </c>
      <c r="P32">
        <v>6</v>
      </c>
      <c r="Q32">
        <v>16.100000000000001</v>
      </c>
      <c r="R32">
        <v>33.5</v>
      </c>
      <c r="S32" t="s">
        <v>35</v>
      </c>
      <c r="T32" t="s">
        <v>44</v>
      </c>
      <c r="U32" t="s">
        <v>31</v>
      </c>
      <c r="V32" t="s">
        <v>31</v>
      </c>
      <c r="W32" t="s">
        <v>31</v>
      </c>
      <c r="X32" t="s">
        <v>50</v>
      </c>
      <c r="Y32" t="s">
        <v>93</v>
      </c>
      <c r="Z32">
        <v>38.183329999999998</v>
      </c>
      <c r="AA32" s="12">
        <v>-1.8333299999999999</v>
      </c>
      <c r="AB32" t="s">
        <v>31</v>
      </c>
      <c r="AC32">
        <v>0.20100000000000001</v>
      </c>
    </row>
    <row r="33" spans="1:29" x14ac:dyDescent="0.2">
      <c r="A33">
        <v>10</v>
      </c>
      <c r="B33">
        <v>1</v>
      </c>
      <c r="C33" t="s">
        <v>97</v>
      </c>
      <c r="D33" t="s">
        <v>51</v>
      </c>
      <c r="E33">
        <v>200</v>
      </c>
      <c r="F33">
        <v>8</v>
      </c>
      <c r="G33" t="s">
        <v>49</v>
      </c>
      <c r="H33">
        <v>86.35</v>
      </c>
      <c r="I33">
        <v>10.09</v>
      </c>
      <c r="J33">
        <v>10.09</v>
      </c>
      <c r="K33">
        <v>8</v>
      </c>
      <c r="L33">
        <v>2.33</v>
      </c>
      <c r="M33">
        <v>4.2300000000000004</v>
      </c>
      <c r="N33">
        <v>4.2300000000000004</v>
      </c>
      <c r="O33">
        <v>17</v>
      </c>
      <c r="P33">
        <v>18</v>
      </c>
      <c r="Q33">
        <v>2.2999999999999998</v>
      </c>
      <c r="R33">
        <v>44.8</v>
      </c>
      <c r="S33" t="s">
        <v>35</v>
      </c>
      <c r="T33" t="s">
        <v>30</v>
      </c>
      <c r="U33" t="s">
        <v>31</v>
      </c>
      <c r="V33" t="s">
        <v>29</v>
      </c>
      <c r="W33" t="s">
        <v>31</v>
      </c>
      <c r="X33" t="s">
        <v>52</v>
      </c>
      <c r="Y33" t="s">
        <v>94</v>
      </c>
      <c r="Z33">
        <v>50.473109999999998</v>
      </c>
      <c r="AA33">
        <v>-121.0218</v>
      </c>
      <c r="AB33" t="s">
        <v>29</v>
      </c>
      <c r="AC33">
        <v>0.46660000000000001</v>
      </c>
    </row>
    <row r="34" spans="1:29" x14ac:dyDescent="0.2">
      <c r="A34">
        <v>10</v>
      </c>
      <c r="B34">
        <v>2</v>
      </c>
      <c r="C34" t="s">
        <v>97</v>
      </c>
      <c r="D34" t="s">
        <v>51</v>
      </c>
      <c r="E34">
        <v>150</v>
      </c>
      <c r="F34">
        <v>8</v>
      </c>
      <c r="G34" t="s">
        <v>49</v>
      </c>
      <c r="H34">
        <v>89.38</v>
      </c>
      <c r="I34">
        <v>13.14</v>
      </c>
      <c r="J34">
        <v>13.14</v>
      </c>
      <c r="K34">
        <v>8</v>
      </c>
      <c r="L34">
        <v>2.33</v>
      </c>
      <c r="M34">
        <v>4.2300000000000004</v>
      </c>
      <c r="N34">
        <v>4.2300000000000004</v>
      </c>
      <c r="O34">
        <v>17</v>
      </c>
      <c r="P34">
        <v>18</v>
      </c>
      <c r="Q34">
        <v>2.2999999999999998</v>
      </c>
      <c r="R34">
        <v>44.8</v>
      </c>
      <c r="S34" t="s">
        <v>35</v>
      </c>
      <c r="T34" t="s">
        <v>30</v>
      </c>
      <c r="U34" t="s">
        <v>31</v>
      </c>
      <c r="V34" t="s">
        <v>29</v>
      </c>
      <c r="W34" t="s">
        <v>31</v>
      </c>
      <c r="X34" t="s">
        <v>52</v>
      </c>
      <c r="Y34" t="s">
        <v>94</v>
      </c>
      <c r="Z34">
        <v>50.473109999999998</v>
      </c>
      <c r="AA34">
        <v>-121.0218</v>
      </c>
      <c r="AB34" t="s">
        <v>29</v>
      </c>
      <c r="AC34">
        <v>0.46660000000000001</v>
      </c>
    </row>
    <row r="35" spans="1:29" x14ac:dyDescent="0.2">
      <c r="A35">
        <v>10</v>
      </c>
      <c r="B35">
        <v>3</v>
      </c>
      <c r="C35" t="s">
        <v>97</v>
      </c>
      <c r="D35" t="s">
        <v>51</v>
      </c>
      <c r="E35">
        <v>50</v>
      </c>
      <c r="F35">
        <v>8</v>
      </c>
      <c r="G35" t="s">
        <v>49</v>
      </c>
      <c r="H35">
        <v>73.53</v>
      </c>
      <c r="I35">
        <v>15.74</v>
      </c>
      <c r="J35">
        <v>15.74</v>
      </c>
      <c r="K35">
        <v>8</v>
      </c>
      <c r="L35">
        <v>2.33</v>
      </c>
      <c r="M35">
        <v>4.2300000000000004</v>
      </c>
      <c r="N35">
        <v>4.2300000000000004</v>
      </c>
      <c r="O35">
        <v>17</v>
      </c>
      <c r="P35">
        <v>18</v>
      </c>
      <c r="Q35">
        <v>2.2999999999999998</v>
      </c>
      <c r="R35">
        <v>44.8</v>
      </c>
      <c r="S35" t="s">
        <v>35</v>
      </c>
      <c r="T35" t="s">
        <v>30</v>
      </c>
      <c r="U35" t="s">
        <v>31</v>
      </c>
      <c r="V35" t="s">
        <v>29</v>
      </c>
      <c r="W35" t="s">
        <v>31</v>
      </c>
      <c r="X35" t="s">
        <v>52</v>
      </c>
      <c r="Y35" t="s">
        <v>94</v>
      </c>
      <c r="Z35">
        <v>50.473109999999998</v>
      </c>
      <c r="AA35">
        <v>-121.0218</v>
      </c>
      <c r="AB35" t="s">
        <v>29</v>
      </c>
      <c r="AC35">
        <v>0.46660000000000001</v>
      </c>
    </row>
    <row r="36" spans="1:29" x14ac:dyDescent="0.2">
      <c r="A36">
        <v>10</v>
      </c>
      <c r="B36">
        <v>4</v>
      </c>
      <c r="C36" t="s">
        <v>97</v>
      </c>
      <c r="D36" t="s">
        <v>51</v>
      </c>
      <c r="E36">
        <v>250</v>
      </c>
      <c r="F36">
        <v>8</v>
      </c>
      <c r="G36" t="s">
        <v>49</v>
      </c>
      <c r="H36">
        <v>128.99</v>
      </c>
      <c r="I36">
        <v>17.07</v>
      </c>
      <c r="J36">
        <v>17.07</v>
      </c>
      <c r="K36">
        <v>8</v>
      </c>
      <c r="L36">
        <v>56.94</v>
      </c>
      <c r="M36">
        <v>26.69</v>
      </c>
      <c r="N36">
        <v>26.69</v>
      </c>
      <c r="O36">
        <v>17</v>
      </c>
      <c r="P36">
        <v>18</v>
      </c>
      <c r="Q36">
        <v>2.2999999999999998</v>
      </c>
      <c r="R36">
        <v>44.8</v>
      </c>
      <c r="S36" t="s">
        <v>35</v>
      </c>
      <c r="T36" t="s">
        <v>30</v>
      </c>
      <c r="U36" t="s">
        <v>31</v>
      </c>
      <c r="V36" t="s">
        <v>29</v>
      </c>
      <c r="W36" t="s">
        <v>31</v>
      </c>
      <c r="X36" t="s">
        <v>52</v>
      </c>
      <c r="Y36" t="s">
        <v>94</v>
      </c>
      <c r="Z36">
        <v>50.473109999999998</v>
      </c>
      <c r="AA36">
        <v>-121.0218</v>
      </c>
      <c r="AB36" t="s">
        <v>29</v>
      </c>
      <c r="AC36">
        <v>0.46660000000000001</v>
      </c>
    </row>
    <row r="37" spans="1:29" x14ac:dyDescent="0.2">
      <c r="A37">
        <v>10</v>
      </c>
      <c r="B37">
        <v>5</v>
      </c>
      <c r="C37" t="s">
        <v>97</v>
      </c>
      <c r="D37" t="s">
        <v>51</v>
      </c>
      <c r="E37">
        <v>100</v>
      </c>
      <c r="F37">
        <v>8</v>
      </c>
      <c r="G37" t="s">
        <v>49</v>
      </c>
      <c r="H37">
        <v>71.459999999999994</v>
      </c>
      <c r="I37">
        <v>17.2</v>
      </c>
      <c r="J37">
        <v>17.2</v>
      </c>
      <c r="K37">
        <v>8</v>
      </c>
      <c r="L37">
        <v>2.33</v>
      </c>
      <c r="M37">
        <v>4.2300000000000004</v>
      </c>
      <c r="N37">
        <v>4.2300000000000004</v>
      </c>
      <c r="O37">
        <v>17</v>
      </c>
      <c r="P37">
        <v>18</v>
      </c>
      <c r="Q37">
        <v>2.2999999999999998</v>
      </c>
      <c r="R37">
        <v>44.8</v>
      </c>
      <c r="S37" t="s">
        <v>35</v>
      </c>
      <c r="T37" t="s">
        <v>30</v>
      </c>
      <c r="U37" t="s">
        <v>31</v>
      </c>
      <c r="V37" t="s">
        <v>29</v>
      </c>
      <c r="W37" t="s">
        <v>31</v>
      </c>
      <c r="X37" t="s">
        <v>52</v>
      </c>
      <c r="Y37" t="s">
        <v>94</v>
      </c>
      <c r="Z37">
        <v>50.473109999999998</v>
      </c>
      <c r="AA37">
        <v>-121.0218</v>
      </c>
      <c r="AB37" t="s">
        <v>29</v>
      </c>
      <c r="AC37">
        <v>0.46660000000000001</v>
      </c>
    </row>
    <row r="38" spans="1:29" x14ac:dyDescent="0.2">
      <c r="A38">
        <v>10</v>
      </c>
      <c r="B38">
        <v>6</v>
      </c>
      <c r="C38" t="s">
        <v>97</v>
      </c>
      <c r="D38" t="s">
        <v>51</v>
      </c>
      <c r="E38">
        <v>200</v>
      </c>
      <c r="F38">
        <v>8</v>
      </c>
      <c r="G38" t="s">
        <v>49</v>
      </c>
      <c r="H38">
        <v>127.61</v>
      </c>
      <c r="I38">
        <v>18.14</v>
      </c>
      <c r="J38">
        <v>18.14</v>
      </c>
      <c r="K38">
        <v>8</v>
      </c>
      <c r="L38">
        <v>56.94</v>
      </c>
      <c r="M38">
        <v>26.69</v>
      </c>
      <c r="N38">
        <v>26.69</v>
      </c>
      <c r="O38">
        <v>17</v>
      </c>
      <c r="P38">
        <v>18</v>
      </c>
      <c r="Q38">
        <v>2.2999999999999998</v>
      </c>
      <c r="R38">
        <v>44.8</v>
      </c>
      <c r="S38" t="s">
        <v>35</v>
      </c>
      <c r="T38" t="s">
        <v>30</v>
      </c>
      <c r="U38" t="s">
        <v>31</v>
      </c>
      <c r="V38" t="s">
        <v>29</v>
      </c>
      <c r="W38" t="s">
        <v>31</v>
      </c>
      <c r="X38" t="s">
        <v>52</v>
      </c>
      <c r="Y38" t="s">
        <v>94</v>
      </c>
      <c r="Z38">
        <v>50.473109999999998</v>
      </c>
      <c r="AA38">
        <v>-121.0218</v>
      </c>
      <c r="AB38" t="s">
        <v>29</v>
      </c>
      <c r="AC38">
        <v>0.46660000000000001</v>
      </c>
    </row>
    <row r="39" spans="1:29" x14ac:dyDescent="0.2">
      <c r="A39">
        <v>10</v>
      </c>
      <c r="B39">
        <v>7</v>
      </c>
      <c r="C39" t="s">
        <v>97</v>
      </c>
      <c r="D39" t="s">
        <v>51</v>
      </c>
      <c r="E39">
        <v>100</v>
      </c>
      <c r="F39">
        <v>8</v>
      </c>
      <c r="G39" t="s">
        <v>49</v>
      </c>
      <c r="H39">
        <v>140.25</v>
      </c>
      <c r="I39">
        <v>18.149999999999999</v>
      </c>
      <c r="J39">
        <v>18.149999999999999</v>
      </c>
      <c r="K39">
        <v>8</v>
      </c>
      <c r="L39">
        <v>56.94</v>
      </c>
      <c r="M39">
        <v>26.69</v>
      </c>
      <c r="N39">
        <v>26.69</v>
      </c>
      <c r="O39">
        <v>17</v>
      </c>
      <c r="P39">
        <v>18</v>
      </c>
      <c r="Q39">
        <v>2.2999999999999998</v>
      </c>
      <c r="R39">
        <v>44.8</v>
      </c>
      <c r="S39" t="s">
        <v>35</v>
      </c>
      <c r="T39" t="s">
        <v>30</v>
      </c>
      <c r="U39" t="s">
        <v>31</v>
      </c>
      <c r="V39" t="s">
        <v>29</v>
      </c>
      <c r="W39" t="s">
        <v>31</v>
      </c>
      <c r="X39" t="s">
        <v>52</v>
      </c>
      <c r="Y39" t="s">
        <v>94</v>
      </c>
      <c r="Z39">
        <v>50.473109999999998</v>
      </c>
      <c r="AA39">
        <v>-121.0218</v>
      </c>
      <c r="AB39" t="s">
        <v>29</v>
      </c>
      <c r="AC39">
        <v>0.46660000000000001</v>
      </c>
    </row>
    <row r="40" spans="1:29" x14ac:dyDescent="0.2">
      <c r="A40">
        <v>10</v>
      </c>
      <c r="B40">
        <v>8</v>
      </c>
      <c r="C40" t="s">
        <v>97</v>
      </c>
      <c r="D40" t="s">
        <v>51</v>
      </c>
      <c r="E40">
        <v>50</v>
      </c>
      <c r="F40">
        <v>8</v>
      </c>
      <c r="G40" t="s">
        <v>49</v>
      </c>
      <c r="H40">
        <v>122.65</v>
      </c>
      <c r="I40">
        <v>18.690000000000001</v>
      </c>
      <c r="J40">
        <v>18.690000000000001</v>
      </c>
      <c r="K40">
        <v>8</v>
      </c>
      <c r="L40">
        <v>56.94</v>
      </c>
      <c r="M40">
        <v>26.69</v>
      </c>
      <c r="N40">
        <v>26.69</v>
      </c>
      <c r="O40">
        <v>17</v>
      </c>
      <c r="P40">
        <v>18</v>
      </c>
      <c r="Q40">
        <v>2.2999999999999998</v>
      </c>
      <c r="R40">
        <v>44.8</v>
      </c>
      <c r="S40" t="s">
        <v>35</v>
      </c>
      <c r="T40" t="s">
        <v>30</v>
      </c>
      <c r="U40" t="s">
        <v>31</v>
      </c>
      <c r="V40" t="s">
        <v>29</v>
      </c>
      <c r="W40" t="s">
        <v>31</v>
      </c>
      <c r="X40" t="s">
        <v>52</v>
      </c>
      <c r="Y40" t="s">
        <v>94</v>
      </c>
      <c r="Z40">
        <v>50.473109999999998</v>
      </c>
      <c r="AA40">
        <v>-121.0218</v>
      </c>
      <c r="AB40" t="s">
        <v>29</v>
      </c>
      <c r="AC40">
        <v>0.46660000000000001</v>
      </c>
    </row>
    <row r="41" spans="1:29" x14ac:dyDescent="0.2">
      <c r="A41">
        <v>10</v>
      </c>
      <c r="B41">
        <v>9</v>
      </c>
      <c r="C41" t="s">
        <v>97</v>
      </c>
      <c r="D41" t="s">
        <v>51</v>
      </c>
      <c r="E41">
        <v>150</v>
      </c>
      <c r="F41">
        <v>8</v>
      </c>
      <c r="G41" t="s">
        <v>49</v>
      </c>
      <c r="H41">
        <v>132.09</v>
      </c>
      <c r="I41">
        <v>20.77</v>
      </c>
      <c r="J41">
        <v>20.77</v>
      </c>
      <c r="K41">
        <v>8</v>
      </c>
      <c r="L41">
        <v>56.94</v>
      </c>
      <c r="M41">
        <v>26.69</v>
      </c>
      <c r="N41">
        <v>26.69</v>
      </c>
      <c r="O41">
        <v>17</v>
      </c>
      <c r="P41">
        <v>18</v>
      </c>
      <c r="Q41">
        <v>2.2999999999999998</v>
      </c>
      <c r="R41">
        <v>44.8</v>
      </c>
      <c r="S41" t="s">
        <v>35</v>
      </c>
      <c r="T41" t="s">
        <v>30</v>
      </c>
      <c r="U41" t="s">
        <v>31</v>
      </c>
      <c r="V41" t="s">
        <v>29</v>
      </c>
      <c r="W41" t="s">
        <v>31</v>
      </c>
      <c r="X41" t="s">
        <v>52</v>
      </c>
      <c r="Y41" t="s">
        <v>94</v>
      </c>
      <c r="Z41">
        <v>50.473109999999998</v>
      </c>
      <c r="AA41">
        <v>-121.0218</v>
      </c>
      <c r="AB41" t="s">
        <v>29</v>
      </c>
      <c r="AC41">
        <v>0.46660000000000001</v>
      </c>
    </row>
    <row r="42" spans="1:29" x14ac:dyDescent="0.2">
      <c r="A42">
        <v>10</v>
      </c>
      <c r="B42">
        <v>10</v>
      </c>
      <c r="C42" t="s">
        <v>97</v>
      </c>
      <c r="D42" t="s">
        <v>51</v>
      </c>
      <c r="E42">
        <v>250</v>
      </c>
      <c r="F42">
        <v>8</v>
      </c>
      <c r="G42" t="s">
        <v>49</v>
      </c>
      <c r="H42">
        <v>84.71</v>
      </c>
      <c r="I42">
        <v>22.21</v>
      </c>
      <c r="J42">
        <v>22.21</v>
      </c>
      <c r="K42">
        <v>8</v>
      </c>
      <c r="L42">
        <v>2.33</v>
      </c>
      <c r="M42">
        <v>4.2300000000000004</v>
      </c>
      <c r="N42">
        <v>4.2300000000000004</v>
      </c>
      <c r="O42">
        <v>17</v>
      </c>
      <c r="P42">
        <v>18</v>
      </c>
      <c r="Q42">
        <v>2.2999999999999998</v>
      </c>
      <c r="R42">
        <v>44.8</v>
      </c>
      <c r="S42" t="s">
        <v>35</v>
      </c>
      <c r="T42" t="s">
        <v>30</v>
      </c>
      <c r="U42" t="s">
        <v>31</v>
      </c>
      <c r="V42" t="s">
        <v>29</v>
      </c>
      <c r="W42" t="s">
        <v>31</v>
      </c>
      <c r="X42" t="s">
        <v>52</v>
      </c>
      <c r="Y42" t="s">
        <v>94</v>
      </c>
      <c r="Z42">
        <v>50.473109999999998</v>
      </c>
      <c r="AA42">
        <v>-121.0218</v>
      </c>
      <c r="AB42" t="s">
        <v>29</v>
      </c>
      <c r="AC42">
        <v>0.46660000000000001</v>
      </c>
    </row>
    <row r="43" spans="1:29" x14ac:dyDescent="0.2">
      <c r="A43">
        <v>11</v>
      </c>
      <c r="B43">
        <v>1</v>
      </c>
      <c r="C43" t="s">
        <v>148</v>
      </c>
      <c r="D43">
        <v>2015</v>
      </c>
      <c r="E43">
        <v>40</v>
      </c>
      <c r="F43">
        <v>4</v>
      </c>
      <c r="G43" t="s">
        <v>49</v>
      </c>
      <c r="H43">
        <v>11.9</v>
      </c>
      <c r="I43">
        <v>7.58</v>
      </c>
      <c r="J43">
        <v>7.58</v>
      </c>
      <c r="K43">
        <v>4</v>
      </c>
      <c r="L43">
        <v>7.2</v>
      </c>
      <c r="M43">
        <v>2.96</v>
      </c>
      <c r="N43">
        <v>2.96</v>
      </c>
      <c r="O43">
        <v>6</v>
      </c>
      <c r="P43">
        <v>7</v>
      </c>
      <c r="Q43">
        <v>9.4</v>
      </c>
      <c r="R43">
        <v>56.5</v>
      </c>
      <c r="S43" t="s">
        <v>29</v>
      </c>
      <c r="T43" t="s">
        <v>30</v>
      </c>
      <c r="U43" t="s">
        <v>29</v>
      </c>
      <c r="V43" t="s">
        <v>31</v>
      </c>
      <c r="W43" t="s">
        <v>31</v>
      </c>
      <c r="X43" t="s">
        <v>54</v>
      </c>
      <c r="Y43" t="s">
        <v>92</v>
      </c>
      <c r="Z43">
        <v>-40.573329999999999</v>
      </c>
      <c r="AA43" s="12">
        <v>-70.832499999999996</v>
      </c>
      <c r="AB43" t="s">
        <v>29</v>
      </c>
      <c r="AC43">
        <v>0.44740000000000002</v>
      </c>
    </row>
    <row r="44" spans="1:29" x14ac:dyDescent="0.2">
      <c r="A44">
        <v>12</v>
      </c>
      <c r="B44">
        <v>1</v>
      </c>
      <c r="C44" t="s">
        <v>55</v>
      </c>
      <c r="D44">
        <v>2005</v>
      </c>
      <c r="E44">
        <v>100</v>
      </c>
      <c r="F44">
        <v>4</v>
      </c>
      <c r="G44" t="s">
        <v>49</v>
      </c>
      <c r="H44">
        <v>92.2</v>
      </c>
      <c r="I44">
        <v>2.5499999999999998</v>
      </c>
      <c r="J44">
        <v>2.5499999999999998</v>
      </c>
      <c r="K44">
        <v>4</v>
      </c>
      <c r="L44">
        <v>84.87</v>
      </c>
      <c r="M44">
        <v>2.5499999999999998</v>
      </c>
      <c r="N44">
        <v>2.5499999999999998</v>
      </c>
      <c r="O44">
        <v>1.417</v>
      </c>
      <c r="P44">
        <v>2</v>
      </c>
      <c r="Q44">
        <v>13.7</v>
      </c>
      <c r="R44">
        <v>60.3</v>
      </c>
      <c r="S44" t="s">
        <v>29</v>
      </c>
      <c r="T44" t="s">
        <v>44</v>
      </c>
      <c r="U44" t="s">
        <v>29</v>
      </c>
      <c r="V44" t="s">
        <v>31</v>
      </c>
      <c r="W44" t="s">
        <v>31</v>
      </c>
      <c r="X44" t="s">
        <v>56</v>
      </c>
      <c r="Y44" t="s">
        <v>95</v>
      </c>
      <c r="Z44">
        <v>43.486109999999996</v>
      </c>
      <c r="AA44" s="12">
        <v>5.3016699999999997</v>
      </c>
      <c r="AB44" t="s">
        <v>31</v>
      </c>
      <c r="AC44">
        <v>0.4299</v>
      </c>
    </row>
    <row r="45" spans="1:29" x14ac:dyDescent="0.2">
      <c r="A45">
        <v>12</v>
      </c>
      <c r="B45">
        <v>2</v>
      </c>
      <c r="C45" t="s">
        <v>55</v>
      </c>
      <c r="D45">
        <v>2005</v>
      </c>
      <c r="E45">
        <v>100</v>
      </c>
      <c r="F45">
        <v>4</v>
      </c>
      <c r="G45" t="s">
        <v>49</v>
      </c>
      <c r="H45">
        <v>89.33</v>
      </c>
      <c r="I45">
        <v>3.18</v>
      </c>
      <c r="J45">
        <v>3.18</v>
      </c>
      <c r="K45">
        <v>4</v>
      </c>
      <c r="L45">
        <v>82.32</v>
      </c>
      <c r="M45">
        <v>4.1399999999999997</v>
      </c>
      <c r="N45">
        <v>4.1399999999999997</v>
      </c>
      <c r="O45">
        <v>2.1669999999999998</v>
      </c>
      <c r="P45">
        <v>3</v>
      </c>
      <c r="Q45">
        <v>13.7</v>
      </c>
      <c r="R45">
        <v>60.3</v>
      </c>
      <c r="S45" t="s">
        <v>29</v>
      </c>
      <c r="T45" t="s">
        <v>44</v>
      </c>
      <c r="U45" t="s">
        <v>29</v>
      </c>
      <c r="V45" t="s">
        <v>31</v>
      </c>
      <c r="W45" t="s">
        <v>31</v>
      </c>
      <c r="X45" t="s">
        <v>56</v>
      </c>
      <c r="Y45" t="s">
        <v>95</v>
      </c>
      <c r="Z45">
        <v>43.486109999999996</v>
      </c>
      <c r="AA45" s="12">
        <v>5.3016699999999997</v>
      </c>
      <c r="AB45" t="s">
        <v>31</v>
      </c>
      <c r="AC45">
        <v>0.4299</v>
      </c>
    </row>
    <row r="46" spans="1:29" x14ac:dyDescent="0.2">
      <c r="A46">
        <v>12</v>
      </c>
      <c r="B46">
        <v>3</v>
      </c>
      <c r="C46" t="s">
        <v>55</v>
      </c>
      <c r="D46">
        <v>2005</v>
      </c>
      <c r="E46">
        <v>100</v>
      </c>
      <c r="F46">
        <v>4</v>
      </c>
      <c r="G46" t="s">
        <v>49</v>
      </c>
      <c r="H46">
        <v>84.55</v>
      </c>
      <c r="I46">
        <v>6.37</v>
      </c>
      <c r="J46">
        <v>6.37</v>
      </c>
      <c r="K46">
        <v>4</v>
      </c>
      <c r="L46">
        <v>82.32</v>
      </c>
      <c r="M46">
        <v>1.91</v>
      </c>
      <c r="N46">
        <v>1.91</v>
      </c>
      <c r="O46">
        <v>0.83299999999999996</v>
      </c>
      <c r="P46">
        <v>1</v>
      </c>
      <c r="Q46">
        <v>13.7</v>
      </c>
      <c r="R46">
        <v>60.3</v>
      </c>
      <c r="S46" t="s">
        <v>29</v>
      </c>
      <c r="T46" t="s">
        <v>44</v>
      </c>
      <c r="U46" t="s">
        <v>29</v>
      </c>
      <c r="V46" t="s">
        <v>31</v>
      </c>
      <c r="W46" t="s">
        <v>31</v>
      </c>
      <c r="X46" t="s">
        <v>56</v>
      </c>
      <c r="Y46" t="s">
        <v>95</v>
      </c>
      <c r="Z46">
        <v>43.486109999999996</v>
      </c>
      <c r="AA46" s="12">
        <v>5.3016699999999997</v>
      </c>
      <c r="AB46" t="s">
        <v>31</v>
      </c>
      <c r="AC46">
        <v>0.4299</v>
      </c>
    </row>
    <row r="47" spans="1:29" x14ac:dyDescent="0.2">
      <c r="A47">
        <v>12</v>
      </c>
      <c r="B47">
        <v>4</v>
      </c>
      <c r="C47" t="s">
        <v>55</v>
      </c>
      <c r="D47">
        <v>2005</v>
      </c>
      <c r="E47">
        <v>50</v>
      </c>
      <c r="F47">
        <v>4</v>
      </c>
      <c r="G47" t="s">
        <v>49</v>
      </c>
      <c r="H47">
        <v>92.52</v>
      </c>
      <c r="I47">
        <v>9.24</v>
      </c>
      <c r="J47">
        <v>9.24</v>
      </c>
      <c r="K47">
        <v>4</v>
      </c>
      <c r="L47">
        <v>82.32</v>
      </c>
      <c r="M47">
        <v>1.91</v>
      </c>
      <c r="N47">
        <v>1.91</v>
      </c>
      <c r="O47">
        <v>0.83330000000000004</v>
      </c>
      <c r="P47">
        <v>1</v>
      </c>
      <c r="Q47">
        <v>13.7</v>
      </c>
      <c r="R47">
        <v>60.3</v>
      </c>
      <c r="S47" t="s">
        <v>29</v>
      </c>
      <c r="T47" t="s">
        <v>44</v>
      </c>
      <c r="U47" t="s">
        <v>29</v>
      </c>
      <c r="V47" t="s">
        <v>31</v>
      </c>
      <c r="W47" t="s">
        <v>31</v>
      </c>
      <c r="X47" t="s">
        <v>56</v>
      </c>
      <c r="Y47" t="s">
        <v>95</v>
      </c>
      <c r="Z47">
        <v>43.486109999999996</v>
      </c>
      <c r="AA47" s="12">
        <v>5.3016699999999997</v>
      </c>
      <c r="AB47" t="s">
        <v>31</v>
      </c>
      <c r="AC47">
        <v>0.4299</v>
      </c>
    </row>
    <row r="48" spans="1:29" x14ac:dyDescent="0.2">
      <c r="A48">
        <v>12</v>
      </c>
      <c r="B48">
        <v>5</v>
      </c>
      <c r="C48" t="s">
        <v>55</v>
      </c>
      <c r="D48">
        <v>2005</v>
      </c>
      <c r="E48">
        <v>50</v>
      </c>
      <c r="F48">
        <v>4</v>
      </c>
      <c r="G48" t="s">
        <v>49</v>
      </c>
      <c r="H48">
        <v>93.63</v>
      </c>
      <c r="I48">
        <v>6.37</v>
      </c>
      <c r="J48">
        <v>6.37</v>
      </c>
      <c r="K48">
        <v>4</v>
      </c>
      <c r="L48">
        <v>84.87</v>
      </c>
      <c r="M48">
        <v>2.5499999999999998</v>
      </c>
      <c r="N48">
        <v>2.5499999999999998</v>
      </c>
      <c r="O48">
        <v>1.417</v>
      </c>
      <c r="P48">
        <v>2</v>
      </c>
      <c r="Q48">
        <v>13.7</v>
      </c>
      <c r="R48">
        <v>60.3</v>
      </c>
      <c r="S48" t="s">
        <v>29</v>
      </c>
      <c r="T48" t="s">
        <v>44</v>
      </c>
      <c r="U48" t="s">
        <v>29</v>
      </c>
      <c r="V48" t="s">
        <v>31</v>
      </c>
      <c r="W48" t="s">
        <v>31</v>
      </c>
      <c r="X48" t="s">
        <v>56</v>
      </c>
      <c r="Y48" t="s">
        <v>95</v>
      </c>
      <c r="Z48">
        <v>43.486109999999996</v>
      </c>
      <c r="AA48" s="12">
        <v>5.3016699999999997</v>
      </c>
      <c r="AB48" t="s">
        <v>31</v>
      </c>
      <c r="AC48">
        <v>0.4299</v>
      </c>
    </row>
    <row r="49" spans="1:29" x14ac:dyDescent="0.2">
      <c r="A49">
        <v>12</v>
      </c>
      <c r="B49">
        <v>6</v>
      </c>
      <c r="C49" t="s">
        <v>55</v>
      </c>
      <c r="D49">
        <v>2005</v>
      </c>
      <c r="E49">
        <v>50</v>
      </c>
      <c r="F49">
        <v>4</v>
      </c>
      <c r="G49" t="s">
        <v>49</v>
      </c>
      <c r="H49">
        <v>92.83</v>
      </c>
      <c r="I49">
        <v>10.51</v>
      </c>
      <c r="J49">
        <v>10.51</v>
      </c>
      <c r="K49">
        <v>4</v>
      </c>
      <c r="L49">
        <v>82.32</v>
      </c>
      <c r="M49">
        <v>4.1399999999999997</v>
      </c>
      <c r="N49">
        <v>4.1399999999999997</v>
      </c>
      <c r="O49">
        <v>2.1669999999999998</v>
      </c>
      <c r="P49">
        <v>3</v>
      </c>
      <c r="Q49">
        <v>13.7</v>
      </c>
      <c r="R49">
        <v>60.3</v>
      </c>
      <c r="S49" t="s">
        <v>29</v>
      </c>
      <c r="T49" t="s">
        <v>44</v>
      </c>
      <c r="U49" t="s">
        <v>29</v>
      </c>
      <c r="V49" t="s">
        <v>31</v>
      </c>
      <c r="W49" t="s">
        <v>31</v>
      </c>
      <c r="X49" t="s">
        <v>56</v>
      </c>
      <c r="Y49" t="s">
        <v>95</v>
      </c>
      <c r="Z49">
        <v>43.486109999999996</v>
      </c>
      <c r="AA49" s="12">
        <v>5.3016699999999997</v>
      </c>
      <c r="AB49" t="s">
        <v>31</v>
      </c>
      <c r="AC49">
        <v>0.4299</v>
      </c>
    </row>
    <row r="50" spans="1:29" x14ac:dyDescent="0.2">
      <c r="A50">
        <v>13</v>
      </c>
      <c r="B50">
        <v>16</v>
      </c>
      <c r="C50" t="s">
        <v>57</v>
      </c>
      <c r="D50">
        <v>2004</v>
      </c>
      <c r="E50">
        <v>5</v>
      </c>
      <c r="F50">
        <v>4</v>
      </c>
      <c r="G50" t="s">
        <v>49</v>
      </c>
      <c r="H50">
        <v>32.03</v>
      </c>
      <c r="I50">
        <v>6.47</v>
      </c>
      <c r="J50">
        <v>6.47</v>
      </c>
      <c r="K50">
        <v>4</v>
      </c>
      <c r="L50">
        <v>20.010000000000002</v>
      </c>
      <c r="M50">
        <v>4.3600000000000003</v>
      </c>
      <c r="N50">
        <v>4.3600000000000003</v>
      </c>
      <c r="O50">
        <v>0.17</v>
      </c>
      <c r="P50">
        <v>1</v>
      </c>
      <c r="Q50">
        <v>5.3</v>
      </c>
      <c r="R50">
        <v>45.2</v>
      </c>
      <c r="S50" t="s">
        <v>29</v>
      </c>
      <c r="T50" t="s">
        <v>36</v>
      </c>
      <c r="U50" t="s">
        <v>29</v>
      </c>
      <c r="V50" t="s">
        <v>29</v>
      </c>
      <c r="W50" t="s">
        <v>31</v>
      </c>
      <c r="X50" t="s">
        <v>58</v>
      </c>
      <c r="Y50" t="s">
        <v>91</v>
      </c>
      <c r="Z50">
        <v>39.36788</v>
      </c>
      <c r="AA50" s="12">
        <v>-105.24069</v>
      </c>
      <c r="AB50" t="s">
        <v>31</v>
      </c>
      <c r="AC50">
        <v>0.28749999999999998</v>
      </c>
    </row>
    <row r="51" spans="1:29" x14ac:dyDescent="0.2">
      <c r="A51">
        <v>13</v>
      </c>
      <c r="B51">
        <v>17</v>
      </c>
      <c r="C51" t="s">
        <v>57</v>
      </c>
      <c r="D51">
        <v>2004</v>
      </c>
      <c r="E51">
        <v>10</v>
      </c>
      <c r="F51">
        <v>4</v>
      </c>
      <c r="G51" t="s">
        <v>49</v>
      </c>
      <c r="H51">
        <v>44.31</v>
      </c>
      <c r="I51">
        <v>5.42</v>
      </c>
      <c r="J51">
        <v>5.42</v>
      </c>
      <c r="K51">
        <v>4</v>
      </c>
      <c r="L51">
        <v>20.010000000000002</v>
      </c>
      <c r="M51">
        <v>4.3600000000000003</v>
      </c>
      <c r="N51">
        <v>4.3600000000000003</v>
      </c>
      <c r="O51">
        <v>0.17</v>
      </c>
      <c r="P51">
        <v>1</v>
      </c>
      <c r="Q51">
        <v>5.3</v>
      </c>
      <c r="R51">
        <v>45.2</v>
      </c>
      <c r="S51" t="s">
        <v>29</v>
      </c>
      <c r="T51" t="s">
        <v>36</v>
      </c>
      <c r="U51" t="s">
        <v>29</v>
      </c>
      <c r="V51" t="s">
        <v>29</v>
      </c>
      <c r="W51" t="s">
        <v>31</v>
      </c>
      <c r="X51" t="s">
        <v>58</v>
      </c>
      <c r="Y51" t="s">
        <v>91</v>
      </c>
      <c r="Z51">
        <v>39.36788</v>
      </c>
      <c r="AA51" s="12">
        <v>-105.24069</v>
      </c>
      <c r="AB51" t="s">
        <v>31</v>
      </c>
      <c r="AC51">
        <v>0.28749999999999998</v>
      </c>
    </row>
    <row r="52" spans="1:29" x14ac:dyDescent="0.2">
      <c r="A52">
        <v>13</v>
      </c>
      <c r="B52">
        <v>18</v>
      </c>
      <c r="C52" t="s">
        <v>57</v>
      </c>
      <c r="D52">
        <v>2004</v>
      </c>
      <c r="E52">
        <v>20</v>
      </c>
      <c r="F52">
        <v>4</v>
      </c>
      <c r="G52" t="s">
        <v>49</v>
      </c>
      <c r="H52">
        <v>43.06</v>
      </c>
      <c r="I52">
        <v>18.23</v>
      </c>
      <c r="J52">
        <v>18.23</v>
      </c>
      <c r="K52">
        <v>4</v>
      </c>
      <c r="L52">
        <v>20.010000000000002</v>
      </c>
      <c r="M52">
        <v>4.3600000000000003</v>
      </c>
      <c r="N52">
        <v>4.3600000000000003</v>
      </c>
      <c r="O52">
        <v>0.17</v>
      </c>
      <c r="P52">
        <v>1</v>
      </c>
      <c r="Q52">
        <v>5.3</v>
      </c>
      <c r="R52">
        <v>45.2</v>
      </c>
      <c r="S52" t="s">
        <v>29</v>
      </c>
      <c r="T52" t="s">
        <v>36</v>
      </c>
      <c r="U52" t="s">
        <v>29</v>
      </c>
      <c r="V52" t="s">
        <v>29</v>
      </c>
      <c r="W52" t="s">
        <v>31</v>
      </c>
      <c r="X52" t="s">
        <v>58</v>
      </c>
      <c r="Y52" t="s">
        <v>91</v>
      </c>
      <c r="Z52">
        <v>39.36788</v>
      </c>
      <c r="AA52" s="12">
        <v>-105.24069</v>
      </c>
      <c r="AB52" t="s">
        <v>31</v>
      </c>
      <c r="AC52">
        <v>0.28749999999999998</v>
      </c>
    </row>
    <row r="53" spans="1:29" x14ac:dyDescent="0.2">
      <c r="A53">
        <v>13</v>
      </c>
      <c r="B53">
        <v>19</v>
      </c>
      <c r="C53" t="s">
        <v>57</v>
      </c>
      <c r="D53">
        <v>2004</v>
      </c>
      <c r="E53">
        <v>40</v>
      </c>
      <c r="F53">
        <v>4</v>
      </c>
      <c r="G53" t="s">
        <v>49</v>
      </c>
      <c r="H53">
        <v>49.79</v>
      </c>
      <c r="I53">
        <v>2.5099999999999998</v>
      </c>
      <c r="J53">
        <v>2.5099999999999998</v>
      </c>
      <c r="K53">
        <v>4</v>
      </c>
      <c r="L53">
        <v>20.010000000000002</v>
      </c>
      <c r="M53">
        <v>4.3600000000000003</v>
      </c>
      <c r="N53">
        <v>4.3600000000000003</v>
      </c>
      <c r="O53">
        <v>0.17</v>
      </c>
      <c r="P53">
        <v>1</v>
      </c>
      <c r="Q53">
        <v>5.3</v>
      </c>
      <c r="R53">
        <v>45.2</v>
      </c>
      <c r="S53" t="s">
        <v>29</v>
      </c>
      <c r="T53" t="s">
        <v>36</v>
      </c>
      <c r="U53" t="s">
        <v>29</v>
      </c>
      <c r="V53" t="s">
        <v>29</v>
      </c>
      <c r="W53" t="s">
        <v>31</v>
      </c>
      <c r="X53" t="s">
        <v>58</v>
      </c>
      <c r="Y53" t="s">
        <v>91</v>
      </c>
      <c r="Z53">
        <v>39.36788</v>
      </c>
      <c r="AA53" s="12">
        <v>-105.24069</v>
      </c>
      <c r="AB53" t="s">
        <v>31</v>
      </c>
      <c r="AC53">
        <v>0.28749999999999998</v>
      </c>
    </row>
    <row r="54" spans="1:29" x14ac:dyDescent="0.2">
      <c r="A54">
        <v>13</v>
      </c>
      <c r="B54">
        <v>20</v>
      </c>
      <c r="C54" t="s">
        <v>57</v>
      </c>
      <c r="D54">
        <v>2004</v>
      </c>
      <c r="E54">
        <v>80</v>
      </c>
      <c r="F54">
        <v>4</v>
      </c>
      <c r="G54" t="s">
        <v>49</v>
      </c>
      <c r="H54">
        <v>52.04</v>
      </c>
      <c r="I54">
        <v>14.53</v>
      </c>
      <c r="J54">
        <v>14.53</v>
      </c>
      <c r="K54">
        <v>4</v>
      </c>
      <c r="L54">
        <v>20.010000000000002</v>
      </c>
      <c r="M54">
        <v>4.3600000000000003</v>
      </c>
      <c r="N54">
        <v>4.3600000000000003</v>
      </c>
      <c r="O54">
        <v>0.17</v>
      </c>
      <c r="P54">
        <v>1</v>
      </c>
      <c r="Q54">
        <v>5.3</v>
      </c>
      <c r="R54">
        <v>45.2</v>
      </c>
      <c r="S54" t="s">
        <v>29</v>
      </c>
      <c r="T54" t="s">
        <v>36</v>
      </c>
      <c r="U54" t="s">
        <v>29</v>
      </c>
      <c r="V54" t="s">
        <v>29</v>
      </c>
      <c r="W54" t="s">
        <v>31</v>
      </c>
      <c r="X54" t="s">
        <v>58</v>
      </c>
      <c r="Y54" t="s">
        <v>91</v>
      </c>
      <c r="Z54">
        <v>39.36788</v>
      </c>
      <c r="AA54" s="12">
        <v>-105.24069</v>
      </c>
      <c r="AB54" t="s">
        <v>31</v>
      </c>
      <c r="AC54">
        <v>0.28749999999999998</v>
      </c>
    </row>
    <row r="55" spans="1:29" x14ac:dyDescent="0.2">
      <c r="A55">
        <v>13</v>
      </c>
      <c r="B55">
        <v>1</v>
      </c>
      <c r="C55" t="s">
        <v>57</v>
      </c>
      <c r="D55">
        <v>2004</v>
      </c>
      <c r="E55">
        <v>10</v>
      </c>
      <c r="F55">
        <v>4</v>
      </c>
      <c r="G55" t="s">
        <v>49</v>
      </c>
      <c r="H55">
        <v>50.92</v>
      </c>
      <c r="I55">
        <v>5.28</v>
      </c>
      <c r="J55">
        <v>5.28</v>
      </c>
      <c r="K55">
        <v>4</v>
      </c>
      <c r="L55">
        <v>41.41</v>
      </c>
      <c r="M55">
        <v>7.13</v>
      </c>
      <c r="N55">
        <v>7.13</v>
      </c>
      <c r="O55">
        <v>2.17</v>
      </c>
      <c r="P55">
        <v>3</v>
      </c>
      <c r="Q55">
        <v>5.3</v>
      </c>
      <c r="R55">
        <v>45.2</v>
      </c>
      <c r="S55" t="s">
        <v>29</v>
      </c>
      <c r="T55" t="s">
        <v>36</v>
      </c>
      <c r="U55" t="s">
        <v>29</v>
      </c>
      <c r="V55" t="s">
        <v>29</v>
      </c>
      <c r="W55" t="s">
        <v>31</v>
      </c>
      <c r="X55" t="s">
        <v>58</v>
      </c>
      <c r="Y55" t="s">
        <v>91</v>
      </c>
      <c r="Z55">
        <v>39.36788</v>
      </c>
      <c r="AA55" s="12">
        <v>-105.24069</v>
      </c>
      <c r="AB55" t="s">
        <v>31</v>
      </c>
      <c r="AC55">
        <v>0.28749999999999998</v>
      </c>
    </row>
    <row r="56" spans="1:29" x14ac:dyDescent="0.2">
      <c r="A56">
        <v>13</v>
      </c>
      <c r="B56">
        <v>2</v>
      </c>
      <c r="C56" t="s">
        <v>57</v>
      </c>
      <c r="D56">
        <v>2004</v>
      </c>
      <c r="E56">
        <v>20</v>
      </c>
      <c r="F56">
        <v>4</v>
      </c>
      <c r="G56" t="s">
        <v>49</v>
      </c>
      <c r="H56">
        <v>55.21</v>
      </c>
      <c r="I56">
        <v>5.68</v>
      </c>
      <c r="J56">
        <v>5.68</v>
      </c>
      <c r="K56">
        <v>4</v>
      </c>
      <c r="L56">
        <v>42.92</v>
      </c>
      <c r="M56">
        <v>9.77</v>
      </c>
      <c r="N56">
        <v>9.77</v>
      </c>
      <c r="O56">
        <v>3.17</v>
      </c>
      <c r="P56">
        <v>4</v>
      </c>
      <c r="Q56">
        <v>5.3</v>
      </c>
      <c r="R56">
        <v>45.2</v>
      </c>
      <c r="S56" t="s">
        <v>29</v>
      </c>
      <c r="T56" t="s">
        <v>36</v>
      </c>
      <c r="U56" t="s">
        <v>29</v>
      </c>
      <c r="V56" t="s">
        <v>29</v>
      </c>
      <c r="W56" t="s">
        <v>31</v>
      </c>
      <c r="X56" t="s">
        <v>58</v>
      </c>
      <c r="Y56" t="s">
        <v>91</v>
      </c>
      <c r="Z56">
        <v>39.36788</v>
      </c>
      <c r="AA56" s="12">
        <v>-105.24069</v>
      </c>
      <c r="AB56" t="s">
        <v>31</v>
      </c>
      <c r="AC56">
        <v>0.28749999999999998</v>
      </c>
    </row>
    <row r="57" spans="1:29" x14ac:dyDescent="0.2">
      <c r="A57">
        <v>13</v>
      </c>
      <c r="B57">
        <v>3</v>
      </c>
      <c r="C57" t="s">
        <v>57</v>
      </c>
      <c r="D57">
        <v>2004</v>
      </c>
      <c r="E57">
        <v>40</v>
      </c>
      <c r="F57">
        <v>4</v>
      </c>
      <c r="G57" t="s">
        <v>49</v>
      </c>
      <c r="H57">
        <v>63.46</v>
      </c>
      <c r="I57">
        <v>5.68</v>
      </c>
      <c r="J57">
        <v>5.68</v>
      </c>
      <c r="K57">
        <v>4</v>
      </c>
      <c r="L57">
        <v>42.92</v>
      </c>
      <c r="M57">
        <v>9.77</v>
      </c>
      <c r="N57">
        <v>9.77</v>
      </c>
      <c r="O57">
        <v>3.17</v>
      </c>
      <c r="P57">
        <v>4</v>
      </c>
      <c r="Q57">
        <v>5.3</v>
      </c>
      <c r="R57">
        <v>45.2</v>
      </c>
      <c r="S57" t="s">
        <v>29</v>
      </c>
      <c r="T57" t="s">
        <v>36</v>
      </c>
      <c r="U57" t="s">
        <v>29</v>
      </c>
      <c r="V57" t="s">
        <v>29</v>
      </c>
      <c r="W57" t="s">
        <v>31</v>
      </c>
      <c r="X57" t="s">
        <v>58</v>
      </c>
      <c r="Y57" t="s">
        <v>91</v>
      </c>
      <c r="Z57">
        <v>39.36788</v>
      </c>
      <c r="AA57" s="12">
        <v>-105.24069</v>
      </c>
      <c r="AB57" t="s">
        <v>31</v>
      </c>
      <c r="AC57">
        <v>0.28749999999999998</v>
      </c>
    </row>
    <row r="58" spans="1:29" x14ac:dyDescent="0.2">
      <c r="A58">
        <v>13</v>
      </c>
      <c r="B58">
        <v>4</v>
      </c>
      <c r="C58" t="s">
        <v>57</v>
      </c>
      <c r="D58">
        <v>2004</v>
      </c>
      <c r="E58">
        <v>10</v>
      </c>
      <c r="F58">
        <v>4</v>
      </c>
      <c r="G58" t="s">
        <v>49</v>
      </c>
      <c r="H58">
        <v>52.83</v>
      </c>
      <c r="I58">
        <v>5.94</v>
      </c>
      <c r="J58">
        <v>5.94</v>
      </c>
      <c r="K58">
        <v>4</v>
      </c>
      <c r="L58">
        <v>26.35</v>
      </c>
      <c r="M58">
        <v>4.49</v>
      </c>
      <c r="N58">
        <v>4.49</v>
      </c>
      <c r="O58">
        <v>1.17</v>
      </c>
      <c r="P58">
        <v>2</v>
      </c>
      <c r="Q58">
        <v>5.3</v>
      </c>
      <c r="R58">
        <v>45.2</v>
      </c>
      <c r="S58" t="s">
        <v>29</v>
      </c>
      <c r="T58" t="s">
        <v>36</v>
      </c>
      <c r="U58" t="s">
        <v>29</v>
      </c>
      <c r="V58" t="s">
        <v>29</v>
      </c>
      <c r="W58" t="s">
        <v>31</v>
      </c>
      <c r="X58" t="s">
        <v>58</v>
      </c>
      <c r="Y58" t="s">
        <v>91</v>
      </c>
      <c r="Z58">
        <v>39.36788</v>
      </c>
      <c r="AA58" s="12">
        <v>-105.24069</v>
      </c>
      <c r="AB58" t="s">
        <v>31</v>
      </c>
      <c r="AC58">
        <v>0.28749999999999998</v>
      </c>
    </row>
    <row r="59" spans="1:29" x14ac:dyDescent="0.2">
      <c r="A59">
        <v>13</v>
      </c>
      <c r="B59">
        <v>5</v>
      </c>
      <c r="C59" t="s">
        <v>57</v>
      </c>
      <c r="D59">
        <v>2004</v>
      </c>
      <c r="E59">
        <v>40</v>
      </c>
      <c r="F59">
        <v>4</v>
      </c>
      <c r="G59" t="s">
        <v>49</v>
      </c>
      <c r="H59">
        <v>46.95</v>
      </c>
      <c r="I59">
        <v>8.58</v>
      </c>
      <c r="J59">
        <v>8.58</v>
      </c>
      <c r="K59">
        <v>4</v>
      </c>
      <c r="L59">
        <v>41.41</v>
      </c>
      <c r="M59">
        <v>7.13</v>
      </c>
      <c r="N59">
        <v>7.13</v>
      </c>
      <c r="O59">
        <v>2.17</v>
      </c>
      <c r="P59">
        <v>3</v>
      </c>
      <c r="Q59">
        <v>5.3</v>
      </c>
      <c r="R59">
        <v>45.2</v>
      </c>
      <c r="S59" t="s">
        <v>29</v>
      </c>
      <c r="T59" t="s">
        <v>36</v>
      </c>
      <c r="U59" t="s">
        <v>29</v>
      </c>
      <c r="V59" t="s">
        <v>29</v>
      </c>
      <c r="W59" t="s">
        <v>31</v>
      </c>
      <c r="X59" t="s">
        <v>58</v>
      </c>
      <c r="Y59" t="s">
        <v>91</v>
      </c>
      <c r="Z59">
        <v>39.36788</v>
      </c>
      <c r="AA59" s="12">
        <v>-105.24069</v>
      </c>
      <c r="AB59" t="s">
        <v>31</v>
      </c>
      <c r="AC59">
        <v>0.28749999999999998</v>
      </c>
    </row>
    <row r="60" spans="1:29" x14ac:dyDescent="0.2">
      <c r="A60">
        <v>13</v>
      </c>
      <c r="B60">
        <v>6</v>
      </c>
      <c r="C60" t="s">
        <v>57</v>
      </c>
      <c r="D60">
        <v>2004</v>
      </c>
      <c r="E60">
        <v>5</v>
      </c>
      <c r="F60">
        <v>4</v>
      </c>
      <c r="G60" t="s">
        <v>49</v>
      </c>
      <c r="H60">
        <v>51.18</v>
      </c>
      <c r="I60">
        <v>8.98</v>
      </c>
      <c r="J60">
        <v>8.98</v>
      </c>
      <c r="K60">
        <v>4</v>
      </c>
      <c r="L60">
        <v>41.41</v>
      </c>
      <c r="M60">
        <v>7.13</v>
      </c>
      <c r="N60">
        <v>7.13</v>
      </c>
      <c r="O60">
        <v>2.17</v>
      </c>
      <c r="P60">
        <v>3</v>
      </c>
      <c r="Q60">
        <v>5.3</v>
      </c>
      <c r="R60">
        <v>45.2</v>
      </c>
      <c r="S60" t="s">
        <v>29</v>
      </c>
      <c r="T60" t="s">
        <v>36</v>
      </c>
      <c r="U60" t="s">
        <v>29</v>
      </c>
      <c r="V60" t="s">
        <v>29</v>
      </c>
      <c r="W60" t="s">
        <v>31</v>
      </c>
      <c r="X60" t="s">
        <v>58</v>
      </c>
      <c r="Y60" t="s">
        <v>91</v>
      </c>
      <c r="Z60">
        <v>39.36788</v>
      </c>
      <c r="AA60" s="12">
        <v>-105.24069</v>
      </c>
      <c r="AB60" t="s">
        <v>31</v>
      </c>
      <c r="AC60">
        <v>0.28749999999999998</v>
      </c>
    </row>
    <row r="61" spans="1:29" x14ac:dyDescent="0.2">
      <c r="A61">
        <v>13</v>
      </c>
      <c r="B61">
        <v>7</v>
      </c>
      <c r="C61" t="s">
        <v>57</v>
      </c>
      <c r="D61">
        <v>2004</v>
      </c>
      <c r="E61">
        <v>5</v>
      </c>
      <c r="F61">
        <v>4</v>
      </c>
      <c r="G61" t="s">
        <v>49</v>
      </c>
      <c r="H61">
        <v>50.98</v>
      </c>
      <c r="I61">
        <v>9.25</v>
      </c>
      <c r="J61">
        <v>9.25</v>
      </c>
      <c r="K61">
        <v>4</v>
      </c>
      <c r="L61">
        <v>42.92</v>
      </c>
      <c r="M61">
        <v>9.77</v>
      </c>
      <c r="N61">
        <v>9.77</v>
      </c>
      <c r="O61">
        <v>3.17</v>
      </c>
      <c r="P61">
        <v>4</v>
      </c>
      <c r="Q61">
        <v>5.3</v>
      </c>
      <c r="R61">
        <v>45.2</v>
      </c>
      <c r="S61" t="s">
        <v>29</v>
      </c>
      <c r="T61" t="s">
        <v>36</v>
      </c>
      <c r="U61" t="s">
        <v>29</v>
      </c>
      <c r="V61" t="s">
        <v>29</v>
      </c>
      <c r="W61" t="s">
        <v>31</v>
      </c>
      <c r="X61" t="s">
        <v>58</v>
      </c>
      <c r="Y61" t="s">
        <v>91</v>
      </c>
      <c r="Z61">
        <v>39.36788</v>
      </c>
      <c r="AA61" s="12">
        <v>-105.24069</v>
      </c>
      <c r="AB61" t="s">
        <v>31</v>
      </c>
      <c r="AC61">
        <v>0.28749999999999998</v>
      </c>
    </row>
    <row r="62" spans="1:29" x14ac:dyDescent="0.2">
      <c r="A62">
        <v>13</v>
      </c>
      <c r="B62">
        <v>8</v>
      </c>
      <c r="C62" t="s">
        <v>57</v>
      </c>
      <c r="D62">
        <v>2004</v>
      </c>
      <c r="E62">
        <v>40</v>
      </c>
      <c r="F62">
        <v>4</v>
      </c>
      <c r="G62" t="s">
        <v>49</v>
      </c>
      <c r="H62">
        <v>42.2</v>
      </c>
      <c r="I62">
        <v>9.3800000000000008</v>
      </c>
      <c r="J62">
        <v>9.3800000000000008</v>
      </c>
      <c r="K62">
        <v>4</v>
      </c>
      <c r="L62">
        <v>26.35</v>
      </c>
      <c r="M62">
        <v>4.49</v>
      </c>
      <c r="N62">
        <v>4.49</v>
      </c>
      <c r="O62">
        <v>1.17</v>
      </c>
      <c r="P62">
        <v>2</v>
      </c>
      <c r="Q62">
        <v>5.3</v>
      </c>
      <c r="R62">
        <v>45.2</v>
      </c>
      <c r="S62" t="s">
        <v>29</v>
      </c>
      <c r="T62" t="s">
        <v>36</v>
      </c>
      <c r="U62" t="s">
        <v>29</v>
      </c>
      <c r="V62" t="s">
        <v>29</v>
      </c>
      <c r="W62" t="s">
        <v>31</v>
      </c>
      <c r="X62" t="s">
        <v>58</v>
      </c>
      <c r="Y62" t="s">
        <v>91</v>
      </c>
      <c r="Z62">
        <v>39.36788</v>
      </c>
      <c r="AA62" s="12">
        <v>-105.24069</v>
      </c>
      <c r="AB62" t="s">
        <v>31</v>
      </c>
      <c r="AC62">
        <v>0.28749999999999998</v>
      </c>
    </row>
    <row r="63" spans="1:29" x14ac:dyDescent="0.2">
      <c r="A63">
        <v>13</v>
      </c>
      <c r="B63">
        <v>9</v>
      </c>
      <c r="C63" t="s">
        <v>57</v>
      </c>
      <c r="D63">
        <v>2004</v>
      </c>
      <c r="E63">
        <v>80</v>
      </c>
      <c r="F63">
        <v>4</v>
      </c>
      <c r="G63" t="s">
        <v>49</v>
      </c>
      <c r="H63">
        <v>60.09</v>
      </c>
      <c r="I63">
        <v>10.57</v>
      </c>
      <c r="J63">
        <v>10.57</v>
      </c>
      <c r="K63">
        <v>4</v>
      </c>
      <c r="L63">
        <v>26.35</v>
      </c>
      <c r="M63">
        <v>4.49</v>
      </c>
      <c r="N63">
        <v>4.49</v>
      </c>
      <c r="O63">
        <v>1.17</v>
      </c>
      <c r="P63">
        <v>2</v>
      </c>
      <c r="Q63">
        <v>5.3</v>
      </c>
      <c r="R63">
        <v>45.2</v>
      </c>
      <c r="S63" t="s">
        <v>29</v>
      </c>
      <c r="T63" t="s">
        <v>36</v>
      </c>
      <c r="U63" t="s">
        <v>29</v>
      </c>
      <c r="V63" t="s">
        <v>29</v>
      </c>
      <c r="W63" t="s">
        <v>31</v>
      </c>
      <c r="X63" t="s">
        <v>58</v>
      </c>
      <c r="Y63" t="s">
        <v>91</v>
      </c>
      <c r="Z63">
        <v>39.36788</v>
      </c>
      <c r="AA63" s="12">
        <v>-105.24069</v>
      </c>
      <c r="AB63" t="s">
        <v>31</v>
      </c>
      <c r="AC63">
        <v>0.28749999999999998</v>
      </c>
    </row>
    <row r="64" spans="1:29" x14ac:dyDescent="0.2">
      <c r="A64">
        <v>13</v>
      </c>
      <c r="B64">
        <v>10</v>
      </c>
      <c r="C64" t="s">
        <v>57</v>
      </c>
      <c r="D64">
        <v>2004</v>
      </c>
      <c r="E64">
        <v>80</v>
      </c>
      <c r="F64">
        <v>4</v>
      </c>
      <c r="G64" t="s">
        <v>49</v>
      </c>
      <c r="H64">
        <v>58.51</v>
      </c>
      <c r="I64">
        <v>11.49</v>
      </c>
      <c r="J64">
        <v>11.49</v>
      </c>
      <c r="K64">
        <v>4</v>
      </c>
      <c r="L64">
        <v>42.92</v>
      </c>
      <c r="M64">
        <v>9.77</v>
      </c>
      <c r="N64">
        <v>9.77</v>
      </c>
      <c r="O64">
        <v>3.17</v>
      </c>
      <c r="P64">
        <v>4</v>
      </c>
      <c r="Q64">
        <v>5.3</v>
      </c>
      <c r="R64">
        <v>45.2</v>
      </c>
      <c r="S64" t="s">
        <v>29</v>
      </c>
      <c r="T64" t="s">
        <v>36</v>
      </c>
      <c r="U64" t="s">
        <v>29</v>
      </c>
      <c r="V64" t="s">
        <v>29</v>
      </c>
      <c r="W64" t="s">
        <v>31</v>
      </c>
      <c r="X64" t="s">
        <v>58</v>
      </c>
      <c r="Y64" t="s">
        <v>91</v>
      </c>
      <c r="Z64">
        <v>39.36788</v>
      </c>
      <c r="AA64" s="12">
        <v>-105.24069</v>
      </c>
      <c r="AB64" t="s">
        <v>31</v>
      </c>
      <c r="AC64">
        <v>0.28749999999999998</v>
      </c>
    </row>
    <row r="65" spans="1:29" x14ac:dyDescent="0.2">
      <c r="A65">
        <v>13</v>
      </c>
      <c r="B65">
        <v>11</v>
      </c>
      <c r="C65" t="s">
        <v>57</v>
      </c>
      <c r="D65">
        <v>2004</v>
      </c>
      <c r="E65">
        <v>80</v>
      </c>
      <c r="F65">
        <v>4</v>
      </c>
      <c r="G65" t="s">
        <v>49</v>
      </c>
      <c r="H65">
        <v>53.42</v>
      </c>
      <c r="I65">
        <v>15.85</v>
      </c>
      <c r="J65">
        <v>15.85</v>
      </c>
      <c r="K65">
        <v>4</v>
      </c>
      <c r="L65">
        <v>41.41</v>
      </c>
      <c r="M65">
        <v>7.13</v>
      </c>
      <c r="N65">
        <v>7.13</v>
      </c>
      <c r="O65">
        <v>2.17</v>
      </c>
      <c r="P65">
        <v>3</v>
      </c>
      <c r="Q65">
        <v>5.3</v>
      </c>
      <c r="R65">
        <v>45.2</v>
      </c>
      <c r="S65" t="s">
        <v>29</v>
      </c>
      <c r="T65" t="s">
        <v>36</v>
      </c>
      <c r="U65" t="s">
        <v>29</v>
      </c>
      <c r="V65" t="s">
        <v>29</v>
      </c>
      <c r="W65" t="s">
        <v>31</v>
      </c>
      <c r="X65" t="s">
        <v>58</v>
      </c>
      <c r="Y65" t="s">
        <v>91</v>
      </c>
      <c r="Z65">
        <v>39.36788</v>
      </c>
      <c r="AA65" s="12">
        <v>-105.24069</v>
      </c>
      <c r="AB65" t="s">
        <v>31</v>
      </c>
      <c r="AC65">
        <v>0.28749999999999998</v>
      </c>
    </row>
    <row r="66" spans="1:29" x14ac:dyDescent="0.2">
      <c r="A66">
        <v>13</v>
      </c>
      <c r="B66">
        <v>12</v>
      </c>
      <c r="C66" t="s">
        <v>57</v>
      </c>
      <c r="D66">
        <v>2004</v>
      </c>
      <c r="E66">
        <v>5</v>
      </c>
      <c r="F66">
        <v>4</v>
      </c>
      <c r="G66" t="s">
        <v>49</v>
      </c>
      <c r="H66">
        <v>40.42</v>
      </c>
      <c r="I66">
        <v>15.98</v>
      </c>
      <c r="J66">
        <v>15.98</v>
      </c>
      <c r="K66">
        <v>4</v>
      </c>
      <c r="L66">
        <v>26.35</v>
      </c>
      <c r="M66">
        <v>4.49</v>
      </c>
      <c r="N66">
        <v>4.49</v>
      </c>
      <c r="O66">
        <v>1.17</v>
      </c>
      <c r="P66">
        <v>2</v>
      </c>
      <c r="Q66">
        <v>5.3</v>
      </c>
      <c r="R66">
        <v>45.2</v>
      </c>
      <c r="S66" t="s">
        <v>29</v>
      </c>
      <c r="T66" t="s">
        <v>36</v>
      </c>
      <c r="U66" t="s">
        <v>29</v>
      </c>
      <c r="V66" t="s">
        <v>29</v>
      </c>
      <c r="W66" t="s">
        <v>31</v>
      </c>
      <c r="X66" t="s">
        <v>58</v>
      </c>
      <c r="Y66" t="s">
        <v>91</v>
      </c>
      <c r="Z66">
        <v>39.36788</v>
      </c>
      <c r="AA66" s="12">
        <v>-105.24069</v>
      </c>
      <c r="AB66" t="s">
        <v>31</v>
      </c>
      <c r="AC66">
        <v>0.28749999999999998</v>
      </c>
    </row>
    <row r="67" spans="1:29" x14ac:dyDescent="0.2">
      <c r="A67">
        <v>13</v>
      </c>
      <c r="B67">
        <v>13</v>
      </c>
      <c r="C67" t="s">
        <v>57</v>
      </c>
      <c r="D67">
        <v>2004</v>
      </c>
      <c r="E67">
        <v>20</v>
      </c>
      <c r="F67">
        <v>4</v>
      </c>
      <c r="G67" t="s">
        <v>49</v>
      </c>
      <c r="H67">
        <v>53.89</v>
      </c>
      <c r="I67">
        <v>16.11</v>
      </c>
      <c r="J67">
        <v>16.11</v>
      </c>
      <c r="K67">
        <v>4</v>
      </c>
      <c r="L67">
        <v>26.35</v>
      </c>
      <c r="M67">
        <v>4.49</v>
      </c>
      <c r="N67">
        <v>4.49</v>
      </c>
      <c r="O67">
        <v>1.17</v>
      </c>
      <c r="P67">
        <v>2</v>
      </c>
      <c r="Q67">
        <v>5.3</v>
      </c>
      <c r="R67">
        <v>45.2</v>
      </c>
      <c r="S67" t="s">
        <v>29</v>
      </c>
      <c r="T67" t="s">
        <v>36</v>
      </c>
      <c r="U67" t="s">
        <v>29</v>
      </c>
      <c r="V67" t="s">
        <v>29</v>
      </c>
      <c r="W67" t="s">
        <v>31</v>
      </c>
      <c r="X67" t="s">
        <v>58</v>
      </c>
      <c r="Y67" t="s">
        <v>91</v>
      </c>
      <c r="Z67">
        <v>39.36788</v>
      </c>
      <c r="AA67" s="12">
        <v>-105.24069</v>
      </c>
      <c r="AB67" t="s">
        <v>31</v>
      </c>
      <c r="AC67">
        <v>0.28749999999999998</v>
      </c>
    </row>
    <row r="68" spans="1:29" x14ac:dyDescent="0.2">
      <c r="A68">
        <v>13</v>
      </c>
      <c r="B68">
        <v>14</v>
      </c>
      <c r="C68" t="s">
        <v>57</v>
      </c>
      <c r="D68">
        <v>2004</v>
      </c>
      <c r="E68">
        <v>20</v>
      </c>
      <c r="F68">
        <v>4</v>
      </c>
      <c r="G68" t="s">
        <v>49</v>
      </c>
      <c r="H68">
        <v>48.93</v>
      </c>
      <c r="I68">
        <v>17.04</v>
      </c>
      <c r="J68">
        <v>17.04</v>
      </c>
      <c r="K68">
        <v>4</v>
      </c>
      <c r="L68">
        <v>41.41</v>
      </c>
      <c r="M68">
        <v>7.13</v>
      </c>
      <c r="N68">
        <v>7.13</v>
      </c>
      <c r="O68">
        <v>2.17</v>
      </c>
      <c r="P68">
        <v>3</v>
      </c>
      <c r="Q68">
        <v>5.3</v>
      </c>
      <c r="R68">
        <v>45.2</v>
      </c>
      <c r="S68" t="s">
        <v>29</v>
      </c>
      <c r="T68" t="s">
        <v>36</v>
      </c>
      <c r="U68" t="s">
        <v>29</v>
      </c>
      <c r="V68" t="s">
        <v>29</v>
      </c>
      <c r="W68" t="s">
        <v>31</v>
      </c>
      <c r="X68" t="s">
        <v>58</v>
      </c>
      <c r="Y68" t="s">
        <v>91</v>
      </c>
      <c r="Z68">
        <v>39.36788</v>
      </c>
      <c r="AA68" s="12">
        <v>-105.24069</v>
      </c>
      <c r="AB68" t="s">
        <v>31</v>
      </c>
      <c r="AC68">
        <v>0.28749999999999998</v>
      </c>
    </row>
    <row r="69" spans="1:29" x14ac:dyDescent="0.2">
      <c r="A69">
        <v>13</v>
      </c>
      <c r="B69">
        <v>15</v>
      </c>
      <c r="C69" t="s">
        <v>57</v>
      </c>
      <c r="D69">
        <v>2004</v>
      </c>
      <c r="E69">
        <v>10</v>
      </c>
      <c r="F69">
        <v>4</v>
      </c>
      <c r="G69" t="s">
        <v>49</v>
      </c>
      <c r="H69">
        <v>51.91</v>
      </c>
      <c r="I69">
        <v>17.829999999999998</v>
      </c>
      <c r="J69">
        <v>17.829999999999998</v>
      </c>
      <c r="K69">
        <v>4</v>
      </c>
      <c r="L69">
        <v>42.92</v>
      </c>
      <c r="M69">
        <v>9.77</v>
      </c>
      <c r="N69">
        <v>9.77</v>
      </c>
      <c r="O69">
        <v>3.17</v>
      </c>
      <c r="P69">
        <v>4</v>
      </c>
      <c r="Q69">
        <v>5.3</v>
      </c>
      <c r="R69">
        <v>45.2</v>
      </c>
      <c r="S69" t="s">
        <v>29</v>
      </c>
      <c r="T69" t="s">
        <v>36</v>
      </c>
      <c r="U69" t="s">
        <v>29</v>
      </c>
      <c r="V69" t="s">
        <v>29</v>
      </c>
      <c r="W69" t="s">
        <v>31</v>
      </c>
      <c r="X69" t="s">
        <v>58</v>
      </c>
      <c r="Y69" t="s">
        <v>91</v>
      </c>
      <c r="Z69">
        <v>39.36788</v>
      </c>
      <c r="AA69" s="12">
        <v>-105.24069</v>
      </c>
      <c r="AB69" t="s">
        <v>31</v>
      </c>
      <c r="AC69">
        <v>0.28749999999999998</v>
      </c>
    </row>
    <row r="70" spans="1:29" x14ac:dyDescent="0.2">
      <c r="A70">
        <v>14</v>
      </c>
      <c r="B70">
        <v>1</v>
      </c>
      <c r="C70" t="s">
        <v>59</v>
      </c>
      <c r="D70">
        <v>2014</v>
      </c>
      <c r="E70">
        <v>20</v>
      </c>
      <c r="F70">
        <v>4.5</v>
      </c>
      <c r="G70" t="s">
        <v>49</v>
      </c>
      <c r="H70">
        <v>84.42</v>
      </c>
      <c r="J70" s="2">
        <f>0.053730321*H70</f>
        <v>4.53591369882</v>
      </c>
      <c r="K70">
        <v>4</v>
      </c>
      <c r="L70">
        <v>71.31</v>
      </c>
      <c r="N70" s="7">
        <f>0.253288233*L70</f>
        <v>18.06198389523</v>
      </c>
      <c r="O70">
        <v>4.5</v>
      </c>
      <c r="P70">
        <v>5</v>
      </c>
      <c r="Q70">
        <v>4.2</v>
      </c>
      <c r="R70">
        <v>41.1</v>
      </c>
      <c r="S70" t="s">
        <v>35</v>
      </c>
      <c r="T70" t="s">
        <v>44</v>
      </c>
      <c r="U70" t="s">
        <v>31</v>
      </c>
      <c r="V70" t="s">
        <v>31</v>
      </c>
      <c r="W70" t="s">
        <v>31</v>
      </c>
      <c r="X70" t="s">
        <v>52</v>
      </c>
      <c r="Y70" t="s">
        <v>94</v>
      </c>
      <c r="Z70">
        <v>51.25</v>
      </c>
      <c r="AA70" s="12">
        <v>-121.11666</v>
      </c>
      <c r="AB70" t="s">
        <v>31</v>
      </c>
      <c r="AC70">
        <v>0.44390000000000002</v>
      </c>
    </row>
    <row r="71" spans="1:29" x14ac:dyDescent="0.2">
      <c r="A71">
        <v>15</v>
      </c>
      <c r="B71">
        <v>1</v>
      </c>
      <c r="C71" t="s">
        <v>60</v>
      </c>
      <c r="D71">
        <v>2016</v>
      </c>
      <c r="E71">
        <v>60</v>
      </c>
      <c r="F71">
        <v>4</v>
      </c>
      <c r="G71" t="s">
        <v>49</v>
      </c>
      <c r="H71">
        <v>40</v>
      </c>
      <c r="I71">
        <v>32.799999999999997</v>
      </c>
      <c r="J71">
        <v>32.799999999999997</v>
      </c>
      <c r="K71">
        <v>4</v>
      </c>
      <c r="L71">
        <v>49.2</v>
      </c>
      <c r="M71">
        <v>35.4</v>
      </c>
      <c r="N71">
        <v>35.4</v>
      </c>
      <c r="O71">
        <v>8</v>
      </c>
      <c r="P71">
        <v>9</v>
      </c>
      <c r="Q71">
        <v>4.0999999999999996</v>
      </c>
      <c r="R71">
        <v>40.700000000000003</v>
      </c>
      <c r="S71" t="s">
        <v>35</v>
      </c>
      <c r="T71" t="s">
        <v>61</v>
      </c>
      <c r="U71" t="s">
        <v>31</v>
      </c>
      <c r="V71" t="s">
        <v>31</v>
      </c>
      <c r="W71" t="s">
        <v>31</v>
      </c>
      <c r="X71" t="s">
        <v>62</v>
      </c>
      <c r="Y71" t="s">
        <v>94</v>
      </c>
      <c r="Z71">
        <v>50.687779999999997</v>
      </c>
      <c r="AA71" s="12">
        <v>-121.34083</v>
      </c>
      <c r="AB71" t="s">
        <v>31</v>
      </c>
      <c r="AC71">
        <v>0.26579999999999998</v>
      </c>
    </row>
    <row r="72" spans="1:29" x14ac:dyDescent="0.2">
      <c r="A72">
        <v>15</v>
      </c>
      <c r="B72">
        <v>2</v>
      </c>
      <c r="C72" t="s">
        <v>60</v>
      </c>
      <c r="D72">
        <v>2016</v>
      </c>
      <c r="E72">
        <v>20</v>
      </c>
      <c r="F72">
        <v>4</v>
      </c>
      <c r="G72" t="s">
        <v>49</v>
      </c>
      <c r="H72">
        <v>63.65</v>
      </c>
      <c r="I72">
        <v>38.6</v>
      </c>
      <c r="J72">
        <v>38.6</v>
      </c>
      <c r="K72">
        <v>4</v>
      </c>
      <c r="L72">
        <v>49.2</v>
      </c>
      <c r="M72">
        <v>35.4</v>
      </c>
      <c r="N72">
        <v>35.4</v>
      </c>
      <c r="O72">
        <v>8</v>
      </c>
      <c r="P72">
        <v>9</v>
      </c>
      <c r="Q72">
        <v>4.0999999999999996</v>
      </c>
      <c r="R72">
        <v>40.700000000000003</v>
      </c>
      <c r="S72" t="s">
        <v>35</v>
      </c>
      <c r="T72" t="s">
        <v>61</v>
      </c>
      <c r="U72" t="s">
        <v>31</v>
      </c>
      <c r="V72" t="s">
        <v>31</v>
      </c>
      <c r="W72" t="s">
        <v>31</v>
      </c>
      <c r="X72" t="s">
        <v>62</v>
      </c>
      <c r="Y72" t="s">
        <v>94</v>
      </c>
      <c r="Z72">
        <v>50.687779999999997</v>
      </c>
      <c r="AA72" s="12">
        <v>-121.34083</v>
      </c>
      <c r="AB72" t="s">
        <v>31</v>
      </c>
      <c r="AC72">
        <v>0.26579999999999998</v>
      </c>
    </row>
    <row r="73" spans="1:29" x14ac:dyDescent="0.2">
      <c r="A73">
        <v>16</v>
      </c>
      <c r="B73">
        <v>1</v>
      </c>
      <c r="C73" t="s">
        <v>63</v>
      </c>
      <c r="D73">
        <v>2011</v>
      </c>
      <c r="E73">
        <v>34</v>
      </c>
      <c r="F73">
        <v>9</v>
      </c>
      <c r="H73">
        <v>136</v>
      </c>
      <c r="J73" s="2">
        <f t="shared" ref="J73:J104" si="0">0.053730321*H73</f>
        <v>7.3073236559999994</v>
      </c>
      <c r="K73">
        <v>28</v>
      </c>
      <c r="L73">
        <v>67</v>
      </c>
      <c r="N73" s="7">
        <f t="shared" ref="N73:N104" si="1">0.253288233*L73</f>
        <v>16.970311611</v>
      </c>
      <c r="O73">
        <v>10</v>
      </c>
      <c r="P73">
        <v>11</v>
      </c>
      <c r="Q73">
        <v>8.6999999999999993</v>
      </c>
      <c r="R73">
        <v>53.2</v>
      </c>
      <c r="S73" t="s">
        <v>35</v>
      </c>
      <c r="T73" t="s">
        <v>30</v>
      </c>
      <c r="U73" t="s">
        <v>31</v>
      </c>
      <c r="V73" t="s">
        <v>29</v>
      </c>
      <c r="W73" t="s">
        <v>31</v>
      </c>
      <c r="X73" t="s">
        <v>64</v>
      </c>
      <c r="Y73" t="s">
        <v>91</v>
      </c>
      <c r="Z73">
        <v>40.52187</v>
      </c>
      <c r="AA73" s="12">
        <v>-112.14612</v>
      </c>
      <c r="AB73" t="s">
        <v>29</v>
      </c>
      <c r="AC73">
        <v>0.3347</v>
      </c>
    </row>
    <row r="74" spans="1:29" x14ac:dyDescent="0.2">
      <c r="A74">
        <v>16</v>
      </c>
      <c r="B74">
        <v>2</v>
      </c>
      <c r="C74" t="s">
        <v>63</v>
      </c>
      <c r="D74">
        <v>2011</v>
      </c>
      <c r="E74">
        <v>45</v>
      </c>
      <c r="F74">
        <v>23</v>
      </c>
      <c r="H74">
        <v>115</v>
      </c>
      <c r="J74" s="2">
        <f t="shared" si="0"/>
        <v>6.1789869149999994</v>
      </c>
      <c r="K74">
        <v>28</v>
      </c>
      <c r="L74">
        <v>67</v>
      </c>
      <c r="N74" s="7">
        <f t="shared" si="1"/>
        <v>16.970311611</v>
      </c>
      <c r="O74">
        <v>10</v>
      </c>
      <c r="P74">
        <v>11</v>
      </c>
      <c r="Q74">
        <v>8.6999999999999993</v>
      </c>
      <c r="R74">
        <v>53.2</v>
      </c>
      <c r="S74" t="s">
        <v>35</v>
      </c>
      <c r="T74" t="s">
        <v>30</v>
      </c>
      <c r="U74" t="s">
        <v>31</v>
      </c>
      <c r="V74" t="s">
        <v>29</v>
      </c>
      <c r="W74" t="s">
        <v>31</v>
      </c>
      <c r="X74" t="s">
        <v>64</v>
      </c>
      <c r="Y74" t="s">
        <v>91</v>
      </c>
      <c r="Z74">
        <v>40.52187</v>
      </c>
      <c r="AA74" s="12">
        <v>-112.14612</v>
      </c>
      <c r="AB74" t="s">
        <v>29</v>
      </c>
      <c r="AC74">
        <v>0.3347</v>
      </c>
    </row>
    <row r="75" spans="1:29" x14ac:dyDescent="0.2">
      <c r="A75">
        <v>16</v>
      </c>
      <c r="B75">
        <v>3</v>
      </c>
      <c r="C75" t="s">
        <v>63</v>
      </c>
      <c r="D75">
        <v>2011</v>
      </c>
      <c r="E75">
        <v>67</v>
      </c>
      <c r="F75">
        <v>15</v>
      </c>
      <c r="H75">
        <v>108</v>
      </c>
      <c r="J75" s="2">
        <f t="shared" si="0"/>
        <v>5.8028746679999994</v>
      </c>
      <c r="K75">
        <v>28</v>
      </c>
      <c r="L75">
        <v>67</v>
      </c>
      <c r="N75" s="7">
        <f t="shared" si="1"/>
        <v>16.970311611</v>
      </c>
      <c r="O75">
        <v>10</v>
      </c>
      <c r="P75">
        <v>11</v>
      </c>
      <c r="Q75">
        <v>8.6999999999999993</v>
      </c>
      <c r="R75">
        <v>53.2</v>
      </c>
      <c r="S75" t="s">
        <v>35</v>
      </c>
      <c r="T75" t="s">
        <v>30</v>
      </c>
      <c r="U75" t="s">
        <v>31</v>
      </c>
      <c r="V75" t="s">
        <v>29</v>
      </c>
      <c r="W75" t="s">
        <v>31</v>
      </c>
      <c r="X75" t="s">
        <v>64</v>
      </c>
      <c r="Y75" t="s">
        <v>91</v>
      </c>
      <c r="Z75">
        <v>40.52187</v>
      </c>
      <c r="AA75" s="12">
        <v>-112.14612</v>
      </c>
      <c r="AB75" t="s">
        <v>29</v>
      </c>
      <c r="AC75">
        <v>0.3347</v>
      </c>
    </row>
    <row r="76" spans="1:29" x14ac:dyDescent="0.2">
      <c r="A76">
        <v>17</v>
      </c>
      <c r="B76">
        <v>1</v>
      </c>
      <c r="C76" t="s">
        <v>65</v>
      </c>
      <c r="D76">
        <v>2000</v>
      </c>
      <c r="E76">
        <v>10</v>
      </c>
      <c r="F76">
        <v>3</v>
      </c>
      <c r="H76">
        <v>32.700000000000003</v>
      </c>
      <c r="J76" s="2">
        <f t="shared" si="0"/>
        <v>1.7569814967000001</v>
      </c>
      <c r="K76">
        <v>3</v>
      </c>
      <c r="L76">
        <v>4.4000000000000004</v>
      </c>
      <c r="N76" s="7">
        <f t="shared" si="1"/>
        <v>1.1144682252</v>
      </c>
      <c r="O76">
        <v>1</v>
      </c>
      <c r="P76">
        <v>2</v>
      </c>
      <c r="Q76">
        <v>14.9</v>
      </c>
      <c r="R76">
        <v>74.2</v>
      </c>
      <c r="S76" t="s">
        <v>35</v>
      </c>
      <c r="T76" t="s">
        <v>30</v>
      </c>
      <c r="U76" t="s">
        <v>31</v>
      </c>
      <c r="V76" t="s">
        <v>29</v>
      </c>
      <c r="W76" t="s">
        <v>31</v>
      </c>
      <c r="X76" t="s">
        <v>66</v>
      </c>
      <c r="Y76" t="s">
        <v>96</v>
      </c>
      <c r="Z76">
        <v>39.317166999999998</v>
      </c>
      <c r="AA76" s="12">
        <v>21.896909999999998</v>
      </c>
      <c r="AB76" t="s">
        <v>29</v>
      </c>
      <c r="AC76">
        <v>0.46450000000000002</v>
      </c>
    </row>
    <row r="77" spans="1:29" x14ac:dyDescent="0.2">
      <c r="A77">
        <v>17</v>
      </c>
      <c r="B77">
        <v>2</v>
      </c>
      <c r="C77" t="s">
        <v>65</v>
      </c>
      <c r="D77">
        <v>2000</v>
      </c>
      <c r="E77">
        <v>20</v>
      </c>
      <c r="F77">
        <v>3</v>
      </c>
      <c r="H77">
        <v>35.5</v>
      </c>
      <c r="J77" s="2">
        <f t="shared" si="0"/>
        <v>1.9074263954999999</v>
      </c>
      <c r="K77">
        <v>3</v>
      </c>
      <c r="L77">
        <v>4.4000000000000004</v>
      </c>
      <c r="N77" s="7">
        <f t="shared" si="1"/>
        <v>1.1144682252</v>
      </c>
      <c r="O77">
        <v>1</v>
      </c>
      <c r="P77">
        <v>2</v>
      </c>
      <c r="Q77">
        <v>14.9</v>
      </c>
      <c r="R77">
        <v>74.2</v>
      </c>
      <c r="S77" t="s">
        <v>35</v>
      </c>
      <c r="T77" t="s">
        <v>30</v>
      </c>
      <c r="U77" t="s">
        <v>31</v>
      </c>
      <c r="V77" t="s">
        <v>29</v>
      </c>
      <c r="W77" t="s">
        <v>31</v>
      </c>
      <c r="X77" t="s">
        <v>66</v>
      </c>
      <c r="Y77" t="s">
        <v>96</v>
      </c>
      <c r="Z77">
        <v>39.317166999999998</v>
      </c>
      <c r="AA77" s="12">
        <v>21.896909999999998</v>
      </c>
      <c r="AB77" t="s">
        <v>29</v>
      </c>
      <c r="AC77">
        <v>0.46450000000000002</v>
      </c>
    </row>
    <row r="78" spans="1:29" x14ac:dyDescent="0.2">
      <c r="A78">
        <v>17</v>
      </c>
      <c r="B78">
        <v>3</v>
      </c>
      <c r="C78" t="s">
        <v>65</v>
      </c>
      <c r="D78">
        <v>2000</v>
      </c>
      <c r="E78">
        <v>40</v>
      </c>
      <c r="F78">
        <v>3</v>
      </c>
      <c r="H78">
        <v>48.5</v>
      </c>
      <c r="J78" s="2">
        <f t="shared" si="0"/>
        <v>2.6059205684999998</v>
      </c>
      <c r="K78">
        <v>3</v>
      </c>
      <c r="L78">
        <v>4.4000000000000004</v>
      </c>
      <c r="N78" s="7">
        <f t="shared" si="1"/>
        <v>1.1144682252</v>
      </c>
      <c r="O78">
        <v>1</v>
      </c>
      <c r="P78">
        <v>2</v>
      </c>
      <c r="Q78">
        <v>14.9</v>
      </c>
      <c r="R78">
        <v>74.2</v>
      </c>
      <c r="S78" t="s">
        <v>35</v>
      </c>
      <c r="T78" t="s">
        <v>30</v>
      </c>
      <c r="U78" t="s">
        <v>31</v>
      </c>
      <c r="V78" t="s">
        <v>29</v>
      </c>
      <c r="W78" t="s">
        <v>31</v>
      </c>
      <c r="X78" t="s">
        <v>66</v>
      </c>
      <c r="Y78" t="s">
        <v>96</v>
      </c>
      <c r="Z78">
        <v>39.317166999999998</v>
      </c>
      <c r="AA78" s="12">
        <v>21.896909999999998</v>
      </c>
      <c r="AB78" t="s">
        <v>29</v>
      </c>
      <c r="AC78">
        <v>0.46450000000000002</v>
      </c>
    </row>
    <row r="79" spans="1:29" x14ac:dyDescent="0.2">
      <c r="A79">
        <v>17</v>
      </c>
      <c r="B79">
        <v>4</v>
      </c>
      <c r="C79" t="s">
        <v>65</v>
      </c>
      <c r="D79">
        <v>2000</v>
      </c>
      <c r="E79">
        <v>60</v>
      </c>
      <c r="F79">
        <v>3</v>
      </c>
      <c r="H79">
        <v>56.1</v>
      </c>
      <c r="J79" s="2">
        <f t="shared" si="0"/>
        <v>3.0142710081000001</v>
      </c>
      <c r="K79">
        <v>3</v>
      </c>
      <c r="L79">
        <v>4.4000000000000004</v>
      </c>
      <c r="N79" s="7">
        <f t="shared" si="1"/>
        <v>1.1144682252</v>
      </c>
      <c r="O79">
        <v>1</v>
      </c>
      <c r="P79">
        <v>2</v>
      </c>
      <c r="Q79">
        <v>14.9</v>
      </c>
      <c r="R79">
        <v>74.2</v>
      </c>
      <c r="S79" t="s">
        <v>35</v>
      </c>
      <c r="T79" t="s">
        <v>30</v>
      </c>
      <c r="U79" t="s">
        <v>31</v>
      </c>
      <c r="V79" t="s">
        <v>29</v>
      </c>
      <c r="W79" t="s">
        <v>31</v>
      </c>
      <c r="X79" t="s">
        <v>66</v>
      </c>
      <c r="Y79" t="s">
        <v>96</v>
      </c>
      <c r="Z79">
        <v>39.317166999999998</v>
      </c>
      <c r="AA79" s="12">
        <v>21.896909999999998</v>
      </c>
      <c r="AB79" t="s">
        <v>29</v>
      </c>
      <c r="AC79">
        <v>0.46450000000000002</v>
      </c>
    </row>
    <row r="80" spans="1:29" x14ac:dyDescent="0.2">
      <c r="A80">
        <v>17</v>
      </c>
      <c r="B80">
        <v>5</v>
      </c>
      <c r="C80" t="s">
        <v>65</v>
      </c>
      <c r="D80">
        <v>2000</v>
      </c>
      <c r="E80">
        <v>80</v>
      </c>
      <c r="F80">
        <v>3</v>
      </c>
      <c r="H80">
        <v>77.2</v>
      </c>
      <c r="J80" s="2">
        <f t="shared" si="0"/>
        <v>4.1479807812000002</v>
      </c>
      <c r="K80">
        <v>3</v>
      </c>
      <c r="L80">
        <v>4.4000000000000004</v>
      </c>
      <c r="N80" s="7">
        <f t="shared" si="1"/>
        <v>1.1144682252</v>
      </c>
      <c r="O80">
        <v>1</v>
      </c>
      <c r="P80">
        <v>2</v>
      </c>
      <c r="Q80">
        <v>14.9</v>
      </c>
      <c r="R80">
        <v>74.2</v>
      </c>
      <c r="S80" t="s">
        <v>35</v>
      </c>
      <c r="T80" t="s">
        <v>30</v>
      </c>
      <c r="U80" t="s">
        <v>31</v>
      </c>
      <c r="V80" t="s">
        <v>29</v>
      </c>
      <c r="W80" t="s">
        <v>31</v>
      </c>
      <c r="X80" t="s">
        <v>66</v>
      </c>
      <c r="Y80" t="s">
        <v>96</v>
      </c>
      <c r="Z80">
        <v>39.317166999999998</v>
      </c>
      <c r="AA80" s="12">
        <v>21.896909999999998</v>
      </c>
      <c r="AB80" t="s">
        <v>29</v>
      </c>
      <c r="AC80">
        <v>0.46450000000000002</v>
      </c>
    </row>
    <row r="81" spans="1:29" x14ac:dyDescent="0.2">
      <c r="A81">
        <v>17</v>
      </c>
      <c r="B81">
        <v>6</v>
      </c>
      <c r="C81" t="s">
        <v>65</v>
      </c>
      <c r="D81">
        <v>2000</v>
      </c>
      <c r="E81">
        <v>120</v>
      </c>
      <c r="F81">
        <v>3</v>
      </c>
      <c r="H81">
        <v>86.4</v>
      </c>
      <c r="J81" s="2">
        <f t="shared" si="0"/>
        <v>4.6422997343999999</v>
      </c>
      <c r="K81">
        <v>3</v>
      </c>
      <c r="L81">
        <v>4.4000000000000004</v>
      </c>
      <c r="N81" s="7">
        <f t="shared" si="1"/>
        <v>1.1144682252</v>
      </c>
      <c r="O81">
        <v>1</v>
      </c>
      <c r="P81">
        <v>2</v>
      </c>
      <c r="Q81">
        <v>14.9</v>
      </c>
      <c r="R81">
        <v>74.2</v>
      </c>
      <c r="S81" t="s">
        <v>35</v>
      </c>
      <c r="T81" t="s">
        <v>30</v>
      </c>
      <c r="U81" t="s">
        <v>31</v>
      </c>
      <c r="V81" t="s">
        <v>29</v>
      </c>
      <c r="W81" t="s">
        <v>31</v>
      </c>
      <c r="X81" t="s">
        <v>66</v>
      </c>
      <c r="Y81" t="s">
        <v>96</v>
      </c>
      <c r="Z81">
        <v>39.317166999999998</v>
      </c>
      <c r="AA81" s="12">
        <v>21.896909999999998</v>
      </c>
      <c r="AB81" t="s">
        <v>29</v>
      </c>
      <c r="AC81">
        <v>0.46450000000000002</v>
      </c>
    </row>
    <row r="82" spans="1:29" x14ac:dyDescent="0.2">
      <c r="A82">
        <v>17</v>
      </c>
      <c r="B82">
        <v>7</v>
      </c>
      <c r="C82" t="s">
        <v>65</v>
      </c>
      <c r="D82">
        <v>2000</v>
      </c>
      <c r="E82">
        <v>10</v>
      </c>
      <c r="F82">
        <v>3</v>
      </c>
      <c r="H82">
        <v>31.2</v>
      </c>
      <c r="J82" s="2">
        <f t="shared" si="0"/>
        <v>1.6763860151999999</v>
      </c>
      <c r="K82">
        <v>3</v>
      </c>
      <c r="L82">
        <v>9.1</v>
      </c>
      <c r="N82" s="7">
        <f t="shared" si="1"/>
        <v>2.3049229202999997</v>
      </c>
      <c r="O82">
        <v>4</v>
      </c>
      <c r="P82">
        <v>5</v>
      </c>
      <c r="Q82">
        <v>14.9</v>
      </c>
      <c r="R82">
        <v>74.2</v>
      </c>
      <c r="S82" t="s">
        <v>35</v>
      </c>
      <c r="T82" t="s">
        <v>30</v>
      </c>
      <c r="U82" t="s">
        <v>31</v>
      </c>
      <c r="V82" t="s">
        <v>29</v>
      </c>
      <c r="W82" t="s">
        <v>31</v>
      </c>
      <c r="X82" t="s">
        <v>66</v>
      </c>
      <c r="Y82" t="s">
        <v>96</v>
      </c>
      <c r="Z82">
        <v>39.317166999999998</v>
      </c>
      <c r="AA82" s="12">
        <v>21.896909999999998</v>
      </c>
      <c r="AB82" t="s">
        <v>29</v>
      </c>
      <c r="AC82">
        <v>0.46450000000000002</v>
      </c>
    </row>
    <row r="83" spans="1:29" x14ac:dyDescent="0.2">
      <c r="A83">
        <v>17</v>
      </c>
      <c r="B83">
        <v>8</v>
      </c>
      <c r="C83" t="s">
        <v>65</v>
      </c>
      <c r="D83">
        <v>2000</v>
      </c>
      <c r="E83">
        <v>20</v>
      </c>
      <c r="F83">
        <v>3</v>
      </c>
      <c r="H83">
        <v>35.299999999999997</v>
      </c>
      <c r="J83" s="2">
        <f t="shared" si="0"/>
        <v>1.8966803312999998</v>
      </c>
      <c r="K83">
        <v>3</v>
      </c>
      <c r="L83">
        <v>9.1</v>
      </c>
      <c r="N83" s="7">
        <f t="shared" si="1"/>
        <v>2.3049229202999997</v>
      </c>
      <c r="O83">
        <v>4</v>
      </c>
      <c r="P83">
        <v>5</v>
      </c>
      <c r="Q83">
        <v>14.9</v>
      </c>
      <c r="R83">
        <v>74.2</v>
      </c>
      <c r="S83" t="s">
        <v>35</v>
      </c>
      <c r="T83" t="s">
        <v>30</v>
      </c>
      <c r="U83" t="s">
        <v>31</v>
      </c>
      <c r="V83" t="s">
        <v>29</v>
      </c>
      <c r="W83" t="s">
        <v>31</v>
      </c>
      <c r="X83" t="s">
        <v>66</v>
      </c>
      <c r="Y83" t="s">
        <v>96</v>
      </c>
      <c r="Z83">
        <v>39.317166999999998</v>
      </c>
      <c r="AA83" s="12">
        <v>21.896909999999998</v>
      </c>
      <c r="AB83" t="s">
        <v>29</v>
      </c>
      <c r="AC83">
        <v>0.46450000000000002</v>
      </c>
    </row>
    <row r="84" spans="1:29" x14ac:dyDescent="0.2">
      <c r="A84">
        <v>17</v>
      </c>
      <c r="B84">
        <v>9</v>
      </c>
      <c r="C84" t="s">
        <v>65</v>
      </c>
      <c r="D84">
        <v>2000</v>
      </c>
      <c r="E84">
        <v>40</v>
      </c>
      <c r="F84">
        <v>3</v>
      </c>
      <c r="H84">
        <v>38.4</v>
      </c>
      <c r="J84" s="2">
        <f t="shared" si="0"/>
        <v>2.0632443264</v>
      </c>
      <c r="K84">
        <v>3</v>
      </c>
      <c r="L84">
        <v>9.1</v>
      </c>
      <c r="N84" s="7">
        <f t="shared" si="1"/>
        <v>2.3049229202999997</v>
      </c>
      <c r="O84">
        <v>4</v>
      </c>
      <c r="P84">
        <v>5</v>
      </c>
      <c r="Q84">
        <v>14.9</v>
      </c>
      <c r="R84">
        <v>74.2</v>
      </c>
      <c r="S84" t="s">
        <v>35</v>
      </c>
      <c r="T84" t="s">
        <v>30</v>
      </c>
      <c r="U84" t="s">
        <v>31</v>
      </c>
      <c r="V84" t="s">
        <v>29</v>
      </c>
      <c r="W84" t="s">
        <v>31</v>
      </c>
      <c r="X84" t="s">
        <v>66</v>
      </c>
      <c r="Y84" t="s">
        <v>96</v>
      </c>
      <c r="Z84">
        <v>39.317166999999998</v>
      </c>
      <c r="AA84" s="12">
        <v>21.896909999999998</v>
      </c>
      <c r="AB84" t="s">
        <v>29</v>
      </c>
      <c r="AC84">
        <v>0.46450000000000002</v>
      </c>
    </row>
    <row r="85" spans="1:29" x14ac:dyDescent="0.2">
      <c r="A85">
        <v>17</v>
      </c>
      <c r="B85">
        <v>10</v>
      </c>
      <c r="C85" t="s">
        <v>65</v>
      </c>
      <c r="D85">
        <v>2000</v>
      </c>
      <c r="E85">
        <v>60</v>
      </c>
      <c r="F85">
        <v>3</v>
      </c>
      <c r="H85">
        <v>47</v>
      </c>
      <c r="J85" s="2">
        <f t="shared" si="0"/>
        <v>2.5253250869999997</v>
      </c>
      <c r="K85">
        <v>3</v>
      </c>
      <c r="L85">
        <v>9.1</v>
      </c>
      <c r="N85" s="7">
        <f t="shared" si="1"/>
        <v>2.3049229202999997</v>
      </c>
      <c r="O85">
        <v>4</v>
      </c>
      <c r="P85">
        <v>5</v>
      </c>
      <c r="Q85">
        <v>14.9</v>
      </c>
      <c r="R85">
        <v>74.2</v>
      </c>
      <c r="S85" t="s">
        <v>35</v>
      </c>
      <c r="T85" t="s">
        <v>30</v>
      </c>
      <c r="U85" t="s">
        <v>31</v>
      </c>
      <c r="V85" t="s">
        <v>29</v>
      </c>
      <c r="W85" t="s">
        <v>31</v>
      </c>
      <c r="X85" t="s">
        <v>66</v>
      </c>
      <c r="Y85" t="s">
        <v>96</v>
      </c>
      <c r="Z85">
        <v>39.317166999999998</v>
      </c>
      <c r="AA85" s="12">
        <v>21.896909999999998</v>
      </c>
      <c r="AB85" t="s">
        <v>29</v>
      </c>
      <c r="AC85">
        <v>0.46450000000000002</v>
      </c>
    </row>
    <row r="86" spans="1:29" x14ac:dyDescent="0.2">
      <c r="A86">
        <v>17</v>
      </c>
      <c r="B86">
        <v>11</v>
      </c>
      <c r="C86" t="s">
        <v>65</v>
      </c>
      <c r="D86">
        <v>2000</v>
      </c>
      <c r="E86">
        <v>80</v>
      </c>
      <c r="F86">
        <v>3</v>
      </c>
      <c r="H86">
        <v>54.7</v>
      </c>
      <c r="J86" s="2">
        <f t="shared" si="0"/>
        <v>2.9390485587000001</v>
      </c>
      <c r="K86">
        <v>3</v>
      </c>
      <c r="L86">
        <v>9.1</v>
      </c>
      <c r="N86" s="7">
        <f t="shared" si="1"/>
        <v>2.3049229202999997</v>
      </c>
      <c r="O86">
        <v>4</v>
      </c>
      <c r="P86">
        <v>5</v>
      </c>
      <c r="Q86">
        <v>14.9</v>
      </c>
      <c r="R86">
        <v>74.2</v>
      </c>
      <c r="S86" t="s">
        <v>35</v>
      </c>
      <c r="T86" t="s">
        <v>30</v>
      </c>
      <c r="U86" t="s">
        <v>31</v>
      </c>
      <c r="V86" t="s">
        <v>29</v>
      </c>
      <c r="W86" t="s">
        <v>31</v>
      </c>
      <c r="X86" t="s">
        <v>66</v>
      </c>
      <c r="Y86" t="s">
        <v>96</v>
      </c>
      <c r="Z86">
        <v>39.317166999999998</v>
      </c>
      <c r="AA86" s="12">
        <v>21.896909999999998</v>
      </c>
      <c r="AB86" t="s">
        <v>29</v>
      </c>
      <c r="AC86">
        <v>0.46450000000000002</v>
      </c>
    </row>
    <row r="87" spans="1:29" x14ac:dyDescent="0.2">
      <c r="A87">
        <v>17</v>
      </c>
      <c r="B87">
        <v>12</v>
      </c>
      <c r="C87" t="s">
        <v>65</v>
      </c>
      <c r="D87">
        <v>2000</v>
      </c>
      <c r="E87">
        <v>120</v>
      </c>
      <c r="F87">
        <v>3</v>
      </c>
      <c r="H87">
        <v>61.2</v>
      </c>
      <c r="J87" s="2">
        <f t="shared" si="0"/>
        <v>3.2882956451999998</v>
      </c>
      <c r="K87">
        <v>3</v>
      </c>
      <c r="L87">
        <v>9.1</v>
      </c>
      <c r="N87" s="7">
        <f t="shared" si="1"/>
        <v>2.3049229202999997</v>
      </c>
      <c r="O87">
        <v>4</v>
      </c>
      <c r="P87">
        <v>5</v>
      </c>
      <c r="Q87">
        <v>14.9</v>
      </c>
      <c r="R87">
        <v>74.2</v>
      </c>
      <c r="S87" t="s">
        <v>35</v>
      </c>
      <c r="T87" t="s">
        <v>30</v>
      </c>
      <c r="U87" t="s">
        <v>31</v>
      </c>
      <c r="V87" t="s">
        <v>29</v>
      </c>
      <c r="W87" t="s">
        <v>31</v>
      </c>
      <c r="X87" t="s">
        <v>66</v>
      </c>
      <c r="Y87" t="s">
        <v>96</v>
      </c>
      <c r="Z87">
        <v>39.317166999999998</v>
      </c>
      <c r="AA87" s="12">
        <v>21.896909999999998</v>
      </c>
      <c r="AB87" t="s">
        <v>29</v>
      </c>
      <c r="AC87">
        <v>0.46450000000000002</v>
      </c>
    </row>
    <row r="88" spans="1:29" x14ac:dyDescent="0.2">
      <c r="A88">
        <v>18</v>
      </c>
      <c r="B88">
        <v>1</v>
      </c>
      <c r="C88" t="s">
        <v>67</v>
      </c>
      <c r="D88">
        <v>1997</v>
      </c>
      <c r="E88">
        <v>6.5</v>
      </c>
      <c r="F88">
        <v>5</v>
      </c>
      <c r="H88">
        <v>64.59</v>
      </c>
      <c r="J88" s="2">
        <f t="shared" si="0"/>
        <v>3.47044143339</v>
      </c>
      <c r="K88">
        <v>5</v>
      </c>
      <c r="L88">
        <v>3.63</v>
      </c>
      <c r="N88" s="7">
        <f t="shared" si="1"/>
        <v>0.91943628578999992</v>
      </c>
      <c r="O88">
        <v>1</v>
      </c>
      <c r="P88">
        <v>2</v>
      </c>
      <c r="Q88">
        <v>16.100000000000001</v>
      </c>
      <c r="R88">
        <v>36.1</v>
      </c>
      <c r="S88" t="s">
        <v>35</v>
      </c>
      <c r="T88" t="s">
        <v>44</v>
      </c>
      <c r="U88" t="s">
        <v>31</v>
      </c>
      <c r="V88" t="s">
        <v>31</v>
      </c>
      <c r="W88" t="s">
        <v>31</v>
      </c>
      <c r="X88" t="s">
        <v>68</v>
      </c>
      <c r="Y88" t="s">
        <v>93</v>
      </c>
      <c r="Z88">
        <v>38.206281699999998</v>
      </c>
      <c r="AA88" s="12">
        <v>-1.0434985000000001</v>
      </c>
      <c r="AB88" t="s">
        <v>31</v>
      </c>
      <c r="AC88">
        <v>0.18459999999999999</v>
      </c>
    </row>
    <row r="89" spans="1:29" x14ac:dyDescent="0.2">
      <c r="A89">
        <v>18</v>
      </c>
      <c r="B89">
        <v>2</v>
      </c>
      <c r="C89" t="s">
        <v>67</v>
      </c>
      <c r="D89">
        <v>1997</v>
      </c>
      <c r="E89">
        <v>13</v>
      </c>
      <c r="F89">
        <v>5</v>
      </c>
      <c r="H89">
        <v>89.72</v>
      </c>
      <c r="J89" s="2">
        <f t="shared" si="0"/>
        <v>4.8206844001199993</v>
      </c>
      <c r="K89">
        <v>5</v>
      </c>
      <c r="L89">
        <v>3.63</v>
      </c>
      <c r="N89" s="7">
        <f t="shared" si="1"/>
        <v>0.91943628578999992</v>
      </c>
      <c r="O89">
        <v>1</v>
      </c>
      <c r="P89">
        <v>2</v>
      </c>
      <c r="Q89">
        <v>16.100000000000001</v>
      </c>
      <c r="R89">
        <v>36.1</v>
      </c>
      <c r="S89" t="s">
        <v>35</v>
      </c>
      <c r="T89" t="s">
        <v>44</v>
      </c>
      <c r="U89" t="s">
        <v>31</v>
      </c>
      <c r="V89" t="s">
        <v>31</v>
      </c>
      <c r="W89" t="s">
        <v>31</v>
      </c>
      <c r="X89" t="s">
        <v>68</v>
      </c>
      <c r="Y89" t="s">
        <v>93</v>
      </c>
      <c r="Z89">
        <v>38.206281699999998</v>
      </c>
      <c r="AA89" s="12">
        <v>-1.0434985000000001</v>
      </c>
      <c r="AB89" t="s">
        <v>31</v>
      </c>
      <c r="AC89">
        <v>0.18459999999999999</v>
      </c>
    </row>
    <row r="90" spans="1:29" x14ac:dyDescent="0.2">
      <c r="A90">
        <v>18</v>
      </c>
      <c r="B90">
        <v>3</v>
      </c>
      <c r="C90" t="s">
        <v>67</v>
      </c>
      <c r="D90">
        <v>1997</v>
      </c>
      <c r="E90">
        <v>19.5</v>
      </c>
      <c r="F90">
        <v>5</v>
      </c>
      <c r="H90">
        <v>89.72</v>
      </c>
      <c r="J90" s="2">
        <f t="shared" si="0"/>
        <v>4.8206844001199993</v>
      </c>
      <c r="K90">
        <v>5</v>
      </c>
      <c r="L90">
        <v>3.63</v>
      </c>
      <c r="N90" s="7">
        <f t="shared" si="1"/>
        <v>0.91943628578999992</v>
      </c>
      <c r="O90">
        <v>1</v>
      </c>
      <c r="P90">
        <v>2</v>
      </c>
      <c r="Q90">
        <v>16.100000000000001</v>
      </c>
      <c r="R90">
        <v>36.1</v>
      </c>
      <c r="S90" t="s">
        <v>35</v>
      </c>
      <c r="T90" t="s">
        <v>44</v>
      </c>
      <c r="U90" t="s">
        <v>31</v>
      </c>
      <c r="V90" t="s">
        <v>31</v>
      </c>
      <c r="W90" t="s">
        <v>31</v>
      </c>
      <c r="X90" t="s">
        <v>68</v>
      </c>
      <c r="Y90" t="s">
        <v>93</v>
      </c>
      <c r="Z90">
        <v>38.206281699999998</v>
      </c>
      <c r="AA90" s="12">
        <v>-1.0434985000000001</v>
      </c>
      <c r="AB90" t="s">
        <v>31</v>
      </c>
      <c r="AC90">
        <v>0.18459999999999999</v>
      </c>
    </row>
    <row r="91" spans="1:29" x14ac:dyDescent="0.2">
      <c r="A91">
        <v>18</v>
      </c>
      <c r="B91">
        <v>4</v>
      </c>
      <c r="C91" t="s">
        <v>67</v>
      </c>
      <c r="D91">
        <v>1997</v>
      </c>
      <c r="E91">
        <v>26</v>
      </c>
      <c r="F91">
        <v>5</v>
      </c>
      <c r="H91">
        <v>97.92</v>
      </c>
      <c r="J91" s="2">
        <f t="shared" si="0"/>
        <v>5.2612730323200001</v>
      </c>
      <c r="K91">
        <v>5</v>
      </c>
      <c r="L91">
        <v>3.63</v>
      </c>
      <c r="N91" s="7">
        <f t="shared" si="1"/>
        <v>0.91943628578999992</v>
      </c>
      <c r="O91">
        <v>1</v>
      </c>
      <c r="P91">
        <v>2</v>
      </c>
      <c r="Q91">
        <v>16.100000000000001</v>
      </c>
      <c r="R91">
        <v>36.1</v>
      </c>
      <c r="S91" t="s">
        <v>35</v>
      </c>
      <c r="T91" t="s">
        <v>44</v>
      </c>
      <c r="U91" t="s">
        <v>31</v>
      </c>
      <c r="V91" t="s">
        <v>31</v>
      </c>
      <c r="W91" t="s">
        <v>31</v>
      </c>
      <c r="X91" t="s">
        <v>68</v>
      </c>
      <c r="Y91" t="s">
        <v>93</v>
      </c>
      <c r="Z91">
        <v>38.206281699999998</v>
      </c>
      <c r="AA91" s="12">
        <v>-1.0434985000000001</v>
      </c>
      <c r="AB91" t="s">
        <v>31</v>
      </c>
      <c r="AC91">
        <v>0.18459999999999999</v>
      </c>
    </row>
    <row r="92" spans="1:29" x14ac:dyDescent="0.2">
      <c r="A92">
        <v>18</v>
      </c>
      <c r="B92">
        <v>5</v>
      </c>
      <c r="C92" t="s">
        <v>67</v>
      </c>
      <c r="D92">
        <v>1997</v>
      </c>
      <c r="E92">
        <v>6.5</v>
      </c>
      <c r="F92">
        <v>5</v>
      </c>
      <c r="H92">
        <v>69.569999999999993</v>
      </c>
      <c r="J92" s="2">
        <f t="shared" si="0"/>
        <v>3.7380184319699996</v>
      </c>
      <c r="K92">
        <v>5</v>
      </c>
      <c r="L92">
        <v>5.09</v>
      </c>
      <c r="N92" s="7">
        <f t="shared" si="1"/>
        <v>1.2892371059699999</v>
      </c>
      <c r="O92">
        <v>2</v>
      </c>
      <c r="P92">
        <v>3</v>
      </c>
      <c r="Q92">
        <v>16.100000000000001</v>
      </c>
      <c r="R92">
        <v>36.1</v>
      </c>
      <c r="S92" t="s">
        <v>35</v>
      </c>
      <c r="T92" t="s">
        <v>44</v>
      </c>
      <c r="U92" t="s">
        <v>31</v>
      </c>
      <c r="V92" t="s">
        <v>31</v>
      </c>
      <c r="W92" t="s">
        <v>31</v>
      </c>
      <c r="X92" t="s">
        <v>68</v>
      </c>
      <c r="Y92" t="s">
        <v>93</v>
      </c>
      <c r="Z92">
        <v>38.206281699999998</v>
      </c>
      <c r="AA92" s="12">
        <v>-1.0434985000000001</v>
      </c>
      <c r="AB92" t="s">
        <v>31</v>
      </c>
      <c r="AC92">
        <v>0.18459999999999999</v>
      </c>
    </row>
    <row r="93" spans="1:29" x14ac:dyDescent="0.2">
      <c r="A93">
        <v>18</v>
      </c>
      <c r="B93">
        <v>6</v>
      </c>
      <c r="C93" t="s">
        <v>67</v>
      </c>
      <c r="D93">
        <v>1997</v>
      </c>
      <c r="E93">
        <v>13</v>
      </c>
      <c r="F93">
        <v>5</v>
      </c>
      <c r="H93">
        <v>89.72</v>
      </c>
      <c r="J93" s="2">
        <f t="shared" si="0"/>
        <v>4.8206844001199993</v>
      </c>
      <c r="K93">
        <v>5</v>
      </c>
      <c r="L93">
        <v>5.09</v>
      </c>
      <c r="N93" s="7">
        <f t="shared" si="1"/>
        <v>1.2892371059699999</v>
      </c>
      <c r="O93">
        <v>2</v>
      </c>
      <c r="P93">
        <v>3</v>
      </c>
      <c r="Q93">
        <v>16.100000000000001</v>
      </c>
      <c r="R93">
        <v>36.1</v>
      </c>
      <c r="S93" t="s">
        <v>35</v>
      </c>
      <c r="T93" t="s">
        <v>44</v>
      </c>
      <c r="U93" t="s">
        <v>31</v>
      </c>
      <c r="V93" t="s">
        <v>31</v>
      </c>
      <c r="W93" t="s">
        <v>31</v>
      </c>
      <c r="X93" t="s">
        <v>68</v>
      </c>
      <c r="Y93" t="s">
        <v>93</v>
      </c>
      <c r="Z93">
        <v>38.206281699999998</v>
      </c>
      <c r="AA93" s="12">
        <v>-1.0434985000000001</v>
      </c>
      <c r="AB93" t="s">
        <v>31</v>
      </c>
      <c r="AC93">
        <v>0.18459999999999999</v>
      </c>
    </row>
    <row r="94" spans="1:29" x14ac:dyDescent="0.2">
      <c r="A94">
        <v>18</v>
      </c>
      <c r="B94">
        <v>7</v>
      </c>
      <c r="C94" t="s">
        <v>67</v>
      </c>
      <c r="D94">
        <v>1997</v>
      </c>
      <c r="E94">
        <v>19.5</v>
      </c>
      <c r="F94">
        <v>5</v>
      </c>
      <c r="H94">
        <v>89.72</v>
      </c>
      <c r="J94" s="2">
        <f t="shared" si="0"/>
        <v>4.8206844001199993</v>
      </c>
      <c r="K94">
        <v>5</v>
      </c>
      <c r="L94">
        <v>5.09</v>
      </c>
      <c r="N94" s="7">
        <f t="shared" si="1"/>
        <v>1.2892371059699999</v>
      </c>
      <c r="O94">
        <v>2</v>
      </c>
      <c r="P94">
        <v>3</v>
      </c>
      <c r="Q94">
        <v>16.100000000000001</v>
      </c>
      <c r="R94">
        <v>36.1</v>
      </c>
      <c r="S94" t="s">
        <v>35</v>
      </c>
      <c r="T94" t="s">
        <v>44</v>
      </c>
      <c r="U94" t="s">
        <v>31</v>
      </c>
      <c r="V94" t="s">
        <v>31</v>
      </c>
      <c r="W94" t="s">
        <v>31</v>
      </c>
      <c r="X94" t="s">
        <v>68</v>
      </c>
      <c r="Y94" t="s">
        <v>93</v>
      </c>
      <c r="Z94">
        <v>38.206281699999998</v>
      </c>
      <c r="AA94" s="12">
        <v>-1.0434985000000001</v>
      </c>
      <c r="AB94" t="s">
        <v>31</v>
      </c>
      <c r="AC94">
        <v>0.18459999999999999</v>
      </c>
    </row>
    <row r="95" spans="1:29" x14ac:dyDescent="0.2">
      <c r="A95">
        <v>18</v>
      </c>
      <c r="B95">
        <v>8</v>
      </c>
      <c r="C95" t="s">
        <v>67</v>
      </c>
      <c r="D95">
        <v>1997</v>
      </c>
      <c r="E95">
        <v>26</v>
      </c>
      <c r="F95">
        <v>5</v>
      </c>
      <c r="H95">
        <v>94.81</v>
      </c>
      <c r="J95" s="2">
        <f t="shared" si="0"/>
        <v>5.0941717340099997</v>
      </c>
      <c r="K95">
        <v>5</v>
      </c>
      <c r="L95">
        <v>5.09</v>
      </c>
      <c r="N95" s="7">
        <f t="shared" si="1"/>
        <v>1.2892371059699999</v>
      </c>
      <c r="O95">
        <v>2</v>
      </c>
      <c r="P95">
        <v>3</v>
      </c>
      <c r="Q95">
        <v>16.100000000000001</v>
      </c>
      <c r="R95">
        <v>36.1</v>
      </c>
      <c r="S95" t="s">
        <v>35</v>
      </c>
      <c r="T95" t="s">
        <v>44</v>
      </c>
      <c r="U95" t="s">
        <v>31</v>
      </c>
      <c r="V95" t="s">
        <v>31</v>
      </c>
      <c r="W95" t="s">
        <v>31</v>
      </c>
      <c r="X95" t="s">
        <v>68</v>
      </c>
      <c r="Y95" t="s">
        <v>93</v>
      </c>
      <c r="Z95">
        <v>38.206281699999998</v>
      </c>
      <c r="AA95" s="12">
        <v>-1.0434985000000001</v>
      </c>
      <c r="AB95" t="s">
        <v>31</v>
      </c>
      <c r="AC95">
        <v>0.18459999999999999</v>
      </c>
    </row>
    <row r="96" spans="1:29" x14ac:dyDescent="0.2">
      <c r="A96">
        <v>18</v>
      </c>
      <c r="B96">
        <v>9</v>
      </c>
      <c r="C96" t="s">
        <v>67</v>
      </c>
      <c r="D96">
        <v>1997</v>
      </c>
      <c r="E96">
        <v>6.5</v>
      </c>
      <c r="F96">
        <v>5</v>
      </c>
      <c r="H96">
        <v>44.55</v>
      </c>
      <c r="J96" s="2">
        <f t="shared" si="0"/>
        <v>2.3936858005499997</v>
      </c>
      <c r="K96">
        <v>5</v>
      </c>
      <c r="L96">
        <v>9.0299999999999994</v>
      </c>
      <c r="N96" s="7">
        <f t="shared" si="1"/>
        <v>2.2871927439899995</v>
      </c>
      <c r="O96">
        <v>3</v>
      </c>
      <c r="P96">
        <v>4</v>
      </c>
      <c r="Q96">
        <v>16.100000000000001</v>
      </c>
      <c r="R96">
        <v>36.1</v>
      </c>
      <c r="S96" t="s">
        <v>35</v>
      </c>
      <c r="T96" t="s">
        <v>44</v>
      </c>
      <c r="U96" t="s">
        <v>31</v>
      </c>
      <c r="V96" t="s">
        <v>31</v>
      </c>
      <c r="W96" t="s">
        <v>31</v>
      </c>
      <c r="X96" t="s">
        <v>68</v>
      </c>
      <c r="Y96" t="s">
        <v>93</v>
      </c>
      <c r="Z96">
        <v>38.206281699999998</v>
      </c>
      <c r="AA96" s="12">
        <v>-1.0434985000000001</v>
      </c>
      <c r="AB96" t="s">
        <v>31</v>
      </c>
      <c r="AC96">
        <v>0.18459999999999999</v>
      </c>
    </row>
    <row r="97" spans="1:29" x14ac:dyDescent="0.2">
      <c r="A97">
        <v>18</v>
      </c>
      <c r="B97">
        <v>10</v>
      </c>
      <c r="C97" t="s">
        <v>67</v>
      </c>
      <c r="D97">
        <v>1997</v>
      </c>
      <c r="E97">
        <v>13</v>
      </c>
      <c r="F97">
        <v>5</v>
      </c>
      <c r="H97">
        <v>81.72</v>
      </c>
      <c r="J97" s="2">
        <f t="shared" si="0"/>
        <v>4.3908418321199996</v>
      </c>
      <c r="K97">
        <v>5</v>
      </c>
      <c r="L97">
        <v>9.0299999999999994</v>
      </c>
      <c r="N97" s="7">
        <f t="shared" si="1"/>
        <v>2.2871927439899995</v>
      </c>
      <c r="O97">
        <v>3</v>
      </c>
      <c r="P97">
        <v>4</v>
      </c>
      <c r="Q97">
        <v>16.100000000000001</v>
      </c>
      <c r="R97">
        <v>36.1</v>
      </c>
      <c r="S97" t="s">
        <v>35</v>
      </c>
      <c r="T97" t="s">
        <v>44</v>
      </c>
      <c r="U97" t="s">
        <v>31</v>
      </c>
      <c r="V97" t="s">
        <v>31</v>
      </c>
      <c r="W97" t="s">
        <v>31</v>
      </c>
      <c r="X97" t="s">
        <v>68</v>
      </c>
      <c r="Y97" t="s">
        <v>93</v>
      </c>
      <c r="Z97">
        <v>38.206281699999998</v>
      </c>
      <c r="AA97" s="12">
        <v>-1.0434985000000001</v>
      </c>
      <c r="AB97" t="s">
        <v>31</v>
      </c>
      <c r="AC97">
        <v>0.18459999999999999</v>
      </c>
    </row>
    <row r="98" spans="1:29" x14ac:dyDescent="0.2">
      <c r="A98">
        <v>18</v>
      </c>
      <c r="B98">
        <v>11</v>
      </c>
      <c r="C98" t="s">
        <v>67</v>
      </c>
      <c r="D98">
        <v>1997</v>
      </c>
      <c r="E98">
        <v>19.5</v>
      </c>
      <c r="F98">
        <v>5</v>
      </c>
      <c r="H98">
        <v>84.74</v>
      </c>
      <c r="J98" s="2">
        <f t="shared" si="0"/>
        <v>4.5531074015399993</v>
      </c>
      <c r="K98">
        <v>5</v>
      </c>
      <c r="L98">
        <v>9.0299999999999994</v>
      </c>
      <c r="N98" s="7">
        <f t="shared" si="1"/>
        <v>2.2871927439899995</v>
      </c>
      <c r="O98">
        <v>3</v>
      </c>
      <c r="P98">
        <v>4</v>
      </c>
      <c r="Q98">
        <v>16.100000000000001</v>
      </c>
      <c r="R98">
        <v>36.1</v>
      </c>
      <c r="S98" t="s">
        <v>35</v>
      </c>
      <c r="T98" t="s">
        <v>44</v>
      </c>
      <c r="U98" t="s">
        <v>31</v>
      </c>
      <c r="V98" t="s">
        <v>31</v>
      </c>
      <c r="W98" t="s">
        <v>31</v>
      </c>
      <c r="X98" t="s">
        <v>68</v>
      </c>
      <c r="Y98" t="s">
        <v>93</v>
      </c>
      <c r="Z98">
        <v>38.206281699999998</v>
      </c>
      <c r="AA98" s="12">
        <v>-1.0434985000000001</v>
      </c>
      <c r="AB98" t="s">
        <v>31</v>
      </c>
      <c r="AC98">
        <v>0.18459999999999999</v>
      </c>
    </row>
    <row r="99" spans="1:29" x14ac:dyDescent="0.2">
      <c r="A99">
        <v>18</v>
      </c>
      <c r="B99">
        <v>12</v>
      </c>
      <c r="C99" t="s">
        <v>67</v>
      </c>
      <c r="D99">
        <v>1997</v>
      </c>
      <c r="E99">
        <v>26</v>
      </c>
      <c r="F99">
        <v>5</v>
      </c>
      <c r="H99">
        <v>97.82</v>
      </c>
      <c r="J99" s="2">
        <f t="shared" si="0"/>
        <v>5.2559000002199996</v>
      </c>
      <c r="K99">
        <v>5</v>
      </c>
      <c r="L99">
        <v>9.0299999999999994</v>
      </c>
      <c r="N99" s="7">
        <f t="shared" si="1"/>
        <v>2.2871927439899995</v>
      </c>
      <c r="O99">
        <v>3</v>
      </c>
      <c r="P99">
        <v>4</v>
      </c>
      <c r="Q99">
        <v>16.100000000000001</v>
      </c>
      <c r="R99">
        <v>36.1</v>
      </c>
      <c r="S99" t="s">
        <v>35</v>
      </c>
      <c r="T99" t="s">
        <v>44</v>
      </c>
      <c r="U99" t="s">
        <v>31</v>
      </c>
      <c r="V99" t="s">
        <v>31</v>
      </c>
      <c r="W99" t="s">
        <v>31</v>
      </c>
      <c r="X99" t="s">
        <v>68</v>
      </c>
      <c r="Y99" t="s">
        <v>93</v>
      </c>
      <c r="Z99">
        <v>38.206281699999998</v>
      </c>
      <c r="AA99" s="12">
        <v>-1.0434985000000001</v>
      </c>
      <c r="AB99" t="s">
        <v>31</v>
      </c>
      <c r="AC99">
        <v>0.18459999999999999</v>
      </c>
    </row>
    <row r="100" spans="1:29" x14ac:dyDescent="0.2">
      <c r="A100">
        <v>18</v>
      </c>
      <c r="B100">
        <v>13</v>
      </c>
      <c r="C100" t="s">
        <v>67</v>
      </c>
      <c r="D100">
        <v>1997</v>
      </c>
      <c r="E100">
        <v>6.5</v>
      </c>
      <c r="F100">
        <v>5</v>
      </c>
      <c r="H100">
        <v>39.46</v>
      </c>
      <c r="J100" s="2">
        <f t="shared" si="0"/>
        <v>2.1201984666599998</v>
      </c>
      <c r="K100">
        <v>5</v>
      </c>
      <c r="L100">
        <v>8.1</v>
      </c>
      <c r="N100" s="7">
        <f t="shared" si="1"/>
        <v>2.0516346872999995</v>
      </c>
      <c r="O100">
        <v>4</v>
      </c>
      <c r="P100">
        <v>5</v>
      </c>
      <c r="Q100">
        <v>16.100000000000001</v>
      </c>
      <c r="R100">
        <v>36.1</v>
      </c>
      <c r="S100" t="s">
        <v>35</v>
      </c>
      <c r="T100" t="s">
        <v>44</v>
      </c>
      <c r="U100" t="s">
        <v>31</v>
      </c>
      <c r="V100" t="s">
        <v>31</v>
      </c>
      <c r="W100" t="s">
        <v>31</v>
      </c>
      <c r="X100" t="s">
        <v>68</v>
      </c>
      <c r="Y100" t="s">
        <v>93</v>
      </c>
      <c r="Z100">
        <v>38.206281699999998</v>
      </c>
      <c r="AA100" s="12">
        <v>-1.0434985000000001</v>
      </c>
      <c r="AB100" t="s">
        <v>31</v>
      </c>
      <c r="AC100">
        <v>0.18459999999999999</v>
      </c>
    </row>
    <row r="101" spans="1:29" x14ac:dyDescent="0.2">
      <c r="A101">
        <v>18</v>
      </c>
      <c r="B101">
        <v>14</v>
      </c>
      <c r="C101" t="s">
        <v>67</v>
      </c>
      <c r="D101">
        <v>1997</v>
      </c>
      <c r="E101">
        <v>13</v>
      </c>
      <c r="F101">
        <v>5</v>
      </c>
      <c r="H101">
        <v>79.75</v>
      </c>
      <c r="J101" s="2">
        <f t="shared" si="0"/>
        <v>4.2849930997499994</v>
      </c>
      <c r="K101">
        <v>5</v>
      </c>
      <c r="L101">
        <v>8.1</v>
      </c>
      <c r="N101" s="7">
        <f t="shared" si="1"/>
        <v>2.0516346872999995</v>
      </c>
      <c r="O101">
        <v>4</v>
      </c>
      <c r="P101">
        <v>5</v>
      </c>
      <c r="Q101">
        <v>16.100000000000001</v>
      </c>
      <c r="R101">
        <v>36.1</v>
      </c>
      <c r="S101" t="s">
        <v>35</v>
      </c>
      <c r="T101" t="s">
        <v>44</v>
      </c>
      <c r="U101" t="s">
        <v>31</v>
      </c>
      <c r="V101" t="s">
        <v>31</v>
      </c>
      <c r="W101" t="s">
        <v>31</v>
      </c>
      <c r="X101" t="s">
        <v>68</v>
      </c>
      <c r="Y101" t="s">
        <v>93</v>
      </c>
      <c r="Z101">
        <v>38.206281699999998</v>
      </c>
      <c r="AA101" s="12">
        <v>-1.0434985000000001</v>
      </c>
      <c r="AB101" t="s">
        <v>31</v>
      </c>
      <c r="AC101">
        <v>0.18459999999999999</v>
      </c>
    </row>
    <row r="102" spans="1:29" x14ac:dyDescent="0.2">
      <c r="A102">
        <v>18</v>
      </c>
      <c r="B102">
        <v>15</v>
      </c>
      <c r="C102" t="s">
        <v>67</v>
      </c>
      <c r="D102">
        <v>1997</v>
      </c>
      <c r="E102">
        <v>19.5</v>
      </c>
      <c r="F102">
        <v>5</v>
      </c>
      <c r="H102">
        <v>89.72</v>
      </c>
      <c r="J102" s="2">
        <f t="shared" si="0"/>
        <v>4.8206844001199993</v>
      </c>
      <c r="K102">
        <v>5</v>
      </c>
      <c r="L102">
        <v>8.1</v>
      </c>
      <c r="N102" s="7">
        <f t="shared" si="1"/>
        <v>2.0516346872999995</v>
      </c>
      <c r="O102">
        <v>4</v>
      </c>
      <c r="P102">
        <v>5</v>
      </c>
      <c r="Q102">
        <v>16.100000000000001</v>
      </c>
      <c r="R102">
        <v>36.1</v>
      </c>
      <c r="S102" t="s">
        <v>35</v>
      </c>
      <c r="T102" t="s">
        <v>44</v>
      </c>
      <c r="U102" t="s">
        <v>31</v>
      </c>
      <c r="V102" t="s">
        <v>31</v>
      </c>
      <c r="W102" t="s">
        <v>31</v>
      </c>
      <c r="X102" t="s">
        <v>68</v>
      </c>
      <c r="Y102" t="s">
        <v>93</v>
      </c>
      <c r="Z102">
        <v>38.206281699999998</v>
      </c>
      <c r="AA102" s="12">
        <v>-1.0434985000000001</v>
      </c>
      <c r="AB102" t="s">
        <v>31</v>
      </c>
      <c r="AC102">
        <v>0.18459999999999999</v>
      </c>
    </row>
    <row r="103" spans="1:29" x14ac:dyDescent="0.2">
      <c r="A103">
        <v>18</v>
      </c>
      <c r="B103">
        <v>16</v>
      </c>
      <c r="C103" t="s">
        <v>67</v>
      </c>
      <c r="D103">
        <v>1997</v>
      </c>
      <c r="E103">
        <v>26</v>
      </c>
      <c r="F103">
        <v>5</v>
      </c>
      <c r="H103">
        <v>94.81</v>
      </c>
      <c r="J103" s="2">
        <f t="shared" si="0"/>
        <v>5.0941717340099997</v>
      </c>
      <c r="K103">
        <v>5</v>
      </c>
      <c r="L103">
        <v>8.1</v>
      </c>
      <c r="N103" s="7">
        <f t="shared" si="1"/>
        <v>2.0516346872999995</v>
      </c>
      <c r="O103">
        <v>4</v>
      </c>
      <c r="P103">
        <v>5</v>
      </c>
      <c r="Q103">
        <v>16.100000000000001</v>
      </c>
      <c r="R103">
        <v>36.1</v>
      </c>
      <c r="S103" t="s">
        <v>35</v>
      </c>
      <c r="T103" t="s">
        <v>44</v>
      </c>
      <c r="U103" t="s">
        <v>31</v>
      </c>
      <c r="V103" t="s">
        <v>31</v>
      </c>
      <c r="W103" t="s">
        <v>31</v>
      </c>
      <c r="X103" t="s">
        <v>68</v>
      </c>
      <c r="Y103" t="s">
        <v>93</v>
      </c>
      <c r="Z103">
        <v>38.206281699999998</v>
      </c>
      <c r="AA103" s="12">
        <v>-1.0434985000000001</v>
      </c>
      <c r="AB103" t="s">
        <v>31</v>
      </c>
      <c r="AC103">
        <v>0.18459999999999999</v>
      </c>
    </row>
    <row r="104" spans="1:29" x14ac:dyDescent="0.2">
      <c r="A104">
        <v>18</v>
      </c>
      <c r="B104">
        <v>17</v>
      </c>
      <c r="C104" t="s">
        <v>67</v>
      </c>
      <c r="D104">
        <v>1997</v>
      </c>
      <c r="E104">
        <v>6.5</v>
      </c>
      <c r="F104">
        <v>5</v>
      </c>
      <c r="H104">
        <v>37.49</v>
      </c>
      <c r="J104" s="2">
        <f t="shared" si="0"/>
        <v>2.0143497342900001</v>
      </c>
      <c r="K104">
        <v>5</v>
      </c>
      <c r="L104">
        <v>6.13</v>
      </c>
      <c r="N104" s="7">
        <f t="shared" si="1"/>
        <v>1.5526568682899997</v>
      </c>
      <c r="O104">
        <v>5</v>
      </c>
      <c r="P104">
        <v>6</v>
      </c>
      <c r="Q104">
        <v>16.100000000000001</v>
      </c>
      <c r="R104">
        <v>36.1</v>
      </c>
      <c r="S104" t="s">
        <v>35</v>
      </c>
      <c r="T104" t="s">
        <v>44</v>
      </c>
      <c r="U104" t="s">
        <v>31</v>
      </c>
      <c r="V104" t="s">
        <v>31</v>
      </c>
      <c r="W104" t="s">
        <v>31</v>
      </c>
      <c r="X104" t="s">
        <v>68</v>
      </c>
      <c r="Y104" t="s">
        <v>93</v>
      </c>
      <c r="Z104">
        <v>38.206281699999998</v>
      </c>
      <c r="AA104" s="12">
        <v>-1.0434985000000001</v>
      </c>
      <c r="AB104" t="s">
        <v>31</v>
      </c>
      <c r="AC104">
        <v>0.18459999999999999</v>
      </c>
    </row>
    <row r="105" spans="1:29" x14ac:dyDescent="0.2">
      <c r="A105">
        <v>18</v>
      </c>
      <c r="B105">
        <v>18</v>
      </c>
      <c r="C105" t="s">
        <v>67</v>
      </c>
      <c r="D105">
        <v>1997</v>
      </c>
      <c r="E105">
        <v>13</v>
      </c>
      <c r="F105">
        <v>5</v>
      </c>
      <c r="H105">
        <v>74.56</v>
      </c>
      <c r="J105" s="2">
        <f t="shared" ref="J105:J136" si="2">0.053730321*H105</f>
        <v>4.0061327337600003</v>
      </c>
      <c r="K105">
        <v>5</v>
      </c>
      <c r="L105">
        <v>6.13</v>
      </c>
      <c r="N105" s="7">
        <f t="shared" ref="N105:N136" si="3">0.253288233*L105</f>
        <v>1.5526568682899997</v>
      </c>
      <c r="O105">
        <v>5</v>
      </c>
      <c r="P105">
        <v>6</v>
      </c>
      <c r="Q105">
        <v>16.100000000000001</v>
      </c>
      <c r="R105">
        <v>36.1</v>
      </c>
      <c r="S105" t="s">
        <v>35</v>
      </c>
      <c r="T105" t="s">
        <v>44</v>
      </c>
      <c r="U105" t="s">
        <v>31</v>
      </c>
      <c r="V105" t="s">
        <v>31</v>
      </c>
      <c r="W105" t="s">
        <v>31</v>
      </c>
      <c r="X105" t="s">
        <v>68</v>
      </c>
      <c r="Y105" t="s">
        <v>93</v>
      </c>
      <c r="Z105">
        <v>38.206281699999998</v>
      </c>
      <c r="AA105" s="12">
        <v>-1.0434985000000001</v>
      </c>
      <c r="AB105" t="s">
        <v>31</v>
      </c>
      <c r="AC105">
        <v>0.18459999999999999</v>
      </c>
    </row>
    <row r="106" spans="1:29" x14ac:dyDescent="0.2">
      <c r="A106">
        <v>18</v>
      </c>
      <c r="B106">
        <v>19</v>
      </c>
      <c r="C106" t="s">
        <v>67</v>
      </c>
      <c r="D106">
        <v>1997</v>
      </c>
      <c r="E106">
        <v>19.5</v>
      </c>
      <c r="F106">
        <v>5</v>
      </c>
      <c r="H106">
        <v>79.540000000000006</v>
      </c>
      <c r="J106" s="2">
        <f t="shared" si="2"/>
        <v>4.2737097323400004</v>
      </c>
      <c r="K106">
        <v>5</v>
      </c>
      <c r="L106">
        <v>6.13</v>
      </c>
      <c r="N106" s="7">
        <f t="shared" si="3"/>
        <v>1.5526568682899997</v>
      </c>
      <c r="O106">
        <v>5</v>
      </c>
      <c r="P106">
        <v>6</v>
      </c>
      <c r="Q106">
        <v>16.100000000000001</v>
      </c>
      <c r="R106">
        <v>36.1</v>
      </c>
      <c r="S106" t="s">
        <v>35</v>
      </c>
      <c r="T106" t="s">
        <v>44</v>
      </c>
      <c r="U106" t="s">
        <v>31</v>
      </c>
      <c r="V106" t="s">
        <v>31</v>
      </c>
      <c r="W106" t="s">
        <v>31</v>
      </c>
      <c r="X106" t="s">
        <v>68</v>
      </c>
      <c r="Y106" t="s">
        <v>93</v>
      </c>
      <c r="Z106">
        <v>38.206281699999998</v>
      </c>
      <c r="AA106" s="12">
        <v>-1.0434985000000001</v>
      </c>
      <c r="AB106" t="s">
        <v>31</v>
      </c>
      <c r="AC106">
        <v>0.18459999999999999</v>
      </c>
    </row>
    <row r="107" spans="1:29" x14ac:dyDescent="0.2">
      <c r="A107">
        <v>18</v>
      </c>
      <c r="B107">
        <v>20</v>
      </c>
      <c r="C107" t="s">
        <v>67</v>
      </c>
      <c r="D107">
        <v>1997</v>
      </c>
      <c r="E107">
        <v>26</v>
      </c>
      <c r="F107">
        <v>5</v>
      </c>
      <c r="H107">
        <v>84.74</v>
      </c>
      <c r="J107" s="2">
        <f t="shared" si="2"/>
        <v>4.5531074015399993</v>
      </c>
      <c r="K107">
        <v>5</v>
      </c>
      <c r="L107">
        <v>6.13</v>
      </c>
      <c r="N107" s="7">
        <f t="shared" si="3"/>
        <v>1.5526568682899997</v>
      </c>
      <c r="O107">
        <v>5</v>
      </c>
      <c r="P107">
        <v>6</v>
      </c>
      <c r="Q107">
        <v>16.100000000000001</v>
      </c>
      <c r="R107">
        <v>36.1</v>
      </c>
      <c r="S107" t="s">
        <v>35</v>
      </c>
      <c r="T107" t="s">
        <v>44</v>
      </c>
      <c r="U107" t="s">
        <v>31</v>
      </c>
      <c r="V107" t="s">
        <v>31</v>
      </c>
      <c r="W107" t="s">
        <v>31</v>
      </c>
      <c r="X107" t="s">
        <v>68</v>
      </c>
      <c r="Y107" t="s">
        <v>93</v>
      </c>
      <c r="Z107">
        <v>38.206281699999998</v>
      </c>
      <c r="AA107" s="12">
        <v>-1.0434985000000001</v>
      </c>
      <c r="AB107" t="s">
        <v>31</v>
      </c>
      <c r="AC107">
        <v>0.18459999999999999</v>
      </c>
    </row>
    <row r="108" spans="1:29" x14ac:dyDescent="0.2">
      <c r="A108">
        <v>19</v>
      </c>
      <c r="B108">
        <v>1</v>
      </c>
      <c r="C108" t="s">
        <v>69</v>
      </c>
      <c r="D108">
        <v>2011</v>
      </c>
      <c r="E108">
        <v>0.5</v>
      </c>
      <c r="F108">
        <v>1</v>
      </c>
      <c r="H108">
        <v>89.11</v>
      </c>
      <c r="J108" s="2">
        <f t="shared" si="2"/>
        <v>4.78790890431</v>
      </c>
      <c r="K108">
        <v>1</v>
      </c>
      <c r="L108">
        <v>1.72</v>
      </c>
      <c r="N108" s="7">
        <f t="shared" si="3"/>
        <v>0.43565576075999995</v>
      </c>
      <c r="O108">
        <v>1</v>
      </c>
      <c r="P108">
        <v>2</v>
      </c>
      <c r="Q108">
        <v>17.399999999999999</v>
      </c>
      <c r="R108">
        <v>52.5</v>
      </c>
      <c r="S108" t="s">
        <v>29</v>
      </c>
      <c r="T108" t="s">
        <v>30</v>
      </c>
      <c r="U108" t="s">
        <v>31</v>
      </c>
      <c r="V108" t="s">
        <v>29</v>
      </c>
      <c r="W108" t="s">
        <v>31</v>
      </c>
      <c r="X108" t="s">
        <v>70</v>
      </c>
      <c r="Y108" t="s">
        <v>93</v>
      </c>
      <c r="Z108">
        <v>37.912779999999998</v>
      </c>
      <c r="AA108" s="12">
        <v>-4.1044400000000003</v>
      </c>
      <c r="AB108" t="s">
        <v>31</v>
      </c>
      <c r="AC108">
        <v>0.27300000000000002</v>
      </c>
    </row>
    <row r="109" spans="1:29" x14ac:dyDescent="0.2">
      <c r="A109">
        <v>19</v>
      </c>
      <c r="B109">
        <v>2</v>
      </c>
      <c r="C109" t="s">
        <v>69</v>
      </c>
      <c r="D109">
        <v>2011</v>
      </c>
      <c r="E109">
        <v>2</v>
      </c>
      <c r="F109">
        <v>1</v>
      </c>
      <c r="H109">
        <v>82.81</v>
      </c>
      <c r="J109" s="2">
        <f t="shared" si="2"/>
        <v>4.44940788201</v>
      </c>
      <c r="K109">
        <v>1</v>
      </c>
      <c r="L109">
        <v>1.72</v>
      </c>
      <c r="N109" s="7">
        <f t="shared" si="3"/>
        <v>0.43565576075999995</v>
      </c>
      <c r="O109">
        <v>1</v>
      </c>
      <c r="P109">
        <v>2</v>
      </c>
      <c r="Q109">
        <v>17.399999999999999</v>
      </c>
      <c r="R109">
        <v>52.5</v>
      </c>
      <c r="S109" t="s">
        <v>29</v>
      </c>
      <c r="T109" t="s">
        <v>30</v>
      </c>
      <c r="U109" t="s">
        <v>31</v>
      </c>
      <c r="V109" t="s">
        <v>29</v>
      </c>
      <c r="W109" t="s">
        <v>31</v>
      </c>
      <c r="X109" t="s">
        <v>70</v>
      </c>
      <c r="Y109" t="s">
        <v>93</v>
      </c>
      <c r="Z109">
        <v>37.912779999999998</v>
      </c>
      <c r="AA109" s="12">
        <v>-4.1044400000000003</v>
      </c>
      <c r="AB109" t="s">
        <v>31</v>
      </c>
      <c r="AC109">
        <v>0.27300000000000002</v>
      </c>
    </row>
    <row r="110" spans="1:29" x14ac:dyDescent="0.2">
      <c r="A110">
        <v>19</v>
      </c>
      <c r="B110">
        <v>3</v>
      </c>
      <c r="C110" t="s">
        <v>69</v>
      </c>
      <c r="D110">
        <v>2011</v>
      </c>
      <c r="E110">
        <v>4</v>
      </c>
      <c r="F110">
        <v>1</v>
      </c>
      <c r="H110">
        <v>96.7</v>
      </c>
      <c r="J110" s="2">
        <f t="shared" si="2"/>
        <v>5.1957220406999998</v>
      </c>
      <c r="K110">
        <v>1</v>
      </c>
      <c r="L110">
        <v>1.72</v>
      </c>
      <c r="N110" s="7">
        <f t="shared" si="3"/>
        <v>0.43565576075999995</v>
      </c>
      <c r="O110">
        <v>1</v>
      </c>
      <c r="P110">
        <v>2</v>
      </c>
      <c r="Q110">
        <v>17.399999999999999</v>
      </c>
      <c r="R110">
        <v>52.5</v>
      </c>
      <c r="S110" t="s">
        <v>29</v>
      </c>
      <c r="T110" t="s">
        <v>30</v>
      </c>
      <c r="U110" t="s">
        <v>31</v>
      </c>
      <c r="V110" t="s">
        <v>29</v>
      </c>
      <c r="W110" t="s">
        <v>31</v>
      </c>
      <c r="X110" t="s">
        <v>70</v>
      </c>
      <c r="Y110" t="s">
        <v>93</v>
      </c>
      <c r="Z110">
        <v>37.912779999999998</v>
      </c>
      <c r="AA110" s="12">
        <v>-4.1044400000000003</v>
      </c>
      <c r="AB110" t="s">
        <v>31</v>
      </c>
      <c r="AC110">
        <v>0.27300000000000002</v>
      </c>
    </row>
    <row r="111" spans="1:29" x14ac:dyDescent="0.2">
      <c r="A111">
        <v>19</v>
      </c>
      <c r="B111">
        <v>4</v>
      </c>
      <c r="C111" t="s">
        <v>69</v>
      </c>
      <c r="D111">
        <v>2011</v>
      </c>
      <c r="E111">
        <v>4</v>
      </c>
      <c r="F111">
        <v>1</v>
      </c>
      <c r="H111">
        <v>94.84</v>
      </c>
      <c r="J111" s="2">
        <f t="shared" si="2"/>
        <v>5.0957836436399999</v>
      </c>
      <c r="K111">
        <v>1</v>
      </c>
      <c r="L111">
        <v>1.72</v>
      </c>
      <c r="N111" s="7">
        <f t="shared" si="3"/>
        <v>0.43565576075999995</v>
      </c>
      <c r="O111">
        <v>1</v>
      </c>
      <c r="P111">
        <v>2</v>
      </c>
      <c r="Q111">
        <v>17.399999999999999</v>
      </c>
      <c r="R111">
        <v>52.5</v>
      </c>
      <c r="S111" t="s">
        <v>29</v>
      </c>
      <c r="T111" t="s">
        <v>30</v>
      </c>
      <c r="U111" t="s">
        <v>31</v>
      </c>
      <c r="V111" t="s">
        <v>29</v>
      </c>
      <c r="W111" t="s">
        <v>31</v>
      </c>
      <c r="X111" t="s">
        <v>70</v>
      </c>
      <c r="Y111" t="s">
        <v>93</v>
      </c>
      <c r="Z111">
        <v>37.912779999999998</v>
      </c>
      <c r="AA111" s="12">
        <v>-4.1044400000000003</v>
      </c>
      <c r="AB111" t="s">
        <v>31</v>
      </c>
      <c r="AC111">
        <v>0.27300000000000002</v>
      </c>
    </row>
    <row r="112" spans="1:29" x14ac:dyDescent="0.2">
      <c r="A112">
        <v>19</v>
      </c>
      <c r="B112">
        <v>5</v>
      </c>
      <c r="C112" t="s">
        <v>69</v>
      </c>
      <c r="D112">
        <v>2011</v>
      </c>
      <c r="E112">
        <v>0.5</v>
      </c>
      <c r="F112">
        <v>1</v>
      </c>
      <c r="H112">
        <v>83.38</v>
      </c>
      <c r="J112" s="2">
        <f t="shared" si="2"/>
        <v>4.4800341649799993</v>
      </c>
      <c r="K112">
        <v>1</v>
      </c>
      <c r="L112">
        <v>4.7300000000000004</v>
      </c>
      <c r="N112" s="7">
        <f t="shared" si="3"/>
        <v>1.1980533420899999</v>
      </c>
      <c r="O112">
        <v>2</v>
      </c>
      <c r="P112">
        <v>3</v>
      </c>
      <c r="Q112">
        <v>17.399999999999999</v>
      </c>
      <c r="R112">
        <v>52.5</v>
      </c>
      <c r="S112" t="s">
        <v>29</v>
      </c>
      <c r="T112" t="s">
        <v>30</v>
      </c>
      <c r="U112" t="s">
        <v>31</v>
      </c>
      <c r="V112" t="s">
        <v>29</v>
      </c>
      <c r="W112" t="s">
        <v>31</v>
      </c>
      <c r="X112" t="s">
        <v>70</v>
      </c>
      <c r="Y112" t="s">
        <v>93</v>
      </c>
      <c r="Z112">
        <v>37.912779999999998</v>
      </c>
      <c r="AA112" s="12">
        <v>-4.1044400000000003</v>
      </c>
      <c r="AB112" t="s">
        <v>31</v>
      </c>
      <c r="AC112">
        <v>0.27300000000000002</v>
      </c>
    </row>
    <row r="113" spans="1:29" x14ac:dyDescent="0.2">
      <c r="A113">
        <v>19</v>
      </c>
      <c r="B113">
        <v>6</v>
      </c>
      <c r="C113" t="s">
        <v>69</v>
      </c>
      <c r="D113">
        <v>2011</v>
      </c>
      <c r="E113">
        <v>2</v>
      </c>
      <c r="F113">
        <v>1</v>
      </c>
      <c r="H113">
        <v>14.61</v>
      </c>
      <c r="J113" s="2">
        <f t="shared" si="2"/>
        <v>0.78499998980999997</v>
      </c>
      <c r="K113">
        <v>1</v>
      </c>
      <c r="L113">
        <v>4.7300000000000004</v>
      </c>
      <c r="N113" s="7">
        <f t="shared" si="3"/>
        <v>1.1980533420899999</v>
      </c>
      <c r="O113">
        <v>2</v>
      </c>
      <c r="P113">
        <v>3</v>
      </c>
      <c r="Q113">
        <v>17.399999999999999</v>
      </c>
      <c r="R113">
        <v>52.5</v>
      </c>
      <c r="S113" t="s">
        <v>29</v>
      </c>
      <c r="T113" t="s">
        <v>30</v>
      </c>
      <c r="U113" t="s">
        <v>31</v>
      </c>
      <c r="V113" t="s">
        <v>29</v>
      </c>
      <c r="W113" t="s">
        <v>31</v>
      </c>
      <c r="X113" t="s">
        <v>70</v>
      </c>
      <c r="Y113" t="s">
        <v>93</v>
      </c>
      <c r="Z113">
        <v>37.912779999999998</v>
      </c>
      <c r="AA113" s="12">
        <v>-4.1044400000000003</v>
      </c>
      <c r="AB113" t="s">
        <v>31</v>
      </c>
      <c r="AC113">
        <v>0.27300000000000002</v>
      </c>
    </row>
    <row r="114" spans="1:29" x14ac:dyDescent="0.2">
      <c r="A114">
        <v>19</v>
      </c>
      <c r="B114">
        <v>7</v>
      </c>
      <c r="C114" t="s">
        <v>69</v>
      </c>
      <c r="D114">
        <v>2011</v>
      </c>
      <c r="E114">
        <v>4</v>
      </c>
      <c r="F114">
        <v>1</v>
      </c>
      <c r="H114">
        <v>65.33</v>
      </c>
      <c r="J114" s="2">
        <f t="shared" si="2"/>
        <v>3.5102018709299996</v>
      </c>
      <c r="K114">
        <v>1</v>
      </c>
      <c r="L114">
        <v>4.7300000000000004</v>
      </c>
      <c r="N114" s="7">
        <f t="shared" si="3"/>
        <v>1.1980533420899999</v>
      </c>
      <c r="O114">
        <v>2</v>
      </c>
      <c r="P114">
        <v>3</v>
      </c>
      <c r="Q114">
        <v>17.399999999999999</v>
      </c>
      <c r="R114">
        <v>52.5</v>
      </c>
      <c r="S114" t="s">
        <v>29</v>
      </c>
      <c r="T114" t="s">
        <v>30</v>
      </c>
      <c r="U114" t="s">
        <v>31</v>
      </c>
      <c r="V114" t="s">
        <v>29</v>
      </c>
      <c r="W114" t="s">
        <v>31</v>
      </c>
      <c r="X114" t="s">
        <v>70</v>
      </c>
      <c r="Y114" t="s">
        <v>93</v>
      </c>
      <c r="Z114">
        <v>37.912779999999998</v>
      </c>
      <c r="AA114" s="12">
        <v>-4.1044400000000003</v>
      </c>
      <c r="AB114" t="s">
        <v>31</v>
      </c>
      <c r="AC114">
        <v>0.27300000000000002</v>
      </c>
    </row>
    <row r="115" spans="1:29" x14ac:dyDescent="0.2">
      <c r="A115">
        <v>19</v>
      </c>
      <c r="B115">
        <v>8</v>
      </c>
      <c r="C115" t="s">
        <v>69</v>
      </c>
      <c r="D115">
        <v>2011</v>
      </c>
      <c r="E115">
        <v>4</v>
      </c>
      <c r="F115">
        <v>1</v>
      </c>
      <c r="H115">
        <v>34.67</v>
      </c>
      <c r="J115" s="2">
        <f t="shared" si="2"/>
        <v>1.8628302290700001</v>
      </c>
      <c r="K115">
        <v>1</v>
      </c>
      <c r="L115">
        <v>4.7300000000000004</v>
      </c>
      <c r="N115" s="7">
        <f t="shared" si="3"/>
        <v>1.1980533420899999</v>
      </c>
      <c r="O115">
        <v>2</v>
      </c>
      <c r="P115">
        <v>3</v>
      </c>
      <c r="Q115">
        <v>17.399999999999999</v>
      </c>
      <c r="R115">
        <v>52.5</v>
      </c>
      <c r="S115" t="s">
        <v>29</v>
      </c>
      <c r="T115" t="s">
        <v>30</v>
      </c>
      <c r="U115" t="s">
        <v>31</v>
      </c>
      <c r="V115" t="s">
        <v>29</v>
      </c>
      <c r="W115" t="s">
        <v>31</v>
      </c>
      <c r="X115" t="s">
        <v>70</v>
      </c>
      <c r="Y115" t="s">
        <v>93</v>
      </c>
      <c r="Z115">
        <v>37.912779999999998</v>
      </c>
      <c r="AA115" s="12">
        <v>-4.1044400000000003</v>
      </c>
      <c r="AB115" t="s">
        <v>31</v>
      </c>
      <c r="AC115">
        <v>0.27300000000000002</v>
      </c>
    </row>
    <row r="116" spans="1:29" x14ac:dyDescent="0.2">
      <c r="A116">
        <v>19</v>
      </c>
      <c r="B116">
        <v>9</v>
      </c>
      <c r="C116" t="s">
        <v>69</v>
      </c>
      <c r="D116">
        <v>2011</v>
      </c>
      <c r="E116">
        <v>0.5</v>
      </c>
      <c r="F116">
        <v>1</v>
      </c>
      <c r="H116">
        <v>92.71</v>
      </c>
      <c r="J116" s="2">
        <f t="shared" si="2"/>
        <v>4.9813380599099997</v>
      </c>
      <c r="K116">
        <v>1</v>
      </c>
      <c r="L116">
        <v>69.040000000000006</v>
      </c>
      <c r="N116" s="7">
        <f t="shared" si="3"/>
        <v>17.487019606320001</v>
      </c>
      <c r="O116">
        <v>1</v>
      </c>
      <c r="P116">
        <v>2</v>
      </c>
      <c r="Q116">
        <v>17.399999999999999</v>
      </c>
      <c r="R116">
        <v>52.5</v>
      </c>
      <c r="S116" t="s">
        <v>29</v>
      </c>
      <c r="T116" t="s">
        <v>30</v>
      </c>
      <c r="U116" t="s">
        <v>31</v>
      </c>
      <c r="V116" t="s">
        <v>29</v>
      </c>
      <c r="W116" t="s">
        <v>31</v>
      </c>
      <c r="X116" t="s">
        <v>70</v>
      </c>
      <c r="Y116" t="s">
        <v>93</v>
      </c>
      <c r="Z116">
        <v>37.912779999999998</v>
      </c>
      <c r="AA116" s="12">
        <v>-4.1044400000000003</v>
      </c>
      <c r="AB116" t="s">
        <v>31</v>
      </c>
      <c r="AC116">
        <v>0.27300000000000002</v>
      </c>
    </row>
    <row r="117" spans="1:29" x14ac:dyDescent="0.2">
      <c r="A117">
        <v>19</v>
      </c>
      <c r="B117">
        <v>10</v>
      </c>
      <c r="C117" t="s">
        <v>69</v>
      </c>
      <c r="D117">
        <v>2011</v>
      </c>
      <c r="E117">
        <v>2</v>
      </c>
      <c r="F117">
        <v>1</v>
      </c>
      <c r="H117">
        <v>96.76</v>
      </c>
      <c r="J117" s="2">
        <f t="shared" si="2"/>
        <v>5.1989458599600002</v>
      </c>
      <c r="K117">
        <v>1</v>
      </c>
      <c r="L117">
        <v>69.040000000000006</v>
      </c>
      <c r="N117" s="7">
        <f t="shared" si="3"/>
        <v>17.487019606320001</v>
      </c>
      <c r="O117">
        <v>1</v>
      </c>
      <c r="P117">
        <v>2</v>
      </c>
      <c r="Q117">
        <v>17.399999999999999</v>
      </c>
      <c r="R117">
        <v>52.5</v>
      </c>
      <c r="S117" t="s">
        <v>29</v>
      </c>
      <c r="T117" t="s">
        <v>30</v>
      </c>
      <c r="U117" t="s">
        <v>31</v>
      </c>
      <c r="V117" t="s">
        <v>29</v>
      </c>
      <c r="W117" t="s">
        <v>31</v>
      </c>
      <c r="X117" t="s">
        <v>70</v>
      </c>
      <c r="Y117" t="s">
        <v>93</v>
      </c>
      <c r="Z117">
        <v>37.912779999999998</v>
      </c>
      <c r="AA117" s="12">
        <v>-4.1044400000000003</v>
      </c>
      <c r="AB117" t="s">
        <v>31</v>
      </c>
      <c r="AC117">
        <v>0.27300000000000002</v>
      </c>
    </row>
    <row r="118" spans="1:29" x14ac:dyDescent="0.2">
      <c r="A118">
        <v>19</v>
      </c>
      <c r="B118">
        <v>11</v>
      </c>
      <c r="C118" t="s">
        <v>69</v>
      </c>
      <c r="D118">
        <v>2011</v>
      </c>
      <c r="E118">
        <v>4</v>
      </c>
      <c r="F118">
        <v>1</v>
      </c>
      <c r="H118">
        <v>84.76</v>
      </c>
      <c r="J118" s="2">
        <f t="shared" si="2"/>
        <v>4.5541820079599997</v>
      </c>
      <c r="K118">
        <v>1</v>
      </c>
      <c r="L118">
        <v>69.040000000000006</v>
      </c>
      <c r="N118" s="7">
        <f t="shared" si="3"/>
        <v>17.487019606320001</v>
      </c>
      <c r="O118">
        <v>1</v>
      </c>
      <c r="P118">
        <v>2</v>
      </c>
      <c r="Q118">
        <v>17.399999999999999</v>
      </c>
      <c r="R118">
        <v>52.5</v>
      </c>
      <c r="S118" t="s">
        <v>29</v>
      </c>
      <c r="T118" t="s">
        <v>30</v>
      </c>
      <c r="U118" t="s">
        <v>31</v>
      </c>
      <c r="V118" t="s">
        <v>29</v>
      </c>
      <c r="W118" t="s">
        <v>31</v>
      </c>
      <c r="X118" t="s">
        <v>70</v>
      </c>
      <c r="Y118" t="s">
        <v>93</v>
      </c>
      <c r="Z118">
        <v>37.912779999999998</v>
      </c>
      <c r="AA118" s="12">
        <v>-4.1044400000000003</v>
      </c>
      <c r="AB118" t="s">
        <v>31</v>
      </c>
      <c r="AC118">
        <v>0.27300000000000002</v>
      </c>
    </row>
    <row r="119" spans="1:29" x14ac:dyDescent="0.2">
      <c r="A119">
        <v>19</v>
      </c>
      <c r="B119">
        <v>12</v>
      </c>
      <c r="C119" t="s">
        <v>69</v>
      </c>
      <c r="D119">
        <v>2011</v>
      </c>
      <c r="E119">
        <v>0.5</v>
      </c>
      <c r="F119">
        <v>1</v>
      </c>
      <c r="H119">
        <v>78.77</v>
      </c>
      <c r="J119" s="2">
        <f t="shared" si="2"/>
        <v>4.2323373851699992</v>
      </c>
      <c r="K119">
        <v>1</v>
      </c>
      <c r="L119">
        <v>63.05</v>
      </c>
      <c r="N119" s="7">
        <f t="shared" si="3"/>
        <v>15.969823090649998</v>
      </c>
      <c r="O119">
        <v>2</v>
      </c>
      <c r="P119">
        <v>3</v>
      </c>
      <c r="Q119">
        <v>17.399999999999999</v>
      </c>
      <c r="R119">
        <v>52.5</v>
      </c>
      <c r="S119" t="s">
        <v>29</v>
      </c>
      <c r="T119" t="s">
        <v>30</v>
      </c>
      <c r="U119" t="s">
        <v>31</v>
      </c>
      <c r="V119" t="s">
        <v>29</v>
      </c>
      <c r="W119" t="s">
        <v>31</v>
      </c>
      <c r="X119" t="s">
        <v>70</v>
      </c>
      <c r="Y119" t="s">
        <v>93</v>
      </c>
      <c r="Z119">
        <v>37.912779999999998</v>
      </c>
      <c r="AA119" s="12">
        <v>-4.1044400000000003</v>
      </c>
      <c r="AB119" t="s">
        <v>31</v>
      </c>
      <c r="AC119">
        <v>0.27300000000000002</v>
      </c>
    </row>
    <row r="120" spans="1:29" x14ac:dyDescent="0.2">
      <c r="A120">
        <v>19</v>
      </c>
      <c r="B120">
        <v>13</v>
      </c>
      <c r="C120" t="s">
        <v>69</v>
      </c>
      <c r="D120">
        <v>2011</v>
      </c>
      <c r="E120">
        <v>2</v>
      </c>
      <c r="F120">
        <v>1</v>
      </c>
      <c r="H120">
        <v>85.25</v>
      </c>
      <c r="J120" s="2">
        <f t="shared" si="2"/>
        <v>4.5805098652499998</v>
      </c>
      <c r="K120">
        <v>1</v>
      </c>
      <c r="L120">
        <v>63.05</v>
      </c>
      <c r="N120" s="7">
        <f t="shared" si="3"/>
        <v>15.969823090649998</v>
      </c>
      <c r="O120">
        <v>2</v>
      </c>
      <c r="P120">
        <v>3</v>
      </c>
      <c r="Q120">
        <v>17.399999999999999</v>
      </c>
      <c r="R120">
        <v>52.5</v>
      </c>
      <c r="S120" t="s">
        <v>29</v>
      </c>
      <c r="T120" t="s">
        <v>30</v>
      </c>
      <c r="U120" t="s">
        <v>31</v>
      </c>
      <c r="V120" t="s">
        <v>29</v>
      </c>
      <c r="W120" t="s">
        <v>31</v>
      </c>
      <c r="X120" t="s">
        <v>70</v>
      </c>
      <c r="Y120" t="s">
        <v>93</v>
      </c>
      <c r="Z120">
        <v>37.912779999999998</v>
      </c>
      <c r="AA120" s="12">
        <v>-4.1044400000000003</v>
      </c>
      <c r="AB120" t="s">
        <v>31</v>
      </c>
      <c r="AC120">
        <v>0.27300000000000002</v>
      </c>
    </row>
    <row r="121" spans="1:29" x14ac:dyDescent="0.2">
      <c r="A121">
        <v>19</v>
      </c>
      <c r="B121">
        <v>14</v>
      </c>
      <c r="C121" t="s">
        <v>69</v>
      </c>
      <c r="D121">
        <v>2011</v>
      </c>
      <c r="E121">
        <v>4</v>
      </c>
      <c r="F121">
        <v>1</v>
      </c>
      <c r="H121">
        <v>89.79</v>
      </c>
      <c r="J121" s="2">
        <f t="shared" si="2"/>
        <v>4.8244455225900005</v>
      </c>
      <c r="K121">
        <v>1</v>
      </c>
      <c r="L121">
        <v>63.05</v>
      </c>
      <c r="N121" s="7">
        <f t="shared" si="3"/>
        <v>15.969823090649998</v>
      </c>
      <c r="O121">
        <v>2</v>
      </c>
      <c r="P121">
        <v>3</v>
      </c>
      <c r="Q121">
        <v>17.399999999999999</v>
      </c>
      <c r="R121">
        <v>52.5</v>
      </c>
      <c r="S121" t="s">
        <v>29</v>
      </c>
      <c r="T121" t="s">
        <v>30</v>
      </c>
      <c r="U121" t="s">
        <v>31</v>
      </c>
      <c r="V121" t="s">
        <v>29</v>
      </c>
      <c r="W121" t="s">
        <v>31</v>
      </c>
      <c r="X121" t="s">
        <v>70</v>
      </c>
      <c r="Y121" t="s">
        <v>93</v>
      </c>
      <c r="Z121">
        <v>37.912779999999998</v>
      </c>
      <c r="AA121" s="12">
        <v>-4.1044400000000003</v>
      </c>
      <c r="AB121" t="s">
        <v>31</v>
      </c>
      <c r="AC121">
        <v>0.27300000000000002</v>
      </c>
    </row>
    <row r="122" spans="1:29" x14ac:dyDescent="0.2">
      <c r="A122">
        <v>19</v>
      </c>
      <c r="B122">
        <v>15</v>
      </c>
      <c r="C122" t="s">
        <v>69</v>
      </c>
      <c r="D122">
        <v>2011</v>
      </c>
      <c r="E122">
        <v>4</v>
      </c>
      <c r="F122">
        <v>1</v>
      </c>
      <c r="H122">
        <v>75.040000000000006</v>
      </c>
      <c r="J122" s="2">
        <f t="shared" si="2"/>
        <v>4.0319232878399998</v>
      </c>
      <c r="K122">
        <v>1</v>
      </c>
      <c r="L122">
        <v>63.05</v>
      </c>
      <c r="N122" s="7">
        <f t="shared" si="3"/>
        <v>15.969823090649998</v>
      </c>
      <c r="O122">
        <v>2</v>
      </c>
      <c r="P122">
        <v>3</v>
      </c>
      <c r="Q122">
        <v>17.399999999999999</v>
      </c>
      <c r="R122">
        <v>52.5</v>
      </c>
      <c r="S122" t="s">
        <v>29</v>
      </c>
      <c r="T122" t="s">
        <v>30</v>
      </c>
      <c r="U122" t="s">
        <v>31</v>
      </c>
      <c r="V122" t="s">
        <v>29</v>
      </c>
      <c r="W122" t="s">
        <v>31</v>
      </c>
      <c r="X122" t="s">
        <v>70</v>
      </c>
      <c r="Y122" t="s">
        <v>93</v>
      </c>
      <c r="Z122">
        <v>37.912779999999998</v>
      </c>
      <c r="AA122" s="12">
        <v>-4.1044400000000003</v>
      </c>
      <c r="AB122" t="s">
        <v>31</v>
      </c>
      <c r="AC122">
        <v>0.27300000000000002</v>
      </c>
    </row>
    <row r="123" spans="1:29" x14ac:dyDescent="0.2">
      <c r="A123">
        <v>20</v>
      </c>
      <c r="B123">
        <v>1</v>
      </c>
      <c r="C123" t="s">
        <v>71</v>
      </c>
      <c r="D123">
        <v>1990</v>
      </c>
      <c r="E123">
        <v>22.5</v>
      </c>
      <c r="F123">
        <v>4</v>
      </c>
      <c r="H123">
        <v>37</v>
      </c>
      <c r="J123" s="2">
        <f t="shared" si="2"/>
        <v>1.988021877</v>
      </c>
      <c r="K123">
        <v>4</v>
      </c>
      <c r="L123">
        <v>30</v>
      </c>
      <c r="N123" s="7">
        <f t="shared" si="3"/>
        <v>7.5986469899999989</v>
      </c>
      <c r="O123">
        <v>1</v>
      </c>
      <c r="P123">
        <v>2</v>
      </c>
      <c r="Q123">
        <v>10.4</v>
      </c>
      <c r="R123">
        <v>36.700000000000003</v>
      </c>
      <c r="S123" t="s">
        <v>35</v>
      </c>
      <c r="T123" t="s">
        <v>44</v>
      </c>
      <c r="U123" t="s">
        <v>31</v>
      </c>
      <c r="V123" t="s">
        <v>31</v>
      </c>
      <c r="W123" t="s">
        <v>31</v>
      </c>
      <c r="X123" t="s">
        <v>72</v>
      </c>
      <c r="Y123" t="s">
        <v>91</v>
      </c>
      <c r="Z123">
        <v>35.648300999999996</v>
      </c>
      <c r="AA123" s="12">
        <v>-106.58593999999999</v>
      </c>
      <c r="AB123" t="s">
        <v>31</v>
      </c>
      <c r="AC123">
        <v>0.26140000000000002</v>
      </c>
    </row>
    <row r="124" spans="1:29" x14ac:dyDescent="0.2">
      <c r="A124">
        <v>20</v>
      </c>
      <c r="B124">
        <v>2</v>
      </c>
      <c r="C124" t="s">
        <v>71</v>
      </c>
      <c r="D124">
        <v>1990</v>
      </c>
      <c r="E124">
        <v>45</v>
      </c>
      <c r="F124">
        <v>4</v>
      </c>
      <c r="H124">
        <v>35</v>
      </c>
      <c r="J124" s="2">
        <f t="shared" si="2"/>
        <v>1.8805612349999998</v>
      </c>
      <c r="K124">
        <v>4</v>
      </c>
      <c r="L124">
        <v>30</v>
      </c>
      <c r="N124" s="7">
        <f t="shared" si="3"/>
        <v>7.5986469899999989</v>
      </c>
      <c r="O124">
        <v>1</v>
      </c>
      <c r="P124">
        <v>2</v>
      </c>
      <c r="Q124">
        <v>10.4</v>
      </c>
      <c r="R124">
        <v>36.700000000000003</v>
      </c>
      <c r="S124" t="s">
        <v>35</v>
      </c>
      <c r="T124" t="s">
        <v>44</v>
      </c>
      <c r="U124" t="s">
        <v>31</v>
      </c>
      <c r="V124" t="s">
        <v>31</v>
      </c>
      <c r="W124" t="s">
        <v>31</v>
      </c>
      <c r="X124" t="s">
        <v>72</v>
      </c>
      <c r="Y124" t="s">
        <v>91</v>
      </c>
      <c r="Z124">
        <v>35.648300999999996</v>
      </c>
      <c r="AA124" s="12">
        <v>-106.58593999999999</v>
      </c>
      <c r="AB124" t="s">
        <v>31</v>
      </c>
      <c r="AC124">
        <v>0.26140000000000002</v>
      </c>
    </row>
    <row r="125" spans="1:29" x14ac:dyDescent="0.2">
      <c r="A125">
        <v>20</v>
      </c>
      <c r="B125">
        <v>3</v>
      </c>
      <c r="C125" t="s">
        <v>71</v>
      </c>
      <c r="D125">
        <v>1990</v>
      </c>
      <c r="E125">
        <v>90</v>
      </c>
      <c r="F125">
        <v>4</v>
      </c>
      <c r="H125">
        <v>36</v>
      </c>
      <c r="J125" s="2">
        <f t="shared" si="2"/>
        <v>1.9342915559999998</v>
      </c>
      <c r="K125">
        <v>4</v>
      </c>
      <c r="L125">
        <v>30</v>
      </c>
      <c r="N125" s="7">
        <f t="shared" si="3"/>
        <v>7.5986469899999989</v>
      </c>
      <c r="O125">
        <v>1</v>
      </c>
      <c r="P125">
        <v>2</v>
      </c>
      <c r="Q125">
        <v>10.4</v>
      </c>
      <c r="R125">
        <v>36.700000000000003</v>
      </c>
      <c r="S125" t="s">
        <v>35</v>
      </c>
      <c r="T125" t="s">
        <v>44</v>
      </c>
      <c r="U125" t="s">
        <v>31</v>
      </c>
      <c r="V125" t="s">
        <v>31</v>
      </c>
      <c r="W125" t="s">
        <v>31</v>
      </c>
      <c r="X125" t="s">
        <v>72</v>
      </c>
      <c r="Y125" t="s">
        <v>91</v>
      </c>
      <c r="Z125">
        <v>35.648300999999996</v>
      </c>
      <c r="AA125" s="12">
        <v>-106.58593999999999</v>
      </c>
      <c r="AB125" t="s">
        <v>31</v>
      </c>
      <c r="AC125">
        <v>0.26140000000000002</v>
      </c>
    </row>
    <row r="126" spans="1:29" x14ac:dyDescent="0.2">
      <c r="A126">
        <v>20</v>
      </c>
      <c r="B126">
        <v>4</v>
      </c>
      <c r="C126" t="s">
        <v>71</v>
      </c>
      <c r="D126">
        <v>1990</v>
      </c>
      <c r="E126">
        <v>22.5</v>
      </c>
      <c r="F126">
        <v>4</v>
      </c>
      <c r="H126">
        <v>54</v>
      </c>
      <c r="J126" s="2">
        <f t="shared" si="2"/>
        <v>2.9014373339999997</v>
      </c>
      <c r="K126">
        <v>4</v>
      </c>
      <c r="L126">
        <v>35</v>
      </c>
      <c r="N126" s="7">
        <f t="shared" si="3"/>
        <v>8.8650881549999987</v>
      </c>
      <c r="O126">
        <v>2</v>
      </c>
      <c r="P126">
        <v>3</v>
      </c>
      <c r="Q126">
        <v>10.4</v>
      </c>
      <c r="R126">
        <v>36.700000000000003</v>
      </c>
      <c r="S126" t="s">
        <v>35</v>
      </c>
      <c r="T126" t="s">
        <v>44</v>
      </c>
      <c r="U126" t="s">
        <v>31</v>
      </c>
      <c r="V126" t="s">
        <v>31</v>
      </c>
      <c r="W126" t="s">
        <v>31</v>
      </c>
      <c r="X126" t="s">
        <v>72</v>
      </c>
      <c r="Y126" t="s">
        <v>91</v>
      </c>
      <c r="Z126">
        <v>35.648300999999996</v>
      </c>
      <c r="AA126" s="12">
        <v>-106.58593999999999</v>
      </c>
      <c r="AB126" t="s">
        <v>31</v>
      </c>
      <c r="AC126">
        <v>0.26140000000000002</v>
      </c>
    </row>
    <row r="127" spans="1:29" x14ac:dyDescent="0.2">
      <c r="A127">
        <v>20</v>
      </c>
      <c r="B127">
        <v>5</v>
      </c>
      <c r="C127" t="s">
        <v>71</v>
      </c>
      <c r="D127">
        <v>1990</v>
      </c>
      <c r="E127">
        <v>45</v>
      </c>
      <c r="F127">
        <v>4</v>
      </c>
      <c r="H127">
        <v>52</v>
      </c>
      <c r="J127" s="2">
        <f t="shared" si="2"/>
        <v>2.7939766919999998</v>
      </c>
      <c r="K127">
        <v>4</v>
      </c>
      <c r="L127">
        <v>35</v>
      </c>
      <c r="N127" s="7">
        <f t="shared" si="3"/>
        <v>8.8650881549999987</v>
      </c>
      <c r="O127">
        <v>2</v>
      </c>
      <c r="P127">
        <v>3</v>
      </c>
      <c r="Q127">
        <v>10.4</v>
      </c>
      <c r="R127">
        <v>36.700000000000003</v>
      </c>
      <c r="S127" t="s">
        <v>35</v>
      </c>
      <c r="T127" t="s">
        <v>44</v>
      </c>
      <c r="U127" t="s">
        <v>31</v>
      </c>
      <c r="V127" t="s">
        <v>31</v>
      </c>
      <c r="W127" t="s">
        <v>31</v>
      </c>
      <c r="X127" t="s">
        <v>72</v>
      </c>
      <c r="Y127" t="s">
        <v>91</v>
      </c>
      <c r="Z127">
        <v>35.648300999999996</v>
      </c>
      <c r="AA127" s="12">
        <v>-106.58593999999999</v>
      </c>
      <c r="AB127" t="s">
        <v>31</v>
      </c>
      <c r="AC127">
        <v>0.26140000000000002</v>
      </c>
    </row>
    <row r="128" spans="1:29" x14ac:dyDescent="0.2">
      <c r="A128">
        <v>20</v>
      </c>
      <c r="B128">
        <v>6</v>
      </c>
      <c r="C128" t="s">
        <v>71</v>
      </c>
      <c r="D128">
        <v>1990</v>
      </c>
      <c r="E128">
        <v>90</v>
      </c>
      <c r="F128">
        <v>4</v>
      </c>
      <c r="H128">
        <v>55</v>
      </c>
      <c r="J128" s="2">
        <f t="shared" si="2"/>
        <v>2.9551676549999999</v>
      </c>
      <c r="K128">
        <v>4</v>
      </c>
      <c r="L128">
        <v>35</v>
      </c>
      <c r="N128" s="7">
        <f t="shared" si="3"/>
        <v>8.8650881549999987</v>
      </c>
      <c r="O128">
        <v>2</v>
      </c>
      <c r="P128">
        <v>3</v>
      </c>
      <c r="Q128">
        <v>10.4</v>
      </c>
      <c r="R128">
        <v>36.700000000000003</v>
      </c>
      <c r="S128" t="s">
        <v>35</v>
      </c>
      <c r="T128" t="s">
        <v>44</v>
      </c>
      <c r="U128" t="s">
        <v>31</v>
      </c>
      <c r="V128" t="s">
        <v>31</v>
      </c>
      <c r="W128" t="s">
        <v>31</v>
      </c>
      <c r="X128" t="s">
        <v>72</v>
      </c>
      <c r="Y128" t="s">
        <v>91</v>
      </c>
      <c r="Z128">
        <v>35.648300999999996</v>
      </c>
      <c r="AA128" s="12">
        <v>-106.58593999999999</v>
      </c>
      <c r="AB128" t="s">
        <v>31</v>
      </c>
      <c r="AC128">
        <v>0.26140000000000002</v>
      </c>
    </row>
    <row r="129" spans="1:29" x14ac:dyDescent="0.2">
      <c r="A129">
        <v>20</v>
      </c>
      <c r="B129">
        <v>7</v>
      </c>
      <c r="C129" t="s">
        <v>71</v>
      </c>
      <c r="D129">
        <v>1990</v>
      </c>
      <c r="E129">
        <v>22.5</v>
      </c>
      <c r="F129">
        <v>4</v>
      </c>
      <c r="H129">
        <v>42</v>
      </c>
      <c r="J129" s="2">
        <f t="shared" si="2"/>
        <v>2.2566734820000001</v>
      </c>
      <c r="K129">
        <v>4</v>
      </c>
      <c r="L129">
        <v>31</v>
      </c>
      <c r="N129" s="7">
        <f t="shared" si="3"/>
        <v>7.851935222999999</v>
      </c>
      <c r="O129">
        <v>3</v>
      </c>
      <c r="P129">
        <v>4</v>
      </c>
      <c r="Q129">
        <v>10.4</v>
      </c>
      <c r="R129">
        <v>36.700000000000003</v>
      </c>
      <c r="S129" t="s">
        <v>35</v>
      </c>
      <c r="T129" t="s">
        <v>44</v>
      </c>
      <c r="U129" t="s">
        <v>31</v>
      </c>
      <c r="V129" t="s">
        <v>31</v>
      </c>
      <c r="W129" t="s">
        <v>31</v>
      </c>
      <c r="X129" t="s">
        <v>72</v>
      </c>
      <c r="Y129" t="s">
        <v>91</v>
      </c>
      <c r="Z129">
        <v>35.648300999999996</v>
      </c>
      <c r="AA129" s="12">
        <v>-106.58593999999999</v>
      </c>
      <c r="AB129" t="s">
        <v>31</v>
      </c>
      <c r="AC129">
        <v>0.26140000000000002</v>
      </c>
    </row>
    <row r="130" spans="1:29" x14ac:dyDescent="0.2">
      <c r="A130">
        <v>20</v>
      </c>
      <c r="B130">
        <v>8</v>
      </c>
      <c r="C130" t="s">
        <v>71</v>
      </c>
      <c r="D130">
        <v>1990</v>
      </c>
      <c r="E130">
        <v>45</v>
      </c>
      <c r="F130">
        <v>4</v>
      </c>
      <c r="H130">
        <v>37</v>
      </c>
      <c r="J130" s="2">
        <f t="shared" si="2"/>
        <v>1.988021877</v>
      </c>
      <c r="K130">
        <v>4</v>
      </c>
      <c r="L130">
        <v>31</v>
      </c>
      <c r="N130" s="7">
        <f t="shared" si="3"/>
        <v>7.851935222999999</v>
      </c>
      <c r="O130">
        <v>3</v>
      </c>
      <c r="P130">
        <v>4</v>
      </c>
      <c r="Q130">
        <v>10.4</v>
      </c>
      <c r="R130">
        <v>36.700000000000003</v>
      </c>
      <c r="S130" t="s">
        <v>35</v>
      </c>
      <c r="T130" t="s">
        <v>44</v>
      </c>
      <c r="U130" t="s">
        <v>31</v>
      </c>
      <c r="V130" t="s">
        <v>31</v>
      </c>
      <c r="W130" t="s">
        <v>31</v>
      </c>
      <c r="X130" t="s">
        <v>72</v>
      </c>
      <c r="Y130" t="s">
        <v>91</v>
      </c>
      <c r="Z130">
        <v>35.648300999999996</v>
      </c>
      <c r="AA130" s="12">
        <v>-106.58593999999999</v>
      </c>
      <c r="AB130" t="s">
        <v>31</v>
      </c>
      <c r="AC130">
        <v>0.26140000000000002</v>
      </c>
    </row>
    <row r="131" spans="1:29" x14ac:dyDescent="0.2">
      <c r="A131">
        <v>20</v>
      </c>
      <c r="B131">
        <v>9</v>
      </c>
      <c r="C131" t="s">
        <v>71</v>
      </c>
      <c r="D131">
        <v>1990</v>
      </c>
      <c r="E131">
        <v>90</v>
      </c>
      <c r="F131">
        <v>4</v>
      </c>
      <c r="H131">
        <v>35</v>
      </c>
      <c r="J131" s="2">
        <f t="shared" si="2"/>
        <v>1.8805612349999998</v>
      </c>
      <c r="K131">
        <v>4</v>
      </c>
      <c r="L131">
        <v>31</v>
      </c>
      <c r="N131" s="7">
        <f t="shared" si="3"/>
        <v>7.851935222999999</v>
      </c>
      <c r="O131">
        <v>3</v>
      </c>
      <c r="P131">
        <v>4</v>
      </c>
      <c r="Q131">
        <v>10.4</v>
      </c>
      <c r="R131">
        <v>36.700000000000003</v>
      </c>
      <c r="S131" t="s">
        <v>35</v>
      </c>
      <c r="T131" t="s">
        <v>44</v>
      </c>
      <c r="U131" t="s">
        <v>31</v>
      </c>
      <c r="V131" t="s">
        <v>31</v>
      </c>
      <c r="W131" t="s">
        <v>31</v>
      </c>
      <c r="X131" t="s">
        <v>72</v>
      </c>
      <c r="Y131" t="s">
        <v>91</v>
      </c>
      <c r="Z131">
        <v>35.648300999999996</v>
      </c>
      <c r="AA131" s="12">
        <v>-106.58593999999999</v>
      </c>
      <c r="AB131" t="s">
        <v>31</v>
      </c>
      <c r="AC131">
        <v>0.26140000000000002</v>
      </c>
    </row>
    <row r="132" spans="1:29" x14ac:dyDescent="0.2">
      <c r="A132">
        <v>20</v>
      </c>
      <c r="B132">
        <v>10</v>
      </c>
      <c r="C132" t="s">
        <v>71</v>
      </c>
      <c r="D132">
        <v>1990</v>
      </c>
      <c r="E132">
        <v>22.5</v>
      </c>
      <c r="F132">
        <v>4</v>
      </c>
      <c r="H132">
        <v>28</v>
      </c>
      <c r="J132" s="2">
        <f t="shared" si="2"/>
        <v>1.504448988</v>
      </c>
      <c r="K132">
        <v>4</v>
      </c>
      <c r="L132">
        <v>25</v>
      </c>
      <c r="N132" s="7">
        <f t="shared" si="3"/>
        <v>6.3322058249999991</v>
      </c>
      <c r="O132">
        <v>4</v>
      </c>
      <c r="P132">
        <v>5</v>
      </c>
      <c r="Q132">
        <v>10.4</v>
      </c>
      <c r="R132">
        <v>36.700000000000003</v>
      </c>
      <c r="S132" t="s">
        <v>35</v>
      </c>
      <c r="T132" t="s">
        <v>44</v>
      </c>
      <c r="U132" t="s">
        <v>31</v>
      </c>
      <c r="V132" t="s">
        <v>31</v>
      </c>
      <c r="W132" t="s">
        <v>31</v>
      </c>
      <c r="X132" t="s">
        <v>72</v>
      </c>
      <c r="Y132" t="s">
        <v>91</v>
      </c>
      <c r="Z132">
        <v>35.648300999999996</v>
      </c>
      <c r="AA132" s="12">
        <v>-106.58593999999999</v>
      </c>
      <c r="AB132" t="s">
        <v>31</v>
      </c>
      <c r="AC132">
        <v>0.26140000000000002</v>
      </c>
    </row>
    <row r="133" spans="1:29" x14ac:dyDescent="0.2">
      <c r="A133">
        <v>20</v>
      </c>
      <c r="B133">
        <v>11</v>
      </c>
      <c r="C133" t="s">
        <v>71</v>
      </c>
      <c r="D133">
        <v>1990</v>
      </c>
      <c r="E133">
        <v>45</v>
      </c>
      <c r="F133">
        <v>4</v>
      </c>
      <c r="H133">
        <v>28</v>
      </c>
      <c r="J133" s="2">
        <f t="shared" si="2"/>
        <v>1.504448988</v>
      </c>
      <c r="K133">
        <v>4</v>
      </c>
      <c r="L133">
        <v>25</v>
      </c>
      <c r="N133" s="7">
        <f t="shared" si="3"/>
        <v>6.3322058249999991</v>
      </c>
      <c r="O133">
        <v>4</v>
      </c>
      <c r="P133">
        <v>5</v>
      </c>
      <c r="Q133">
        <v>10.4</v>
      </c>
      <c r="R133">
        <v>36.700000000000003</v>
      </c>
      <c r="S133" t="s">
        <v>35</v>
      </c>
      <c r="T133" t="s">
        <v>44</v>
      </c>
      <c r="U133" t="s">
        <v>31</v>
      </c>
      <c r="V133" t="s">
        <v>31</v>
      </c>
      <c r="W133" t="s">
        <v>31</v>
      </c>
      <c r="X133" t="s">
        <v>72</v>
      </c>
      <c r="Y133" t="s">
        <v>91</v>
      </c>
      <c r="Z133">
        <v>35.648300999999996</v>
      </c>
      <c r="AA133" s="12">
        <v>-106.58593999999999</v>
      </c>
      <c r="AB133" t="s">
        <v>31</v>
      </c>
      <c r="AC133">
        <v>0.26140000000000002</v>
      </c>
    </row>
    <row r="134" spans="1:29" x14ac:dyDescent="0.2">
      <c r="A134">
        <v>20</v>
      </c>
      <c r="B134">
        <v>12</v>
      </c>
      <c r="C134" t="s">
        <v>71</v>
      </c>
      <c r="D134">
        <v>1990</v>
      </c>
      <c r="E134">
        <v>90</v>
      </c>
      <c r="F134">
        <v>4</v>
      </c>
      <c r="H134">
        <v>32</v>
      </c>
      <c r="J134" s="2">
        <f t="shared" si="2"/>
        <v>1.7193702719999999</v>
      </c>
      <c r="K134">
        <v>4</v>
      </c>
      <c r="L134">
        <v>25</v>
      </c>
      <c r="N134" s="7">
        <f t="shared" si="3"/>
        <v>6.3322058249999991</v>
      </c>
      <c r="O134">
        <v>4</v>
      </c>
      <c r="P134">
        <v>5</v>
      </c>
      <c r="Q134">
        <v>10.4</v>
      </c>
      <c r="R134">
        <v>36.700000000000003</v>
      </c>
      <c r="S134" t="s">
        <v>35</v>
      </c>
      <c r="T134" t="s">
        <v>44</v>
      </c>
      <c r="U134" t="s">
        <v>31</v>
      </c>
      <c r="V134" t="s">
        <v>31</v>
      </c>
      <c r="W134" t="s">
        <v>31</v>
      </c>
      <c r="X134" t="s">
        <v>72</v>
      </c>
      <c r="Y134" t="s">
        <v>91</v>
      </c>
      <c r="Z134">
        <v>35.648300999999996</v>
      </c>
      <c r="AA134" s="12">
        <v>-106.58593999999999</v>
      </c>
      <c r="AB134" t="s">
        <v>31</v>
      </c>
      <c r="AC134">
        <v>0.26140000000000002</v>
      </c>
    </row>
    <row r="135" spans="1:29" x14ac:dyDescent="0.2">
      <c r="A135">
        <v>21</v>
      </c>
      <c r="B135">
        <v>1</v>
      </c>
      <c r="C135" t="s">
        <v>73</v>
      </c>
      <c r="D135">
        <v>2010</v>
      </c>
      <c r="E135">
        <v>2.5</v>
      </c>
      <c r="F135">
        <v>4</v>
      </c>
      <c r="H135">
        <v>98.72</v>
      </c>
      <c r="J135" s="2">
        <f t="shared" si="2"/>
        <v>5.3042572891199997</v>
      </c>
      <c r="K135">
        <v>4</v>
      </c>
      <c r="L135">
        <v>98.53</v>
      </c>
      <c r="N135" s="7">
        <f t="shared" si="3"/>
        <v>24.956489597489998</v>
      </c>
      <c r="O135">
        <v>13</v>
      </c>
      <c r="P135">
        <v>14</v>
      </c>
      <c r="Q135">
        <v>7.8</v>
      </c>
      <c r="R135">
        <v>37.4</v>
      </c>
      <c r="S135" t="s">
        <v>35</v>
      </c>
      <c r="T135" t="s">
        <v>44</v>
      </c>
      <c r="U135" t="s">
        <v>31</v>
      </c>
      <c r="V135" t="s">
        <v>31</v>
      </c>
      <c r="W135" t="s">
        <v>31</v>
      </c>
      <c r="X135" t="s">
        <v>74</v>
      </c>
      <c r="Y135" t="s">
        <v>91</v>
      </c>
      <c r="Z135">
        <v>40.89611</v>
      </c>
      <c r="AA135" s="12">
        <v>-104.87444000000001</v>
      </c>
      <c r="AB135" t="s">
        <v>31</v>
      </c>
      <c r="AC135">
        <v>0.22450000000000001</v>
      </c>
    </row>
    <row r="136" spans="1:29" x14ac:dyDescent="0.2">
      <c r="A136">
        <v>21</v>
      </c>
      <c r="B136">
        <v>2</v>
      </c>
      <c r="C136" t="s">
        <v>73</v>
      </c>
      <c r="D136">
        <v>2010</v>
      </c>
      <c r="E136">
        <v>5</v>
      </c>
      <c r="F136">
        <v>4</v>
      </c>
      <c r="H136">
        <v>98.72</v>
      </c>
      <c r="J136" s="2">
        <f t="shared" si="2"/>
        <v>5.3042572891199997</v>
      </c>
      <c r="K136">
        <v>4</v>
      </c>
      <c r="L136">
        <v>98.53</v>
      </c>
      <c r="N136" s="7">
        <f t="shared" si="3"/>
        <v>24.956489597489998</v>
      </c>
      <c r="O136">
        <v>13</v>
      </c>
      <c r="P136">
        <v>14</v>
      </c>
      <c r="Q136">
        <v>7.8</v>
      </c>
      <c r="R136">
        <v>37.4</v>
      </c>
      <c r="S136" t="s">
        <v>35</v>
      </c>
      <c r="T136" t="s">
        <v>44</v>
      </c>
      <c r="U136" t="s">
        <v>31</v>
      </c>
      <c r="V136" t="s">
        <v>31</v>
      </c>
      <c r="W136" t="s">
        <v>31</v>
      </c>
      <c r="X136" t="s">
        <v>74</v>
      </c>
      <c r="Y136" t="s">
        <v>91</v>
      </c>
      <c r="Z136">
        <v>40.89611</v>
      </c>
      <c r="AA136" s="12">
        <v>-104.87444000000001</v>
      </c>
      <c r="AB136" t="s">
        <v>31</v>
      </c>
      <c r="AC136">
        <v>0.22450000000000001</v>
      </c>
    </row>
    <row r="137" spans="1:29" x14ac:dyDescent="0.2">
      <c r="A137">
        <v>21</v>
      </c>
      <c r="B137">
        <v>3</v>
      </c>
      <c r="C137" t="s">
        <v>73</v>
      </c>
      <c r="D137">
        <v>2010</v>
      </c>
      <c r="E137">
        <v>10</v>
      </c>
      <c r="F137">
        <v>4</v>
      </c>
      <c r="H137">
        <v>98.13</v>
      </c>
      <c r="J137" s="2">
        <f t="shared" ref="J137:J168" si="4">0.053730321*H137</f>
        <v>5.2725563997299991</v>
      </c>
      <c r="K137">
        <v>4</v>
      </c>
      <c r="L137">
        <v>98.53</v>
      </c>
      <c r="N137" s="7">
        <f t="shared" ref="N137:N168" si="5">0.253288233*L137</f>
        <v>24.956489597489998</v>
      </c>
      <c r="O137">
        <v>13</v>
      </c>
      <c r="P137">
        <v>14</v>
      </c>
      <c r="Q137">
        <v>7.8</v>
      </c>
      <c r="R137">
        <v>37.4</v>
      </c>
      <c r="S137" t="s">
        <v>35</v>
      </c>
      <c r="T137" t="s">
        <v>44</v>
      </c>
      <c r="U137" t="s">
        <v>31</v>
      </c>
      <c r="V137" t="s">
        <v>31</v>
      </c>
      <c r="W137" t="s">
        <v>31</v>
      </c>
      <c r="X137" t="s">
        <v>74</v>
      </c>
      <c r="Y137" t="s">
        <v>91</v>
      </c>
      <c r="Z137">
        <v>40.89611</v>
      </c>
      <c r="AA137" s="12">
        <v>-104.87444000000001</v>
      </c>
      <c r="AB137" t="s">
        <v>31</v>
      </c>
      <c r="AC137">
        <v>0.22450000000000001</v>
      </c>
    </row>
    <row r="138" spans="1:29" x14ac:dyDescent="0.2">
      <c r="A138">
        <v>21</v>
      </c>
      <c r="B138">
        <v>4</v>
      </c>
      <c r="C138" t="s">
        <v>73</v>
      </c>
      <c r="D138">
        <v>2010</v>
      </c>
      <c r="E138">
        <v>21</v>
      </c>
      <c r="F138">
        <v>4</v>
      </c>
      <c r="H138">
        <v>99.71</v>
      </c>
      <c r="J138" s="2">
        <f t="shared" si="4"/>
        <v>5.3574503069099997</v>
      </c>
      <c r="K138">
        <v>4</v>
      </c>
      <c r="L138">
        <v>98.53</v>
      </c>
      <c r="N138" s="7">
        <f t="shared" si="5"/>
        <v>24.956489597489998</v>
      </c>
      <c r="O138">
        <v>13</v>
      </c>
      <c r="P138">
        <v>14</v>
      </c>
      <c r="Q138">
        <v>7.8</v>
      </c>
      <c r="R138">
        <v>37.4</v>
      </c>
      <c r="S138" t="s">
        <v>35</v>
      </c>
      <c r="T138" t="s">
        <v>44</v>
      </c>
      <c r="U138" t="s">
        <v>31</v>
      </c>
      <c r="V138" t="s">
        <v>31</v>
      </c>
      <c r="W138" t="s">
        <v>31</v>
      </c>
      <c r="X138" t="s">
        <v>74</v>
      </c>
      <c r="Y138" t="s">
        <v>91</v>
      </c>
      <c r="Z138">
        <v>40.89611</v>
      </c>
      <c r="AA138" s="12">
        <v>-104.87444000000001</v>
      </c>
      <c r="AB138" t="s">
        <v>31</v>
      </c>
      <c r="AC138">
        <v>0.22450000000000001</v>
      </c>
    </row>
    <row r="139" spans="1:29" x14ac:dyDescent="0.2">
      <c r="A139">
        <v>21</v>
      </c>
      <c r="B139">
        <v>5</v>
      </c>
      <c r="C139" t="s">
        <v>73</v>
      </c>
      <c r="D139">
        <v>2010</v>
      </c>
      <c r="E139">
        <v>30</v>
      </c>
      <c r="F139">
        <v>4</v>
      </c>
      <c r="H139">
        <v>99.71</v>
      </c>
      <c r="J139" s="2">
        <f t="shared" si="4"/>
        <v>5.3574503069099997</v>
      </c>
      <c r="K139">
        <v>4</v>
      </c>
      <c r="L139">
        <v>98.53</v>
      </c>
      <c r="N139" s="7">
        <f t="shared" si="5"/>
        <v>24.956489597489998</v>
      </c>
      <c r="O139">
        <v>13</v>
      </c>
      <c r="P139">
        <v>14</v>
      </c>
      <c r="Q139">
        <v>7.8</v>
      </c>
      <c r="R139">
        <v>37.4</v>
      </c>
      <c r="S139" t="s">
        <v>35</v>
      </c>
      <c r="T139" t="s">
        <v>44</v>
      </c>
      <c r="U139" t="s">
        <v>31</v>
      </c>
      <c r="V139" t="s">
        <v>31</v>
      </c>
      <c r="W139" t="s">
        <v>31</v>
      </c>
      <c r="X139" t="s">
        <v>74</v>
      </c>
      <c r="Y139" t="s">
        <v>91</v>
      </c>
      <c r="Z139">
        <v>40.89611</v>
      </c>
      <c r="AA139" s="12">
        <v>-104.87444000000001</v>
      </c>
      <c r="AB139" t="s">
        <v>31</v>
      </c>
      <c r="AC139">
        <v>0.22450000000000001</v>
      </c>
    </row>
    <row r="140" spans="1:29" x14ac:dyDescent="0.2">
      <c r="A140">
        <v>21</v>
      </c>
      <c r="B140">
        <v>6</v>
      </c>
      <c r="C140" t="s">
        <v>73</v>
      </c>
      <c r="D140">
        <v>2010</v>
      </c>
      <c r="E140">
        <v>2.5</v>
      </c>
      <c r="F140">
        <v>4</v>
      </c>
      <c r="H140">
        <v>99.68</v>
      </c>
      <c r="J140" s="2">
        <f t="shared" si="4"/>
        <v>5.3558383972800003</v>
      </c>
      <c r="K140">
        <v>4</v>
      </c>
      <c r="L140">
        <v>99.68</v>
      </c>
      <c r="N140" s="7">
        <f t="shared" si="5"/>
        <v>25.247771065439998</v>
      </c>
      <c r="O140">
        <v>14</v>
      </c>
      <c r="P140">
        <v>15</v>
      </c>
      <c r="Q140">
        <v>7.8</v>
      </c>
      <c r="R140">
        <v>37.4</v>
      </c>
      <c r="S140" t="s">
        <v>35</v>
      </c>
      <c r="T140" t="s">
        <v>44</v>
      </c>
      <c r="U140" t="s">
        <v>31</v>
      </c>
      <c r="V140" t="s">
        <v>31</v>
      </c>
      <c r="W140" t="s">
        <v>31</v>
      </c>
      <c r="X140" t="s">
        <v>74</v>
      </c>
      <c r="Y140" t="s">
        <v>91</v>
      </c>
      <c r="Z140">
        <v>40.89611</v>
      </c>
      <c r="AA140" s="12">
        <v>-104.87444000000001</v>
      </c>
      <c r="AB140" t="s">
        <v>31</v>
      </c>
      <c r="AC140">
        <v>0.22450000000000001</v>
      </c>
    </row>
    <row r="141" spans="1:29" x14ac:dyDescent="0.2">
      <c r="A141">
        <v>21</v>
      </c>
      <c r="B141">
        <v>7</v>
      </c>
      <c r="C141" t="s">
        <v>73</v>
      </c>
      <c r="D141">
        <v>2010</v>
      </c>
      <c r="E141">
        <v>5</v>
      </c>
      <c r="F141">
        <v>4</v>
      </c>
      <c r="H141">
        <v>99.68</v>
      </c>
      <c r="J141" s="2">
        <f t="shared" si="4"/>
        <v>5.3558383972800003</v>
      </c>
      <c r="K141">
        <v>4</v>
      </c>
      <c r="L141">
        <v>99.68</v>
      </c>
      <c r="N141" s="7">
        <f t="shared" si="5"/>
        <v>25.247771065439998</v>
      </c>
      <c r="O141">
        <v>14</v>
      </c>
      <c r="P141">
        <v>15</v>
      </c>
      <c r="Q141">
        <v>7.8</v>
      </c>
      <c r="R141">
        <v>37.4</v>
      </c>
      <c r="S141" t="s">
        <v>35</v>
      </c>
      <c r="T141" t="s">
        <v>44</v>
      </c>
      <c r="U141" t="s">
        <v>31</v>
      </c>
      <c r="V141" t="s">
        <v>31</v>
      </c>
      <c r="W141" t="s">
        <v>31</v>
      </c>
      <c r="X141" t="s">
        <v>74</v>
      </c>
      <c r="Y141" t="s">
        <v>91</v>
      </c>
      <c r="Z141">
        <v>40.89611</v>
      </c>
      <c r="AA141" s="12">
        <v>-104.87444000000001</v>
      </c>
      <c r="AB141" t="s">
        <v>31</v>
      </c>
      <c r="AC141">
        <v>0.22450000000000001</v>
      </c>
    </row>
    <row r="142" spans="1:29" x14ac:dyDescent="0.2">
      <c r="A142">
        <v>21</v>
      </c>
      <c r="B142">
        <v>8</v>
      </c>
      <c r="C142" t="s">
        <v>73</v>
      </c>
      <c r="D142">
        <v>2010</v>
      </c>
      <c r="E142">
        <v>10</v>
      </c>
      <c r="F142">
        <v>4</v>
      </c>
      <c r="H142">
        <v>99.26</v>
      </c>
      <c r="J142" s="2">
        <f t="shared" si="4"/>
        <v>5.3332716624599996</v>
      </c>
      <c r="K142">
        <v>4</v>
      </c>
      <c r="L142">
        <v>99.68</v>
      </c>
      <c r="N142" s="7">
        <f t="shared" si="5"/>
        <v>25.247771065439998</v>
      </c>
      <c r="O142">
        <v>14</v>
      </c>
      <c r="P142">
        <v>15</v>
      </c>
      <c r="Q142">
        <v>7.8</v>
      </c>
      <c r="R142">
        <v>37.4</v>
      </c>
      <c r="S142" t="s">
        <v>35</v>
      </c>
      <c r="T142" t="s">
        <v>44</v>
      </c>
      <c r="U142" t="s">
        <v>31</v>
      </c>
      <c r="V142" t="s">
        <v>31</v>
      </c>
      <c r="W142" t="s">
        <v>31</v>
      </c>
      <c r="X142" t="s">
        <v>74</v>
      </c>
      <c r="Y142" t="s">
        <v>91</v>
      </c>
      <c r="Z142">
        <v>40.89611</v>
      </c>
      <c r="AA142" s="12">
        <v>-104.87444000000001</v>
      </c>
      <c r="AB142" t="s">
        <v>31</v>
      </c>
      <c r="AC142">
        <v>0.22450000000000001</v>
      </c>
    </row>
    <row r="143" spans="1:29" x14ac:dyDescent="0.2">
      <c r="A143">
        <v>21</v>
      </c>
      <c r="B143">
        <v>9</v>
      </c>
      <c r="C143" t="s">
        <v>73</v>
      </c>
      <c r="D143">
        <v>2010</v>
      </c>
      <c r="E143">
        <v>21</v>
      </c>
      <c r="F143">
        <v>4</v>
      </c>
      <c r="H143">
        <v>99.68</v>
      </c>
      <c r="J143" s="2">
        <f t="shared" si="4"/>
        <v>5.3558383972800003</v>
      </c>
      <c r="K143">
        <v>4</v>
      </c>
      <c r="L143">
        <v>99.68</v>
      </c>
      <c r="N143" s="7">
        <f t="shared" si="5"/>
        <v>25.247771065439998</v>
      </c>
      <c r="O143">
        <v>14</v>
      </c>
      <c r="P143">
        <v>15</v>
      </c>
      <c r="Q143">
        <v>7.8</v>
      </c>
      <c r="R143">
        <v>37.4</v>
      </c>
      <c r="S143" t="s">
        <v>35</v>
      </c>
      <c r="T143" t="s">
        <v>44</v>
      </c>
      <c r="U143" t="s">
        <v>31</v>
      </c>
      <c r="V143" t="s">
        <v>31</v>
      </c>
      <c r="W143" t="s">
        <v>31</v>
      </c>
      <c r="X143" t="s">
        <v>74</v>
      </c>
      <c r="Y143" t="s">
        <v>91</v>
      </c>
      <c r="Z143">
        <v>40.89611</v>
      </c>
      <c r="AA143" s="12">
        <v>-104.87444000000001</v>
      </c>
      <c r="AB143" t="s">
        <v>31</v>
      </c>
      <c r="AC143">
        <v>0.22450000000000001</v>
      </c>
    </row>
    <row r="144" spans="1:29" x14ac:dyDescent="0.2">
      <c r="A144">
        <v>21</v>
      </c>
      <c r="B144">
        <v>10</v>
      </c>
      <c r="C144" t="s">
        <v>73</v>
      </c>
      <c r="D144">
        <v>2010</v>
      </c>
      <c r="E144">
        <v>30</v>
      </c>
      <c r="F144">
        <v>4</v>
      </c>
      <c r="H144">
        <v>99.68</v>
      </c>
      <c r="J144" s="2">
        <f t="shared" si="4"/>
        <v>5.3558383972800003</v>
      </c>
      <c r="K144">
        <v>4</v>
      </c>
      <c r="L144">
        <v>99.68</v>
      </c>
      <c r="N144" s="7">
        <f t="shared" si="5"/>
        <v>25.247771065439998</v>
      </c>
      <c r="O144">
        <v>14</v>
      </c>
      <c r="P144">
        <v>15</v>
      </c>
      <c r="Q144">
        <v>7.8</v>
      </c>
      <c r="R144">
        <v>37.4</v>
      </c>
      <c r="S144" t="s">
        <v>35</v>
      </c>
      <c r="T144" t="s">
        <v>44</v>
      </c>
      <c r="U144" t="s">
        <v>31</v>
      </c>
      <c r="V144" t="s">
        <v>31</v>
      </c>
      <c r="W144" t="s">
        <v>31</v>
      </c>
      <c r="X144" t="s">
        <v>74</v>
      </c>
      <c r="Y144" t="s">
        <v>91</v>
      </c>
      <c r="Z144">
        <v>40.89611</v>
      </c>
      <c r="AA144" s="12">
        <v>-104.87444000000001</v>
      </c>
      <c r="AB144" t="s">
        <v>31</v>
      </c>
      <c r="AC144">
        <v>0.22450000000000001</v>
      </c>
    </row>
    <row r="145" spans="1:29" x14ac:dyDescent="0.2">
      <c r="A145">
        <v>21</v>
      </c>
      <c r="B145">
        <v>11</v>
      </c>
      <c r="C145" t="s">
        <v>73</v>
      </c>
      <c r="D145">
        <v>2010</v>
      </c>
      <c r="E145">
        <v>5</v>
      </c>
      <c r="F145">
        <v>4</v>
      </c>
      <c r="H145">
        <v>99.12</v>
      </c>
      <c r="J145" s="2">
        <f t="shared" si="4"/>
        <v>5.32574941752</v>
      </c>
      <c r="K145">
        <v>4</v>
      </c>
      <c r="L145">
        <v>99.31</v>
      </c>
      <c r="N145" s="7">
        <f t="shared" si="5"/>
        <v>25.154054419229997</v>
      </c>
      <c r="O145">
        <v>13</v>
      </c>
      <c r="P145">
        <v>14</v>
      </c>
      <c r="Q145">
        <v>7.8</v>
      </c>
      <c r="R145">
        <v>37.4</v>
      </c>
      <c r="S145" t="s">
        <v>35</v>
      </c>
      <c r="T145" t="s">
        <v>44</v>
      </c>
      <c r="U145" t="s">
        <v>31</v>
      </c>
      <c r="V145" t="s">
        <v>31</v>
      </c>
      <c r="W145" t="s">
        <v>29</v>
      </c>
      <c r="X145" t="s">
        <v>74</v>
      </c>
      <c r="Y145" t="s">
        <v>91</v>
      </c>
      <c r="Z145">
        <v>40.89611</v>
      </c>
      <c r="AA145" s="12">
        <v>-104.87444000000001</v>
      </c>
      <c r="AB145" t="s">
        <v>31</v>
      </c>
      <c r="AC145">
        <v>0.22450000000000001</v>
      </c>
    </row>
    <row r="146" spans="1:29" x14ac:dyDescent="0.2">
      <c r="A146">
        <v>21</v>
      </c>
      <c r="B146">
        <v>12</v>
      </c>
      <c r="C146" t="s">
        <v>73</v>
      </c>
      <c r="D146">
        <v>2010</v>
      </c>
      <c r="E146">
        <v>10</v>
      </c>
      <c r="F146">
        <v>4</v>
      </c>
      <c r="H146">
        <v>99.9</v>
      </c>
      <c r="J146" s="2">
        <f t="shared" si="4"/>
        <v>5.3676590679</v>
      </c>
      <c r="K146">
        <v>4</v>
      </c>
      <c r="L146">
        <v>99.31</v>
      </c>
      <c r="N146" s="7">
        <f t="shared" si="5"/>
        <v>25.154054419229997</v>
      </c>
      <c r="O146">
        <v>13</v>
      </c>
      <c r="P146">
        <v>14</v>
      </c>
      <c r="Q146">
        <v>7.8</v>
      </c>
      <c r="R146">
        <v>37.4</v>
      </c>
      <c r="S146" t="s">
        <v>35</v>
      </c>
      <c r="T146" t="s">
        <v>44</v>
      </c>
      <c r="U146" t="s">
        <v>31</v>
      </c>
      <c r="V146" t="s">
        <v>31</v>
      </c>
      <c r="W146" t="s">
        <v>29</v>
      </c>
      <c r="X146" t="s">
        <v>74</v>
      </c>
      <c r="Y146" t="s">
        <v>91</v>
      </c>
      <c r="Z146">
        <v>40.89611</v>
      </c>
      <c r="AA146" s="12">
        <v>-104.87444000000001</v>
      </c>
      <c r="AB146" t="s">
        <v>31</v>
      </c>
      <c r="AC146">
        <v>0.22450000000000001</v>
      </c>
    </row>
    <row r="147" spans="1:29" x14ac:dyDescent="0.2">
      <c r="A147">
        <v>21</v>
      </c>
      <c r="B147">
        <v>13</v>
      </c>
      <c r="C147" t="s">
        <v>73</v>
      </c>
      <c r="D147">
        <v>2010</v>
      </c>
      <c r="E147">
        <v>20</v>
      </c>
      <c r="F147">
        <v>4</v>
      </c>
      <c r="H147">
        <v>98.92</v>
      </c>
      <c r="J147" s="2">
        <f t="shared" si="4"/>
        <v>5.3150033533199998</v>
      </c>
      <c r="K147">
        <v>4</v>
      </c>
      <c r="L147">
        <v>99.31</v>
      </c>
      <c r="N147" s="7">
        <f t="shared" si="5"/>
        <v>25.154054419229997</v>
      </c>
      <c r="O147">
        <v>13</v>
      </c>
      <c r="P147">
        <v>14</v>
      </c>
      <c r="Q147">
        <v>7.8</v>
      </c>
      <c r="R147">
        <v>37.4</v>
      </c>
      <c r="S147" t="s">
        <v>35</v>
      </c>
      <c r="T147" t="s">
        <v>44</v>
      </c>
      <c r="U147" t="s">
        <v>31</v>
      </c>
      <c r="V147" t="s">
        <v>31</v>
      </c>
      <c r="W147" t="s">
        <v>29</v>
      </c>
      <c r="X147" t="s">
        <v>74</v>
      </c>
      <c r="Y147" t="s">
        <v>91</v>
      </c>
      <c r="Z147">
        <v>40.89611</v>
      </c>
      <c r="AA147" s="12">
        <v>-104.87444000000001</v>
      </c>
      <c r="AB147" t="s">
        <v>31</v>
      </c>
      <c r="AC147">
        <v>0.22450000000000001</v>
      </c>
    </row>
    <row r="148" spans="1:29" x14ac:dyDescent="0.2">
      <c r="A148">
        <v>21</v>
      </c>
      <c r="B148">
        <v>14</v>
      </c>
      <c r="C148" t="s">
        <v>73</v>
      </c>
      <c r="D148">
        <v>2010</v>
      </c>
      <c r="E148">
        <v>42</v>
      </c>
      <c r="F148">
        <v>4</v>
      </c>
      <c r="H148">
        <v>98.72</v>
      </c>
      <c r="J148" s="2">
        <f t="shared" si="4"/>
        <v>5.3042572891199997</v>
      </c>
      <c r="K148">
        <v>4</v>
      </c>
      <c r="L148">
        <v>99.31</v>
      </c>
      <c r="N148" s="7">
        <f t="shared" si="5"/>
        <v>25.154054419229997</v>
      </c>
      <c r="O148">
        <v>13</v>
      </c>
      <c r="P148">
        <v>14</v>
      </c>
      <c r="Q148">
        <v>7.8</v>
      </c>
      <c r="R148">
        <v>37.4</v>
      </c>
      <c r="S148" t="s">
        <v>35</v>
      </c>
      <c r="T148" t="s">
        <v>44</v>
      </c>
      <c r="U148" t="s">
        <v>31</v>
      </c>
      <c r="V148" t="s">
        <v>31</v>
      </c>
      <c r="W148" t="s">
        <v>29</v>
      </c>
      <c r="X148" t="s">
        <v>74</v>
      </c>
      <c r="Y148" t="s">
        <v>91</v>
      </c>
      <c r="Z148">
        <v>40.89611</v>
      </c>
      <c r="AA148" s="12">
        <v>-104.87444000000001</v>
      </c>
      <c r="AB148" t="s">
        <v>31</v>
      </c>
      <c r="AC148">
        <v>0.22450000000000001</v>
      </c>
    </row>
    <row r="149" spans="1:29" x14ac:dyDescent="0.2">
      <c r="A149">
        <v>21</v>
      </c>
      <c r="B149">
        <v>15</v>
      </c>
      <c r="C149" t="s">
        <v>73</v>
      </c>
      <c r="D149">
        <v>2010</v>
      </c>
      <c r="E149">
        <v>60</v>
      </c>
      <c r="F149">
        <v>4</v>
      </c>
      <c r="H149">
        <v>100.1</v>
      </c>
      <c r="J149" s="2">
        <f t="shared" si="4"/>
        <v>5.3784051320999993</v>
      </c>
      <c r="K149">
        <v>4</v>
      </c>
      <c r="L149">
        <v>99.31</v>
      </c>
      <c r="N149" s="7">
        <f t="shared" si="5"/>
        <v>25.154054419229997</v>
      </c>
      <c r="O149">
        <v>13</v>
      </c>
      <c r="P149">
        <v>14</v>
      </c>
      <c r="Q149">
        <v>7.8</v>
      </c>
      <c r="R149">
        <v>37.4</v>
      </c>
      <c r="S149" t="s">
        <v>35</v>
      </c>
      <c r="T149" t="s">
        <v>44</v>
      </c>
      <c r="U149" t="s">
        <v>31</v>
      </c>
      <c r="V149" t="s">
        <v>31</v>
      </c>
      <c r="W149" t="s">
        <v>29</v>
      </c>
      <c r="X149" t="s">
        <v>74</v>
      </c>
      <c r="Y149" t="s">
        <v>91</v>
      </c>
      <c r="Z149">
        <v>40.89611</v>
      </c>
      <c r="AA149" s="12">
        <v>-104.87444000000001</v>
      </c>
      <c r="AB149" t="s">
        <v>31</v>
      </c>
      <c r="AC149">
        <v>0.22450000000000001</v>
      </c>
    </row>
    <row r="150" spans="1:29" x14ac:dyDescent="0.2">
      <c r="A150">
        <v>21</v>
      </c>
      <c r="B150">
        <v>16</v>
      </c>
      <c r="C150" t="s">
        <v>73</v>
      </c>
      <c r="D150">
        <v>2010</v>
      </c>
      <c r="E150">
        <v>10</v>
      </c>
      <c r="F150">
        <v>4</v>
      </c>
      <c r="H150">
        <v>99.68</v>
      </c>
      <c r="J150" s="2">
        <f t="shared" si="4"/>
        <v>5.3558383972800003</v>
      </c>
      <c r="K150">
        <v>4</v>
      </c>
      <c r="L150">
        <v>99.79</v>
      </c>
      <c r="N150" s="7">
        <f t="shared" si="5"/>
        <v>25.275632771070001</v>
      </c>
      <c r="O150">
        <v>14</v>
      </c>
      <c r="P150">
        <v>15</v>
      </c>
      <c r="Q150">
        <v>7.8</v>
      </c>
      <c r="R150">
        <v>37.4</v>
      </c>
      <c r="S150" t="s">
        <v>35</v>
      </c>
      <c r="T150" t="s">
        <v>44</v>
      </c>
      <c r="U150" t="s">
        <v>31</v>
      </c>
      <c r="V150" t="s">
        <v>31</v>
      </c>
      <c r="W150" t="s">
        <v>29</v>
      </c>
      <c r="X150" t="s">
        <v>74</v>
      </c>
      <c r="Y150" t="s">
        <v>91</v>
      </c>
      <c r="Z150">
        <v>40.89611</v>
      </c>
      <c r="AA150" s="12">
        <v>-104.87444000000001</v>
      </c>
      <c r="AB150" t="s">
        <v>31</v>
      </c>
      <c r="AC150">
        <v>0.22450000000000001</v>
      </c>
    </row>
    <row r="151" spans="1:29" x14ac:dyDescent="0.2">
      <c r="A151">
        <v>21</v>
      </c>
      <c r="B151">
        <v>17</v>
      </c>
      <c r="C151" t="s">
        <v>73</v>
      </c>
      <c r="D151">
        <v>2010</v>
      </c>
      <c r="E151">
        <v>20</v>
      </c>
      <c r="F151">
        <v>4</v>
      </c>
      <c r="H151">
        <v>99.68</v>
      </c>
      <c r="J151" s="2">
        <f t="shared" si="4"/>
        <v>5.3558383972800003</v>
      </c>
      <c r="K151">
        <v>4</v>
      </c>
      <c r="L151">
        <v>99.79</v>
      </c>
      <c r="N151" s="7">
        <f t="shared" si="5"/>
        <v>25.275632771070001</v>
      </c>
      <c r="O151">
        <v>14</v>
      </c>
      <c r="P151">
        <v>15</v>
      </c>
      <c r="Q151">
        <v>7.8</v>
      </c>
      <c r="R151">
        <v>37.4</v>
      </c>
      <c r="S151" t="s">
        <v>35</v>
      </c>
      <c r="T151" t="s">
        <v>44</v>
      </c>
      <c r="U151" t="s">
        <v>31</v>
      </c>
      <c r="V151" t="s">
        <v>31</v>
      </c>
      <c r="W151" t="s">
        <v>29</v>
      </c>
      <c r="X151" t="s">
        <v>74</v>
      </c>
      <c r="Y151" t="s">
        <v>91</v>
      </c>
      <c r="Z151">
        <v>40.89611</v>
      </c>
      <c r="AA151" s="12">
        <v>-104.87444000000001</v>
      </c>
      <c r="AB151" t="s">
        <v>31</v>
      </c>
      <c r="AC151">
        <v>0.22450000000000001</v>
      </c>
    </row>
    <row r="152" spans="1:29" x14ac:dyDescent="0.2">
      <c r="A152">
        <v>21</v>
      </c>
      <c r="B152">
        <v>18</v>
      </c>
      <c r="C152" t="s">
        <v>73</v>
      </c>
      <c r="D152">
        <v>2010</v>
      </c>
      <c r="E152">
        <v>40</v>
      </c>
      <c r="F152">
        <v>4</v>
      </c>
      <c r="H152">
        <v>99.68</v>
      </c>
      <c r="J152" s="2">
        <f t="shared" si="4"/>
        <v>5.3558383972800003</v>
      </c>
      <c r="K152">
        <v>4</v>
      </c>
      <c r="L152">
        <v>99.79</v>
      </c>
      <c r="N152" s="7">
        <f t="shared" si="5"/>
        <v>25.275632771070001</v>
      </c>
      <c r="O152">
        <v>14</v>
      </c>
      <c r="P152">
        <v>15</v>
      </c>
      <c r="Q152">
        <v>7.8</v>
      </c>
      <c r="R152">
        <v>37.4</v>
      </c>
      <c r="S152" t="s">
        <v>35</v>
      </c>
      <c r="T152" t="s">
        <v>44</v>
      </c>
      <c r="U152" t="s">
        <v>31</v>
      </c>
      <c r="V152" t="s">
        <v>31</v>
      </c>
      <c r="W152" t="s">
        <v>29</v>
      </c>
      <c r="X152" t="s">
        <v>74</v>
      </c>
      <c r="Y152" t="s">
        <v>91</v>
      </c>
      <c r="Z152">
        <v>40.89611</v>
      </c>
      <c r="AA152" s="12">
        <v>-104.87444000000001</v>
      </c>
      <c r="AB152" t="s">
        <v>31</v>
      </c>
      <c r="AC152">
        <v>0.22450000000000001</v>
      </c>
    </row>
    <row r="153" spans="1:29" x14ac:dyDescent="0.2">
      <c r="A153">
        <v>21</v>
      </c>
      <c r="B153">
        <v>19</v>
      </c>
      <c r="C153" t="s">
        <v>73</v>
      </c>
      <c r="D153">
        <v>2010</v>
      </c>
      <c r="E153">
        <v>84</v>
      </c>
      <c r="F153">
        <v>4</v>
      </c>
      <c r="H153">
        <v>99.68</v>
      </c>
      <c r="J153" s="2">
        <f t="shared" si="4"/>
        <v>5.3558383972800003</v>
      </c>
      <c r="K153">
        <v>4</v>
      </c>
      <c r="L153">
        <v>99.79</v>
      </c>
      <c r="N153" s="7">
        <f t="shared" si="5"/>
        <v>25.275632771070001</v>
      </c>
      <c r="O153">
        <v>14</v>
      </c>
      <c r="P153">
        <v>15</v>
      </c>
      <c r="Q153">
        <v>7.8</v>
      </c>
      <c r="R153">
        <v>37.4</v>
      </c>
      <c r="S153" t="s">
        <v>35</v>
      </c>
      <c r="T153" t="s">
        <v>44</v>
      </c>
      <c r="U153" t="s">
        <v>31</v>
      </c>
      <c r="V153" t="s">
        <v>31</v>
      </c>
      <c r="W153" t="s">
        <v>29</v>
      </c>
      <c r="X153" t="s">
        <v>74</v>
      </c>
      <c r="Y153" t="s">
        <v>91</v>
      </c>
      <c r="Z153">
        <v>40.89611</v>
      </c>
      <c r="AA153" s="12">
        <v>-104.87444000000001</v>
      </c>
      <c r="AB153" t="s">
        <v>31</v>
      </c>
      <c r="AC153">
        <v>0.22450000000000001</v>
      </c>
    </row>
    <row r="154" spans="1:29" x14ac:dyDescent="0.2">
      <c r="A154">
        <v>21</v>
      </c>
      <c r="B154">
        <v>20</v>
      </c>
      <c r="C154" t="s">
        <v>73</v>
      </c>
      <c r="D154">
        <v>2010</v>
      </c>
      <c r="E154">
        <v>120</v>
      </c>
      <c r="F154">
        <v>4</v>
      </c>
      <c r="H154">
        <v>99.26</v>
      </c>
      <c r="J154" s="2">
        <f t="shared" si="4"/>
        <v>5.3332716624599996</v>
      </c>
      <c r="K154">
        <v>4</v>
      </c>
      <c r="L154">
        <v>99.79</v>
      </c>
      <c r="N154" s="7">
        <f t="shared" si="5"/>
        <v>25.275632771070001</v>
      </c>
      <c r="O154">
        <v>14</v>
      </c>
      <c r="P154">
        <v>15</v>
      </c>
      <c r="Q154">
        <v>7.8</v>
      </c>
      <c r="R154">
        <v>37.4</v>
      </c>
      <c r="S154" t="s">
        <v>35</v>
      </c>
      <c r="T154" t="s">
        <v>44</v>
      </c>
      <c r="U154" t="s">
        <v>31</v>
      </c>
      <c r="V154" t="s">
        <v>31</v>
      </c>
      <c r="W154" t="s">
        <v>29</v>
      </c>
      <c r="X154" t="s">
        <v>74</v>
      </c>
      <c r="Y154" t="s">
        <v>91</v>
      </c>
      <c r="Z154">
        <v>40.89611</v>
      </c>
      <c r="AA154" s="12">
        <v>-104.87444000000001</v>
      </c>
      <c r="AB154" t="s">
        <v>31</v>
      </c>
      <c r="AC154">
        <v>0.22450000000000001</v>
      </c>
    </row>
    <row r="155" spans="1:29" x14ac:dyDescent="0.2">
      <c r="A155">
        <v>22</v>
      </c>
      <c r="B155">
        <v>1</v>
      </c>
      <c r="C155" t="s">
        <v>75</v>
      </c>
      <c r="D155">
        <v>2003</v>
      </c>
      <c r="E155">
        <v>40</v>
      </c>
      <c r="F155">
        <v>4</v>
      </c>
      <c r="H155">
        <v>75</v>
      </c>
      <c r="J155" s="2">
        <f t="shared" si="4"/>
        <v>4.0297740749999997</v>
      </c>
      <c r="K155">
        <v>4</v>
      </c>
      <c r="L155">
        <v>41</v>
      </c>
      <c r="N155" s="7">
        <f t="shared" si="5"/>
        <v>10.384817553</v>
      </c>
      <c r="O155">
        <v>1</v>
      </c>
      <c r="P155">
        <v>2</v>
      </c>
      <c r="Q155">
        <v>13.8</v>
      </c>
      <c r="R155">
        <v>44.4</v>
      </c>
      <c r="S155" t="s">
        <v>35</v>
      </c>
      <c r="T155" t="s">
        <v>44</v>
      </c>
      <c r="U155" t="s">
        <v>31</v>
      </c>
      <c r="V155" t="s">
        <v>31</v>
      </c>
      <c r="W155" t="s">
        <v>31</v>
      </c>
      <c r="X155" t="s">
        <v>76</v>
      </c>
      <c r="Y155" t="s">
        <v>93</v>
      </c>
      <c r="Z155">
        <v>40.418889999999998</v>
      </c>
      <c r="AA155" s="12">
        <v>-3.6919400000000002</v>
      </c>
      <c r="AB155" t="s">
        <v>31</v>
      </c>
      <c r="AC155">
        <v>0.27779999999999999</v>
      </c>
    </row>
    <row r="156" spans="1:29" x14ac:dyDescent="0.2">
      <c r="A156">
        <v>22</v>
      </c>
      <c r="B156">
        <v>2</v>
      </c>
      <c r="C156" t="s">
        <v>75</v>
      </c>
      <c r="D156">
        <v>2003</v>
      </c>
      <c r="E156">
        <v>80</v>
      </c>
      <c r="F156">
        <v>4</v>
      </c>
      <c r="H156">
        <v>70</v>
      </c>
      <c r="J156" s="2">
        <f t="shared" si="4"/>
        <v>3.7611224699999997</v>
      </c>
      <c r="K156">
        <v>4</v>
      </c>
      <c r="L156">
        <v>41</v>
      </c>
      <c r="N156" s="7">
        <f t="shared" si="5"/>
        <v>10.384817553</v>
      </c>
      <c r="O156">
        <v>1</v>
      </c>
      <c r="P156">
        <v>2</v>
      </c>
      <c r="Q156">
        <v>13.8</v>
      </c>
      <c r="R156">
        <v>44.4</v>
      </c>
      <c r="S156" t="s">
        <v>35</v>
      </c>
      <c r="T156" t="s">
        <v>44</v>
      </c>
      <c r="U156" t="s">
        <v>31</v>
      </c>
      <c r="V156" t="s">
        <v>31</v>
      </c>
      <c r="W156" t="s">
        <v>31</v>
      </c>
      <c r="X156" t="s">
        <v>76</v>
      </c>
      <c r="Y156" t="s">
        <v>93</v>
      </c>
      <c r="Z156">
        <v>40.418889999999998</v>
      </c>
      <c r="AA156" s="12">
        <v>-3.6919400000000002</v>
      </c>
      <c r="AB156" t="s">
        <v>31</v>
      </c>
      <c r="AC156">
        <v>0.27779999999999999</v>
      </c>
    </row>
    <row r="157" spans="1:29" x14ac:dyDescent="0.2">
      <c r="A157">
        <v>22</v>
      </c>
      <c r="B157">
        <v>3</v>
      </c>
      <c r="C157" t="s">
        <v>75</v>
      </c>
      <c r="D157">
        <v>2003</v>
      </c>
      <c r="E157">
        <v>120</v>
      </c>
      <c r="F157">
        <v>4</v>
      </c>
      <c r="H157">
        <v>46</v>
      </c>
      <c r="J157" s="2">
        <f t="shared" si="4"/>
        <v>2.4715947659999999</v>
      </c>
      <c r="K157">
        <v>4</v>
      </c>
      <c r="L157">
        <v>41</v>
      </c>
      <c r="N157" s="7">
        <f t="shared" si="5"/>
        <v>10.384817553</v>
      </c>
      <c r="O157">
        <v>1</v>
      </c>
      <c r="P157">
        <v>2</v>
      </c>
      <c r="Q157">
        <v>13.8</v>
      </c>
      <c r="R157">
        <v>44.4</v>
      </c>
      <c r="S157" t="s">
        <v>35</v>
      </c>
      <c r="T157" t="s">
        <v>44</v>
      </c>
      <c r="U157" t="s">
        <v>31</v>
      </c>
      <c r="V157" t="s">
        <v>31</v>
      </c>
      <c r="W157" t="s">
        <v>31</v>
      </c>
      <c r="X157" t="s">
        <v>76</v>
      </c>
      <c r="Y157" t="s">
        <v>93</v>
      </c>
      <c r="Z157">
        <v>40.418889999999998</v>
      </c>
      <c r="AA157" s="12">
        <v>-3.6919400000000002</v>
      </c>
      <c r="AB157" t="s">
        <v>31</v>
      </c>
      <c r="AC157">
        <v>0.27779999999999999</v>
      </c>
    </row>
    <row r="158" spans="1:29" x14ac:dyDescent="0.2">
      <c r="A158">
        <v>22</v>
      </c>
      <c r="B158">
        <v>4</v>
      </c>
      <c r="C158" t="s">
        <v>75</v>
      </c>
      <c r="D158">
        <v>2003</v>
      </c>
      <c r="E158">
        <v>40</v>
      </c>
      <c r="F158">
        <v>4</v>
      </c>
      <c r="H158">
        <v>95</v>
      </c>
      <c r="J158" s="2">
        <f t="shared" si="4"/>
        <v>5.104380495</v>
      </c>
      <c r="K158">
        <v>4</v>
      </c>
      <c r="L158">
        <v>47</v>
      </c>
      <c r="N158" s="7">
        <f t="shared" si="5"/>
        <v>11.904546950999999</v>
      </c>
      <c r="O158">
        <v>2</v>
      </c>
      <c r="P158">
        <v>3</v>
      </c>
      <c r="Q158">
        <v>13.8</v>
      </c>
      <c r="R158">
        <v>44.4</v>
      </c>
      <c r="S158" t="s">
        <v>35</v>
      </c>
      <c r="T158" t="s">
        <v>44</v>
      </c>
      <c r="U158" t="s">
        <v>31</v>
      </c>
      <c r="V158" t="s">
        <v>31</v>
      </c>
      <c r="W158" t="s">
        <v>31</v>
      </c>
      <c r="X158" t="s">
        <v>76</v>
      </c>
      <c r="Y158" t="s">
        <v>93</v>
      </c>
      <c r="Z158">
        <v>40.418889999999998</v>
      </c>
      <c r="AA158" s="12">
        <v>-3.6919400000000002</v>
      </c>
      <c r="AB158" t="s">
        <v>31</v>
      </c>
      <c r="AC158">
        <v>0.27779999999999999</v>
      </c>
    </row>
    <row r="159" spans="1:29" x14ac:dyDescent="0.2">
      <c r="A159">
        <v>22</v>
      </c>
      <c r="B159">
        <v>5</v>
      </c>
      <c r="C159" t="s">
        <v>75</v>
      </c>
      <c r="D159">
        <v>2003</v>
      </c>
      <c r="E159">
        <v>80</v>
      </c>
      <c r="F159">
        <v>4</v>
      </c>
      <c r="H159">
        <v>98</v>
      </c>
      <c r="J159" s="2">
        <f t="shared" si="4"/>
        <v>5.2655714580000001</v>
      </c>
      <c r="K159">
        <v>4</v>
      </c>
      <c r="L159">
        <v>47</v>
      </c>
      <c r="N159" s="7">
        <f t="shared" si="5"/>
        <v>11.904546950999999</v>
      </c>
      <c r="O159">
        <v>2</v>
      </c>
      <c r="P159">
        <v>3</v>
      </c>
      <c r="Q159">
        <v>13.8</v>
      </c>
      <c r="R159">
        <v>44.4</v>
      </c>
      <c r="S159" t="s">
        <v>35</v>
      </c>
      <c r="T159" t="s">
        <v>44</v>
      </c>
      <c r="U159" t="s">
        <v>31</v>
      </c>
      <c r="V159" t="s">
        <v>31</v>
      </c>
      <c r="W159" t="s">
        <v>31</v>
      </c>
      <c r="X159" t="s">
        <v>76</v>
      </c>
      <c r="Y159" t="s">
        <v>93</v>
      </c>
      <c r="Z159">
        <v>40.418889999999998</v>
      </c>
      <c r="AA159" s="12">
        <v>-3.6919400000000002</v>
      </c>
      <c r="AB159" t="s">
        <v>31</v>
      </c>
      <c r="AC159">
        <v>0.27779999999999999</v>
      </c>
    </row>
    <row r="160" spans="1:29" x14ac:dyDescent="0.2">
      <c r="A160">
        <v>22</v>
      </c>
      <c r="B160">
        <v>6</v>
      </c>
      <c r="C160" t="s">
        <v>75</v>
      </c>
      <c r="D160">
        <v>2003</v>
      </c>
      <c r="E160">
        <v>120</v>
      </c>
      <c r="F160">
        <v>4</v>
      </c>
      <c r="H160">
        <v>96</v>
      </c>
      <c r="J160" s="2">
        <f t="shared" si="4"/>
        <v>5.1581108159999998</v>
      </c>
      <c r="K160">
        <v>4</v>
      </c>
      <c r="L160">
        <v>47</v>
      </c>
      <c r="N160" s="7">
        <f t="shared" si="5"/>
        <v>11.904546950999999</v>
      </c>
      <c r="O160">
        <v>2</v>
      </c>
      <c r="P160">
        <v>3</v>
      </c>
      <c r="Q160">
        <v>13.8</v>
      </c>
      <c r="R160">
        <v>44.4</v>
      </c>
      <c r="S160" t="s">
        <v>35</v>
      </c>
      <c r="T160" t="s">
        <v>44</v>
      </c>
      <c r="U160" t="s">
        <v>31</v>
      </c>
      <c r="V160" t="s">
        <v>31</v>
      </c>
      <c r="W160" t="s">
        <v>31</v>
      </c>
      <c r="X160" t="s">
        <v>76</v>
      </c>
      <c r="Y160" t="s">
        <v>93</v>
      </c>
      <c r="Z160">
        <v>40.418889999999998</v>
      </c>
      <c r="AA160" s="12">
        <v>-3.6919400000000002</v>
      </c>
      <c r="AB160" t="s">
        <v>31</v>
      </c>
      <c r="AC160">
        <v>0.27779999999999999</v>
      </c>
    </row>
    <row r="161" spans="1:29" x14ac:dyDescent="0.2">
      <c r="A161">
        <v>22</v>
      </c>
      <c r="B161">
        <v>7</v>
      </c>
      <c r="C161" t="s">
        <v>75</v>
      </c>
      <c r="D161">
        <v>2003</v>
      </c>
      <c r="E161">
        <v>40</v>
      </c>
      <c r="F161">
        <v>4</v>
      </c>
      <c r="H161">
        <v>96</v>
      </c>
      <c r="J161" s="2">
        <f t="shared" si="4"/>
        <v>5.1581108159999998</v>
      </c>
      <c r="K161">
        <v>4</v>
      </c>
      <c r="L161">
        <v>59</v>
      </c>
      <c r="N161" s="7">
        <f t="shared" si="5"/>
        <v>14.944005746999999</v>
      </c>
      <c r="O161">
        <v>3</v>
      </c>
      <c r="P161">
        <v>4</v>
      </c>
      <c r="Q161">
        <v>13.8</v>
      </c>
      <c r="R161">
        <v>44.4</v>
      </c>
      <c r="S161" t="s">
        <v>35</v>
      </c>
      <c r="T161" t="s">
        <v>44</v>
      </c>
      <c r="U161" t="s">
        <v>31</v>
      </c>
      <c r="V161" t="s">
        <v>31</v>
      </c>
      <c r="W161" t="s">
        <v>31</v>
      </c>
      <c r="X161" t="s">
        <v>76</v>
      </c>
      <c r="Y161" t="s">
        <v>93</v>
      </c>
      <c r="Z161">
        <v>40.418889999999998</v>
      </c>
      <c r="AA161" s="12">
        <v>-3.6919400000000002</v>
      </c>
      <c r="AB161" t="s">
        <v>31</v>
      </c>
      <c r="AC161">
        <v>0.27779999999999999</v>
      </c>
    </row>
    <row r="162" spans="1:29" x14ac:dyDescent="0.2">
      <c r="A162">
        <v>22</v>
      </c>
      <c r="B162">
        <v>8</v>
      </c>
      <c r="C162" t="s">
        <v>75</v>
      </c>
      <c r="D162">
        <v>2003</v>
      </c>
      <c r="E162">
        <v>80</v>
      </c>
      <c r="F162">
        <v>4</v>
      </c>
      <c r="H162">
        <v>99</v>
      </c>
      <c r="J162" s="2">
        <f t="shared" si="4"/>
        <v>5.3193017789999999</v>
      </c>
      <c r="K162">
        <v>4</v>
      </c>
      <c r="L162">
        <v>59</v>
      </c>
      <c r="N162" s="7">
        <f t="shared" si="5"/>
        <v>14.944005746999999</v>
      </c>
      <c r="O162">
        <v>3</v>
      </c>
      <c r="P162">
        <v>4</v>
      </c>
      <c r="Q162">
        <v>13.8</v>
      </c>
      <c r="R162">
        <v>44.4</v>
      </c>
      <c r="S162" t="s">
        <v>35</v>
      </c>
      <c r="T162" t="s">
        <v>44</v>
      </c>
      <c r="U162" t="s">
        <v>31</v>
      </c>
      <c r="V162" t="s">
        <v>31</v>
      </c>
      <c r="W162" t="s">
        <v>31</v>
      </c>
      <c r="X162" t="s">
        <v>76</v>
      </c>
      <c r="Y162" t="s">
        <v>93</v>
      </c>
      <c r="Z162">
        <v>40.418889999999998</v>
      </c>
      <c r="AA162" s="12">
        <v>-3.6919400000000002</v>
      </c>
      <c r="AB162" t="s">
        <v>31</v>
      </c>
      <c r="AC162">
        <v>0.27779999999999999</v>
      </c>
    </row>
    <row r="163" spans="1:29" x14ac:dyDescent="0.2">
      <c r="A163">
        <v>22</v>
      </c>
      <c r="B163">
        <v>9</v>
      </c>
      <c r="C163" t="s">
        <v>75</v>
      </c>
      <c r="D163">
        <v>2003</v>
      </c>
      <c r="E163">
        <v>80</v>
      </c>
      <c r="F163">
        <v>4</v>
      </c>
      <c r="H163">
        <v>98</v>
      </c>
      <c r="J163" s="2">
        <f t="shared" si="4"/>
        <v>5.2655714580000001</v>
      </c>
      <c r="K163">
        <v>4</v>
      </c>
      <c r="L163">
        <v>59</v>
      </c>
      <c r="N163" s="7">
        <f t="shared" si="5"/>
        <v>14.944005746999999</v>
      </c>
      <c r="O163">
        <v>3</v>
      </c>
      <c r="P163">
        <v>4</v>
      </c>
      <c r="Q163">
        <v>13.8</v>
      </c>
      <c r="R163">
        <v>44.4</v>
      </c>
      <c r="S163" t="s">
        <v>35</v>
      </c>
      <c r="T163" t="s">
        <v>44</v>
      </c>
      <c r="U163" t="s">
        <v>31</v>
      </c>
      <c r="V163" t="s">
        <v>31</v>
      </c>
      <c r="W163" t="s">
        <v>31</v>
      </c>
      <c r="X163" t="s">
        <v>76</v>
      </c>
      <c r="Y163" t="s">
        <v>93</v>
      </c>
      <c r="Z163">
        <v>40.418889999999998</v>
      </c>
      <c r="AA163" s="12">
        <v>-3.6919400000000002</v>
      </c>
      <c r="AB163" t="s">
        <v>31</v>
      </c>
      <c r="AC163">
        <v>0.27779999999999999</v>
      </c>
    </row>
    <row r="164" spans="1:29" x14ac:dyDescent="0.2">
      <c r="A164">
        <v>23</v>
      </c>
      <c r="B164">
        <v>3</v>
      </c>
      <c r="C164" t="s">
        <v>77</v>
      </c>
      <c r="D164">
        <v>2009</v>
      </c>
      <c r="E164">
        <v>40</v>
      </c>
      <c r="F164">
        <v>4</v>
      </c>
      <c r="H164">
        <v>75</v>
      </c>
      <c r="J164" s="2">
        <f t="shared" si="4"/>
        <v>4.0297740749999997</v>
      </c>
      <c r="K164">
        <v>4</v>
      </c>
      <c r="L164">
        <v>50</v>
      </c>
      <c r="N164" s="7">
        <f t="shared" si="5"/>
        <v>12.664411649999998</v>
      </c>
      <c r="O164">
        <v>1</v>
      </c>
      <c r="P164">
        <v>2</v>
      </c>
      <c r="Q164">
        <v>14.3</v>
      </c>
      <c r="R164">
        <v>42.8</v>
      </c>
      <c r="S164" t="s">
        <v>35</v>
      </c>
      <c r="T164" t="s">
        <v>44</v>
      </c>
      <c r="U164" t="s">
        <v>29</v>
      </c>
      <c r="V164" t="s">
        <v>31</v>
      </c>
      <c r="W164" t="s">
        <v>31</v>
      </c>
      <c r="X164" t="s">
        <v>76</v>
      </c>
      <c r="Y164" t="s">
        <v>93</v>
      </c>
      <c r="Z164">
        <v>40.208889999999997</v>
      </c>
      <c r="AA164" s="12">
        <v>-3.5686100000000001</v>
      </c>
      <c r="AB164" t="s">
        <v>31</v>
      </c>
      <c r="AC164">
        <v>0.25140000000000001</v>
      </c>
    </row>
    <row r="165" spans="1:29" x14ac:dyDescent="0.2">
      <c r="A165">
        <v>23</v>
      </c>
      <c r="B165">
        <v>4</v>
      </c>
      <c r="C165" t="s">
        <v>77</v>
      </c>
      <c r="D165">
        <v>2009</v>
      </c>
      <c r="E165">
        <v>80</v>
      </c>
      <c r="F165">
        <v>4</v>
      </c>
      <c r="H165">
        <v>70</v>
      </c>
      <c r="J165" s="2">
        <f t="shared" si="4"/>
        <v>3.7611224699999997</v>
      </c>
      <c r="K165">
        <v>4</v>
      </c>
      <c r="L165">
        <v>50</v>
      </c>
      <c r="N165" s="7">
        <f t="shared" si="5"/>
        <v>12.664411649999998</v>
      </c>
      <c r="O165">
        <v>1</v>
      </c>
      <c r="P165">
        <v>2</v>
      </c>
      <c r="Q165">
        <v>14.3</v>
      </c>
      <c r="R165">
        <v>42.8</v>
      </c>
      <c r="S165" t="s">
        <v>35</v>
      </c>
      <c r="T165" t="s">
        <v>44</v>
      </c>
      <c r="U165" t="s">
        <v>29</v>
      </c>
      <c r="V165" t="s">
        <v>31</v>
      </c>
      <c r="W165" t="s">
        <v>31</v>
      </c>
      <c r="X165" t="s">
        <v>76</v>
      </c>
      <c r="Y165" t="s">
        <v>93</v>
      </c>
      <c r="Z165">
        <v>40.208889999999997</v>
      </c>
      <c r="AA165" s="12">
        <v>-3.5686100000000001</v>
      </c>
      <c r="AB165" t="s">
        <v>31</v>
      </c>
      <c r="AC165">
        <v>0.25140000000000001</v>
      </c>
    </row>
    <row r="166" spans="1:29" x14ac:dyDescent="0.2">
      <c r="A166">
        <v>23</v>
      </c>
      <c r="B166">
        <v>5</v>
      </c>
      <c r="C166" t="s">
        <v>77</v>
      </c>
      <c r="D166">
        <v>2009</v>
      </c>
      <c r="E166">
        <v>120</v>
      </c>
      <c r="F166">
        <v>4</v>
      </c>
      <c r="H166">
        <v>46</v>
      </c>
      <c r="J166" s="2">
        <f t="shared" si="4"/>
        <v>2.4715947659999999</v>
      </c>
      <c r="K166">
        <v>4</v>
      </c>
      <c r="L166">
        <v>50</v>
      </c>
      <c r="N166" s="7">
        <f t="shared" si="5"/>
        <v>12.664411649999998</v>
      </c>
      <c r="O166">
        <v>1</v>
      </c>
      <c r="P166">
        <v>2</v>
      </c>
      <c r="Q166">
        <v>14.3</v>
      </c>
      <c r="R166">
        <v>42.8</v>
      </c>
      <c r="S166" t="s">
        <v>35</v>
      </c>
      <c r="T166" t="s">
        <v>44</v>
      </c>
      <c r="U166" t="s">
        <v>29</v>
      </c>
      <c r="V166" t="s">
        <v>31</v>
      </c>
      <c r="W166" t="s">
        <v>31</v>
      </c>
      <c r="X166" t="s">
        <v>76</v>
      </c>
      <c r="Y166" t="s">
        <v>93</v>
      </c>
      <c r="Z166">
        <v>40.208889999999997</v>
      </c>
      <c r="AA166" s="12">
        <v>-3.5686100000000001</v>
      </c>
      <c r="AB166" t="s">
        <v>31</v>
      </c>
      <c r="AC166">
        <v>0.25140000000000001</v>
      </c>
    </row>
    <row r="167" spans="1:29" x14ac:dyDescent="0.2">
      <c r="A167">
        <v>23</v>
      </c>
      <c r="B167">
        <v>6</v>
      </c>
      <c r="C167" t="s">
        <v>77</v>
      </c>
      <c r="D167">
        <v>2009</v>
      </c>
      <c r="E167">
        <v>40</v>
      </c>
      <c r="F167">
        <v>4</v>
      </c>
      <c r="H167">
        <v>95</v>
      </c>
      <c r="J167" s="2">
        <f t="shared" si="4"/>
        <v>5.104380495</v>
      </c>
      <c r="K167">
        <v>4</v>
      </c>
      <c r="L167">
        <v>38</v>
      </c>
      <c r="N167" s="7">
        <f t="shared" si="5"/>
        <v>9.6249528539999982</v>
      </c>
      <c r="O167">
        <v>2</v>
      </c>
      <c r="P167">
        <v>3</v>
      </c>
      <c r="Q167">
        <v>14.3</v>
      </c>
      <c r="R167">
        <v>42.8</v>
      </c>
      <c r="S167" t="s">
        <v>35</v>
      </c>
      <c r="T167" t="s">
        <v>44</v>
      </c>
      <c r="U167" t="s">
        <v>29</v>
      </c>
      <c r="V167" t="s">
        <v>31</v>
      </c>
      <c r="W167" t="s">
        <v>31</v>
      </c>
      <c r="X167" t="s">
        <v>76</v>
      </c>
      <c r="Y167" t="s">
        <v>93</v>
      </c>
      <c r="Z167">
        <v>40.208889999999997</v>
      </c>
      <c r="AA167" s="12">
        <v>-3.5686100000000001</v>
      </c>
      <c r="AB167" t="s">
        <v>31</v>
      </c>
      <c r="AC167">
        <v>0.25140000000000001</v>
      </c>
    </row>
    <row r="168" spans="1:29" x14ac:dyDescent="0.2">
      <c r="A168">
        <v>23</v>
      </c>
      <c r="B168">
        <v>7</v>
      </c>
      <c r="C168" t="s">
        <v>77</v>
      </c>
      <c r="D168">
        <v>2009</v>
      </c>
      <c r="E168">
        <v>80</v>
      </c>
      <c r="F168">
        <v>4</v>
      </c>
      <c r="H168">
        <v>98</v>
      </c>
      <c r="J168" s="2">
        <f t="shared" si="4"/>
        <v>5.2655714580000001</v>
      </c>
      <c r="K168">
        <v>4</v>
      </c>
      <c r="L168">
        <v>38</v>
      </c>
      <c r="N168" s="7">
        <f t="shared" si="5"/>
        <v>9.6249528539999982</v>
      </c>
      <c r="O168">
        <v>2</v>
      </c>
      <c r="P168">
        <v>3</v>
      </c>
      <c r="Q168">
        <v>14.3</v>
      </c>
      <c r="R168">
        <v>42.8</v>
      </c>
      <c r="S168" t="s">
        <v>35</v>
      </c>
      <c r="T168" t="s">
        <v>44</v>
      </c>
      <c r="U168" t="s">
        <v>29</v>
      </c>
      <c r="V168" t="s">
        <v>31</v>
      </c>
      <c r="W168" t="s">
        <v>31</v>
      </c>
      <c r="X168" t="s">
        <v>76</v>
      </c>
      <c r="Y168" t="s">
        <v>93</v>
      </c>
      <c r="Z168">
        <v>40.208889999999997</v>
      </c>
      <c r="AA168" s="12">
        <v>-3.5686100000000001</v>
      </c>
      <c r="AB168" t="s">
        <v>31</v>
      </c>
      <c r="AC168">
        <v>0.25140000000000001</v>
      </c>
    </row>
    <row r="169" spans="1:29" x14ac:dyDescent="0.2">
      <c r="A169">
        <v>23</v>
      </c>
      <c r="B169">
        <v>8</v>
      </c>
      <c r="C169" t="s">
        <v>77</v>
      </c>
      <c r="D169">
        <v>2009</v>
      </c>
      <c r="E169">
        <v>120</v>
      </c>
      <c r="F169">
        <v>4</v>
      </c>
      <c r="H169">
        <v>96</v>
      </c>
      <c r="J169" s="2">
        <f t="shared" ref="J169:J205" si="6">0.053730321*H169</f>
        <v>5.1581108159999998</v>
      </c>
      <c r="K169">
        <v>4</v>
      </c>
      <c r="L169">
        <v>38</v>
      </c>
      <c r="N169" s="7">
        <f t="shared" ref="N169:N205" si="7">0.253288233*L169</f>
        <v>9.6249528539999982</v>
      </c>
      <c r="O169">
        <v>2</v>
      </c>
      <c r="P169">
        <v>3</v>
      </c>
      <c r="Q169">
        <v>14.3</v>
      </c>
      <c r="R169">
        <v>42.8</v>
      </c>
      <c r="S169" t="s">
        <v>35</v>
      </c>
      <c r="T169" t="s">
        <v>44</v>
      </c>
      <c r="U169" t="s">
        <v>29</v>
      </c>
      <c r="V169" t="s">
        <v>31</v>
      </c>
      <c r="W169" t="s">
        <v>31</v>
      </c>
      <c r="X169" t="s">
        <v>76</v>
      </c>
      <c r="Y169" t="s">
        <v>93</v>
      </c>
      <c r="Z169">
        <v>40.208889999999997</v>
      </c>
      <c r="AA169" s="12">
        <v>-3.5686100000000001</v>
      </c>
      <c r="AB169" t="s">
        <v>31</v>
      </c>
      <c r="AC169">
        <v>0.25140000000000001</v>
      </c>
    </row>
    <row r="170" spans="1:29" x14ac:dyDescent="0.2">
      <c r="A170">
        <v>23</v>
      </c>
      <c r="B170">
        <v>9</v>
      </c>
      <c r="C170" t="s">
        <v>77</v>
      </c>
      <c r="D170">
        <v>2009</v>
      </c>
      <c r="E170">
        <v>40</v>
      </c>
      <c r="F170">
        <v>4</v>
      </c>
      <c r="H170">
        <v>96</v>
      </c>
      <c r="J170" s="2">
        <f t="shared" si="6"/>
        <v>5.1581108159999998</v>
      </c>
      <c r="K170">
        <v>4</v>
      </c>
      <c r="L170">
        <v>50</v>
      </c>
      <c r="N170" s="7">
        <f t="shared" si="7"/>
        <v>12.664411649999998</v>
      </c>
      <c r="O170">
        <v>3</v>
      </c>
      <c r="P170">
        <v>4</v>
      </c>
      <c r="Q170">
        <v>14.3</v>
      </c>
      <c r="R170">
        <v>42.8</v>
      </c>
      <c r="S170" t="s">
        <v>35</v>
      </c>
      <c r="T170" t="s">
        <v>44</v>
      </c>
      <c r="U170" t="s">
        <v>29</v>
      </c>
      <c r="V170" t="s">
        <v>31</v>
      </c>
      <c r="W170" t="s">
        <v>31</v>
      </c>
      <c r="X170" t="s">
        <v>76</v>
      </c>
      <c r="Y170" t="s">
        <v>93</v>
      </c>
      <c r="Z170">
        <v>40.208889999999997</v>
      </c>
      <c r="AA170" s="12">
        <v>-3.5686100000000001</v>
      </c>
      <c r="AB170" t="s">
        <v>31</v>
      </c>
      <c r="AC170">
        <v>0.25140000000000001</v>
      </c>
    </row>
    <row r="171" spans="1:29" x14ac:dyDescent="0.2">
      <c r="A171">
        <v>23</v>
      </c>
      <c r="B171">
        <v>10</v>
      </c>
      <c r="C171" t="s">
        <v>77</v>
      </c>
      <c r="D171">
        <v>2009</v>
      </c>
      <c r="E171">
        <v>80</v>
      </c>
      <c r="F171">
        <v>4</v>
      </c>
      <c r="H171">
        <v>99</v>
      </c>
      <c r="J171" s="2">
        <f t="shared" si="6"/>
        <v>5.3193017789999999</v>
      </c>
      <c r="K171">
        <v>4</v>
      </c>
      <c r="L171">
        <v>50</v>
      </c>
      <c r="N171" s="7">
        <f t="shared" si="7"/>
        <v>12.664411649999998</v>
      </c>
      <c r="O171">
        <v>3</v>
      </c>
      <c r="P171">
        <v>4</v>
      </c>
      <c r="Q171">
        <v>14.3</v>
      </c>
      <c r="R171">
        <v>42.8</v>
      </c>
      <c r="S171" t="s">
        <v>35</v>
      </c>
      <c r="T171" t="s">
        <v>44</v>
      </c>
      <c r="U171" t="s">
        <v>29</v>
      </c>
      <c r="V171" t="s">
        <v>31</v>
      </c>
      <c r="W171" t="s">
        <v>31</v>
      </c>
      <c r="X171" t="s">
        <v>76</v>
      </c>
      <c r="Y171" t="s">
        <v>93</v>
      </c>
      <c r="Z171">
        <v>40.208889999999997</v>
      </c>
      <c r="AA171" s="12">
        <v>-3.5686100000000001</v>
      </c>
      <c r="AB171" t="s">
        <v>31</v>
      </c>
      <c r="AC171">
        <v>0.25140000000000001</v>
      </c>
    </row>
    <row r="172" spans="1:29" x14ac:dyDescent="0.2">
      <c r="A172">
        <v>23</v>
      </c>
      <c r="B172">
        <v>11</v>
      </c>
      <c r="C172" t="s">
        <v>77</v>
      </c>
      <c r="D172">
        <v>2009</v>
      </c>
      <c r="E172">
        <v>120</v>
      </c>
      <c r="F172">
        <v>4</v>
      </c>
      <c r="H172">
        <v>98</v>
      </c>
      <c r="J172" s="2">
        <f t="shared" si="6"/>
        <v>5.2655714580000001</v>
      </c>
      <c r="K172">
        <v>4</v>
      </c>
      <c r="L172">
        <v>50</v>
      </c>
      <c r="N172" s="7">
        <f t="shared" si="7"/>
        <v>12.664411649999998</v>
      </c>
      <c r="O172">
        <v>3</v>
      </c>
      <c r="P172">
        <v>4</v>
      </c>
      <c r="Q172">
        <v>14.3</v>
      </c>
      <c r="R172">
        <v>42.8</v>
      </c>
      <c r="S172" t="s">
        <v>35</v>
      </c>
      <c r="T172" t="s">
        <v>44</v>
      </c>
      <c r="U172" t="s">
        <v>29</v>
      </c>
      <c r="V172" t="s">
        <v>31</v>
      </c>
      <c r="W172" t="s">
        <v>31</v>
      </c>
      <c r="X172" t="s">
        <v>76</v>
      </c>
      <c r="Y172" t="s">
        <v>93</v>
      </c>
      <c r="Z172">
        <v>40.208889999999997</v>
      </c>
      <c r="AA172" s="12">
        <v>-3.5686100000000001</v>
      </c>
      <c r="AB172" t="s">
        <v>31</v>
      </c>
      <c r="AC172">
        <v>0.25140000000000001</v>
      </c>
    </row>
    <row r="173" spans="1:29" x14ac:dyDescent="0.2">
      <c r="A173">
        <v>23</v>
      </c>
      <c r="B173">
        <v>12</v>
      </c>
      <c r="C173" t="s">
        <v>77</v>
      </c>
      <c r="D173">
        <v>2009</v>
      </c>
      <c r="E173">
        <v>40</v>
      </c>
      <c r="F173">
        <v>4</v>
      </c>
      <c r="H173">
        <v>96</v>
      </c>
      <c r="J173" s="2">
        <f t="shared" si="6"/>
        <v>5.1581108159999998</v>
      </c>
      <c r="K173">
        <v>4</v>
      </c>
      <c r="L173">
        <v>50</v>
      </c>
      <c r="N173" s="7">
        <f t="shared" si="7"/>
        <v>12.664411649999998</v>
      </c>
      <c r="O173">
        <v>4</v>
      </c>
      <c r="P173">
        <v>5</v>
      </c>
      <c r="Q173">
        <v>14.3</v>
      </c>
      <c r="R173">
        <v>42.8</v>
      </c>
      <c r="S173" t="s">
        <v>35</v>
      </c>
      <c r="T173" t="s">
        <v>44</v>
      </c>
      <c r="U173" t="s">
        <v>29</v>
      </c>
      <c r="V173" t="s">
        <v>31</v>
      </c>
      <c r="W173" t="s">
        <v>31</v>
      </c>
      <c r="X173" t="s">
        <v>76</v>
      </c>
      <c r="Y173" t="s">
        <v>93</v>
      </c>
      <c r="Z173">
        <v>40.208889999999997</v>
      </c>
      <c r="AA173" s="12">
        <v>-3.5686100000000001</v>
      </c>
      <c r="AB173" t="s">
        <v>31</v>
      </c>
      <c r="AC173">
        <v>0.25140000000000001</v>
      </c>
    </row>
    <row r="174" spans="1:29" x14ac:dyDescent="0.2">
      <c r="A174">
        <v>23</v>
      </c>
      <c r="B174">
        <v>13</v>
      </c>
      <c r="C174" t="s">
        <v>77</v>
      </c>
      <c r="D174">
        <v>2009</v>
      </c>
      <c r="E174">
        <v>80</v>
      </c>
      <c r="F174">
        <v>4</v>
      </c>
      <c r="H174">
        <v>98</v>
      </c>
      <c r="J174" s="2">
        <f t="shared" si="6"/>
        <v>5.2655714580000001</v>
      </c>
      <c r="K174">
        <v>4</v>
      </c>
      <c r="L174">
        <v>50</v>
      </c>
      <c r="N174" s="7">
        <f t="shared" si="7"/>
        <v>12.664411649999998</v>
      </c>
      <c r="O174">
        <v>4</v>
      </c>
      <c r="P174">
        <v>5</v>
      </c>
      <c r="Q174">
        <v>14.3</v>
      </c>
      <c r="R174">
        <v>42.8</v>
      </c>
      <c r="S174" t="s">
        <v>35</v>
      </c>
      <c r="T174" t="s">
        <v>44</v>
      </c>
      <c r="U174" t="s">
        <v>29</v>
      </c>
      <c r="V174" t="s">
        <v>31</v>
      </c>
      <c r="W174" t="s">
        <v>31</v>
      </c>
      <c r="X174" t="s">
        <v>76</v>
      </c>
      <c r="Y174" t="s">
        <v>93</v>
      </c>
      <c r="Z174">
        <v>40.208889999999997</v>
      </c>
      <c r="AA174" s="12">
        <v>-3.5686100000000001</v>
      </c>
      <c r="AB174" t="s">
        <v>31</v>
      </c>
      <c r="AC174">
        <v>0.25140000000000001</v>
      </c>
    </row>
    <row r="175" spans="1:29" x14ac:dyDescent="0.2">
      <c r="A175">
        <v>23</v>
      </c>
      <c r="B175">
        <v>14</v>
      </c>
      <c r="C175" t="s">
        <v>77</v>
      </c>
      <c r="D175">
        <v>2009</v>
      </c>
      <c r="E175">
        <v>120</v>
      </c>
      <c r="F175">
        <v>4</v>
      </c>
      <c r="H175">
        <v>98</v>
      </c>
      <c r="J175" s="2">
        <f t="shared" si="6"/>
        <v>5.2655714580000001</v>
      </c>
      <c r="K175">
        <v>4</v>
      </c>
      <c r="L175">
        <v>50</v>
      </c>
      <c r="N175" s="7">
        <f t="shared" si="7"/>
        <v>12.664411649999998</v>
      </c>
      <c r="O175">
        <v>4</v>
      </c>
      <c r="P175">
        <v>5</v>
      </c>
      <c r="Q175">
        <v>14.3</v>
      </c>
      <c r="R175">
        <v>42.8</v>
      </c>
      <c r="S175" t="s">
        <v>35</v>
      </c>
      <c r="T175" t="s">
        <v>44</v>
      </c>
      <c r="U175" t="s">
        <v>29</v>
      </c>
      <c r="V175" t="s">
        <v>31</v>
      </c>
      <c r="W175" t="s">
        <v>31</v>
      </c>
      <c r="X175" t="s">
        <v>76</v>
      </c>
      <c r="Y175" t="s">
        <v>93</v>
      </c>
      <c r="Z175">
        <v>40.208889999999997</v>
      </c>
      <c r="AA175" s="12">
        <v>-3.5686100000000001</v>
      </c>
      <c r="AB175" t="s">
        <v>31</v>
      </c>
      <c r="AC175">
        <v>0.25140000000000001</v>
      </c>
    </row>
    <row r="176" spans="1:29" x14ac:dyDescent="0.2">
      <c r="A176">
        <v>23</v>
      </c>
      <c r="B176">
        <v>15</v>
      </c>
      <c r="C176" t="s">
        <v>77</v>
      </c>
      <c r="D176">
        <v>2009</v>
      </c>
      <c r="E176">
        <v>40</v>
      </c>
      <c r="F176">
        <v>4</v>
      </c>
      <c r="H176">
        <v>96</v>
      </c>
      <c r="J176" s="2">
        <f t="shared" si="6"/>
        <v>5.1581108159999998</v>
      </c>
      <c r="K176">
        <v>4</v>
      </c>
      <c r="L176">
        <v>38</v>
      </c>
      <c r="N176" s="7">
        <f t="shared" si="7"/>
        <v>9.6249528539999982</v>
      </c>
      <c r="O176">
        <v>5</v>
      </c>
      <c r="P176">
        <v>6</v>
      </c>
      <c r="Q176">
        <v>14.3</v>
      </c>
      <c r="R176">
        <v>42.8</v>
      </c>
      <c r="S176" t="s">
        <v>35</v>
      </c>
      <c r="T176" t="s">
        <v>44</v>
      </c>
      <c r="U176" t="s">
        <v>29</v>
      </c>
      <c r="V176" t="s">
        <v>31</v>
      </c>
      <c r="W176" t="s">
        <v>31</v>
      </c>
      <c r="X176" t="s">
        <v>76</v>
      </c>
      <c r="Y176" t="s">
        <v>93</v>
      </c>
      <c r="Z176">
        <v>40.208889999999997</v>
      </c>
      <c r="AA176" s="12">
        <v>-3.5686100000000001</v>
      </c>
      <c r="AB176" t="s">
        <v>31</v>
      </c>
      <c r="AC176">
        <v>0.25140000000000001</v>
      </c>
    </row>
    <row r="177" spans="1:29" x14ac:dyDescent="0.2">
      <c r="A177">
        <v>23</v>
      </c>
      <c r="B177">
        <v>16</v>
      </c>
      <c r="C177" t="s">
        <v>77</v>
      </c>
      <c r="D177">
        <v>2009</v>
      </c>
      <c r="E177">
        <v>80</v>
      </c>
      <c r="F177">
        <v>4</v>
      </c>
      <c r="H177">
        <v>93</v>
      </c>
      <c r="J177" s="2">
        <f t="shared" si="6"/>
        <v>4.9969198529999996</v>
      </c>
      <c r="K177">
        <v>4</v>
      </c>
      <c r="L177">
        <v>38</v>
      </c>
      <c r="N177" s="7">
        <f t="shared" si="7"/>
        <v>9.6249528539999982</v>
      </c>
      <c r="O177">
        <v>5</v>
      </c>
      <c r="P177">
        <v>6</v>
      </c>
      <c r="Q177">
        <v>14.3</v>
      </c>
      <c r="R177">
        <v>42.8</v>
      </c>
      <c r="S177" t="s">
        <v>35</v>
      </c>
      <c r="T177" t="s">
        <v>44</v>
      </c>
      <c r="U177" t="s">
        <v>29</v>
      </c>
      <c r="V177" t="s">
        <v>31</v>
      </c>
      <c r="W177" t="s">
        <v>31</v>
      </c>
      <c r="X177" t="s">
        <v>76</v>
      </c>
      <c r="Y177" t="s">
        <v>93</v>
      </c>
      <c r="Z177">
        <v>40.208889999999997</v>
      </c>
      <c r="AA177" s="12">
        <v>-3.5686100000000001</v>
      </c>
      <c r="AB177" t="s">
        <v>31</v>
      </c>
      <c r="AC177">
        <v>0.25140000000000001</v>
      </c>
    </row>
    <row r="178" spans="1:29" x14ac:dyDescent="0.2">
      <c r="A178">
        <v>23</v>
      </c>
      <c r="B178">
        <v>17</v>
      </c>
      <c r="C178" t="s">
        <v>77</v>
      </c>
      <c r="D178">
        <v>2009</v>
      </c>
      <c r="E178">
        <v>120</v>
      </c>
      <c r="F178">
        <v>4</v>
      </c>
      <c r="H178">
        <v>97</v>
      </c>
      <c r="J178" s="2">
        <f t="shared" si="6"/>
        <v>5.2118411369999995</v>
      </c>
      <c r="K178">
        <v>4</v>
      </c>
      <c r="L178">
        <v>38</v>
      </c>
      <c r="N178" s="7">
        <f t="shared" si="7"/>
        <v>9.6249528539999982</v>
      </c>
      <c r="O178">
        <v>5</v>
      </c>
      <c r="P178">
        <v>6</v>
      </c>
      <c r="Q178">
        <v>14.3</v>
      </c>
      <c r="R178">
        <v>42.8</v>
      </c>
      <c r="S178" t="s">
        <v>35</v>
      </c>
      <c r="T178" t="s">
        <v>44</v>
      </c>
      <c r="U178" t="s">
        <v>29</v>
      </c>
      <c r="V178" t="s">
        <v>31</v>
      </c>
      <c r="W178" t="s">
        <v>31</v>
      </c>
      <c r="X178" t="s">
        <v>76</v>
      </c>
      <c r="Y178" t="s">
        <v>93</v>
      </c>
      <c r="Z178">
        <v>40.208889999999997</v>
      </c>
      <c r="AA178" s="12">
        <v>-3.5686100000000001</v>
      </c>
      <c r="AB178" t="s">
        <v>31</v>
      </c>
      <c r="AC178">
        <v>0.25140000000000001</v>
      </c>
    </row>
    <row r="179" spans="1:29" x14ac:dyDescent="0.2">
      <c r="A179">
        <v>24</v>
      </c>
      <c r="B179">
        <v>1</v>
      </c>
      <c r="C179" t="s">
        <v>191</v>
      </c>
      <c r="D179">
        <v>2012</v>
      </c>
      <c r="E179">
        <v>5</v>
      </c>
      <c r="F179">
        <v>3</v>
      </c>
      <c r="H179">
        <v>13</v>
      </c>
      <c r="J179" s="2">
        <f t="shared" si="6"/>
        <v>0.69849417299999994</v>
      </c>
      <c r="K179">
        <v>3</v>
      </c>
      <c r="L179">
        <v>0</v>
      </c>
      <c r="N179" s="7">
        <f t="shared" si="7"/>
        <v>0</v>
      </c>
      <c r="O179">
        <v>5</v>
      </c>
      <c r="P179">
        <v>6</v>
      </c>
      <c r="Q179">
        <v>18</v>
      </c>
      <c r="R179">
        <v>31.5</v>
      </c>
      <c r="S179" t="s">
        <v>35</v>
      </c>
      <c r="T179" t="s">
        <v>46</v>
      </c>
      <c r="U179" t="s">
        <v>31</v>
      </c>
      <c r="V179" t="s">
        <v>31</v>
      </c>
      <c r="W179" t="s">
        <v>31</v>
      </c>
      <c r="X179" t="s">
        <v>78</v>
      </c>
      <c r="Y179" t="s">
        <v>93</v>
      </c>
      <c r="Z179">
        <v>37.6</v>
      </c>
      <c r="AA179" s="12">
        <v>-0.82</v>
      </c>
      <c r="AB179" t="s">
        <v>29</v>
      </c>
      <c r="AC179">
        <v>0.1719</v>
      </c>
    </row>
    <row r="180" spans="1:29" x14ac:dyDescent="0.2">
      <c r="A180">
        <v>24</v>
      </c>
      <c r="B180">
        <v>2</v>
      </c>
      <c r="C180" t="s">
        <v>191</v>
      </c>
      <c r="D180">
        <v>2012</v>
      </c>
      <c r="E180">
        <v>10</v>
      </c>
      <c r="F180">
        <v>3</v>
      </c>
      <c r="H180">
        <v>27</v>
      </c>
      <c r="J180" s="2">
        <f t="shared" si="6"/>
        <v>1.4507186669999999</v>
      </c>
      <c r="K180">
        <v>3</v>
      </c>
      <c r="L180">
        <v>0</v>
      </c>
      <c r="N180" s="7">
        <f t="shared" si="7"/>
        <v>0</v>
      </c>
      <c r="O180">
        <v>5</v>
      </c>
      <c r="P180">
        <v>6</v>
      </c>
      <c r="Q180">
        <v>18</v>
      </c>
      <c r="R180">
        <v>31.5</v>
      </c>
      <c r="S180" t="s">
        <v>35</v>
      </c>
      <c r="T180" t="s">
        <v>46</v>
      </c>
      <c r="U180" t="s">
        <v>31</v>
      </c>
      <c r="V180" t="s">
        <v>31</v>
      </c>
      <c r="W180" t="s">
        <v>31</v>
      </c>
      <c r="X180" t="s">
        <v>78</v>
      </c>
      <c r="Y180" t="s">
        <v>93</v>
      </c>
      <c r="Z180">
        <v>37.6</v>
      </c>
      <c r="AA180" s="12">
        <v>-0.82</v>
      </c>
      <c r="AB180" t="s">
        <v>29</v>
      </c>
      <c r="AC180">
        <v>0.1719</v>
      </c>
    </row>
    <row r="181" spans="1:29" x14ac:dyDescent="0.2">
      <c r="A181">
        <v>24</v>
      </c>
      <c r="B181">
        <v>3</v>
      </c>
      <c r="C181" t="s">
        <v>191</v>
      </c>
      <c r="D181">
        <v>2012</v>
      </c>
      <c r="E181">
        <v>20</v>
      </c>
      <c r="F181">
        <v>3</v>
      </c>
      <c r="H181">
        <v>32</v>
      </c>
      <c r="J181" s="2">
        <f t="shared" si="6"/>
        <v>1.7193702719999999</v>
      </c>
      <c r="K181">
        <v>3</v>
      </c>
      <c r="L181">
        <v>0</v>
      </c>
      <c r="N181" s="7">
        <f t="shared" si="7"/>
        <v>0</v>
      </c>
      <c r="O181">
        <v>5</v>
      </c>
      <c r="P181">
        <v>6</v>
      </c>
      <c r="Q181">
        <v>18</v>
      </c>
      <c r="R181">
        <v>31.5</v>
      </c>
      <c r="S181" t="s">
        <v>35</v>
      </c>
      <c r="T181" t="s">
        <v>46</v>
      </c>
      <c r="U181" t="s">
        <v>31</v>
      </c>
      <c r="V181" t="s">
        <v>31</v>
      </c>
      <c r="W181" t="s">
        <v>31</v>
      </c>
      <c r="X181" t="s">
        <v>78</v>
      </c>
      <c r="Y181" t="s">
        <v>93</v>
      </c>
      <c r="Z181">
        <v>37.6</v>
      </c>
      <c r="AA181" s="12">
        <v>-0.82</v>
      </c>
      <c r="AB181" t="s">
        <v>29</v>
      </c>
      <c r="AC181">
        <v>0.1719</v>
      </c>
    </row>
    <row r="182" spans="1:29" x14ac:dyDescent="0.2">
      <c r="A182">
        <v>25</v>
      </c>
      <c r="B182">
        <v>1</v>
      </c>
      <c r="C182" t="s">
        <v>79</v>
      </c>
      <c r="D182">
        <v>2010</v>
      </c>
      <c r="E182">
        <f>3.37</f>
        <v>3.37</v>
      </c>
      <c r="F182">
        <v>6</v>
      </c>
      <c r="H182">
        <f>21.3+58.6+16.7+0.4+2.9</f>
        <v>99.90000000000002</v>
      </c>
      <c r="J182" s="2">
        <f t="shared" si="6"/>
        <v>5.3676590679000009</v>
      </c>
      <c r="K182">
        <v>6</v>
      </c>
      <c r="L182">
        <f t="shared" ref="L182:L196" si="8">45.3+6.9+45.3+1.1+1.4</f>
        <v>100</v>
      </c>
      <c r="N182" s="7">
        <f t="shared" si="7"/>
        <v>25.328823299999996</v>
      </c>
      <c r="O182">
        <v>1</v>
      </c>
      <c r="P182">
        <v>2</v>
      </c>
      <c r="Q182">
        <v>10.3</v>
      </c>
      <c r="R182">
        <v>45.1</v>
      </c>
      <c r="S182" t="s">
        <v>35</v>
      </c>
      <c r="U182" t="s">
        <v>31</v>
      </c>
      <c r="V182" t="s">
        <v>31</v>
      </c>
      <c r="W182" t="s">
        <v>31</v>
      </c>
      <c r="X182" t="s">
        <v>80</v>
      </c>
      <c r="Y182" t="s">
        <v>91</v>
      </c>
      <c r="Z182">
        <v>40.700000000000003</v>
      </c>
      <c r="AA182" s="12">
        <v>-111.916</v>
      </c>
      <c r="AB182" t="s">
        <v>31</v>
      </c>
      <c r="AC182">
        <v>0.2482</v>
      </c>
    </row>
    <row r="183" spans="1:29" x14ac:dyDescent="0.2">
      <c r="A183">
        <v>25</v>
      </c>
      <c r="B183">
        <v>2</v>
      </c>
      <c r="C183" t="s">
        <v>79</v>
      </c>
      <c r="D183">
        <v>2010</v>
      </c>
      <c r="E183">
        <f>3.37*5</f>
        <v>16.850000000000001</v>
      </c>
      <c r="F183">
        <v>6</v>
      </c>
      <c r="H183">
        <f>35.5+37.6+24.1+0.4+1.2+0.8+0.4</f>
        <v>100</v>
      </c>
      <c r="J183" s="2">
        <f t="shared" si="6"/>
        <v>5.3730320999999996</v>
      </c>
      <c r="K183">
        <v>6</v>
      </c>
      <c r="L183">
        <f t="shared" si="8"/>
        <v>100</v>
      </c>
      <c r="N183" s="7">
        <f t="shared" si="7"/>
        <v>25.328823299999996</v>
      </c>
      <c r="O183">
        <v>1</v>
      </c>
      <c r="P183">
        <v>2</v>
      </c>
      <c r="Q183">
        <v>10.3</v>
      </c>
      <c r="R183">
        <v>45.1</v>
      </c>
      <c r="S183" t="s">
        <v>35</v>
      </c>
      <c r="U183" t="s">
        <v>31</v>
      </c>
      <c r="V183" t="s">
        <v>31</v>
      </c>
      <c r="W183" t="s">
        <v>31</v>
      </c>
      <c r="X183" t="s">
        <v>80</v>
      </c>
      <c r="Y183" t="s">
        <v>91</v>
      </c>
      <c r="Z183">
        <v>40.700000000000003</v>
      </c>
      <c r="AA183" s="12">
        <v>-111.916</v>
      </c>
      <c r="AB183" t="s">
        <v>31</v>
      </c>
      <c r="AC183">
        <v>0.2482</v>
      </c>
    </row>
    <row r="184" spans="1:29" x14ac:dyDescent="0.2">
      <c r="A184">
        <v>25</v>
      </c>
      <c r="B184">
        <v>3</v>
      </c>
      <c r="C184" t="s">
        <v>79</v>
      </c>
      <c r="D184">
        <v>2010</v>
      </c>
      <c r="E184">
        <f>3.37*10</f>
        <v>33.700000000000003</v>
      </c>
      <c r="F184">
        <v>6</v>
      </c>
      <c r="H184">
        <f>52.2+25.8+17.4+2.5+0.6+1.6</f>
        <v>100.1</v>
      </c>
      <c r="J184" s="2">
        <f t="shared" si="6"/>
        <v>5.3784051320999993</v>
      </c>
      <c r="K184">
        <v>6</v>
      </c>
      <c r="L184">
        <f t="shared" si="8"/>
        <v>100</v>
      </c>
      <c r="N184" s="7">
        <f t="shared" si="7"/>
        <v>25.328823299999996</v>
      </c>
      <c r="O184">
        <v>1</v>
      </c>
      <c r="P184">
        <v>2</v>
      </c>
      <c r="Q184">
        <v>10.3</v>
      </c>
      <c r="R184">
        <v>45.1</v>
      </c>
      <c r="S184" t="s">
        <v>35</v>
      </c>
      <c r="U184" t="s">
        <v>31</v>
      </c>
      <c r="V184" t="s">
        <v>31</v>
      </c>
      <c r="W184" t="s">
        <v>31</v>
      </c>
      <c r="X184" t="s">
        <v>80</v>
      </c>
      <c r="Y184" t="s">
        <v>91</v>
      </c>
      <c r="Z184">
        <v>40.700000000000003</v>
      </c>
      <c r="AA184" s="12">
        <v>-111.916</v>
      </c>
      <c r="AB184" t="s">
        <v>31</v>
      </c>
      <c r="AC184">
        <v>0.2482</v>
      </c>
    </row>
    <row r="185" spans="1:29" x14ac:dyDescent="0.2">
      <c r="A185">
        <v>25</v>
      </c>
      <c r="B185">
        <v>4</v>
      </c>
      <c r="C185" t="s">
        <v>79</v>
      </c>
      <c r="D185">
        <v>2010</v>
      </c>
      <c r="E185" s="1">
        <f>3.37*20</f>
        <v>67.400000000000006</v>
      </c>
      <c r="F185">
        <v>6</v>
      </c>
      <c r="H185">
        <f>55.3+35.1+9.3+0.3</f>
        <v>100</v>
      </c>
      <c r="J185" s="2">
        <f t="shared" si="6"/>
        <v>5.3730320999999996</v>
      </c>
      <c r="K185">
        <v>6</v>
      </c>
      <c r="L185">
        <f t="shared" si="8"/>
        <v>100</v>
      </c>
      <c r="N185" s="7">
        <f t="shared" si="7"/>
        <v>25.328823299999996</v>
      </c>
      <c r="O185">
        <v>1</v>
      </c>
      <c r="P185">
        <v>2</v>
      </c>
      <c r="Q185">
        <v>10.3</v>
      </c>
      <c r="R185">
        <v>45.1</v>
      </c>
      <c r="S185" t="s">
        <v>35</v>
      </c>
      <c r="U185" t="s">
        <v>31</v>
      </c>
      <c r="V185" t="s">
        <v>31</v>
      </c>
      <c r="W185" t="s">
        <v>31</v>
      </c>
      <c r="X185" t="s">
        <v>80</v>
      </c>
      <c r="Y185" t="s">
        <v>91</v>
      </c>
      <c r="Z185">
        <v>40.700000000000003</v>
      </c>
      <c r="AA185" s="12">
        <v>-111.916</v>
      </c>
      <c r="AB185" t="s">
        <v>31</v>
      </c>
      <c r="AC185">
        <v>0.2482</v>
      </c>
    </row>
    <row r="186" spans="1:29" x14ac:dyDescent="0.2">
      <c r="A186">
        <v>25</v>
      </c>
      <c r="B186">
        <v>5</v>
      </c>
      <c r="C186" t="s">
        <v>79</v>
      </c>
      <c r="D186">
        <v>2010</v>
      </c>
      <c r="E186">
        <v>1.8</v>
      </c>
      <c r="F186">
        <v>6</v>
      </c>
      <c r="H186">
        <f>45.3+22.8+30.9+0.9</f>
        <v>99.9</v>
      </c>
      <c r="J186" s="2">
        <f t="shared" si="6"/>
        <v>5.3676590679</v>
      </c>
      <c r="K186">
        <v>6</v>
      </c>
      <c r="L186">
        <f t="shared" si="8"/>
        <v>100</v>
      </c>
      <c r="N186" s="7">
        <f t="shared" si="7"/>
        <v>25.328823299999996</v>
      </c>
      <c r="O186">
        <v>1</v>
      </c>
      <c r="P186">
        <v>2</v>
      </c>
      <c r="Q186">
        <v>5</v>
      </c>
      <c r="R186">
        <v>67.8</v>
      </c>
      <c r="S186" t="s">
        <v>35</v>
      </c>
      <c r="U186" t="s">
        <v>31</v>
      </c>
      <c r="V186" t="s">
        <v>31</v>
      </c>
      <c r="W186" t="s">
        <v>31</v>
      </c>
      <c r="X186" t="s">
        <v>81</v>
      </c>
      <c r="Y186" t="s">
        <v>91</v>
      </c>
      <c r="Z186">
        <v>40.799999999999997</v>
      </c>
      <c r="AA186" s="12">
        <v>-111.6</v>
      </c>
      <c r="AB186" t="s">
        <v>31</v>
      </c>
      <c r="AC186">
        <v>0.34649999999999997</v>
      </c>
    </row>
    <row r="187" spans="1:29" x14ac:dyDescent="0.2">
      <c r="A187">
        <v>25</v>
      </c>
      <c r="B187">
        <v>6</v>
      </c>
      <c r="C187" t="s">
        <v>79</v>
      </c>
      <c r="D187">
        <v>2010</v>
      </c>
      <c r="E187">
        <f>E186*5</f>
        <v>9</v>
      </c>
      <c r="F187">
        <v>6</v>
      </c>
      <c r="H187">
        <f>41.7+31.8+24.4+1.8+0.4</f>
        <v>100.10000000000001</v>
      </c>
      <c r="J187" s="2">
        <f t="shared" si="6"/>
        <v>5.3784051321000002</v>
      </c>
      <c r="K187">
        <v>6</v>
      </c>
      <c r="L187">
        <f t="shared" si="8"/>
        <v>100</v>
      </c>
      <c r="N187" s="7">
        <f t="shared" si="7"/>
        <v>25.328823299999996</v>
      </c>
      <c r="O187">
        <v>1</v>
      </c>
      <c r="P187">
        <v>2</v>
      </c>
      <c r="Q187">
        <v>5</v>
      </c>
      <c r="R187">
        <v>67.8</v>
      </c>
      <c r="S187" t="s">
        <v>35</v>
      </c>
      <c r="U187" t="s">
        <v>31</v>
      </c>
      <c r="V187" t="s">
        <v>31</v>
      </c>
      <c r="W187" t="s">
        <v>31</v>
      </c>
      <c r="X187" t="s">
        <v>81</v>
      </c>
      <c r="Y187" t="s">
        <v>91</v>
      </c>
      <c r="Z187">
        <v>40.799999999999997</v>
      </c>
      <c r="AA187" s="12">
        <v>-111.6</v>
      </c>
      <c r="AB187" t="s">
        <v>31</v>
      </c>
      <c r="AC187">
        <v>0.34649999999999997</v>
      </c>
    </row>
    <row r="188" spans="1:29" x14ac:dyDescent="0.2">
      <c r="A188">
        <v>25</v>
      </c>
      <c r="B188">
        <v>7</v>
      </c>
      <c r="C188" t="s">
        <v>79</v>
      </c>
      <c r="D188">
        <v>2010</v>
      </c>
      <c r="E188">
        <f>E186*10</f>
        <v>18</v>
      </c>
      <c r="F188">
        <v>6</v>
      </c>
      <c r="H188">
        <f>26.7+38.7+31.4+2.6+0.5</f>
        <v>99.9</v>
      </c>
      <c r="J188" s="2">
        <f t="shared" si="6"/>
        <v>5.3676590679</v>
      </c>
      <c r="K188">
        <v>6</v>
      </c>
      <c r="L188">
        <f t="shared" si="8"/>
        <v>100</v>
      </c>
      <c r="N188" s="7">
        <f t="shared" si="7"/>
        <v>25.328823299999996</v>
      </c>
      <c r="O188">
        <v>1</v>
      </c>
      <c r="P188">
        <v>2</v>
      </c>
      <c r="Q188">
        <v>5</v>
      </c>
      <c r="R188">
        <v>67.8</v>
      </c>
      <c r="S188" t="s">
        <v>35</v>
      </c>
      <c r="U188" t="s">
        <v>31</v>
      </c>
      <c r="V188" t="s">
        <v>31</v>
      </c>
      <c r="W188" t="s">
        <v>31</v>
      </c>
      <c r="X188" t="s">
        <v>81</v>
      </c>
      <c r="Y188" t="s">
        <v>91</v>
      </c>
      <c r="Z188">
        <v>40.799999999999997</v>
      </c>
      <c r="AA188" s="12">
        <v>-111.6</v>
      </c>
      <c r="AB188" t="s">
        <v>31</v>
      </c>
      <c r="AC188">
        <v>0.34649999999999997</v>
      </c>
    </row>
    <row r="189" spans="1:29" x14ac:dyDescent="0.2">
      <c r="A189">
        <v>25</v>
      </c>
      <c r="B189">
        <v>8</v>
      </c>
      <c r="C189" t="s">
        <v>79</v>
      </c>
      <c r="D189">
        <v>2010</v>
      </c>
      <c r="E189">
        <f>E186*20</f>
        <v>36</v>
      </c>
      <c r="F189">
        <v>6</v>
      </c>
      <c r="H189">
        <f>41.6+25.7+24.3+6.5+1.9</f>
        <v>100</v>
      </c>
      <c r="J189" s="2">
        <f t="shared" si="6"/>
        <v>5.3730320999999996</v>
      </c>
      <c r="K189">
        <v>6</v>
      </c>
      <c r="L189">
        <f t="shared" si="8"/>
        <v>100</v>
      </c>
      <c r="N189" s="7">
        <f t="shared" si="7"/>
        <v>25.328823299999996</v>
      </c>
      <c r="O189">
        <v>1</v>
      </c>
      <c r="P189">
        <v>2</v>
      </c>
      <c r="Q189">
        <v>5</v>
      </c>
      <c r="R189">
        <v>67.8</v>
      </c>
      <c r="S189" t="s">
        <v>35</v>
      </c>
      <c r="U189" t="s">
        <v>31</v>
      </c>
      <c r="V189" t="s">
        <v>31</v>
      </c>
      <c r="W189" t="s">
        <v>31</v>
      </c>
      <c r="X189" t="s">
        <v>81</v>
      </c>
      <c r="Y189" t="s">
        <v>91</v>
      </c>
      <c r="Z189">
        <v>40.799999999999997</v>
      </c>
      <c r="AA189" s="12">
        <v>-111.6</v>
      </c>
      <c r="AB189" t="s">
        <v>31</v>
      </c>
      <c r="AC189">
        <v>0.34649999999999997</v>
      </c>
    </row>
    <row r="190" spans="1:29" x14ac:dyDescent="0.2">
      <c r="A190">
        <v>25</v>
      </c>
      <c r="B190">
        <v>9</v>
      </c>
      <c r="C190" t="s">
        <v>79</v>
      </c>
      <c r="D190">
        <v>2010</v>
      </c>
      <c r="E190">
        <v>7.63</v>
      </c>
      <c r="F190">
        <v>6</v>
      </c>
      <c r="H190">
        <f>25.7+54.8+16.5+0.17+0.9+0.4</f>
        <v>98.470000000000013</v>
      </c>
      <c r="J190" s="2">
        <f t="shared" si="6"/>
        <v>5.2908247088700007</v>
      </c>
      <c r="K190">
        <v>6</v>
      </c>
      <c r="L190">
        <f t="shared" si="8"/>
        <v>100</v>
      </c>
      <c r="N190" s="7">
        <f t="shared" si="7"/>
        <v>25.328823299999996</v>
      </c>
      <c r="O190">
        <v>1</v>
      </c>
      <c r="P190">
        <v>2</v>
      </c>
      <c r="Q190">
        <v>9.9</v>
      </c>
      <c r="R190">
        <v>50.4</v>
      </c>
      <c r="S190" t="s">
        <v>35</v>
      </c>
      <c r="U190" t="s">
        <v>31</v>
      </c>
      <c r="V190" t="s">
        <v>31</v>
      </c>
      <c r="W190" t="s">
        <v>31</v>
      </c>
      <c r="X190" t="s">
        <v>82</v>
      </c>
      <c r="Y190" t="s">
        <v>91</v>
      </c>
      <c r="Z190">
        <v>41</v>
      </c>
      <c r="AA190" s="12">
        <v>-112</v>
      </c>
      <c r="AB190" t="s">
        <v>31</v>
      </c>
      <c r="AC190">
        <v>0.26140000000000002</v>
      </c>
    </row>
    <row r="191" spans="1:29" x14ac:dyDescent="0.2">
      <c r="A191">
        <v>25</v>
      </c>
      <c r="B191">
        <v>10</v>
      </c>
      <c r="C191" t="s">
        <v>79</v>
      </c>
      <c r="D191">
        <v>2010</v>
      </c>
      <c r="E191">
        <f>E190*5</f>
        <v>38.15</v>
      </c>
      <c r="F191">
        <v>6</v>
      </c>
      <c r="H191">
        <f>21.5+38.5+33.7+5.4+0.5+0.5</f>
        <v>100.10000000000001</v>
      </c>
      <c r="J191" s="2">
        <f t="shared" si="6"/>
        <v>5.3784051321000002</v>
      </c>
      <c r="K191">
        <v>6</v>
      </c>
      <c r="L191">
        <f t="shared" si="8"/>
        <v>100</v>
      </c>
      <c r="N191" s="7">
        <f t="shared" si="7"/>
        <v>25.328823299999996</v>
      </c>
      <c r="O191">
        <v>1</v>
      </c>
      <c r="P191">
        <v>2</v>
      </c>
      <c r="Q191">
        <v>9.9</v>
      </c>
      <c r="R191">
        <v>50.4</v>
      </c>
      <c r="S191" t="s">
        <v>35</v>
      </c>
      <c r="U191" t="s">
        <v>31</v>
      </c>
      <c r="V191" t="s">
        <v>31</v>
      </c>
      <c r="W191" t="s">
        <v>31</v>
      </c>
      <c r="X191" t="s">
        <v>82</v>
      </c>
      <c r="Y191" t="s">
        <v>91</v>
      </c>
      <c r="Z191">
        <v>41</v>
      </c>
      <c r="AA191" s="12">
        <v>-112</v>
      </c>
      <c r="AB191" t="s">
        <v>31</v>
      </c>
      <c r="AC191">
        <v>0.26140000000000002</v>
      </c>
    </row>
    <row r="192" spans="1:29" x14ac:dyDescent="0.2">
      <c r="A192">
        <v>25</v>
      </c>
      <c r="B192">
        <v>11</v>
      </c>
      <c r="C192" t="s">
        <v>79</v>
      </c>
      <c r="D192">
        <v>2010</v>
      </c>
      <c r="E192">
        <f>E190*10</f>
        <v>76.3</v>
      </c>
      <c r="F192">
        <v>6</v>
      </c>
      <c r="H192">
        <f>51.5+31.2+16+0.9+0.4</f>
        <v>100.00000000000001</v>
      </c>
      <c r="J192" s="2">
        <f t="shared" si="6"/>
        <v>5.3730321000000005</v>
      </c>
      <c r="K192">
        <v>6</v>
      </c>
      <c r="L192">
        <f t="shared" si="8"/>
        <v>100</v>
      </c>
      <c r="N192" s="7">
        <f t="shared" si="7"/>
        <v>25.328823299999996</v>
      </c>
      <c r="O192">
        <v>1</v>
      </c>
      <c r="P192">
        <v>2</v>
      </c>
      <c r="Q192">
        <v>9.9</v>
      </c>
      <c r="R192">
        <v>50.4</v>
      </c>
      <c r="S192" t="s">
        <v>35</v>
      </c>
      <c r="U192" t="s">
        <v>31</v>
      </c>
      <c r="V192" t="s">
        <v>31</v>
      </c>
      <c r="W192" t="s">
        <v>31</v>
      </c>
      <c r="X192" t="s">
        <v>82</v>
      </c>
      <c r="Y192" t="s">
        <v>91</v>
      </c>
      <c r="Z192">
        <v>41</v>
      </c>
      <c r="AA192" s="12">
        <v>-112</v>
      </c>
      <c r="AB192" t="s">
        <v>31</v>
      </c>
      <c r="AC192">
        <v>0.26140000000000002</v>
      </c>
    </row>
    <row r="193" spans="1:29" x14ac:dyDescent="0.2">
      <c r="A193">
        <v>25</v>
      </c>
      <c r="B193">
        <v>12</v>
      </c>
      <c r="C193" t="s">
        <v>79</v>
      </c>
      <c r="D193">
        <v>2010</v>
      </c>
      <c r="E193">
        <f>E190*20</f>
        <v>152.6</v>
      </c>
      <c r="F193">
        <v>6</v>
      </c>
      <c r="H193">
        <f>59.6+27+7.9+2.8+1.1+1.7</f>
        <v>100.1</v>
      </c>
      <c r="J193" s="2">
        <f t="shared" si="6"/>
        <v>5.3784051320999993</v>
      </c>
      <c r="K193">
        <v>6</v>
      </c>
      <c r="L193">
        <f t="shared" si="8"/>
        <v>100</v>
      </c>
      <c r="N193" s="7">
        <f t="shared" si="7"/>
        <v>25.328823299999996</v>
      </c>
      <c r="O193">
        <v>1</v>
      </c>
      <c r="P193">
        <v>2</v>
      </c>
      <c r="Q193">
        <v>9.9</v>
      </c>
      <c r="R193">
        <v>50.4</v>
      </c>
      <c r="S193" t="s">
        <v>35</v>
      </c>
      <c r="U193" t="s">
        <v>31</v>
      </c>
      <c r="V193" t="s">
        <v>31</v>
      </c>
      <c r="W193" t="s">
        <v>31</v>
      </c>
      <c r="X193" t="s">
        <v>82</v>
      </c>
      <c r="Y193" t="s">
        <v>91</v>
      </c>
      <c r="Z193">
        <v>41</v>
      </c>
      <c r="AA193" s="12">
        <v>-112</v>
      </c>
      <c r="AB193" t="s">
        <v>31</v>
      </c>
      <c r="AC193">
        <v>0.26140000000000002</v>
      </c>
    </row>
    <row r="194" spans="1:29" x14ac:dyDescent="0.2">
      <c r="A194">
        <v>25</v>
      </c>
      <c r="B194">
        <v>13</v>
      </c>
      <c r="C194" t="s">
        <v>79</v>
      </c>
      <c r="D194">
        <v>2010</v>
      </c>
      <c r="E194">
        <v>19.760000000000002</v>
      </c>
      <c r="F194">
        <v>6</v>
      </c>
      <c r="H194">
        <f>72.5+18.4+4.2+3.6+1.2</f>
        <v>99.9</v>
      </c>
      <c r="J194" s="2">
        <f t="shared" si="6"/>
        <v>5.3676590679</v>
      </c>
      <c r="K194">
        <v>6</v>
      </c>
      <c r="L194">
        <f t="shared" si="8"/>
        <v>100</v>
      </c>
      <c r="N194" s="7">
        <f t="shared" si="7"/>
        <v>25.328823299999996</v>
      </c>
      <c r="O194">
        <v>1</v>
      </c>
      <c r="P194">
        <v>2</v>
      </c>
      <c r="Q194">
        <v>10.7</v>
      </c>
      <c r="R194">
        <v>19.3</v>
      </c>
      <c r="S194" t="s">
        <v>29</v>
      </c>
      <c r="U194" t="s">
        <v>31</v>
      </c>
      <c r="V194" t="s">
        <v>31</v>
      </c>
      <c r="W194" t="s">
        <v>31</v>
      </c>
      <c r="X194" t="s">
        <v>83</v>
      </c>
      <c r="Y194" t="s">
        <v>91</v>
      </c>
      <c r="Z194">
        <v>40.4</v>
      </c>
      <c r="AA194" s="12">
        <v>-113.2</v>
      </c>
      <c r="AB194" t="s">
        <v>31</v>
      </c>
      <c r="AC194">
        <v>9.5600000000000004E-2</v>
      </c>
    </row>
    <row r="195" spans="1:29" x14ac:dyDescent="0.2">
      <c r="A195">
        <v>25</v>
      </c>
      <c r="B195">
        <v>14</v>
      </c>
      <c r="C195" t="s">
        <v>79</v>
      </c>
      <c r="D195">
        <v>2010</v>
      </c>
      <c r="E195">
        <f>19.76*5</f>
        <v>98.800000000000011</v>
      </c>
      <c r="F195">
        <v>6</v>
      </c>
      <c r="H195">
        <f>51.5+35.2+10.6+1.1+1.1+0.4</f>
        <v>99.899999999999991</v>
      </c>
      <c r="J195" s="2">
        <f t="shared" si="6"/>
        <v>5.3676590678999991</v>
      </c>
      <c r="K195">
        <v>6</v>
      </c>
      <c r="L195">
        <f t="shared" si="8"/>
        <v>100</v>
      </c>
      <c r="N195" s="7">
        <f t="shared" si="7"/>
        <v>25.328823299999996</v>
      </c>
      <c r="O195">
        <v>1</v>
      </c>
      <c r="P195">
        <v>2</v>
      </c>
      <c r="Q195">
        <v>10.7</v>
      </c>
      <c r="R195">
        <v>19.3</v>
      </c>
      <c r="S195" t="s">
        <v>29</v>
      </c>
      <c r="U195" t="s">
        <v>31</v>
      </c>
      <c r="V195" t="s">
        <v>31</v>
      </c>
      <c r="W195" t="s">
        <v>31</v>
      </c>
      <c r="X195" t="s">
        <v>83</v>
      </c>
      <c r="Y195" t="s">
        <v>91</v>
      </c>
      <c r="Z195">
        <v>40.4</v>
      </c>
      <c r="AA195" s="12">
        <v>-113.2</v>
      </c>
      <c r="AB195" t="s">
        <v>31</v>
      </c>
      <c r="AC195">
        <v>9.5600000000000004E-2</v>
      </c>
    </row>
    <row r="196" spans="1:29" x14ac:dyDescent="0.2">
      <c r="A196">
        <v>25</v>
      </c>
      <c r="B196">
        <v>15</v>
      </c>
      <c r="C196" t="s">
        <v>79</v>
      </c>
      <c r="D196">
        <v>2010</v>
      </c>
      <c r="E196">
        <f>19.76*10</f>
        <v>197.60000000000002</v>
      </c>
      <c r="F196">
        <v>6</v>
      </c>
      <c r="H196">
        <f>46.5+32+12.9+7.9+0.4+0.4</f>
        <v>100.10000000000002</v>
      </c>
      <c r="J196" s="2">
        <f t="shared" si="6"/>
        <v>5.378405132100001</v>
      </c>
      <c r="K196">
        <v>6</v>
      </c>
      <c r="L196">
        <f t="shared" si="8"/>
        <v>100</v>
      </c>
      <c r="N196" s="7">
        <f t="shared" si="7"/>
        <v>25.328823299999996</v>
      </c>
      <c r="O196">
        <v>1</v>
      </c>
      <c r="P196">
        <v>2</v>
      </c>
      <c r="Q196">
        <v>10.7</v>
      </c>
      <c r="R196">
        <v>19.3</v>
      </c>
      <c r="S196" t="s">
        <v>29</v>
      </c>
      <c r="U196" t="s">
        <v>31</v>
      </c>
      <c r="V196" t="s">
        <v>31</v>
      </c>
      <c r="W196" t="s">
        <v>31</v>
      </c>
      <c r="X196" t="s">
        <v>83</v>
      </c>
      <c r="Y196" t="s">
        <v>91</v>
      </c>
      <c r="Z196">
        <v>40.4</v>
      </c>
      <c r="AA196" s="12">
        <v>-113.2</v>
      </c>
      <c r="AB196" t="s">
        <v>31</v>
      </c>
      <c r="AC196">
        <v>9.5600000000000004E-2</v>
      </c>
    </row>
    <row r="197" spans="1:29" x14ac:dyDescent="0.2">
      <c r="A197">
        <v>26</v>
      </c>
      <c r="B197">
        <v>1</v>
      </c>
      <c r="C197" t="s">
        <v>84</v>
      </c>
      <c r="D197">
        <v>2003</v>
      </c>
      <c r="E197">
        <v>250</v>
      </c>
      <c r="F197">
        <v>3</v>
      </c>
      <c r="H197">
        <v>39.6</v>
      </c>
      <c r="J197" s="2">
        <f t="shared" si="6"/>
        <v>2.1277207115999999</v>
      </c>
      <c r="K197">
        <v>3</v>
      </c>
      <c r="L197">
        <v>10.9</v>
      </c>
      <c r="N197" s="7">
        <f t="shared" si="7"/>
        <v>2.7608417397</v>
      </c>
      <c r="O197">
        <v>1</v>
      </c>
      <c r="P197">
        <v>2</v>
      </c>
      <c r="Q197">
        <v>17.100000000000001</v>
      </c>
      <c r="R197">
        <v>32.299999999999997</v>
      </c>
      <c r="S197" t="s">
        <v>31</v>
      </c>
      <c r="U197" t="s">
        <v>31</v>
      </c>
      <c r="V197" t="s">
        <v>31</v>
      </c>
      <c r="W197" t="s">
        <v>31</v>
      </c>
      <c r="X197" t="s">
        <v>85</v>
      </c>
      <c r="Y197" t="s">
        <v>93</v>
      </c>
      <c r="Z197">
        <v>38</v>
      </c>
      <c r="AA197" s="12">
        <v>-1.2</v>
      </c>
      <c r="AB197" t="s">
        <v>31</v>
      </c>
      <c r="AC197">
        <v>0.1711</v>
      </c>
    </row>
    <row r="198" spans="1:29" x14ac:dyDescent="0.2">
      <c r="A198">
        <v>26</v>
      </c>
      <c r="B198">
        <v>2</v>
      </c>
      <c r="C198" t="s">
        <v>84</v>
      </c>
      <c r="D198">
        <v>2003</v>
      </c>
      <c r="E198">
        <v>250</v>
      </c>
      <c r="F198">
        <v>3</v>
      </c>
      <c r="H198">
        <v>38.799999999999997</v>
      </c>
      <c r="J198" s="2">
        <f t="shared" si="6"/>
        <v>2.0847364547999998</v>
      </c>
      <c r="K198">
        <v>3</v>
      </c>
      <c r="L198">
        <v>10.9</v>
      </c>
      <c r="N198" s="7">
        <f t="shared" si="7"/>
        <v>2.7608417397</v>
      </c>
      <c r="O198">
        <v>1</v>
      </c>
      <c r="P198">
        <v>2</v>
      </c>
      <c r="Q198">
        <v>17.100000000000001</v>
      </c>
      <c r="R198">
        <v>32.299999999999997</v>
      </c>
      <c r="S198" t="s">
        <v>29</v>
      </c>
      <c r="U198" t="s">
        <v>31</v>
      </c>
      <c r="V198" t="s">
        <v>31</v>
      </c>
      <c r="W198" t="s">
        <v>31</v>
      </c>
      <c r="X198" t="s">
        <v>85</v>
      </c>
      <c r="Y198" t="s">
        <v>93</v>
      </c>
      <c r="Z198">
        <v>38</v>
      </c>
      <c r="AA198" s="12">
        <v>-1.2</v>
      </c>
      <c r="AB198" t="s">
        <v>31</v>
      </c>
      <c r="AC198">
        <v>0.1711</v>
      </c>
    </row>
    <row r="199" spans="1:29" x14ac:dyDescent="0.2">
      <c r="A199">
        <v>26</v>
      </c>
      <c r="B199">
        <v>1</v>
      </c>
      <c r="C199" t="s">
        <v>84</v>
      </c>
      <c r="D199">
        <v>2003</v>
      </c>
      <c r="E199">
        <v>250</v>
      </c>
      <c r="F199">
        <v>3</v>
      </c>
      <c r="H199">
        <v>88.8</v>
      </c>
      <c r="J199" s="2">
        <f t="shared" si="6"/>
        <v>4.7712525047999996</v>
      </c>
      <c r="K199">
        <v>3</v>
      </c>
      <c r="L199">
        <v>26.7</v>
      </c>
      <c r="N199" s="7">
        <f t="shared" si="7"/>
        <v>6.7627958210999992</v>
      </c>
      <c r="O199">
        <v>2</v>
      </c>
      <c r="P199">
        <v>3</v>
      </c>
      <c r="Q199">
        <v>17.100000000000001</v>
      </c>
      <c r="R199">
        <v>32.299999999999997</v>
      </c>
      <c r="S199" t="s">
        <v>31</v>
      </c>
      <c r="U199" t="s">
        <v>31</v>
      </c>
      <c r="V199" t="s">
        <v>31</v>
      </c>
      <c r="W199" t="s">
        <v>31</v>
      </c>
      <c r="X199" t="s">
        <v>85</v>
      </c>
      <c r="Y199" t="s">
        <v>93</v>
      </c>
      <c r="Z199">
        <v>38</v>
      </c>
      <c r="AA199" s="12">
        <v>-1.2</v>
      </c>
      <c r="AB199" t="s">
        <v>31</v>
      </c>
      <c r="AC199">
        <v>0.1711</v>
      </c>
    </row>
    <row r="200" spans="1:29" x14ac:dyDescent="0.2">
      <c r="A200">
        <v>26</v>
      </c>
      <c r="B200">
        <v>2</v>
      </c>
      <c r="C200" t="s">
        <v>84</v>
      </c>
      <c r="D200">
        <v>2003</v>
      </c>
      <c r="E200">
        <v>250</v>
      </c>
      <c r="F200">
        <v>3</v>
      </c>
      <c r="H200">
        <v>85.9</v>
      </c>
      <c r="J200" s="2">
        <f t="shared" si="6"/>
        <v>4.6154345739</v>
      </c>
      <c r="K200">
        <v>3</v>
      </c>
      <c r="L200">
        <v>26.7</v>
      </c>
      <c r="N200" s="7">
        <f t="shared" si="7"/>
        <v>6.7627958210999992</v>
      </c>
      <c r="O200">
        <v>2</v>
      </c>
      <c r="P200">
        <v>3</v>
      </c>
      <c r="Q200">
        <v>17.100000000000001</v>
      </c>
      <c r="R200">
        <v>32.299999999999997</v>
      </c>
      <c r="S200" t="s">
        <v>29</v>
      </c>
      <c r="U200" t="s">
        <v>31</v>
      </c>
      <c r="V200" t="s">
        <v>31</v>
      </c>
      <c r="W200" t="s">
        <v>31</v>
      </c>
      <c r="X200" t="s">
        <v>85</v>
      </c>
      <c r="Y200" t="s">
        <v>93</v>
      </c>
      <c r="Z200">
        <v>38</v>
      </c>
      <c r="AA200" s="12">
        <v>-1.2</v>
      </c>
      <c r="AB200" t="s">
        <v>31</v>
      </c>
      <c r="AC200">
        <v>0.1711</v>
      </c>
    </row>
    <row r="201" spans="1:29" x14ac:dyDescent="0.2">
      <c r="A201">
        <v>27</v>
      </c>
      <c r="B201">
        <v>1</v>
      </c>
      <c r="C201" t="s">
        <v>174</v>
      </c>
      <c r="D201">
        <v>1994</v>
      </c>
      <c r="E201">
        <v>224</v>
      </c>
      <c r="F201">
        <v>3</v>
      </c>
      <c r="H201">
        <v>91.3</v>
      </c>
      <c r="J201" s="2">
        <f t="shared" si="6"/>
        <v>4.9055783072999999</v>
      </c>
      <c r="K201">
        <v>3</v>
      </c>
      <c r="L201">
        <v>19.5</v>
      </c>
      <c r="N201" s="7">
        <f t="shared" si="7"/>
        <v>4.9391205434999996</v>
      </c>
      <c r="O201">
        <v>5</v>
      </c>
      <c r="P201">
        <v>6</v>
      </c>
      <c r="Q201">
        <v>10.6</v>
      </c>
      <c r="R201">
        <v>100.7</v>
      </c>
      <c r="S201" t="s">
        <v>31</v>
      </c>
      <c r="U201" t="s">
        <v>31</v>
      </c>
      <c r="V201" t="s">
        <v>29</v>
      </c>
      <c r="W201" t="s">
        <v>31</v>
      </c>
      <c r="X201" t="s">
        <v>87</v>
      </c>
      <c r="Y201" t="s">
        <v>93</v>
      </c>
      <c r="Z201">
        <v>39.700000000000003</v>
      </c>
      <c r="AA201" s="12">
        <v>-81.5</v>
      </c>
      <c r="AB201" t="s">
        <v>29</v>
      </c>
      <c r="AC201">
        <v>0.83640000000000003</v>
      </c>
    </row>
    <row r="202" spans="1:29" x14ac:dyDescent="0.2">
      <c r="A202">
        <v>27</v>
      </c>
      <c r="B202">
        <v>2</v>
      </c>
      <c r="C202" t="s">
        <v>174</v>
      </c>
      <c r="D202">
        <v>1994</v>
      </c>
      <c r="E202">
        <v>224</v>
      </c>
      <c r="F202">
        <v>3</v>
      </c>
      <c r="H202">
        <v>95.6</v>
      </c>
      <c r="J202" s="2">
        <f t="shared" si="6"/>
        <v>5.1366186875999995</v>
      </c>
      <c r="K202">
        <v>3</v>
      </c>
      <c r="L202">
        <v>14.7</v>
      </c>
      <c r="N202" s="7">
        <f t="shared" si="7"/>
        <v>3.7233370250999993</v>
      </c>
      <c r="O202">
        <v>9</v>
      </c>
      <c r="P202">
        <v>10</v>
      </c>
      <c r="Q202">
        <v>10.6</v>
      </c>
      <c r="R202">
        <v>100.7</v>
      </c>
      <c r="S202" t="s">
        <v>31</v>
      </c>
      <c r="U202" t="s">
        <v>31</v>
      </c>
      <c r="V202" t="s">
        <v>29</v>
      </c>
      <c r="W202" t="s">
        <v>31</v>
      </c>
      <c r="X202" t="s">
        <v>87</v>
      </c>
      <c r="Y202" t="s">
        <v>93</v>
      </c>
      <c r="Z202">
        <v>39.700000000000003</v>
      </c>
      <c r="AA202" s="12">
        <v>-81.5</v>
      </c>
      <c r="AB202" t="s">
        <v>29</v>
      </c>
      <c r="AC202">
        <v>0.83640000000000003</v>
      </c>
    </row>
    <row r="203" spans="1:29" x14ac:dyDescent="0.2">
      <c r="A203">
        <v>28</v>
      </c>
      <c r="B203">
        <v>1</v>
      </c>
      <c r="C203" t="s">
        <v>88</v>
      </c>
      <c r="D203">
        <v>1998</v>
      </c>
      <c r="E203">
        <v>22.4</v>
      </c>
      <c r="F203">
        <v>4</v>
      </c>
      <c r="H203">
        <v>53.4</v>
      </c>
      <c r="J203" s="2">
        <f t="shared" si="6"/>
        <v>2.8691991413999998</v>
      </c>
      <c r="K203">
        <v>4</v>
      </c>
      <c r="L203">
        <v>28.4</v>
      </c>
      <c r="N203" s="7">
        <f t="shared" si="7"/>
        <v>7.1933858171999985</v>
      </c>
      <c r="O203">
        <v>1</v>
      </c>
      <c r="P203">
        <v>2</v>
      </c>
      <c r="Q203">
        <v>10.6</v>
      </c>
      <c r="R203">
        <v>41.8</v>
      </c>
      <c r="S203" t="s">
        <v>31</v>
      </c>
      <c r="U203" t="s">
        <v>31</v>
      </c>
      <c r="V203" t="s">
        <v>29</v>
      </c>
      <c r="W203" t="s">
        <v>31</v>
      </c>
      <c r="X203" t="s">
        <v>89</v>
      </c>
      <c r="Y203" t="s">
        <v>91</v>
      </c>
      <c r="Z203">
        <v>40.700000000000003</v>
      </c>
      <c r="AA203" s="12">
        <v>-112.1</v>
      </c>
      <c r="AB203" t="s">
        <v>29</v>
      </c>
      <c r="AC203" s="4">
        <v>0.2482</v>
      </c>
    </row>
    <row r="204" spans="1:29" x14ac:dyDescent="0.2">
      <c r="A204">
        <v>28</v>
      </c>
      <c r="B204">
        <v>2</v>
      </c>
      <c r="C204" t="s">
        <v>88</v>
      </c>
      <c r="D204">
        <v>1998</v>
      </c>
      <c r="E204">
        <v>44.8</v>
      </c>
      <c r="F204">
        <v>4</v>
      </c>
      <c r="H204">
        <v>78.099999999999994</v>
      </c>
      <c r="J204" s="2">
        <f t="shared" si="6"/>
        <v>4.1963380700999995</v>
      </c>
      <c r="K204">
        <v>4</v>
      </c>
      <c r="L204">
        <v>28.4</v>
      </c>
      <c r="N204" s="7">
        <f t="shared" si="7"/>
        <v>7.1933858171999985</v>
      </c>
      <c r="O204">
        <v>1</v>
      </c>
      <c r="P204">
        <v>2</v>
      </c>
      <c r="Q204">
        <v>10.6</v>
      </c>
      <c r="R204">
        <v>41.8</v>
      </c>
      <c r="S204" t="s">
        <v>31</v>
      </c>
      <c r="U204" t="s">
        <v>31</v>
      </c>
      <c r="V204" t="s">
        <v>29</v>
      </c>
      <c r="W204" t="s">
        <v>31</v>
      </c>
      <c r="X204" t="s">
        <v>89</v>
      </c>
      <c r="Y204" t="s">
        <v>91</v>
      </c>
      <c r="Z204">
        <v>40.700000000000003</v>
      </c>
      <c r="AA204" s="12">
        <v>-112.1</v>
      </c>
      <c r="AB204" t="s">
        <v>29</v>
      </c>
      <c r="AC204" s="4">
        <v>0.2482</v>
      </c>
    </row>
    <row r="205" spans="1:29" x14ac:dyDescent="0.2">
      <c r="A205">
        <v>28</v>
      </c>
      <c r="B205">
        <v>3</v>
      </c>
      <c r="C205" t="s">
        <v>88</v>
      </c>
      <c r="D205">
        <v>1998</v>
      </c>
      <c r="E205">
        <v>67.2</v>
      </c>
      <c r="F205">
        <v>4</v>
      </c>
      <c r="H205">
        <v>67.400000000000006</v>
      </c>
      <c r="J205" s="2">
        <f t="shared" si="6"/>
        <v>3.6214236354000002</v>
      </c>
      <c r="K205">
        <v>4</v>
      </c>
      <c r="L205">
        <v>28.4</v>
      </c>
      <c r="N205" s="7">
        <f t="shared" si="7"/>
        <v>7.1933858171999985</v>
      </c>
      <c r="O205">
        <v>1</v>
      </c>
      <c r="P205">
        <v>2</v>
      </c>
      <c r="Q205">
        <v>10.6</v>
      </c>
      <c r="R205">
        <v>41.8</v>
      </c>
      <c r="S205" t="s">
        <v>31</v>
      </c>
      <c r="U205" t="s">
        <v>31</v>
      </c>
      <c r="V205" t="s">
        <v>29</v>
      </c>
      <c r="W205" t="s">
        <v>31</v>
      </c>
      <c r="X205" t="s">
        <v>89</v>
      </c>
      <c r="Y205" t="s">
        <v>91</v>
      </c>
      <c r="Z205">
        <v>40.700000000000003</v>
      </c>
      <c r="AA205" s="12">
        <v>-112.1</v>
      </c>
      <c r="AB205" t="s">
        <v>29</v>
      </c>
      <c r="AC205" s="4">
        <v>0.2482</v>
      </c>
    </row>
    <row r="206" spans="1:29" s="4" customFormat="1" x14ac:dyDescent="0.2">
      <c r="A206" s="4">
        <v>55</v>
      </c>
      <c r="B206" s="4">
        <v>1</v>
      </c>
      <c r="C206" s="3" t="s">
        <v>167</v>
      </c>
      <c r="D206" s="4">
        <v>2019</v>
      </c>
      <c r="E206" s="7">
        <v>45.722110899999997</v>
      </c>
      <c r="F206" s="4">
        <v>42</v>
      </c>
      <c r="G206" s="4" t="s">
        <v>49</v>
      </c>
      <c r="H206" s="4">
        <v>78</v>
      </c>
      <c r="I206" s="8">
        <v>18.794148025382796</v>
      </c>
      <c r="J206" s="6">
        <v>18.794148025382796</v>
      </c>
      <c r="K206" s="4">
        <v>42</v>
      </c>
      <c r="L206" s="4">
        <v>65</v>
      </c>
      <c r="M206" s="11">
        <v>30.459481282516943</v>
      </c>
      <c r="N206" s="7">
        <v>30.459481282516943</v>
      </c>
      <c r="O206" s="4">
        <v>10</v>
      </c>
      <c r="P206" s="4">
        <f t="shared" ref="P206:P215" si="9">O206+1</f>
        <v>11</v>
      </c>
      <c r="Q206">
        <v>13</v>
      </c>
      <c r="R206">
        <v>47</v>
      </c>
      <c r="S206" t="s">
        <v>31</v>
      </c>
      <c r="U206" t="s">
        <v>31</v>
      </c>
      <c r="V206" t="s">
        <v>31</v>
      </c>
      <c r="W206" t="s">
        <v>31</v>
      </c>
      <c r="X206" s="4" t="s">
        <v>163</v>
      </c>
      <c r="Y206" s="4" t="s">
        <v>93</v>
      </c>
      <c r="Z206" s="12">
        <v>41.9</v>
      </c>
      <c r="AA206" s="12">
        <v>-1.6</v>
      </c>
      <c r="AB206" s="4" t="s">
        <v>31</v>
      </c>
      <c r="AC206" s="4">
        <v>0.27639999999999998</v>
      </c>
    </row>
    <row r="207" spans="1:29" s="4" customFormat="1" x14ac:dyDescent="0.2">
      <c r="A207" s="4">
        <v>56</v>
      </c>
      <c r="B207" s="4">
        <v>1</v>
      </c>
      <c r="C207" s="4" t="s">
        <v>192</v>
      </c>
      <c r="D207" s="4">
        <v>2019</v>
      </c>
      <c r="E207" s="4">
        <v>60</v>
      </c>
      <c r="F207" s="4">
        <v>6</v>
      </c>
      <c r="G207" s="4" t="s">
        <v>28</v>
      </c>
      <c r="H207" s="4">
        <v>47.8</v>
      </c>
      <c r="I207" s="4">
        <v>12.8</v>
      </c>
      <c r="J207" s="4">
        <v>12.8</v>
      </c>
      <c r="K207" s="4">
        <v>6</v>
      </c>
      <c r="L207" s="4">
        <v>2.64</v>
      </c>
      <c r="M207" s="4">
        <v>2.31</v>
      </c>
      <c r="N207" s="4">
        <v>2.31</v>
      </c>
      <c r="O207" s="4">
        <v>1</v>
      </c>
      <c r="P207" s="4">
        <f t="shared" si="9"/>
        <v>2</v>
      </c>
      <c r="Q207">
        <v>6.4</v>
      </c>
      <c r="R207">
        <v>96</v>
      </c>
      <c r="S207" t="s">
        <v>29</v>
      </c>
      <c r="U207" t="s">
        <v>31</v>
      </c>
      <c r="V207" t="s">
        <v>29</v>
      </c>
      <c r="W207" t="s">
        <v>31</v>
      </c>
      <c r="X207" s="5" t="s">
        <v>164</v>
      </c>
      <c r="Y207" s="4" t="s">
        <v>92</v>
      </c>
      <c r="Z207" s="4">
        <v>-40.994753000000003</v>
      </c>
      <c r="AA207" s="15">
        <v>-71.496300000000005</v>
      </c>
      <c r="AB207" s="4" t="s">
        <v>31</v>
      </c>
      <c r="AC207" s="4">
        <v>0.97350000000000003</v>
      </c>
    </row>
    <row r="208" spans="1:29" s="4" customFormat="1" x14ac:dyDescent="0.2">
      <c r="A208" s="1">
        <v>57</v>
      </c>
      <c r="B208" s="1">
        <v>1</v>
      </c>
      <c r="C208" s="1" t="s">
        <v>193</v>
      </c>
      <c r="D208" s="1">
        <v>2019</v>
      </c>
      <c r="E208" s="1">
        <v>250</v>
      </c>
      <c r="F208" s="1">
        <v>1</v>
      </c>
      <c r="H208" s="1">
        <v>92.6</v>
      </c>
      <c r="J208" s="2">
        <f>0.053730321*H208</f>
        <v>4.9754277245999994</v>
      </c>
      <c r="K208" s="1">
        <v>1</v>
      </c>
      <c r="L208" s="1">
        <v>20</v>
      </c>
      <c r="N208" s="7">
        <f>0.253288233*L208</f>
        <v>5.0657646599999993</v>
      </c>
      <c r="O208" s="1">
        <v>16</v>
      </c>
      <c r="P208" s="4">
        <f t="shared" si="9"/>
        <v>17</v>
      </c>
      <c r="Q208">
        <v>21.4</v>
      </c>
      <c r="R208">
        <v>152.19999999999999</v>
      </c>
      <c r="S208" s="1" t="s">
        <v>31</v>
      </c>
      <c r="U208" s="1" t="s">
        <v>31</v>
      </c>
      <c r="V208" s="1" t="s">
        <v>31</v>
      </c>
      <c r="W208" t="s">
        <v>31</v>
      </c>
      <c r="Y208" s="1" t="s">
        <v>160</v>
      </c>
      <c r="Z208" s="4">
        <v>-15.750138</v>
      </c>
      <c r="AA208" s="15">
        <v>-47.806060000000002</v>
      </c>
      <c r="AB208" s="1" t="s">
        <v>29</v>
      </c>
      <c r="AC208" s="4">
        <v>0.96960000000000002</v>
      </c>
    </row>
    <row r="209" spans="1:36" s="4" customFormat="1" x14ac:dyDescent="0.2">
      <c r="A209" s="1">
        <v>57</v>
      </c>
      <c r="B209" s="1">
        <v>2</v>
      </c>
      <c r="C209" s="1" t="s">
        <v>193</v>
      </c>
      <c r="D209" s="1">
        <v>2019</v>
      </c>
      <c r="E209" s="1">
        <v>250</v>
      </c>
      <c r="F209" s="1">
        <v>1</v>
      </c>
      <c r="H209" s="1">
        <v>89.9</v>
      </c>
      <c r="J209" s="2">
        <f>0.053730321*H209</f>
        <v>4.8303558578999999</v>
      </c>
      <c r="K209" s="1">
        <v>1</v>
      </c>
      <c r="L209" s="1">
        <v>10</v>
      </c>
      <c r="N209" s="7">
        <f>0.253288233*L209</f>
        <v>2.5328823299999996</v>
      </c>
      <c r="O209" s="1">
        <v>10</v>
      </c>
      <c r="P209" s="4">
        <f t="shared" si="9"/>
        <v>11</v>
      </c>
      <c r="Q209">
        <v>21.4</v>
      </c>
      <c r="R209">
        <v>152.19999999999999</v>
      </c>
      <c r="S209" s="1" t="s">
        <v>31</v>
      </c>
      <c r="U209" s="1" t="s">
        <v>31</v>
      </c>
      <c r="V209" s="1" t="s">
        <v>31</v>
      </c>
      <c r="W209" t="s">
        <v>31</v>
      </c>
      <c r="Y209" s="1" t="s">
        <v>160</v>
      </c>
      <c r="Z209" s="4">
        <v>-15.750138</v>
      </c>
      <c r="AA209" s="15">
        <v>-47.806060000000002</v>
      </c>
      <c r="AB209" s="1" t="s">
        <v>29</v>
      </c>
      <c r="AC209" s="4">
        <v>0.96960000000000002</v>
      </c>
    </row>
    <row r="210" spans="1:36" s="4" customFormat="1" x14ac:dyDescent="0.2">
      <c r="A210" s="4">
        <v>58</v>
      </c>
      <c r="B210" s="4">
        <v>1</v>
      </c>
      <c r="C210" s="4" t="s">
        <v>165</v>
      </c>
      <c r="D210" s="4">
        <v>2018</v>
      </c>
      <c r="E210" s="4">
        <v>150</v>
      </c>
      <c r="F210" s="4">
        <v>15</v>
      </c>
      <c r="G210" s="4" t="s">
        <v>28</v>
      </c>
      <c r="H210" s="4">
        <v>86.7</v>
      </c>
      <c r="I210" s="4">
        <v>9</v>
      </c>
      <c r="J210" s="4">
        <v>9</v>
      </c>
      <c r="K210" s="4">
        <v>15</v>
      </c>
      <c r="L210" s="4">
        <v>5.7</v>
      </c>
      <c r="M210" s="4">
        <v>1.8</v>
      </c>
      <c r="N210" s="4">
        <v>1.8</v>
      </c>
      <c r="O210" s="4">
        <v>20</v>
      </c>
      <c r="P210" s="4">
        <f t="shared" si="9"/>
        <v>21</v>
      </c>
      <c r="Q210">
        <v>8.3000000000000007</v>
      </c>
      <c r="R210">
        <v>66.7</v>
      </c>
      <c r="S210" t="s">
        <v>31</v>
      </c>
      <c r="U210" t="s">
        <v>31</v>
      </c>
      <c r="V210" s="1" t="s">
        <v>29</v>
      </c>
      <c r="W210" t="s">
        <v>31</v>
      </c>
      <c r="Y210" s="4" t="s">
        <v>150</v>
      </c>
      <c r="Z210" s="4">
        <v>50.364505000000001</v>
      </c>
      <c r="AA210" s="4">
        <v>18.968959999999999</v>
      </c>
      <c r="AB210" s="4" t="s">
        <v>29</v>
      </c>
      <c r="AC210">
        <v>0.80020000000000002</v>
      </c>
    </row>
    <row r="211" spans="1:36" s="4" customFormat="1" x14ac:dyDescent="0.2">
      <c r="A211" s="4">
        <v>58</v>
      </c>
      <c r="B211" s="4">
        <v>2</v>
      </c>
      <c r="C211" s="4" t="s">
        <v>165</v>
      </c>
      <c r="D211" s="4">
        <v>2018</v>
      </c>
      <c r="E211" s="4">
        <v>300</v>
      </c>
      <c r="F211" s="4">
        <v>15</v>
      </c>
      <c r="G211" s="4" t="s">
        <v>28</v>
      </c>
      <c r="H211" s="4">
        <v>96</v>
      </c>
      <c r="I211" s="4">
        <v>8.3000000000000007</v>
      </c>
      <c r="J211" s="4">
        <v>8.3000000000000007</v>
      </c>
      <c r="K211" s="4">
        <v>15</v>
      </c>
      <c r="L211" s="4">
        <v>5.7</v>
      </c>
      <c r="M211" s="4">
        <v>1.8</v>
      </c>
      <c r="N211" s="4">
        <v>1.8</v>
      </c>
      <c r="O211" s="4">
        <v>20</v>
      </c>
      <c r="P211" s="4">
        <f t="shared" si="9"/>
        <v>21</v>
      </c>
      <c r="Q211">
        <v>8.3000000000000007</v>
      </c>
      <c r="R211">
        <v>66.7</v>
      </c>
      <c r="S211" t="s">
        <v>31</v>
      </c>
      <c r="U211" t="s">
        <v>31</v>
      </c>
      <c r="V211" s="1" t="s">
        <v>29</v>
      </c>
      <c r="W211" t="s">
        <v>31</v>
      </c>
      <c r="Y211" s="4" t="s">
        <v>150</v>
      </c>
      <c r="Z211" s="4">
        <v>50.364505000000001</v>
      </c>
      <c r="AA211" s="4">
        <v>18.968959999999999</v>
      </c>
      <c r="AB211" s="4" t="s">
        <v>29</v>
      </c>
      <c r="AC211">
        <v>0.80020000000000002</v>
      </c>
    </row>
    <row r="212" spans="1:36" s="4" customFormat="1" x14ac:dyDescent="0.2">
      <c r="A212" s="4">
        <v>58</v>
      </c>
      <c r="B212" s="4">
        <v>3</v>
      </c>
      <c r="C212" s="4" t="s">
        <v>165</v>
      </c>
      <c r="D212" s="4">
        <v>2018</v>
      </c>
      <c r="E212" s="4">
        <v>150</v>
      </c>
      <c r="F212" s="4">
        <v>15</v>
      </c>
      <c r="G212" s="4" t="s">
        <v>28</v>
      </c>
      <c r="H212" s="4">
        <v>94.7</v>
      </c>
      <c r="I212" s="4">
        <v>8.3000000000000007</v>
      </c>
      <c r="J212" s="4">
        <v>8.3000000000000007</v>
      </c>
      <c r="K212" s="4">
        <v>15</v>
      </c>
      <c r="L212" s="4">
        <v>5.7</v>
      </c>
      <c r="M212" s="4">
        <v>1.8</v>
      </c>
      <c r="N212" s="4">
        <v>1.8</v>
      </c>
      <c r="O212" s="4">
        <v>20</v>
      </c>
      <c r="P212" s="4">
        <f t="shared" si="9"/>
        <v>21</v>
      </c>
      <c r="Q212">
        <v>8.3000000000000007</v>
      </c>
      <c r="R212">
        <v>66.7</v>
      </c>
      <c r="S212" t="s">
        <v>29</v>
      </c>
      <c r="U212" t="s">
        <v>31</v>
      </c>
      <c r="V212" s="1" t="s">
        <v>29</v>
      </c>
      <c r="W212" t="s">
        <v>31</v>
      </c>
      <c r="Y212" s="4" t="s">
        <v>150</v>
      </c>
      <c r="Z212" s="4">
        <v>50.364505000000001</v>
      </c>
      <c r="AA212" s="4">
        <v>18.968959999999999</v>
      </c>
      <c r="AB212" s="4" t="s">
        <v>29</v>
      </c>
      <c r="AC212">
        <v>0.80020000000000002</v>
      </c>
    </row>
    <row r="213" spans="1:36" s="4" customFormat="1" x14ac:dyDescent="0.2">
      <c r="A213" s="4">
        <v>58</v>
      </c>
      <c r="B213" s="4">
        <v>4</v>
      </c>
      <c r="C213" s="4" t="s">
        <v>165</v>
      </c>
      <c r="D213" s="4">
        <v>2018</v>
      </c>
      <c r="E213" s="4">
        <v>300</v>
      </c>
      <c r="F213" s="4">
        <v>15</v>
      </c>
      <c r="G213" s="4" t="s">
        <v>28</v>
      </c>
      <c r="H213" s="4">
        <v>95</v>
      </c>
      <c r="I213" s="4">
        <v>8.5</v>
      </c>
      <c r="J213" s="4">
        <v>8.5</v>
      </c>
      <c r="K213" s="4">
        <v>15</v>
      </c>
      <c r="L213" s="4">
        <v>5.7</v>
      </c>
      <c r="M213" s="4">
        <v>1.8</v>
      </c>
      <c r="N213" s="4">
        <v>1.8</v>
      </c>
      <c r="O213" s="4">
        <v>20</v>
      </c>
      <c r="P213" s="4">
        <f t="shared" si="9"/>
        <v>21</v>
      </c>
      <c r="Q213">
        <v>8.3000000000000007</v>
      </c>
      <c r="R213">
        <v>66.7</v>
      </c>
      <c r="S213" t="s">
        <v>29</v>
      </c>
      <c r="U213" t="s">
        <v>31</v>
      </c>
      <c r="V213" s="1" t="s">
        <v>29</v>
      </c>
      <c r="W213" t="s">
        <v>31</v>
      </c>
      <c r="Y213" s="4" t="s">
        <v>150</v>
      </c>
      <c r="Z213" s="4">
        <v>50.364505000000001</v>
      </c>
      <c r="AA213" s="4">
        <v>18.968959999999999</v>
      </c>
      <c r="AB213" s="4" t="s">
        <v>29</v>
      </c>
      <c r="AC213">
        <v>0.80020000000000002</v>
      </c>
    </row>
    <row r="214" spans="1:36" s="4" customFormat="1" x14ac:dyDescent="0.2">
      <c r="A214" s="4">
        <v>58</v>
      </c>
      <c r="B214" s="4">
        <v>5</v>
      </c>
      <c r="C214" s="4" t="s">
        <v>165</v>
      </c>
      <c r="D214" s="4">
        <v>2018</v>
      </c>
      <c r="E214" s="4">
        <v>150</v>
      </c>
      <c r="F214" s="4">
        <v>15</v>
      </c>
      <c r="G214" s="4" t="s">
        <v>28</v>
      </c>
      <c r="H214" s="4">
        <v>97.9</v>
      </c>
      <c r="I214" s="4">
        <v>4.3</v>
      </c>
      <c r="J214" s="4">
        <v>4.3</v>
      </c>
      <c r="K214" s="4">
        <v>15</v>
      </c>
      <c r="L214" s="4">
        <v>5.7</v>
      </c>
      <c r="M214" s="4">
        <v>1.8</v>
      </c>
      <c r="N214" s="4">
        <v>1.8</v>
      </c>
      <c r="O214" s="4">
        <v>20</v>
      </c>
      <c r="P214" s="4">
        <f t="shared" si="9"/>
        <v>21</v>
      </c>
      <c r="Q214">
        <v>8.3000000000000007</v>
      </c>
      <c r="R214">
        <v>66.7</v>
      </c>
      <c r="S214" t="s">
        <v>29</v>
      </c>
      <c r="U214" t="s">
        <v>31</v>
      </c>
      <c r="V214" s="1" t="s">
        <v>29</v>
      </c>
      <c r="W214" t="s">
        <v>31</v>
      </c>
      <c r="Y214" s="4" t="s">
        <v>150</v>
      </c>
      <c r="Z214" s="4">
        <v>50.364505000000001</v>
      </c>
      <c r="AA214" s="4">
        <v>18.968959999999999</v>
      </c>
      <c r="AB214" s="4" t="s">
        <v>29</v>
      </c>
      <c r="AC214">
        <v>0.80020000000000002</v>
      </c>
      <c r="AD214" s="1"/>
      <c r="AE214" s="1"/>
      <c r="AF214" s="1"/>
      <c r="AJ214" s="1"/>
    </row>
    <row r="215" spans="1:36" s="4" customFormat="1" x14ac:dyDescent="0.2">
      <c r="A215" s="4">
        <v>58</v>
      </c>
      <c r="B215" s="4">
        <v>6</v>
      </c>
      <c r="C215" s="4" t="s">
        <v>165</v>
      </c>
      <c r="D215" s="4">
        <v>2018</v>
      </c>
      <c r="E215" s="4">
        <v>300</v>
      </c>
      <c r="F215" s="4">
        <v>15</v>
      </c>
      <c r="G215" s="4" t="s">
        <v>28</v>
      </c>
      <c r="H215" s="4">
        <v>98.6</v>
      </c>
      <c r="I215" s="4">
        <v>3.6</v>
      </c>
      <c r="J215" s="4">
        <v>3.6</v>
      </c>
      <c r="K215" s="4">
        <v>15</v>
      </c>
      <c r="L215" s="4">
        <v>5.7</v>
      </c>
      <c r="M215" s="4">
        <v>1.8</v>
      </c>
      <c r="N215" s="4">
        <v>1.8</v>
      </c>
      <c r="O215" s="4">
        <v>20</v>
      </c>
      <c r="P215" s="4">
        <f t="shared" si="9"/>
        <v>21</v>
      </c>
      <c r="Q215">
        <v>8.3000000000000007</v>
      </c>
      <c r="R215">
        <v>66.7</v>
      </c>
      <c r="S215" t="s">
        <v>29</v>
      </c>
      <c r="U215" t="s">
        <v>31</v>
      </c>
      <c r="V215" s="1" t="s">
        <v>29</v>
      </c>
      <c r="W215" t="s">
        <v>31</v>
      </c>
      <c r="Y215" s="4" t="s">
        <v>150</v>
      </c>
      <c r="Z215" s="4">
        <v>50.364505000000001</v>
      </c>
      <c r="AA215" s="4">
        <v>18.968959999999999</v>
      </c>
      <c r="AB215" s="4" t="s">
        <v>29</v>
      </c>
      <c r="AC215">
        <v>0.80020000000000002</v>
      </c>
      <c r="AD215" s="1"/>
      <c r="AE215" s="1"/>
      <c r="AF215" s="1"/>
      <c r="AJ215" s="1"/>
    </row>
    <row r="216" spans="1:36" x14ac:dyDescent="0.2">
      <c r="I216" s="10"/>
      <c r="V216" s="1"/>
    </row>
    <row r="217" spans="1:36" x14ac:dyDescent="0.2">
      <c r="V217" s="1"/>
    </row>
    <row r="218" spans="1:36" x14ac:dyDescent="0.2">
      <c r="V218" s="1"/>
    </row>
    <row r="219" spans="1:36" x14ac:dyDescent="0.2">
      <c r="V219" s="1"/>
    </row>
    <row r="220" spans="1:36" x14ac:dyDescent="0.2">
      <c r="V220" s="1"/>
    </row>
  </sheetData>
  <sortState xmlns:xlrd2="http://schemas.microsoft.com/office/spreadsheetml/2017/richdata2" ref="A2:AC22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B270"/>
  <sheetViews>
    <sheetView workbookViewId="0">
      <pane xSplit="4" ySplit="1" topLeftCell="E112" activePane="bottomRight" state="frozen"/>
      <selection pane="topRight" activeCell="E1" sqref="E1"/>
      <selection pane="bottomLeft" activeCell="A2" sqref="A2"/>
      <selection pane="bottomRight" activeCell="H134" sqref="H134"/>
    </sheetView>
  </sheetViews>
  <sheetFormatPr baseColWidth="10" defaultRowHeight="16" x14ac:dyDescent="0.2"/>
  <sheetData>
    <row r="1" spans="1:28" x14ac:dyDescent="0.2">
      <c r="A1" t="s">
        <v>169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98</v>
      </c>
      <c r="Q1" t="s">
        <v>15</v>
      </c>
      <c r="R1" t="s">
        <v>16</v>
      </c>
      <c r="S1" t="s">
        <v>194</v>
      </c>
      <c r="T1" t="s">
        <v>100</v>
      </c>
      <c r="U1" t="s">
        <v>101</v>
      </c>
      <c r="V1" t="s">
        <v>102</v>
      </c>
      <c r="W1" t="s">
        <v>103</v>
      </c>
      <c r="X1" t="s">
        <v>22</v>
      </c>
      <c r="Y1" t="s">
        <v>90</v>
      </c>
      <c r="Z1" t="s">
        <v>23</v>
      </c>
      <c r="AA1" t="s">
        <v>24</v>
      </c>
      <c r="AB1" t="s">
        <v>26</v>
      </c>
    </row>
    <row r="2" spans="1:28" x14ac:dyDescent="0.2">
      <c r="A2">
        <v>3</v>
      </c>
      <c r="B2">
        <v>1</v>
      </c>
      <c r="C2" t="s">
        <v>34</v>
      </c>
      <c r="D2">
        <v>2010</v>
      </c>
      <c r="E2">
        <v>40</v>
      </c>
      <c r="F2">
        <v>4</v>
      </c>
      <c r="G2" t="s">
        <v>112</v>
      </c>
      <c r="H2">
        <v>126.08</v>
      </c>
      <c r="I2">
        <v>83.92</v>
      </c>
      <c r="J2">
        <v>83.92</v>
      </c>
      <c r="K2">
        <v>4</v>
      </c>
      <c r="L2">
        <v>85.29</v>
      </c>
      <c r="M2">
        <v>20.92</v>
      </c>
      <c r="N2">
        <v>20.92</v>
      </c>
      <c r="O2">
        <v>2</v>
      </c>
      <c r="P2">
        <v>3</v>
      </c>
      <c r="Q2">
        <v>9.4</v>
      </c>
      <c r="R2">
        <v>56.5</v>
      </c>
      <c r="S2" t="s">
        <v>29</v>
      </c>
      <c r="T2" t="s">
        <v>29</v>
      </c>
      <c r="U2" t="s">
        <v>29</v>
      </c>
      <c r="V2" t="s">
        <v>31</v>
      </c>
      <c r="W2" t="s">
        <v>31</v>
      </c>
      <c r="X2" t="s">
        <v>37</v>
      </c>
      <c r="Y2" t="s">
        <v>92</v>
      </c>
      <c r="Z2">
        <v>-40.573329999999999</v>
      </c>
      <c r="AA2">
        <v>-70.832499999999996</v>
      </c>
      <c r="AB2">
        <v>0.44740000000000002</v>
      </c>
    </row>
    <row r="3" spans="1:28" x14ac:dyDescent="0.2">
      <c r="A3">
        <v>3</v>
      </c>
      <c r="B3">
        <v>2</v>
      </c>
      <c r="C3" t="s">
        <v>34</v>
      </c>
      <c r="D3">
        <v>2010</v>
      </c>
      <c r="E3">
        <v>40</v>
      </c>
      <c r="F3">
        <v>4</v>
      </c>
      <c r="G3" t="s">
        <v>112</v>
      </c>
      <c r="H3">
        <v>125.29</v>
      </c>
      <c r="I3">
        <v>72.94</v>
      </c>
      <c r="J3">
        <v>72.94</v>
      </c>
      <c r="K3">
        <v>4</v>
      </c>
      <c r="L3">
        <v>85.29</v>
      </c>
      <c r="M3">
        <v>20.92</v>
      </c>
      <c r="N3">
        <v>20.92</v>
      </c>
      <c r="O3">
        <v>2</v>
      </c>
      <c r="P3">
        <v>3</v>
      </c>
      <c r="Q3">
        <v>9.4</v>
      </c>
      <c r="R3">
        <v>56.5</v>
      </c>
      <c r="S3" t="s">
        <v>29</v>
      </c>
      <c r="T3" t="s">
        <v>29</v>
      </c>
      <c r="U3" t="s">
        <v>29</v>
      </c>
      <c r="V3" t="s">
        <v>31</v>
      </c>
      <c r="W3" t="s">
        <v>31</v>
      </c>
      <c r="X3" t="s">
        <v>37</v>
      </c>
      <c r="Y3" t="s">
        <v>92</v>
      </c>
      <c r="Z3">
        <v>-40.573329999999999</v>
      </c>
      <c r="AA3">
        <v>-70.832499999999996</v>
      </c>
      <c r="AB3">
        <v>0.44740000000000002</v>
      </c>
    </row>
    <row r="4" spans="1:28" x14ac:dyDescent="0.2">
      <c r="A4">
        <v>3</v>
      </c>
      <c r="B4">
        <v>3</v>
      </c>
      <c r="C4" t="s">
        <v>34</v>
      </c>
      <c r="D4">
        <v>2010</v>
      </c>
      <c r="E4">
        <v>40</v>
      </c>
      <c r="F4">
        <v>4</v>
      </c>
      <c r="G4" t="s">
        <v>112</v>
      </c>
      <c r="H4">
        <v>139.9</v>
      </c>
      <c r="I4">
        <v>44.3</v>
      </c>
      <c r="J4">
        <v>44.3</v>
      </c>
      <c r="K4">
        <v>4</v>
      </c>
      <c r="L4">
        <v>74.760000000000005</v>
      </c>
      <c r="M4">
        <v>19.54</v>
      </c>
      <c r="N4">
        <v>19.54</v>
      </c>
      <c r="O4">
        <v>3</v>
      </c>
      <c r="P4">
        <v>4</v>
      </c>
      <c r="Q4">
        <v>9.4</v>
      </c>
      <c r="R4">
        <v>56.5</v>
      </c>
      <c r="S4" t="s">
        <v>29</v>
      </c>
      <c r="T4" t="s">
        <v>29</v>
      </c>
      <c r="U4" t="s">
        <v>29</v>
      </c>
      <c r="V4" t="s">
        <v>31</v>
      </c>
      <c r="W4" t="s">
        <v>31</v>
      </c>
      <c r="X4" t="s">
        <v>37</v>
      </c>
      <c r="Y4" t="s">
        <v>92</v>
      </c>
      <c r="Z4">
        <v>-40.573329999999999</v>
      </c>
      <c r="AA4">
        <v>-70.832499999999996</v>
      </c>
      <c r="AB4">
        <v>0.44740000000000002</v>
      </c>
    </row>
    <row r="5" spans="1:28" x14ac:dyDescent="0.2">
      <c r="A5">
        <v>3</v>
      </c>
      <c r="B5">
        <v>4</v>
      </c>
      <c r="C5" t="s">
        <v>34</v>
      </c>
      <c r="D5">
        <v>2010</v>
      </c>
      <c r="E5">
        <v>40</v>
      </c>
      <c r="F5">
        <v>4</v>
      </c>
      <c r="G5" t="s">
        <v>112</v>
      </c>
      <c r="H5">
        <v>134.04</v>
      </c>
      <c r="I5">
        <v>41.69</v>
      </c>
      <c r="J5">
        <v>41.69</v>
      </c>
      <c r="K5">
        <v>4</v>
      </c>
      <c r="L5">
        <v>74.760000000000005</v>
      </c>
      <c r="M5">
        <v>19.54</v>
      </c>
      <c r="N5">
        <v>19.54</v>
      </c>
      <c r="O5">
        <v>3</v>
      </c>
      <c r="P5">
        <v>4</v>
      </c>
      <c r="Q5">
        <v>9.4</v>
      </c>
      <c r="R5">
        <v>56.5</v>
      </c>
      <c r="S5" t="s">
        <v>29</v>
      </c>
      <c r="T5" t="s">
        <v>29</v>
      </c>
      <c r="U5" t="s">
        <v>29</v>
      </c>
      <c r="V5" t="s">
        <v>31</v>
      </c>
      <c r="W5" t="s">
        <v>31</v>
      </c>
      <c r="X5" t="s">
        <v>37</v>
      </c>
      <c r="Y5" t="s">
        <v>92</v>
      </c>
      <c r="Z5">
        <v>-40.573329999999999</v>
      </c>
      <c r="AA5">
        <v>-70.832499999999996</v>
      </c>
      <c r="AB5">
        <v>0.44740000000000002</v>
      </c>
    </row>
    <row r="6" spans="1:28" x14ac:dyDescent="0.2">
      <c r="A6">
        <v>4</v>
      </c>
      <c r="B6">
        <v>1</v>
      </c>
      <c r="C6" t="s">
        <v>38</v>
      </c>
      <c r="D6">
        <v>2006</v>
      </c>
      <c r="E6">
        <v>60</v>
      </c>
      <c r="F6">
        <v>12</v>
      </c>
      <c r="G6" t="s">
        <v>112</v>
      </c>
      <c r="H6">
        <v>188.71</v>
      </c>
      <c r="I6">
        <v>146.9</v>
      </c>
      <c r="J6">
        <v>146.9</v>
      </c>
      <c r="K6">
        <v>12</v>
      </c>
      <c r="L6">
        <v>11.81</v>
      </c>
      <c r="M6">
        <v>26.38</v>
      </c>
      <c r="N6">
        <v>26.38</v>
      </c>
      <c r="O6">
        <v>0.16</v>
      </c>
      <c r="P6">
        <v>1</v>
      </c>
      <c r="Q6">
        <v>18</v>
      </c>
      <c r="R6">
        <v>55.2</v>
      </c>
      <c r="S6" t="s">
        <v>31</v>
      </c>
      <c r="T6" t="s">
        <v>29</v>
      </c>
      <c r="U6" t="s">
        <v>31</v>
      </c>
      <c r="V6" t="s">
        <v>31</v>
      </c>
      <c r="W6" t="s">
        <v>29</v>
      </c>
      <c r="X6" t="s">
        <v>39</v>
      </c>
      <c r="Y6" t="s">
        <v>93</v>
      </c>
      <c r="Z6">
        <v>37.439160000000001</v>
      </c>
      <c r="AA6">
        <v>-6.21638</v>
      </c>
      <c r="AB6">
        <v>0.29709999999999998</v>
      </c>
    </row>
    <row r="7" spans="1:28" x14ac:dyDescent="0.2">
      <c r="A7">
        <v>4</v>
      </c>
      <c r="B7">
        <v>2</v>
      </c>
      <c r="C7" t="s">
        <v>38</v>
      </c>
      <c r="D7">
        <v>2006</v>
      </c>
      <c r="E7">
        <v>60</v>
      </c>
      <c r="F7">
        <v>12</v>
      </c>
      <c r="G7" t="s">
        <v>112</v>
      </c>
      <c r="H7">
        <v>287.36</v>
      </c>
      <c r="I7">
        <v>46.93</v>
      </c>
      <c r="J7">
        <v>46.93</v>
      </c>
      <c r="K7">
        <v>12</v>
      </c>
      <c r="L7">
        <v>22.58</v>
      </c>
      <c r="M7">
        <v>34.880000000000003</v>
      </c>
      <c r="N7">
        <v>34.880000000000003</v>
      </c>
      <c r="O7">
        <v>0.5</v>
      </c>
      <c r="P7">
        <v>1</v>
      </c>
      <c r="Q7">
        <v>18</v>
      </c>
      <c r="R7">
        <v>55.2</v>
      </c>
      <c r="S7" t="s">
        <v>31</v>
      </c>
      <c r="T7" t="s">
        <v>29</v>
      </c>
      <c r="U7" t="s">
        <v>31</v>
      </c>
      <c r="V7" t="s">
        <v>31</v>
      </c>
      <c r="W7" t="s">
        <v>29</v>
      </c>
      <c r="X7" t="s">
        <v>39</v>
      </c>
      <c r="Y7" t="s">
        <v>93</v>
      </c>
      <c r="Z7">
        <v>37.439160000000001</v>
      </c>
      <c r="AA7">
        <v>-6.21638</v>
      </c>
      <c r="AB7">
        <v>0.29709999999999998</v>
      </c>
    </row>
    <row r="8" spans="1:28" x14ac:dyDescent="0.2">
      <c r="A8">
        <v>4</v>
      </c>
      <c r="B8">
        <v>3</v>
      </c>
      <c r="C8" t="s">
        <v>38</v>
      </c>
      <c r="D8">
        <v>2006</v>
      </c>
      <c r="E8">
        <v>60</v>
      </c>
      <c r="F8">
        <v>12</v>
      </c>
      <c r="G8" t="s">
        <v>112</v>
      </c>
      <c r="H8">
        <v>406.5</v>
      </c>
      <c r="I8">
        <v>249.3</v>
      </c>
      <c r="J8">
        <v>249.3</v>
      </c>
      <c r="K8">
        <v>12</v>
      </c>
      <c r="L8">
        <v>80.650000000000006</v>
      </c>
      <c r="M8">
        <v>79.599999999999994</v>
      </c>
      <c r="N8">
        <v>79.599999999999994</v>
      </c>
      <c r="O8">
        <v>0.75</v>
      </c>
      <c r="P8">
        <v>1</v>
      </c>
      <c r="Q8">
        <v>18</v>
      </c>
      <c r="R8">
        <v>55.2</v>
      </c>
      <c r="S8" t="s">
        <v>31</v>
      </c>
      <c r="T8" t="s">
        <v>29</v>
      </c>
      <c r="U8" t="s">
        <v>31</v>
      </c>
      <c r="V8" t="s">
        <v>31</v>
      </c>
      <c r="W8" t="s">
        <v>29</v>
      </c>
      <c r="X8" t="s">
        <v>39</v>
      </c>
      <c r="Y8" t="s">
        <v>93</v>
      </c>
      <c r="Z8">
        <v>37.439160000000001</v>
      </c>
      <c r="AA8">
        <v>-6.21638</v>
      </c>
      <c r="AB8">
        <v>0.29709999999999998</v>
      </c>
    </row>
    <row r="9" spans="1:28" x14ac:dyDescent="0.2">
      <c r="A9">
        <v>5</v>
      </c>
      <c r="B9">
        <v>1</v>
      </c>
      <c r="C9" t="s">
        <v>190</v>
      </c>
      <c r="D9">
        <v>2004</v>
      </c>
      <c r="E9">
        <v>350</v>
      </c>
      <c r="F9">
        <v>12</v>
      </c>
      <c r="G9" t="s">
        <v>112</v>
      </c>
      <c r="H9">
        <v>768.7</v>
      </c>
      <c r="I9">
        <v>323.3</v>
      </c>
      <c r="J9">
        <v>323.3</v>
      </c>
      <c r="K9">
        <v>12</v>
      </c>
      <c r="L9">
        <v>293.8</v>
      </c>
      <c r="M9">
        <v>262.10000000000002</v>
      </c>
      <c r="N9">
        <v>262.10000000000002</v>
      </c>
      <c r="O9">
        <v>2.58</v>
      </c>
      <c r="P9">
        <v>3</v>
      </c>
      <c r="Q9">
        <v>14.5</v>
      </c>
      <c r="R9">
        <v>77.8</v>
      </c>
      <c r="S9" t="s">
        <v>31</v>
      </c>
      <c r="T9" t="s">
        <v>29</v>
      </c>
      <c r="U9" t="s">
        <v>31</v>
      </c>
      <c r="V9" t="s">
        <v>31</v>
      </c>
      <c r="W9" t="s">
        <v>31</v>
      </c>
      <c r="X9" t="s">
        <v>40</v>
      </c>
      <c r="Y9" t="s">
        <v>93</v>
      </c>
      <c r="Z9">
        <v>42.036110000000001</v>
      </c>
      <c r="AA9">
        <v>2.8172199999999998</v>
      </c>
      <c r="AB9">
        <v>0.51649999999999996</v>
      </c>
    </row>
    <row r="10" spans="1:28" x14ac:dyDescent="0.2">
      <c r="A10">
        <v>9</v>
      </c>
      <c r="B10">
        <v>1</v>
      </c>
      <c r="C10" t="s">
        <v>48</v>
      </c>
      <c r="D10">
        <v>2000</v>
      </c>
      <c r="E10">
        <v>65</v>
      </c>
      <c r="F10">
        <v>5</v>
      </c>
      <c r="G10" t="s">
        <v>49</v>
      </c>
      <c r="H10">
        <v>80.83</v>
      </c>
      <c r="I10">
        <v>26.43</v>
      </c>
      <c r="J10">
        <v>26.43</v>
      </c>
      <c r="K10">
        <v>5</v>
      </c>
      <c r="L10">
        <v>17.16</v>
      </c>
      <c r="M10">
        <v>6.82</v>
      </c>
      <c r="N10">
        <v>6.82</v>
      </c>
      <c r="O10">
        <v>5</v>
      </c>
      <c r="P10">
        <v>6</v>
      </c>
      <c r="Q10">
        <v>16.100000000000001</v>
      </c>
      <c r="R10">
        <v>33.5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50</v>
      </c>
      <c r="Y10" t="s">
        <v>93</v>
      </c>
      <c r="Z10">
        <v>38.183329999999998</v>
      </c>
      <c r="AA10">
        <v>-1.8333299999999999</v>
      </c>
      <c r="AB10">
        <v>0.20100000000000001</v>
      </c>
    </row>
    <row r="11" spans="1:28" x14ac:dyDescent="0.2">
      <c r="A11">
        <v>9</v>
      </c>
      <c r="B11">
        <v>2</v>
      </c>
      <c r="C11" t="s">
        <v>48</v>
      </c>
      <c r="D11">
        <v>2000</v>
      </c>
      <c r="E11">
        <v>130</v>
      </c>
      <c r="F11">
        <v>5</v>
      </c>
      <c r="G11" t="s">
        <v>49</v>
      </c>
      <c r="H11">
        <v>225.71</v>
      </c>
      <c r="I11">
        <v>156.87</v>
      </c>
      <c r="J11">
        <v>156.87</v>
      </c>
      <c r="K11">
        <v>5</v>
      </c>
      <c r="L11">
        <v>17.16</v>
      </c>
      <c r="M11">
        <v>6.82</v>
      </c>
      <c r="N11">
        <v>6.82</v>
      </c>
      <c r="O11">
        <v>5</v>
      </c>
      <c r="P11">
        <v>6</v>
      </c>
      <c r="Q11">
        <v>16.100000000000001</v>
      </c>
      <c r="R11">
        <v>33.5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50</v>
      </c>
      <c r="Y11" t="s">
        <v>93</v>
      </c>
      <c r="Z11">
        <v>38.183329999999998</v>
      </c>
      <c r="AA11">
        <v>-1.8333299999999999</v>
      </c>
      <c r="AB11">
        <v>0.20100000000000001</v>
      </c>
    </row>
    <row r="12" spans="1:28" x14ac:dyDescent="0.2">
      <c r="A12">
        <v>9</v>
      </c>
      <c r="B12">
        <v>3</v>
      </c>
      <c r="C12" t="s">
        <v>48</v>
      </c>
      <c r="D12">
        <v>2000</v>
      </c>
      <c r="E12">
        <v>195</v>
      </c>
      <c r="F12">
        <v>5</v>
      </c>
      <c r="G12" t="s">
        <v>49</v>
      </c>
      <c r="H12">
        <v>123.15</v>
      </c>
      <c r="I12">
        <v>122.76</v>
      </c>
      <c r="J12">
        <v>122.76</v>
      </c>
      <c r="K12">
        <v>5</v>
      </c>
      <c r="L12">
        <v>17.16</v>
      </c>
      <c r="M12">
        <v>6.82</v>
      </c>
      <c r="N12">
        <v>6.82</v>
      </c>
      <c r="O12">
        <v>5</v>
      </c>
      <c r="P12">
        <v>6</v>
      </c>
      <c r="Q12">
        <v>16.100000000000001</v>
      </c>
      <c r="R12">
        <v>33.5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50</v>
      </c>
      <c r="Y12" t="s">
        <v>93</v>
      </c>
      <c r="Z12">
        <v>38.183329999999998</v>
      </c>
      <c r="AA12">
        <v>-1.8333299999999999</v>
      </c>
      <c r="AB12">
        <v>0.20100000000000001</v>
      </c>
    </row>
    <row r="13" spans="1:28" x14ac:dyDescent="0.2">
      <c r="A13">
        <v>9</v>
      </c>
      <c r="B13">
        <v>4</v>
      </c>
      <c r="C13" t="s">
        <v>48</v>
      </c>
      <c r="D13">
        <v>2000</v>
      </c>
      <c r="E13">
        <v>260</v>
      </c>
      <c r="F13">
        <v>5</v>
      </c>
      <c r="G13" t="s">
        <v>49</v>
      </c>
      <c r="H13">
        <v>164.71</v>
      </c>
      <c r="I13">
        <v>135.55000000000001</v>
      </c>
      <c r="J13">
        <v>135.55000000000001</v>
      </c>
      <c r="K13">
        <v>5</v>
      </c>
      <c r="L13">
        <v>17.16</v>
      </c>
      <c r="M13">
        <v>6.82</v>
      </c>
      <c r="N13">
        <v>6.82</v>
      </c>
      <c r="O13">
        <v>5</v>
      </c>
      <c r="P13">
        <v>6</v>
      </c>
      <c r="Q13">
        <v>16.100000000000001</v>
      </c>
      <c r="R13">
        <v>33.5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50</v>
      </c>
      <c r="Y13" t="s">
        <v>93</v>
      </c>
      <c r="Z13">
        <v>38.183329999999998</v>
      </c>
      <c r="AA13">
        <v>-1.8333299999999999</v>
      </c>
      <c r="AB13">
        <v>0.20100000000000001</v>
      </c>
    </row>
    <row r="14" spans="1:28" x14ac:dyDescent="0.2">
      <c r="A14">
        <v>11</v>
      </c>
      <c r="B14">
        <v>1</v>
      </c>
      <c r="C14" t="s">
        <v>148</v>
      </c>
      <c r="D14">
        <v>2015</v>
      </c>
      <c r="E14">
        <v>40</v>
      </c>
      <c r="F14">
        <v>4</v>
      </c>
      <c r="G14" t="s">
        <v>31</v>
      </c>
      <c r="H14">
        <v>33.5</v>
      </c>
      <c r="J14" s="2">
        <f>0.400619702*H14</f>
        <v>13.420760017000001</v>
      </c>
      <c r="K14">
        <v>4</v>
      </c>
      <c r="L14">
        <v>36.700000000000003</v>
      </c>
      <c r="N14" s="2">
        <f>0.478752551*L14</f>
        <v>17.570218621700004</v>
      </c>
      <c r="O14">
        <v>6</v>
      </c>
      <c r="P14">
        <v>7</v>
      </c>
      <c r="Q14">
        <v>9.4</v>
      </c>
      <c r="R14">
        <v>56.5</v>
      </c>
      <c r="S14" t="s">
        <v>29</v>
      </c>
      <c r="T14" t="s">
        <v>29</v>
      </c>
      <c r="U14" t="s">
        <v>29</v>
      </c>
      <c r="V14" t="s">
        <v>31</v>
      </c>
      <c r="W14" t="s">
        <v>31</v>
      </c>
      <c r="X14" t="s">
        <v>54</v>
      </c>
      <c r="Y14" t="s">
        <v>92</v>
      </c>
      <c r="Z14">
        <v>-40.573329999999999</v>
      </c>
      <c r="AA14">
        <v>-70.832499999999996</v>
      </c>
      <c r="AB14">
        <v>0.44740000000000002</v>
      </c>
    </row>
    <row r="15" spans="1:28" x14ac:dyDescent="0.2">
      <c r="A15">
        <v>13</v>
      </c>
      <c r="B15">
        <v>1</v>
      </c>
      <c r="C15" t="s">
        <v>57</v>
      </c>
      <c r="D15">
        <v>2004</v>
      </c>
      <c r="E15">
        <v>5</v>
      </c>
      <c r="F15">
        <v>4</v>
      </c>
      <c r="G15" t="s">
        <v>49</v>
      </c>
      <c r="H15">
        <v>87.21</v>
      </c>
      <c r="I15">
        <v>15.89</v>
      </c>
      <c r="J15">
        <v>15.89</v>
      </c>
      <c r="K15">
        <v>4</v>
      </c>
      <c r="L15">
        <v>53.76</v>
      </c>
      <c r="M15">
        <v>6.09</v>
      </c>
      <c r="N15">
        <v>6.09</v>
      </c>
      <c r="O15">
        <v>0.17</v>
      </c>
      <c r="P15">
        <v>1</v>
      </c>
      <c r="Q15">
        <v>5.3</v>
      </c>
      <c r="R15">
        <v>45.2</v>
      </c>
      <c r="S15" t="s">
        <v>29</v>
      </c>
      <c r="T15" t="s">
        <v>31</v>
      </c>
      <c r="U15" t="s">
        <v>29</v>
      </c>
      <c r="V15" t="s">
        <v>29</v>
      </c>
      <c r="W15" t="s">
        <v>31</v>
      </c>
      <c r="X15" t="s">
        <v>58</v>
      </c>
      <c r="Y15" t="s">
        <v>91</v>
      </c>
      <c r="Z15">
        <v>39.36788</v>
      </c>
      <c r="AA15">
        <v>-105.24069</v>
      </c>
      <c r="AB15">
        <v>0.28749999999999998</v>
      </c>
    </row>
    <row r="16" spans="1:28" x14ac:dyDescent="0.2">
      <c r="A16">
        <v>13</v>
      </c>
      <c r="B16">
        <v>2</v>
      </c>
      <c r="C16" t="s">
        <v>57</v>
      </c>
      <c r="D16">
        <v>2004</v>
      </c>
      <c r="E16">
        <v>10</v>
      </c>
      <c r="F16">
        <v>4</v>
      </c>
      <c r="G16" t="s">
        <v>49</v>
      </c>
      <c r="H16">
        <v>134.69999999999999</v>
      </c>
      <c r="I16">
        <v>75.760000000000005</v>
      </c>
      <c r="J16">
        <v>75.760000000000005</v>
      </c>
      <c r="K16">
        <v>4</v>
      </c>
      <c r="L16">
        <v>53.76</v>
      </c>
      <c r="M16">
        <v>6.09</v>
      </c>
      <c r="N16">
        <v>6.09</v>
      </c>
      <c r="O16">
        <v>0.17</v>
      </c>
      <c r="P16">
        <v>1</v>
      </c>
      <c r="Q16">
        <v>5.3</v>
      </c>
      <c r="R16">
        <v>45.2</v>
      </c>
      <c r="S16" t="s">
        <v>29</v>
      </c>
      <c r="T16" t="s">
        <v>31</v>
      </c>
      <c r="U16" t="s">
        <v>29</v>
      </c>
      <c r="V16" t="s">
        <v>29</v>
      </c>
      <c r="W16" t="s">
        <v>31</v>
      </c>
      <c r="X16" t="s">
        <v>58</v>
      </c>
      <c r="Y16" t="s">
        <v>91</v>
      </c>
      <c r="Z16">
        <v>39.36788</v>
      </c>
      <c r="AA16">
        <v>-105.24069</v>
      </c>
      <c r="AB16">
        <v>0.28749999999999998</v>
      </c>
    </row>
    <row r="17" spans="1:28" x14ac:dyDescent="0.2">
      <c r="A17">
        <v>13</v>
      </c>
      <c r="B17">
        <v>3</v>
      </c>
      <c r="C17" t="s">
        <v>57</v>
      </c>
      <c r="D17">
        <v>2004</v>
      </c>
      <c r="E17">
        <v>20</v>
      </c>
      <c r="F17">
        <v>4</v>
      </c>
      <c r="G17" t="s">
        <v>49</v>
      </c>
      <c r="H17">
        <v>183.67</v>
      </c>
      <c r="I17">
        <v>70.58</v>
      </c>
      <c r="J17">
        <v>70.58</v>
      </c>
      <c r="K17">
        <v>4</v>
      </c>
      <c r="L17">
        <v>53.76</v>
      </c>
      <c r="M17">
        <v>6.09</v>
      </c>
      <c r="N17">
        <v>6.09</v>
      </c>
      <c r="O17">
        <v>0.17</v>
      </c>
      <c r="P17">
        <v>1</v>
      </c>
      <c r="Q17">
        <v>5.3</v>
      </c>
      <c r="R17">
        <v>45.2</v>
      </c>
      <c r="S17" t="s">
        <v>29</v>
      </c>
      <c r="T17" t="s">
        <v>31</v>
      </c>
      <c r="U17" t="s">
        <v>29</v>
      </c>
      <c r="V17" t="s">
        <v>29</v>
      </c>
      <c r="W17" t="s">
        <v>31</v>
      </c>
      <c r="X17" t="s">
        <v>58</v>
      </c>
      <c r="Y17" t="s">
        <v>91</v>
      </c>
      <c r="Z17">
        <v>39.36788</v>
      </c>
      <c r="AA17">
        <v>-105.24069</v>
      </c>
      <c r="AB17">
        <v>0.28749999999999998</v>
      </c>
    </row>
    <row r="18" spans="1:28" x14ac:dyDescent="0.2">
      <c r="A18">
        <v>13</v>
      </c>
      <c r="B18">
        <v>4</v>
      </c>
      <c r="C18" t="s">
        <v>57</v>
      </c>
      <c r="D18">
        <v>2004</v>
      </c>
      <c r="E18">
        <v>40</v>
      </c>
      <c r="F18">
        <v>4</v>
      </c>
      <c r="G18" t="s">
        <v>49</v>
      </c>
      <c r="H18">
        <v>161.31</v>
      </c>
      <c r="I18">
        <v>26.98</v>
      </c>
      <c r="J18">
        <v>26.98</v>
      </c>
      <c r="K18">
        <v>4</v>
      </c>
      <c r="L18">
        <v>53.76</v>
      </c>
      <c r="M18">
        <v>6.09</v>
      </c>
      <c r="N18">
        <v>6.09</v>
      </c>
      <c r="O18">
        <v>0.17</v>
      </c>
      <c r="P18">
        <v>1</v>
      </c>
      <c r="Q18">
        <v>5.3</v>
      </c>
      <c r="R18">
        <v>45.2</v>
      </c>
      <c r="S18" t="s">
        <v>29</v>
      </c>
      <c r="T18" t="s">
        <v>31</v>
      </c>
      <c r="U18" t="s">
        <v>29</v>
      </c>
      <c r="V18" t="s">
        <v>29</v>
      </c>
      <c r="W18" t="s">
        <v>31</v>
      </c>
      <c r="X18" t="s">
        <v>58</v>
      </c>
      <c r="Y18" t="s">
        <v>91</v>
      </c>
      <c r="Z18">
        <v>39.36788</v>
      </c>
      <c r="AA18">
        <v>-105.24069</v>
      </c>
      <c r="AB18">
        <v>0.28749999999999998</v>
      </c>
    </row>
    <row r="19" spans="1:28" x14ac:dyDescent="0.2">
      <c r="A19">
        <v>13</v>
      </c>
      <c r="B19">
        <v>5</v>
      </c>
      <c r="C19" t="s">
        <v>57</v>
      </c>
      <c r="D19">
        <v>2004</v>
      </c>
      <c r="E19">
        <v>80</v>
      </c>
      <c r="F19">
        <v>4</v>
      </c>
      <c r="G19" t="s">
        <v>49</v>
      </c>
      <c r="H19">
        <v>222.28</v>
      </c>
      <c r="I19">
        <v>26.98</v>
      </c>
      <c r="J19">
        <v>26.98</v>
      </c>
      <c r="K19">
        <v>4</v>
      </c>
      <c r="L19">
        <v>53.76</v>
      </c>
      <c r="M19">
        <v>6.09</v>
      </c>
      <c r="N19">
        <v>6.09</v>
      </c>
      <c r="O19">
        <v>0.17</v>
      </c>
      <c r="P19">
        <v>1</v>
      </c>
      <c r="Q19">
        <v>5.3</v>
      </c>
      <c r="R19">
        <v>45.2</v>
      </c>
      <c r="S19" t="s">
        <v>29</v>
      </c>
      <c r="T19" t="s">
        <v>31</v>
      </c>
      <c r="U19" t="s">
        <v>29</v>
      </c>
      <c r="V19" t="s">
        <v>29</v>
      </c>
      <c r="W19" t="s">
        <v>31</v>
      </c>
      <c r="X19" t="s">
        <v>58</v>
      </c>
      <c r="Y19" t="s">
        <v>91</v>
      </c>
      <c r="Z19">
        <v>39.36788</v>
      </c>
      <c r="AA19">
        <v>-105.24069</v>
      </c>
      <c r="AB19">
        <v>0.28749999999999998</v>
      </c>
    </row>
    <row r="20" spans="1:28" x14ac:dyDescent="0.2">
      <c r="A20">
        <v>13</v>
      </c>
      <c r="B20">
        <v>6</v>
      </c>
      <c r="C20" t="s">
        <v>57</v>
      </c>
      <c r="D20">
        <v>2004</v>
      </c>
      <c r="E20">
        <v>5</v>
      </c>
      <c r="F20">
        <v>4</v>
      </c>
      <c r="G20" t="s">
        <v>49</v>
      </c>
      <c r="H20">
        <v>79.27</v>
      </c>
      <c r="I20">
        <v>25.87</v>
      </c>
      <c r="J20">
        <v>25.87</v>
      </c>
      <c r="K20">
        <v>4</v>
      </c>
      <c r="L20">
        <v>51.91</v>
      </c>
      <c r="M20">
        <v>4.7699999999999996</v>
      </c>
      <c r="N20">
        <v>4.7699999999999996</v>
      </c>
      <c r="O20">
        <v>1.17</v>
      </c>
      <c r="P20">
        <v>2</v>
      </c>
      <c r="Q20">
        <v>5.3</v>
      </c>
      <c r="R20">
        <v>45.2</v>
      </c>
      <c r="S20" t="s">
        <v>29</v>
      </c>
      <c r="T20" t="s">
        <v>31</v>
      </c>
      <c r="U20" t="s">
        <v>29</v>
      </c>
      <c r="V20" t="s">
        <v>29</v>
      </c>
      <c r="W20" t="s">
        <v>31</v>
      </c>
      <c r="X20" t="s">
        <v>58</v>
      </c>
      <c r="Y20" t="s">
        <v>91</v>
      </c>
      <c r="Z20">
        <v>39.36788</v>
      </c>
      <c r="AA20">
        <v>-105.24069</v>
      </c>
      <c r="AB20">
        <v>0.28749999999999998</v>
      </c>
    </row>
    <row r="21" spans="1:28" x14ac:dyDescent="0.2">
      <c r="A21">
        <v>13</v>
      </c>
      <c r="B21">
        <v>7</v>
      </c>
      <c r="C21" t="s">
        <v>57</v>
      </c>
      <c r="D21">
        <v>2004</v>
      </c>
      <c r="E21">
        <v>10</v>
      </c>
      <c r="F21">
        <v>4</v>
      </c>
      <c r="G21" t="s">
        <v>49</v>
      </c>
      <c r="H21">
        <v>124.35</v>
      </c>
      <c r="I21">
        <v>47.3</v>
      </c>
      <c r="J21">
        <v>47.3</v>
      </c>
      <c r="K21">
        <v>4</v>
      </c>
      <c r="L21">
        <v>51.91</v>
      </c>
      <c r="M21">
        <v>4.7699999999999996</v>
      </c>
      <c r="N21">
        <v>4.7699999999999996</v>
      </c>
      <c r="O21">
        <v>1.17</v>
      </c>
      <c r="P21">
        <v>2</v>
      </c>
      <c r="Q21">
        <v>5.3</v>
      </c>
      <c r="R21">
        <v>45.2</v>
      </c>
      <c r="S21" t="s">
        <v>29</v>
      </c>
      <c r="T21" t="s">
        <v>31</v>
      </c>
      <c r="U21" t="s">
        <v>29</v>
      </c>
      <c r="V21" t="s">
        <v>29</v>
      </c>
      <c r="W21" t="s">
        <v>31</v>
      </c>
      <c r="X21" t="s">
        <v>58</v>
      </c>
      <c r="Y21" t="s">
        <v>91</v>
      </c>
      <c r="Z21">
        <v>39.36788</v>
      </c>
      <c r="AA21">
        <v>-105.24069</v>
      </c>
      <c r="AB21">
        <v>0.28749999999999998</v>
      </c>
    </row>
    <row r="22" spans="1:28" x14ac:dyDescent="0.2">
      <c r="A22">
        <v>13</v>
      </c>
      <c r="B22">
        <v>8</v>
      </c>
      <c r="C22" t="s">
        <v>57</v>
      </c>
      <c r="D22">
        <v>2004</v>
      </c>
      <c r="E22">
        <v>20</v>
      </c>
      <c r="F22">
        <v>4</v>
      </c>
      <c r="G22" t="s">
        <v>49</v>
      </c>
      <c r="H22">
        <v>130.27000000000001</v>
      </c>
      <c r="I22">
        <v>30.67</v>
      </c>
      <c r="J22">
        <v>30.67</v>
      </c>
      <c r="K22">
        <v>4</v>
      </c>
      <c r="L22">
        <v>51.91</v>
      </c>
      <c r="M22">
        <v>4.7699999999999996</v>
      </c>
      <c r="N22">
        <v>4.7699999999999996</v>
      </c>
      <c r="O22">
        <v>1.17</v>
      </c>
      <c r="P22">
        <v>2</v>
      </c>
      <c r="Q22">
        <v>5.3</v>
      </c>
      <c r="R22">
        <v>45.2</v>
      </c>
      <c r="S22" t="s">
        <v>29</v>
      </c>
      <c r="T22" t="s">
        <v>31</v>
      </c>
      <c r="U22" t="s">
        <v>29</v>
      </c>
      <c r="V22" t="s">
        <v>29</v>
      </c>
      <c r="W22" t="s">
        <v>31</v>
      </c>
      <c r="X22" t="s">
        <v>58</v>
      </c>
      <c r="Y22" t="s">
        <v>91</v>
      </c>
      <c r="Z22">
        <v>39.36788</v>
      </c>
      <c r="AA22">
        <v>-105.24069</v>
      </c>
      <c r="AB22">
        <v>0.28749999999999998</v>
      </c>
    </row>
    <row r="23" spans="1:28" x14ac:dyDescent="0.2">
      <c r="A23">
        <v>13</v>
      </c>
      <c r="B23">
        <v>9</v>
      </c>
      <c r="C23" t="s">
        <v>57</v>
      </c>
      <c r="D23">
        <v>2004</v>
      </c>
      <c r="E23">
        <v>40</v>
      </c>
      <c r="F23">
        <v>4</v>
      </c>
      <c r="G23" t="s">
        <v>49</v>
      </c>
      <c r="H23">
        <v>130.82</v>
      </c>
      <c r="I23">
        <v>24.76</v>
      </c>
      <c r="J23">
        <v>24.76</v>
      </c>
      <c r="K23">
        <v>4</v>
      </c>
      <c r="L23">
        <v>51.91</v>
      </c>
      <c r="M23">
        <v>4.7699999999999996</v>
      </c>
      <c r="N23">
        <v>4.7699999999999996</v>
      </c>
      <c r="O23">
        <v>1.17</v>
      </c>
      <c r="P23">
        <v>2</v>
      </c>
      <c r="Q23">
        <v>5.3</v>
      </c>
      <c r="R23">
        <v>45.2</v>
      </c>
      <c r="S23" t="s">
        <v>29</v>
      </c>
      <c r="T23" t="s">
        <v>31</v>
      </c>
      <c r="U23" t="s">
        <v>29</v>
      </c>
      <c r="V23" t="s">
        <v>29</v>
      </c>
      <c r="W23" t="s">
        <v>31</v>
      </c>
      <c r="X23" t="s">
        <v>58</v>
      </c>
      <c r="Y23" t="s">
        <v>91</v>
      </c>
      <c r="Z23">
        <v>39.36788</v>
      </c>
      <c r="AA23">
        <v>-105.24069</v>
      </c>
      <c r="AB23">
        <v>0.28749999999999998</v>
      </c>
    </row>
    <row r="24" spans="1:28" x14ac:dyDescent="0.2">
      <c r="A24">
        <v>13</v>
      </c>
      <c r="B24">
        <v>10</v>
      </c>
      <c r="C24" t="s">
        <v>57</v>
      </c>
      <c r="D24">
        <v>2004</v>
      </c>
      <c r="E24">
        <v>80</v>
      </c>
      <c r="F24">
        <v>4</v>
      </c>
      <c r="G24" t="s">
        <v>49</v>
      </c>
      <c r="H24">
        <v>177.01</v>
      </c>
      <c r="I24">
        <v>111.6</v>
      </c>
      <c r="J24">
        <v>111.6</v>
      </c>
      <c r="K24">
        <v>4</v>
      </c>
      <c r="L24">
        <v>51.91</v>
      </c>
      <c r="M24">
        <v>4.7699999999999996</v>
      </c>
      <c r="N24">
        <v>4.7699999999999996</v>
      </c>
      <c r="O24">
        <v>1.17</v>
      </c>
      <c r="P24">
        <v>2</v>
      </c>
      <c r="Q24">
        <v>5.3</v>
      </c>
      <c r="R24">
        <v>45.2</v>
      </c>
      <c r="S24" t="s">
        <v>29</v>
      </c>
      <c r="T24" t="s">
        <v>31</v>
      </c>
      <c r="U24" t="s">
        <v>29</v>
      </c>
      <c r="V24" t="s">
        <v>29</v>
      </c>
      <c r="W24" t="s">
        <v>31</v>
      </c>
      <c r="X24" t="s">
        <v>58</v>
      </c>
      <c r="Y24" t="s">
        <v>91</v>
      </c>
      <c r="Z24">
        <v>39.36788</v>
      </c>
      <c r="AA24">
        <v>-105.24069</v>
      </c>
      <c r="AB24">
        <v>0.28749999999999998</v>
      </c>
    </row>
    <row r="25" spans="1:28" x14ac:dyDescent="0.2">
      <c r="A25">
        <v>13</v>
      </c>
      <c r="B25">
        <v>11</v>
      </c>
      <c r="C25" t="s">
        <v>57</v>
      </c>
      <c r="D25">
        <v>2004</v>
      </c>
      <c r="E25">
        <v>5</v>
      </c>
      <c r="F25">
        <v>4</v>
      </c>
      <c r="G25" t="s">
        <v>49</v>
      </c>
      <c r="H25">
        <v>54.32</v>
      </c>
      <c r="I25">
        <v>28.09</v>
      </c>
      <c r="J25">
        <v>28.09</v>
      </c>
      <c r="K25">
        <v>4</v>
      </c>
      <c r="L25">
        <v>50.05</v>
      </c>
      <c r="M25">
        <v>5.3</v>
      </c>
      <c r="N25">
        <v>5.3</v>
      </c>
      <c r="O25">
        <v>2.17</v>
      </c>
      <c r="P25">
        <v>3</v>
      </c>
      <c r="Q25">
        <v>5.3</v>
      </c>
      <c r="R25">
        <v>45.2</v>
      </c>
      <c r="S25" t="s">
        <v>29</v>
      </c>
      <c r="T25" t="s">
        <v>31</v>
      </c>
      <c r="U25" t="s">
        <v>29</v>
      </c>
      <c r="V25" t="s">
        <v>29</v>
      </c>
      <c r="W25" t="s">
        <v>31</v>
      </c>
      <c r="X25" t="s">
        <v>58</v>
      </c>
      <c r="Y25" t="s">
        <v>91</v>
      </c>
      <c r="Z25">
        <v>39.36788</v>
      </c>
      <c r="AA25">
        <v>-105.24069</v>
      </c>
      <c r="AB25">
        <v>0.28749999999999998</v>
      </c>
    </row>
    <row r="26" spans="1:28" x14ac:dyDescent="0.2">
      <c r="A26">
        <v>13</v>
      </c>
      <c r="B26">
        <v>12</v>
      </c>
      <c r="C26" t="s">
        <v>57</v>
      </c>
      <c r="D26">
        <v>2004</v>
      </c>
      <c r="E26">
        <v>10</v>
      </c>
      <c r="F26">
        <v>4</v>
      </c>
      <c r="G26" t="s">
        <v>49</v>
      </c>
      <c r="H26">
        <v>63.75</v>
      </c>
      <c r="I26">
        <v>7.02</v>
      </c>
      <c r="J26">
        <v>7.02</v>
      </c>
      <c r="K26">
        <v>4</v>
      </c>
      <c r="L26">
        <v>50.05</v>
      </c>
      <c r="M26">
        <v>5.3</v>
      </c>
      <c r="N26">
        <v>5.3</v>
      </c>
      <c r="O26">
        <v>2.17</v>
      </c>
      <c r="P26">
        <v>3</v>
      </c>
      <c r="Q26">
        <v>5.3</v>
      </c>
      <c r="R26">
        <v>45.2</v>
      </c>
      <c r="S26" t="s">
        <v>29</v>
      </c>
      <c r="T26" t="s">
        <v>31</v>
      </c>
      <c r="U26" t="s">
        <v>29</v>
      </c>
      <c r="V26" t="s">
        <v>29</v>
      </c>
      <c r="W26" t="s">
        <v>31</v>
      </c>
      <c r="X26" t="s">
        <v>58</v>
      </c>
      <c r="Y26" t="s">
        <v>91</v>
      </c>
      <c r="Z26">
        <v>39.36788</v>
      </c>
      <c r="AA26">
        <v>-105.24069</v>
      </c>
      <c r="AB26">
        <v>0.28749999999999998</v>
      </c>
    </row>
    <row r="27" spans="1:28" x14ac:dyDescent="0.2">
      <c r="A27">
        <v>13</v>
      </c>
      <c r="B27">
        <v>13</v>
      </c>
      <c r="C27" t="s">
        <v>57</v>
      </c>
      <c r="D27">
        <v>2004</v>
      </c>
      <c r="E27">
        <v>20</v>
      </c>
      <c r="F27">
        <v>4</v>
      </c>
      <c r="G27" t="s">
        <v>49</v>
      </c>
      <c r="H27">
        <v>90.54</v>
      </c>
      <c r="I27">
        <v>14.41</v>
      </c>
      <c r="J27">
        <v>14.41</v>
      </c>
      <c r="K27">
        <v>4</v>
      </c>
      <c r="L27">
        <v>50.05</v>
      </c>
      <c r="M27">
        <v>5.3</v>
      </c>
      <c r="N27">
        <v>5.3</v>
      </c>
      <c r="O27">
        <v>2.17</v>
      </c>
      <c r="P27">
        <v>3</v>
      </c>
      <c r="Q27">
        <v>5.3</v>
      </c>
      <c r="R27">
        <v>45.2</v>
      </c>
      <c r="S27" t="s">
        <v>29</v>
      </c>
      <c r="T27" t="s">
        <v>31</v>
      </c>
      <c r="U27" t="s">
        <v>29</v>
      </c>
      <c r="V27" t="s">
        <v>29</v>
      </c>
      <c r="W27" t="s">
        <v>31</v>
      </c>
      <c r="X27" t="s">
        <v>58</v>
      </c>
      <c r="Y27" t="s">
        <v>91</v>
      </c>
      <c r="Z27">
        <v>39.36788</v>
      </c>
      <c r="AA27">
        <v>-105.24069</v>
      </c>
      <c r="AB27">
        <v>0.28749999999999998</v>
      </c>
    </row>
    <row r="28" spans="1:28" x14ac:dyDescent="0.2">
      <c r="A28">
        <v>13</v>
      </c>
      <c r="B28">
        <v>14</v>
      </c>
      <c r="C28" t="s">
        <v>57</v>
      </c>
      <c r="D28">
        <v>2004</v>
      </c>
      <c r="E28">
        <v>40</v>
      </c>
      <c r="F28">
        <v>4</v>
      </c>
      <c r="G28" t="s">
        <v>49</v>
      </c>
      <c r="H28">
        <v>91.28</v>
      </c>
      <c r="I28">
        <v>14.04</v>
      </c>
      <c r="J28">
        <v>14.04</v>
      </c>
      <c r="K28">
        <v>4</v>
      </c>
      <c r="L28">
        <v>50.05</v>
      </c>
      <c r="M28">
        <v>5.3</v>
      </c>
      <c r="N28">
        <v>5.3</v>
      </c>
      <c r="O28">
        <v>2.17</v>
      </c>
      <c r="P28">
        <v>3</v>
      </c>
      <c r="Q28">
        <v>5.3</v>
      </c>
      <c r="R28">
        <v>45.2</v>
      </c>
      <c r="S28" t="s">
        <v>29</v>
      </c>
      <c r="T28" t="s">
        <v>31</v>
      </c>
      <c r="U28" t="s">
        <v>29</v>
      </c>
      <c r="V28" t="s">
        <v>29</v>
      </c>
      <c r="W28" t="s">
        <v>31</v>
      </c>
      <c r="X28" t="s">
        <v>58</v>
      </c>
      <c r="Y28" t="s">
        <v>91</v>
      </c>
      <c r="Z28">
        <v>39.36788</v>
      </c>
      <c r="AA28">
        <v>-105.24069</v>
      </c>
      <c r="AB28">
        <v>0.28749999999999998</v>
      </c>
    </row>
    <row r="29" spans="1:28" x14ac:dyDescent="0.2">
      <c r="A29">
        <v>13</v>
      </c>
      <c r="B29">
        <v>15</v>
      </c>
      <c r="C29" t="s">
        <v>57</v>
      </c>
      <c r="D29">
        <v>2004</v>
      </c>
      <c r="E29">
        <v>80</v>
      </c>
      <c r="F29">
        <v>4</v>
      </c>
      <c r="G29" t="s">
        <v>49</v>
      </c>
      <c r="H29">
        <v>128.6</v>
      </c>
      <c r="I29">
        <v>16.63</v>
      </c>
      <c r="J29">
        <v>16.63</v>
      </c>
      <c r="K29">
        <v>4</v>
      </c>
      <c r="L29">
        <v>50.05</v>
      </c>
      <c r="M29">
        <v>5.3</v>
      </c>
      <c r="N29">
        <v>5.3</v>
      </c>
      <c r="O29">
        <v>2.17</v>
      </c>
      <c r="P29">
        <v>3</v>
      </c>
      <c r="Q29">
        <v>5.3</v>
      </c>
      <c r="R29">
        <v>45.2</v>
      </c>
      <c r="S29" t="s">
        <v>29</v>
      </c>
      <c r="T29" t="s">
        <v>31</v>
      </c>
      <c r="U29" t="s">
        <v>29</v>
      </c>
      <c r="V29" t="s">
        <v>29</v>
      </c>
      <c r="W29" t="s">
        <v>31</v>
      </c>
      <c r="X29" t="s">
        <v>58</v>
      </c>
      <c r="Y29" t="s">
        <v>91</v>
      </c>
      <c r="Z29">
        <v>39.36788</v>
      </c>
      <c r="AA29">
        <v>-105.24069</v>
      </c>
      <c r="AB29">
        <v>0.28749999999999998</v>
      </c>
    </row>
    <row r="30" spans="1:28" x14ac:dyDescent="0.2">
      <c r="A30">
        <v>13</v>
      </c>
      <c r="B30">
        <v>16</v>
      </c>
      <c r="C30" t="s">
        <v>57</v>
      </c>
      <c r="D30">
        <v>2004</v>
      </c>
      <c r="E30">
        <v>5</v>
      </c>
      <c r="F30">
        <v>4</v>
      </c>
      <c r="G30" t="s">
        <v>49</v>
      </c>
      <c r="H30">
        <v>56.36</v>
      </c>
      <c r="I30">
        <v>15.15</v>
      </c>
      <c r="J30">
        <v>15.15</v>
      </c>
      <c r="K30">
        <v>4</v>
      </c>
      <c r="L30">
        <v>56.41</v>
      </c>
      <c r="M30">
        <v>6.89</v>
      </c>
      <c r="N30">
        <v>6.89</v>
      </c>
      <c r="O30">
        <v>3.17</v>
      </c>
      <c r="P30">
        <v>4</v>
      </c>
      <c r="Q30">
        <v>5.3</v>
      </c>
      <c r="R30">
        <v>45.2</v>
      </c>
      <c r="S30" t="s">
        <v>29</v>
      </c>
      <c r="T30" t="s">
        <v>31</v>
      </c>
      <c r="U30" t="s">
        <v>29</v>
      </c>
      <c r="V30" t="s">
        <v>29</v>
      </c>
      <c r="W30" t="s">
        <v>31</v>
      </c>
      <c r="X30" t="s">
        <v>58</v>
      </c>
      <c r="Y30" t="s">
        <v>91</v>
      </c>
      <c r="Z30">
        <v>39.36788</v>
      </c>
      <c r="AA30">
        <v>-105.24069</v>
      </c>
      <c r="AB30">
        <v>0.28749999999999998</v>
      </c>
    </row>
    <row r="31" spans="1:28" x14ac:dyDescent="0.2">
      <c r="A31">
        <v>13</v>
      </c>
      <c r="B31">
        <v>17</v>
      </c>
      <c r="C31" t="s">
        <v>57</v>
      </c>
      <c r="D31">
        <v>2004</v>
      </c>
      <c r="E31">
        <v>10</v>
      </c>
      <c r="F31">
        <v>4</v>
      </c>
      <c r="G31" t="s">
        <v>49</v>
      </c>
      <c r="H31">
        <v>65.59</v>
      </c>
      <c r="I31">
        <v>8.5</v>
      </c>
      <c r="J31">
        <v>8.5</v>
      </c>
      <c r="K31">
        <v>4</v>
      </c>
      <c r="L31">
        <v>56.41</v>
      </c>
      <c r="M31">
        <v>6.89</v>
      </c>
      <c r="N31">
        <v>6.89</v>
      </c>
      <c r="O31">
        <v>3.17</v>
      </c>
      <c r="P31">
        <v>4</v>
      </c>
      <c r="Q31">
        <v>5.3</v>
      </c>
      <c r="R31">
        <v>45.2</v>
      </c>
      <c r="S31" t="s">
        <v>29</v>
      </c>
      <c r="T31" t="s">
        <v>31</v>
      </c>
      <c r="U31" t="s">
        <v>29</v>
      </c>
      <c r="V31" t="s">
        <v>29</v>
      </c>
      <c r="W31" t="s">
        <v>31</v>
      </c>
      <c r="X31" t="s">
        <v>58</v>
      </c>
      <c r="Y31" t="s">
        <v>91</v>
      </c>
      <c r="Z31">
        <v>39.36788</v>
      </c>
      <c r="AA31">
        <v>-105.24069</v>
      </c>
      <c r="AB31">
        <v>0.28749999999999998</v>
      </c>
    </row>
    <row r="32" spans="1:28" x14ac:dyDescent="0.2">
      <c r="A32">
        <v>13</v>
      </c>
      <c r="B32">
        <v>18</v>
      </c>
      <c r="C32" t="s">
        <v>57</v>
      </c>
      <c r="D32">
        <v>2004</v>
      </c>
      <c r="E32">
        <v>20</v>
      </c>
      <c r="F32">
        <v>4</v>
      </c>
      <c r="G32" t="s">
        <v>49</v>
      </c>
      <c r="H32">
        <v>80.930000000000007</v>
      </c>
      <c r="I32">
        <v>3.33</v>
      </c>
      <c r="J32">
        <v>3.33</v>
      </c>
      <c r="K32">
        <v>4</v>
      </c>
      <c r="L32">
        <v>56.41</v>
      </c>
      <c r="M32">
        <v>6.89</v>
      </c>
      <c r="N32">
        <v>6.89</v>
      </c>
      <c r="O32">
        <v>3.17</v>
      </c>
      <c r="P32">
        <v>4</v>
      </c>
      <c r="Q32">
        <v>5.3</v>
      </c>
      <c r="R32">
        <v>45.2</v>
      </c>
      <c r="S32" t="s">
        <v>29</v>
      </c>
      <c r="T32" t="s">
        <v>31</v>
      </c>
      <c r="U32" t="s">
        <v>29</v>
      </c>
      <c r="V32" t="s">
        <v>29</v>
      </c>
      <c r="W32" t="s">
        <v>31</v>
      </c>
      <c r="X32" t="s">
        <v>58</v>
      </c>
      <c r="Y32" t="s">
        <v>91</v>
      </c>
      <c r="Z32">
        <v>39.36788</v>
      </c>
      <c r="AA32">
        <v>-105.24069</v>
      </c>
      <c r="AB32">
        <v>0.28749999999999998</v>
      </c>
    </row>
    <row r="33" spans="1:28" x14ac:dyDescent="0.2">
      <c r="A33">
        <v>13</v>
      </c>
      <c r="B33">
        <v>19</v>
      </c>
      <c r="C33" t="s">
        <v>57</v>
      </c>
      <c r="D33">
        <v>2004</v>
      </c>
      <c r="E33">
        <v>40</v>
      </c>
      <c r="F33">
        <v>4</v>
      </c>
      <c r="G33" t="s">
        <v>49</v>
      </c>
      <c r="H33">
        <v>79.45</v>
      </c>
      <c r="I33">
        <v>15.89</v>
      </c>
      <c r="J33">
        <v>15.89</v>
      </c>
      <c r="K33">
        <v>4</v>
      </c>
      <c r="L33">
        <v>56.41</v>
      </c>
      <c r="M33">
        <v>6.89</v>
      </c>
      <c r="N33">
        <v>6.89</v>
      </c>
      <c r="O33">
        <v>3.17</v>
      </c>
      <c r="P33">
        <v>4</v>
      </c>
      <c r="Q33">
        <v>5.3</v>
      </c>
      <c r="R33">
        <v>45.2</v>
      </c>
      <c r="S33" t="s">
        <v>29</v>
      </c>
      <c r="T33" t="s">
        <v>31</v>
      </c>
      <c r="U33" t="s">
        <v>29</v>
      </c>
      <c r="V33" t="s">
        <v>29</v>
      </c>
      <c r="W33" t="s">
        <v>31</v>
      </c>
      <c r="X33" t="s">
        <v>58</v>
      </c>
      <c r="Y33" t="s">
        <v>91</v>
      </c>
      <c r="Z33">
        <v>39.36788</v>
      </c>
      <c r="AA33">
        <v>-105.24069</v>
      </c>
      <c r="AB33">
        <v>0.28749999999999998</v>
      </c>
    </row>
    <row r="34" spans="1:28" x14ac:dyDescent="0.2">
      <c r="A34">
        <v>13</v>
      </c>
      <c r="B34">
        <v>20</v>
      </c>
      <c r="C34" t="s">
        <v>57</v>
      </c>
      <c r="D34">
        <v>2004</v>
      </c>
      <c r="E34">
        <v>80</v>
      </c>
      <c r="F34">
        <v>4</v>
      </c>
      <c r="G34" t="s">
        <v>49</v>
      </c>
      <c r="H34">
        <v>107.17</v>
      </c>
      <c r="I34">
        <v>8.1300000000000008</v>
      </c>
      <c r="J34">
        <v>8.1300000000000008</v>
      </c>
      <c r="K34">
        <v>4</v>
      </c>
      <c r="L34">
        <v>56.41</v>
      </c>
      <c r="M34">
        <v>6.89</v>
      </c>
      <c r="N34">
        <v>6.89</v>
      </c>
      <c r="O34">
        <v>3.17</v>
      </c>
      <c r="P34">
        <v>4</v>
      </c>
      <c r="Q34">
        <v>5.3</v>
      </c>
      <c r="R34">
        <v>45.2</v>
      </c>
      <c r="S34" t="s">
        <v>29</v>
      </c>
      <c r="T34" t="s">
        <v>31</v>
      </c>
      <c r="U34" t="s">
        <v>29</v>
      </c>
      <c r="V34" t="s">
        <v>29</v>
      </c>
      <c r="W34" t="s">
        <v>31</v>
      </c>
      <c r="X34" t="s">
        <v>58</v>
      </c>
      <c r="Y34" t="s">
        <v>91</v>
      </c>
      <c r="Z34">
        <v>39.36788</v>
      </c>
      <c r="AA34">
        <v>-105.24069</v>
      </c>
      <c r="AB34">
        <v>0.28749999999999998</v>
      </c>
    </row>
    <row r="35" spans="1:28" x14ac:dyDescent="0.2">
      <c r="A35">
        <v>17</v>
      </c>
      <c r="B35">
        <v>1</v>
      </c>
      <c r="C35" t="s">
        <v>65</v>
      </c>
      <c r="D35">
        <v>2000</v>
      </c>
      <c r="E35">
        <v>10</v>
      </c>
      <c r="F35">
        <v>3</v>
      </c>
      <c r="G35" t="s">
        <v>31</v>
      </c>
      <c r="H35">
        <v>49.5</v>
      </c>
      <c r="J35" s="2">
        <f t="shared" ref="J35:J66" si="0">0.400619702*H35</f>
        <v>19.830675249000002</v>
      </c>
      <c r="K35">
        <v>3</v>
      </c>
      <c r="L35">
        <v>86.6</v>
      </c>
      <c r="N35" s="2">
        <f t="shared" ref="N35:N66" si="1">0.478752551*L35</f>
        <v>41.4599709166</v>
      </c>
      <c r="O35">
        <v>1</v>
      </c>
      <c r="P35">
        <v>2</v>
      </c>
      <c r="Q35">
        <v>14.9</v>
      </c>
      <c r="R35">
        <v>74.2</v>
      </c>
      <c r="S35" t="s">
        <v>31</v>
      </c>
      <c r="T35" t="s">
        <v>29</v>
      </c>
      <c r="U35" t="s">
        <v>31</v>
      </c>
      <c r="V35" t="s">
        <v>29</v>
      </c>
      <c r="W35" t="s">
        <v>31</v>
      </c>
      <c r="X35" t="s">
        <v>66</v>
      </c>
      <c r="Y35" t="s">
        <v>96</v>
      </c>
      <c r="Z35">
        <v>39.317166999999998</v>
      </c>
      <c r="AA35">
        <v>21.896909999999998</v>
      </c>
      <c r="AB35">
        <v>0.46450000000000002</v>
      </c>
    </row>
    <row r="36" spans="1:28" x14ac:dyDescent="0.2">
      <c r="A36">
        <v>17</v>
      </c>
      <c r="B36">
        <v>2</v>
      </c>
      <c r="C36" t="s">
        <v>65</v>
      </c>
      <c r="D36">
        <v>2000</v>
      </c>
      <c r="E36">
        <v>20</v>
      </c>
      <c r="F36">
        <v>3</v>
      </c>
      <c r="G36" t="s">
        <v>31</v>
      </c>
      <c r="H36">
        <v>63.5</v>
      </c>
      <c r="J36" s="2">
        <f t="shared" si="0"/>
        <v>25.439351077000001</v>
      </c>
      <c r="K36">
        <v>3</v>
      </c>
      <c r="L36">
        <v>86.6</v>
      </c>
      <c r="N36" s="2">
        <f t="shared" si="1"/>
        <v>41.4599709166</v>
      </c>
      <c r="O36">
        <v>1</v>
      </c>
      <c r="P36">
        <v>2</v>
      </c>
      <c r="Q36">
        <v>14.9</v>
      </c>
      <c r="R36">
        <v>74.2</v>
      </c>
      <c r="S36" t="s">
        <v>31</v>
      </c>
      <c r="T36" t="s">
        <v>29</v>
      </c>
      <c r="U36" t="s">
        <v>31</v>
      </c>
      <c r="V36" t="s">
        <v>29</v>
      </c>
      <c r="W36" t="s">
        <v>31</v>
      </c>
      <c r="X36" t="s">
        <v>66</v>
      </c>
      <c r="Y36" t="s">
        <v>96</v>
      </c>
      <c r="Z36">
        <v>39.317166999999998</v>
      </c>
      <c r="AA36">
        <v>21.896909999999998</v>
      </c>
      <c r="AB36">
        <v>0.46450000000000002</v>
      </c>
    </row>
    <row r="37" spans="1:28" x14ac:dyDescent="0.2">
      <c r="A37">
        <v>17</v>
      </c>
      <c r="B37">
        <v>3</v>
      </c>
      <c r="C37" t="s">
        <v>65</v>
      </c>
      <c r="D37">
        <v>2000</v>
      </c>
      <c r="E37">
        <v>40</v>
      </c>
      <c r="F37">
        <v>3</v>
      </c>
      <c r="G37" t="s">
        <v>31</v>
      </c>
      <c r="H37">
        <v>106.4</v>
      </c>
      <c r="J37" s="2">
        <f t="shared" si="0"/>
        <v>42.625936292800006</v>
      </c>
      <c r="K37">
        <v>3</v>
      </c>
      <c r="L37">
        <v>86.6</v>
      </c>
      <c r="N37" s="2">
        <f t="shared" si="1"/>
        <v>41.4599709166</v>
      </c>
      <c r="O37">
        <v>1</v>
      </c>
      <c r="P37">
        <v>2</v>
      </c>
      <c r="Q37">
        <v>14.9</v>
      </c>
      <c r="R37">
        <v>74.2</v>
      </c>
      <c r="S37" t="s">
        <v>31</v>
      </c>
      <c r="T37" t="s">
        <v>29</v>
      </c>
      <c r="U37" t="s">
        <v>31</v>
      </c>
      <c r="V37" t="s">
        <v>29</v>
      </c>
      <c r="W37" t="s">
        <v>31</v>
      </c>
      <c r="X37" t="s">
        <v>66</v>
      </c>
      <c r="Y37" t="s">
        <v>96</v>
      </c>
      <c r="Z37">
        <v>39.317166999999998</v>
      </c>
      <c r="AA37">
        <v>21.896909999999998</v>
      </c>
      <c r="AB37">
        <v>0.46450000000000002</v>
      </c>
    </row>
    <row r="38" spans="1:28" x14ac:dyDescent="0.2">
      <c r="A38">
        <v>17</v>
      </c>
      <c r="B38">
        <v>4</v>
      </c>
      <c r="C38" t="s">
        <v>65</v>
      </c>
      <c r="D38">
        <v>2000</v>
      </c>
      <c r="E38">
        <v>60</v>
      </c>
      <c r="F38">
        <v>3</v>
      </c>
      <c r="G38" t="s">
        <v>31</v>
      </c>
      <c r="H38">
        <v>151.69999999999999</v>
      </c>
      <c r="J38" s="2">
        <f t="shared" si="0"/>
        <v>60.7740087934</v>
      </c>
      <c r="K38">
        <v>3</v>
      </c>
      <c r="L38">
        <v>86.6</v>
      </c>
      <c r="N38" s="2">
        <f t="shared" si="1"/>
        <v>41.4599709166</v>
      </c>
      <c r="O38">
        <v>1</v>
      </c>
      <c r="P38">
        <v>2</v>
      </c>
      <c r="Q38">
        <v>14.9</v>
      </c>
      <c r="R38">
        <v>74.2</v>
      </c>
      <c r="S38" t="s">
        <v>31</v>
      </c>
      <c r="T38" t="s">
        <v>29</v>
      </c>
      <c r="U38" t="s">
        <v>31</v>
      </c>
      <c r="V38" t="s">
        <v>29</v>
      </c>
      <c r="W38" t="s">
        <v>31</v>
      </c>
      <c r="X38" t="s">
        <v>66</v>
      </c>
      <c r="Y38" t="s">
        <v>96</v>
      </c>
      <c r="Z38">
        <v>39.317166999999998</v>
      </c>
      <c r="AA38">
        <v>21.896909999999998</v>
      </c>
      <c r="AB38">
        <v>0.46450000000000002</v>
      </c>
    </row>
    <row r="39" spans="1:28" x14ac:dyDescent="0.2">
      <c r="A39">
        <v>17</v>
      </c>
      <c r="B39">
        <v>5</v>
      </c>
      <c r="C39" t="s">
        <v>65</v>
      </c>
      <c r="D39">
        <v>2000</v>
      </c>
      <c r="E39">
        <v>80</v>
      </c>
      <c r="F39">
        <v>3</v>
      </c>
      <c r="G39" t="s">
        <v>31</v>
      </c>
      <c r="H39">
        <v>194.3</v>
      </c>
      <c r="J39" s="2">
        <f t="shared" si="0"/>
        <v>77.840408098600008</v>
      </c>
      <c r="K39">
        <v>3</v>
      </c>
      <c r="L39">
        <v>86.6</v>
      </c>
      <c r="N39" s="2">
        <f t="shared" si="1"/>
        <v>41.4599709166</v>
      </c>
      <c r="O39">
        <v>1</v>
      </c>
      <c r="P39">
        <v>2</v>
      </c>
      <c r="Q39">
        <v>14.9</v>
      </c>
      <c r="R39">
        <v>74.2</v>
      </c>
      <c r="S39" t="s">
        <v>31</v>
      </c>
      <c r="T39" t="s">
        <v>29</v>
      </c>
      <c r="U39" t="s">
        <v>31</v>
      </c>
      <c r="V39" t="s">
        <v>29</v>
      </c>
      <c r="W39" t="s">
        <v>31</v>
      </c>
      <c r="X39" t="s">
        <v>66</v>
      </c>
      <c r="Y39" t="s">
        <v>96</v>
      </c>
      <c r="Z39">
        <v>39.317166999999998</v>
      </c>
      <c r="AA39">
        <v>21.896909999999998</v>
      </c>
      <c r="AB39">
        <v>0.46450000000000002</v>
      </c>
    </row>
    <row r="40" spans="1:28" x14ac:dyDescent="0.2">
      <c r="A40">
        <v>17</v>
      </c>
      <c r="B40">
        <v>6</v>
      </c>
      <c r="C40" t="s">
        <v>65</v>
      </c>
      <c r="D40">
        <v>2000</v>
      </c>
      <c r="E40">
        <v>120</v>
      </c>
      <c r="F40">
        <v>3</v>
      </c>
      <c r="G40" t="s">
        <v>31</v>
      </c>
      <c r="H40">
        <v>224.8</v>
      </c>
      <c r="J40" s="2">
        <f t="shared" si="0"/>
        <v>90.059309009600014</v>
      </c>
      <c r="K40">
        <v>3</v>
      </c>
      <c r="L40">
        <v>86.6</v>
      </c>
      <c r="N40" s="2">
        <f t="shared" si="1"/>
        <v>41.4599709166</v>
      </c>
      <c r="O40">
        <v>1</v>
      </c>
      <c r="P40">
        <v>2</v>
      </c>
      <c r="Q40">
        <v>14.9</v>
      </c>
      <c r="R40">
        <v>74.2</v>
      </c>
      <c r="S40" t="s">
        <v>31</v>
      </c>
      <c r="T40" t="s">
        <v>29</v>
      </c>
      <c r="U40" t="s">
        <v>31</v>
      </c>
      <c r="V40" t="s">
        <v>29</v>
      </c>
      <c r="W40" t="s">
        <v>31</v>
      </c>
      <c r="X40" t="s">
        <v>66</v>
      </c>
      <c r="Y40" t="s">
        <v>96</v>
      </c>
      <c r="Z40">
        <v>39.317166999999998</v>
      </c>
      <c r="AA40">
        <v>21.896909999999998</v>
      </c>
      <c r="AB40">
        <v>0.46450000000000002</v>
      </c>
    </row>
    <row r="41" spans="1:28" x14ac:dyDescent="0.2">
      <c r="A41">
        <v>17</v>
      </c>
      <c r="B41">
        <v>7</v>
      </c>
      <c r="C41" t="s">
        <v>65</v>
      </c>
      <c r="D41">
        <v>2000</v>
      </c>
      <c r="E41">
        <v>10</v>
      </c>
      <c r="F41">
        <v>3</v>
      </c>
      <c r="G41" t="s">
        <v>31</v>
      </c>
      <c r="H41">
        <v>38.700000000000003</v>
      </c>
      <c r="J41" s="2">
        <f t="shared" si="0"/>
        <v>15.503982467400002</v>
      </c>
      <c r="K41">
        <v>3</v>
      </c>
      <c r="L41">
        <v>177</v>
      </c>
      <c r="N41" s="2">
        <f t="shared" si="1"/>
        <v>84.739201527000006</v>
      </c>
      <c r="O41">
        <v>4</v>
      </c>
      <c r="P41">
        <v>5</v>
      </c>
      <c r="Q41">
        <v>14.9</v>
      </c>
      <c r="R41">
        <v>74.2</v>
      </c>
      <c r="S41" t="s">
        <v>31</v>
      </c>
      <c r="T41" t="s">
        <v>29</v>
      </c>
      <c r="U41" t="s">
        <v>31</v>
      </c>
      <c r="V41" t="s">
        <v>29</v>
      </c>
      <c r="W41" t="s">
        <v>31</v>
      </c>
      <c r="X41" t="s">
        <v>66</v>
      </c>
      <c r="Y41" t="s">
        <v>96</v>
      </c>
      <c r="Z41">
        <v>39.317166999999998</v>
      </c>
      <c r="AA41">
        <v>21.896909999999998</v>
      </c>
      <c r="AB41">
        <v>0.46450000000000002</v>
      </c>
    </row>
    <row r="42" spans="1:28" x14ac:dyDescent="0.2">
      <c r="A42">
        <v>17</v>
      </c>
      <c r="B42">
        <v>8</v>
      </c>
      <c r="C42" t="s">
        <v>65</v>
      </c>
      <c r="D42">
        <v>2000</v>
      </c>
      <c r="E42">
        <v>20</v>
      </c>
      <c r="F42">
        <v>3</v>
      </c>
      <c r="G42" t="s">
        <v>31</v>
      </c>
      <c r="H42">
        <v>52.3</v>
      </c>
      <c r="J42" s="2">
        <f t="shared" si="0"/>
        <v>20.952410414599999</v>
      </c>
      <c r="K42">
        <v>3</v>
      </c>
      <c r="L42">
        <v>177</v>
      </c>
      <c r="N42" s="2">
        <f t="shared" si="1"/>
        <v>84.739201527000006</v>
      </c>
      <c r="O42">
        <v>4</v>
      </c>
      <c r="P42">
        <v>5</v>
      </c>
      <c r="Q42">
        <v>14.9</v>
      </c>
      <c r="R42">
        <v>74.2</v>
      </c>
      <c r="S42" t="s">
        <v>31</v>
      </c>
      <c r="T42" t="s">
        <v>29</v>
      </c>
      <c r="U42" t="s">
        <v>31</v>
      </c>
      <c r="V42" t="s">
        <v>29</v>
      </c>
      <c r="W42" t="s">
        <v>31</v>
      </c>
      <c r="X42" t="s">
        <v>66</v>
      </c>
      <c r="Y42" t="s">
        <v>96</v>
      </c>
      <c r="Z42">
        <v>39.317166999999998</v>
      </c>
      <c r="AA42">
        <v>21.896909999999998</v>
      </c>
      <c r="AB42">
        <v>0.46450000000000002</v>
      </c>
    </row>
    <row r="43" spans="1:28" x14ac:dyDescent="0.2">
      <c r="A43">
        <v>17</v>
      </c>
      <c r="B43">
        <v>9</v>
      </c>
      <c r="C43" t="s">
        <v>65</v>
      </c>
      <c r="D43">
        <v>2000</v>
      </c>
      <c r="E43">
        <v>40</v>
      </c>
      <c r="F43">
        <v>3</v>
      </c>
      <c r="G43" t="s">
        <v>31</v>
      </c>
      <c r="H43">
        <v>71.099999999999994</v>
      </c>
      <c r="J43" s="2">
        <f t="shared" si="0"/>
        <v>28.484060812199999</v>
      </c>
      <c r="K43">
        <v>3</v>
      </c>
      <c r="L43">
        <v>177</v>
      </c>
      <c r="N43" s="2">
        <f t="shared" si="1"/>
        <v>84.739201527000006</v>
      </c>
      <c r="O43">
        <v>4</v>
      </c>
      <c r="P43">
        <v>5</v>
      </c>
      <c r="Q43">
        <v>14.9</v>
      </c>
      <c r="R43">
        <v>74.2</v>
      </c>
      <c r="S43" t="s">
        <v>31</v>
      </c>
      <c r="T43" t="s">
        <v>29</v>
      </c>
      <c r="U43" t="s">
        <v>31</v>
      </c>
      <c r="V43" t="s">
        <v>29</v>
      </c>
      <c r="W43" t="s">
        <v>31</v>
      </c>
      <c r="X43" t="s">
        <v>66</v>
      </c>
      <c r="Y43" t="s">
        <v>96</v>
      </c>
      <c r="Z43">
        <v>39.317166999999998</v>
      </c>
      <c r="AA43">
        <v>21.896909999999998</v>
      </c>
      <c r="AB43">
        <v>0.46450000000000002</v>
      </c>
    </row>
    <row r="44" spans="1:28" x14ac:dyDescent="0.2">
      <c r="A44">
        <v>17</v>
      </c>
      <c r="B44">
        <v>10</v>
      </c>
      <c r="C44" t="s">
        <v>65</v>
      </c>
      <c r="D44">
        <v>2000</v>
      </c>
      <c r="E44">
        <v>60</v>
      </c>
      <c r="F44">
        <v>3</v>
      </c>
      <c r="G44" t="s">
        <v>31</v>
      </c>
      <c r="H44">
        <v>99</v>
      </c>
      <c r="J44" s="2">
        <f t="shared" si="0"/>
        <v>39.661350498000004</v>
      </c>
      <c r="K44">
        <v>3</v>
      </c>
      <c r="L44">
        <v>177</v>
      </c>
      <c r="N44" s="2">
        <f t="shared" si="1"/>
        <v>84.739201527000006</v>
      </c>
      <c r="O44">
        <v>4</v>
      </c>
      <c r="P44">
        <v>5</v>
      </c>
      <c r="Q44">
        <v>14.9</v>
      </c>
      <c r="R44">
        <v>74.2</v>
      </c>
      <c r="S44" t="s">
        <v>31</v>
      </c>
      <c r="T44" t="s">
        <v>29</v>
      </c>
      <c r="U44" t="s">
        <v>31</v>
      </c>
      <c r="V44" t="s">
        <v>29</v>
      </c>
      <c r="W44" t="s">
        <v>31</v>
      </c>
      <c r="X44" t="s">
        <v>66</v>
      </c>
      <c r="Y44" t="s">
        <v>96</v>
      </c>
      <c r="Z44">
        <v>39.317166999999998</v>
      </c>
      <c r="AA44">
        <v>21.896909999999998</v>
      </c>
      <c r="AB44">
        <v>0.46450000000000002</v>
      </c>
    </row>
    <row r="45" spans="1:28" x14ac:dyDescent="0.2">
      <c r="A45">
        <v>17</v>
      </c>
      <c r="B45">
        <v>11</v>
      </c>
      <c r="C45" t="s">
        <v>65</v>
      </c>
      <c r="D45">
        <v>2000</v>
      </c>
      <c r="E45">
        <v>80</v>
      </c>
      <c r="F45">
        <v>3</v>
      </c>
      <c r="G45" t="s">
        <v>31</v>
      </c>
      <c r="H45">
        <v>122.2</v>
      </c>
      <c r="J45" s="2">
        <f t="shared" si="0"/>
        <v>48.955727584400002</v>
      </c>
      <c r="K45">
        <v>3</v>
      </c>
      <c r="L45">
        <v>177</v>
      </c>
      <c r="N45" s="2">
        <f t="shared" si="1"/>
        <v>84.739201527000006</v>
      </c>
      <c r="O45">
        <v>4</v>
      </c>
      <c r="P45">
        <v>5</v>
      </c>
      <c r="Q45">
        <v>14.9</v>
      </c>
      <c r="R45">
        <v>74.2</v>
      </c>
      <c r="S45" t="s">
        <v>31</v>
      </c>
      <c r="T45" t="s">
        <v>29</v>
      </c>
      <c r="U45" t="s">
        <v>31</v>
      </c>
      <c r="V45" t="s">
        <v>29</v>
      </c>
      <c r="W45" t="s">
        <v>31</v>
      </c>
      <c r="X45" t="s">
        <v>66</v>
      </c>
      <c r="Y45" t="s">
        <v>96</v>
      </c>
      <c r="Z45">
        <v>39.317166999999998</v>
      </c>
      <c r="AA45">
        <v>21.896909999999998</v>
      </c>
      <c r="AB45">
        <v>0.46450000000000002</v>
      </c>
    </row>
    <row r="46" spans="1:28" x14ac:dyDescent="0.2">
      <c r="A46">
        <v>17</v>
      </c>
      <c r="B46">
        <v>12</v>
      </c>
      <c r="C46" t="s">
        <v>65</v>
      </c>
      <c r="D46">
        <v>2000</v>
      </c>
      <c r="E46">
        <v>120</v>
      </c>
      <c r="F46">
        <v>3</v>
      </c>
      <c r="G46" t="s">
        <v>31</v>
      </c>
      <c r="H46">
        <v>142</v>
      </c>
      <c r="J46" s="2">
        <f t="shared" si="0"/>
        <v>56.887997684000005</v>
      </c>
      <c r="K46">
        <v>3</v>
      </c>
      <c r="L46">
        <v>177</v>
      </c>
      <c r="N46" s="2">
        <f t="shared" si="1"/>
        <v>84.739201527000006</v>
      </c>
      <c r="O46">
        <v>4</v>
      </c>
      <c r="P46">
        <v>5</v>
      </c>
      <c r="Q46">
        <v>14.9</v>
      </c>
      <c r="R46">
        <v>74.2</v>
      </c>
      <c r="S46" t="s">
        <v>31</v>
      </c>
      <c r="T46" t="s">
        <v>29</v>
      </c>
      <c r="U46" t="s">
        <v>31</v>
      </c>
      <c r="V46" t="s">
        <v>29</v>
      </c>
      <c r="W46" t="s">
        <v>31</v>
      </c>
      <c r="X46" t="s">
        <v>66</v>
      </c>
      <c r="Y46" t="s">
        <v>96</v>
      </c>
      <c r="Z46">
        <v>39.317166999999998</v>
      </c>
      <c r="AA46">
        <v>21.896909999999998</v>
      </c>
      <c r="AB46">
        <v>0.46450000000000002</v>
      </c>
    </row>
    <row r="47" spans="1:28" x14ac:dyDescent="0.2">
      <c r="A47">
        <v>18</v>
      </c>
      <c r="B47">
        <v>1</v>
      </c>
      <c r="C47" t="s">
        <v>67</v>
      </c>
      <c r="D47">
        <v>1997</v>
      </c>
      <c r="E47">
        <v>6.5</v>
      </c>
      <c r="F47">
        <v>5</v>
      </c>
      <c r="G47" t="s">
        <v>31</v>
      </c>
      <c r="H47">
        <v>81.91</v>
      </c>
      <c r="J47" s="2">
        <f t="shared" si="0"/>
        <v>32.814759790819998</v>
      </c>
      <c r="K47">
        <v>5</v>
      </c>
      <c r="L47">
        <v>19.11</v>
      </c>
      <c r="N47" s="2">
        <f t="shared" si="1"/>
        <v>9.1489612496100001</v>
      </c>
      <c r="O47">
        <v>1</v>
      </c>
      <c r="P47">
        <v>2</v>
      </c>
      <c r="Q47">
        <v>16.100000000000001</v>
      </c>
      <c r="R47">
        <v>36.1</v>
      </c>
      <c r="S47" t="s">
        <v>31</v>
      </c>
      <c r="T47" t="s">
        <v>31</v>
      </c>
      <c r="U47" t="s">
        <v>31</v>
      </c>
      <c r="V47" t="s">
        <v>31</v>
      </c>
      <c r="W47" t="s">
        <v>31</v>
      </c>
      <c r="X47" t="s">
        <v>68</v>
      </c>
      <c r="Y47" t="s">
        <v>93</v>
      </c>
      <c r="Z47">
        <v>38.206281699999998</v>
      </c>
      <c r="AA47">
        <v>-1.0434985000000001</v>
      </c>
      <c r="AB47">
        <v>0.18459999999999999</v>
      </c>
    </row>
    <row r="48" spans="1:28" x14ac:dyDescent="0.2">
      <c r="A48">
        <v>18</v>
      </c>
      <c r="B48">
        <v>2</v>
      </c>
      <c r="C48" t="s">
        <v>67</v>
      </c>
      <c r="D48">
        <v>1997</v>
      </c>
      <c r="E48">
        <v>13</v>
      </c>
      <c r="F48">
        <v>5</v>
      </c>
      <c r="G48" t="s">
        <v>31</v>
      </c>
      <c r="H48">
        <v>223.89</v>
      </c>
      <c r="J48" s="2">
        <f t="shared" si="0"/>
        <v>89.694745080779995</v>
      </c>
      <c r="K48">
        <v>5</v>
      </c>
      <c r="L48">
        <v>19.11</v>
      </c>
      <c r="N48" s="2">
        <f t="shared" si="1"/>
        <v>9.1489612496100001</v>
      </c>
      <c r="O48">
        <v>1</v>
      </c>
      <c r="P48">
        <v>2</v>
      </c>
      <c r="Q48">
        <v>16.100000000000001</v>
      </c>
      <c r="R48">
        <v>36.1</v>
      </c>
      <c r="S48" t="s">
        <v>31</v>
      </c>
      <c r="T48" t="s">
        <v>31</v>
      </c>
      <c r="U48" t="s">
        <v>31</v>
      </c>
      <c r="V48" t="s">
        <v>31</v>
      </c>
      <c r="W48" t="s">
        <v>31</v>
      </c>
      <c r="X48" t="s">
        <v>68</v>
      </c>
      <c r="Y48" t="s">
        <v>93</v>
      </c>
      <c r="Z48">
        <v>38.206281699999998</v>
      </c>
      <c r="AA48">
        <v>-1.0434985000000001</v>
      </c>
      <c r="AB48">
        <v>0.18459999999999999</v>
      </c>
    </row>
    <row r="49" spans="1:28" x14ac:dyDescent="0.2">
      <c r="A49">
        <v>18</v>
      </c>
      <c r="B49">
        <v>3</v>
      </c>
      <c r="C49" t="s">
        <v>67</v>
      </c>
      <c r="D49">
        <v>1997</v>
      </c>
      <c r="E49">
        <v>19.5</v>
      </c>
      <c r="F49">
        <v>5</v>
      </c>
      <c r="G49" t="s">
        <v>31</v>
      </c>
      <c r="H49">
        <v>122.87</v>
      </c>
      <c r="J49" s="2">
        <f t="shared" si="0"/>
        <v>49.224142784740003</v>
      </c>
      <c r="K49">
        <v>5</v>
      </c>
      <c r="L49">
        <v>19.11</v>
      </c>
      <c r="N49" s="2">
        <f t="shared" si="1"/>
        <v>9.1489612496100001</v>
      </c>
      <c r="O49">
        <v>1</v>
      </c>
      <c r="P49">
        <v>2</v>
      </c>
      <c r="Q49">
        <v>16.100000000000001</v>
      </c>
      <c r="R49">
        <v>36.1</v>
      </c>
      <c r="S49" t="s">
        <v>31</v>
      </c>
      <c r="T49" t="s">
        <v>31</v>
      </c>
      <c r="U49" t="s">
        <v>31</v>
      </c>
      <c r="V49" t="s">
        <v>31</v>
      </c>
      <c r="W49" t="s">
        <v>31</v>
      </c>
      <c r="X49" t="s">
        <v>68</v>
      </c>
      <c r="Y49" t="s">
        <v>93</v>
      </c>
      <c r="Z49">
        <v>38.206281699999998</v>
      </c>
      <c r="AA49">
        <v>-1.0434985000000001</v>
      </c>
      <c r="AB49">
        <v>0.18459999999999999</v>
      </c>
    </row>
    <row r="50" spans="1:28" x14ac:dyDescent="0.2">
      <c r="A50">
        <v>18</v>
      </c>
      <c r="B50">
        <v>4</v>
      </c>
      <c r="C50" t="s">
        <v>67</v>
      </c>
      <c r="D50">
        <v>1997</v>
      </c>
      <c r="E50">
        <v>26</v>
      </c>
      <c r="F50">
        <v>5</v>
      </c>
      <c r="G50" t="s">
        <v>31</v>
      </c>
      <c r="H50">
        <v>165.64</v>
      </c>
      <c r="J50" s="2">
        <f t="shared" si="0"/>
        <v>66.358647439279991</v>
      </c>
      <c r="K50">
        <v>5</v>
      </c>
      <c r="L50">
        <v>19.11</v>
      </c>
      <c r="N50" s="2">
        <f t="shared" si="1"/>
        <v>9.1489612496100001</v>
      </c>
      <c r="O50">
        <v>1</v>
      </c>
      <c r="P50">
        <v>2</v>
      </c>
      <c r="Q50">
        <v>16.100000000000001</v>
      </c>
      <c r="R50">
        <v>36.1</v>
      </c>
      <c r="S50" t="s">
        <v>31</v>
      </c>
      <c r="T50" t="s">
        <v>31</v>
      </c>
      <c r="U50" t="s">
        <v>31</v>
      </c>
      <c r="V50" t="s">
        <v>31</v>
      </c>
      <c r="W50" t="s">
        <v>31</v>
      </c>
      <c r="X50" t="s">
        <v>68</v>
      </c>
      <c r="Y50" t="s">
        <v>93</v>
      </c>
      <c r="Z50">
        <v>38.206281699999998</v>
      </c>
      <c r="AA50">
        <v>-1.0434985000000001</v>
      </c>
      <c r="AB50">
        <v>0.18459999999999999</v>
      </c>
    </row>
    <row r="51" spans="1:28" x14ac:dyDescent="0.2">
      <c r="A51">
        <v>18</v>
      </c>
      <c r="B51">
        <v>5</v>
      </c>
      <c r="C51" t="s">
        <v>67</v>
      </c>
      <c r="D51">
        <v>1997</v>
      </c>
      <c r="E51">
        <v>6.5</v>
      </c>
      <c r="F51">
        <v>5</v>
      </c>
      <c r="G51" t="s">
        <v>31</v>
      </c>
      <c r="H51">
        <v>334.02</v>
      </c>
      <c r="J51" s="2">
        <f t="shared" si="0"/>
        <v>133.81499286203999</v>
      </c>
      <c r="K51">
        <v>5</v>
      </c>
      <c r="L51">
        <v>83.73</v>
      </c>
      <c r="N51" s="2">
        <f t="shared" si="1"/>
        <v>40.085951095230001</v>
      </c>
      <c r="O51">
        <v>2</v>
      </c>
      <c r="P51">
        <v>3</v>
      </c>
      <c r="Q51">
        <v>16.100000000000001</v>
      </c>
      <c r="R51">
        <v>36.1</v>
      </c>
      <c r="S51" t="s">
        <v>31</v>
      </c>
      <c r="T51" t="s">
        <v>31</v>
      </c>
      <c r="U51" t="s">
        <v>31</v>
      </c>
      <c r="V51" t="s">
        <v>31</v>
      </c>
      <c r="W51" t="s">
        <v>31</v>
      </c>
      <c r="X51" t="s">
        <v>68</v>
      </c>
      <c r="Y51" t="s">
        <v>93</v>
      </c>
      <c r="Z51">
        <v>38.206281699999998</v>
      </c>
      <c r="AA51">
        <v>-1.0434985000000001</v>
      </c>
      <c r="AB51">
        <v>0.18459999999999999</v>
      </c>
    </row>
    <row r="52" spans="1:28" x14ac:dyDescent="0.2">
      <c r="A52">
        <v>18</v>
      </c>
      <c r="B52">
        <v>6</v>
      </c>
      <c r="C52" t="s">
        <v>67</v>
      </c>
      <c r="D52">
        <v>1997</v>
      </c>
      <c r="E52">
        <v>13</v>
      </c>
      <c r="F52">
        <v>5</v>
      </c>
      <c r="G52" t="s">
        <v>31</v>
      </c>
      <c r="H52">
        <v>645.28</v>
      </c>
      <c r="J52" s="2">
        <f t="shared" si="0"/>
        <v>258.51188130655999</v>
      </c>
      <c r="K52">
        <v>5</v>
      </c>
      <c r="L52">
        <v>83.73</v>
      </c>
      <c r="N52" s="2">
        <f t="shared" si="1"/>
        <v>40.085951095230001</v>
      </c>
      <c r="O52">
        <v>2</v>
      </c>
      <c r="P52">
        <v>3</v>
      </c>
      <c r="Q52">
        <v>16.100000000000001</v>
      </c>
      <c r="R52">
        <v>36.1</v>
      </c>
      <c r="S52" t="s">
        <v>31</v>
      </c>
      <c r="T52" t="s">
        <v>31</v>
      </c>
      <c r="U52" t="s">
        <v>31</v>
      </c>
      <c r="V52" t="s">
        <v>31</v>
      </c>
      <c r="W52" t="s">
        <v>31</v>
      </c>
      <c r="X52" t="s">
        <v>68</v>
      </c>
      <c r="Y52" t="s">
        <v>93</v>
      </c>
      <c r="Z52">
        <v>38.206281699999998</v>
      </c>
      <c r="AA52">
        <v>-1.0434985000000001</v>
      </c>
      <c r="AB52">
        <v>0.18459999999999999</v>
      </c>
    </row>
    <row r="53" spans="1:28" x14ac:dyDescent="0.2">
      <c r="A53">
        <v>18</v>
      </c>
      <c r="B53">
        <v>7</v>
      </c>
      <c r="C53" t="s">
        <v>67</v>
      </c>
      <c r="D53">
        <v>1997</v>
      </c>
      <c r="E53">
        <v>19.5</v>
      </c>
      <c r="F53">
        <v>5</v>
      </c>
      <c r="G53" t="s">
        <v>31</v>
      </c>
      <c r="H53">
        <v>517.86</v>
      </c>
      <c r="J53" s="2">
        <f t="shared" si="0"/>
        <v>207.46491887772001</v>
      </c>
      <c r="K53">
        <v>5</v>
      </c>
      <c r="L53">
        <v>83.73</v>
      </c>
      <c r="N53" s="2">
        <f t="shared" si="1"/>
        <v>40.085951095230001</v>
      </c>
      <c r="O53">
        <v>2</v>
      </c>
      <c r="P53">
        <v>3</v>
      </c>
      <c r="Q53">
        <v>16.100000000000001</v>
      </c>
      <c r="R53">
        <v>36.1</v>
      </c>
      <c r="S53" t="s">
        <v>31</v>
      </c>
      <c r="T53" t="s">
        <v>31</v>
      </c>
      <c r="U53" t="s">
        <v>31</v>
      </c>
      <c r="V53" t="s">
        <v>31</v>
      </c>
      <c r="W53" t="s">
        <v>31</v>
      </c>
      <c r="X53" t="s">
        <v>68</v>
      </c>
      <c r="Y53" t="s">
        <v>93</v>
      </c>
      <c r="Z53">
        <v>38.206281699999998</v>
      </c>
      <c r="AA53">
        <v>-1.0434985000000001</v>
      </c>
      <c r="AB53">
        <v>0.18459999999999999</v>
      </c>
    </row>
    <row r="54" spans="1:28" x14ac:dyDescent="0.2">
      <c r="A54">
        <v>18</v>
      </c>
      <c r="B54">
        <v>8</v>
      </c>
      <c r="C54" t="s">
        <v>67</v>
      </c>
      <c r="D54">
        <v>1997</v>
      </c>
      <c r="E54">
        <v>26</v>
      </c>
      <c r="F54">
        <v>5</v>
      </c>
      <c r="G54" t="s">
        <v>31</v>
      </c>
      <c r="H54">
        <v>797.27</v>
      </c>
      <c r="J54" s="2">
        <f t="shared" si="0"/>
        <v>319.40206981354004</v>
      </c>
      <c r="K54">
        <v>5</v>
      </c>
      <c r="L54">
        <v>83.73</v>
      </c>
      <c r="N54" s="2">
        <f t="shared" si="1"/>
        <v>40.085951095230001</v>
      </c>
      <c r="O54">
        <v>2</v>
      </c>
      <c r="P54">
        <v>3</v>
      </c>
      <c r="Q54">
        <v>16.100000000000001</v>
      </c>
      <c r="R54">
        <v>36.1</v>
      </c>
      <c r="S54" t="s">
        <v>31</v>
      </c>
      <c r="T54" t="s">
        <v>31</v>
      </c>
      <c r="U54" t="s">
        <v>31</v>
      </c>
      <c r="V54" t="s">
        <v>31</v>
      </c>
      <c r="W54" t="s">
        <v>31</v>
      </c>
      <c r="X54" t="s">
        <v>68</v>
      </c>
      <c r="Y54" t="s">
        <v>93</v>
      </c>
      <c r="Z54">
        <v>38.206281699999998</v>
      </c>
      <c r="AA54">
        <v>-1.0434985000000001</v>
      </c>
      <c r="AB54">
        <v>0.18459999999999999</v>
      </c>
    </row>
    <row r="55" spans="1:28" x14ac:dyDescent="0.2">
      <c r="A55">
        <v>18</v>
      </c>
      <c r="B55">
        <v>9</v>
      </c>
      <c r="C55" t="s">
        <v>67</v>
      </c>
      <c r="D55">
        <v>1997</v>
      </c>
      <c r="E55">
        <v>6.5</v>
      </c>
      <c r="F55">
        <v>5</v>
      </c>
      <c r="G55" t="s">
        <v>31</v>
      </c>
      <c r="H55">
        <v>237.54</v>
      </c>
      <c r="J55" s="2">
        <f t="shared" si="0"/>
        <v>95.163204013080005</v>
      </c>
      <c r="K55">
        <v>5</v>
      </c>
      <c r="L55">
        <v>62.8</v>
      </c>
      <c r="N55" s="2">
        <f t="shared" si="1"/>
        <v>30.0656602028</v>
      </c>
      <c r="O55">
        <v>3</v>
      </c>
      <c r="P55">
        <v>4</v>
      </c>
      <c r="Q55">
        <v>16.100000000000001</v>
      </c>
      <c r="R55">
        <v>36.1</v>
      </c>
      <c r="S55" t="s">
        <v>31</v>
      </c>
      <c r="T55" t="s">
        <v>31</v>
      </c>
      <c r="U55" t="s">
        <v>31</v>
      </c>
      <c r="V55" t="s">
        <v>31</v>
      </c>
      <c r="W55" t="s">
        <v>31</v>
      </c>
      <c r="X55" t="s">
        <v>68</v>
      </c>
      <c r="Y55" t="s">
        <v>93</v>
      </c>
      <c r="Z55">
        <v>38.206281699999998</v>
      </c>
      <c r="AA55">
        <v>-1.0434985000000001</v>
      </c>
      <c r="AB55">
        <v>0.18459999999999999</v>
      </c>
    </row>
    <row r="56" spans="1:28" x14ac:dyDescent="0.2">
      <c r="A56">
        <v>18</v>
      </c>
      <c r="B56">
        <v>10</v>
      </c>
      <c r="C56" t="s">
        <v>67</v>
      </c>
      <c r="D56">
        <v>1997</v>
      </c>
      <c r="E56">
        <v>13</v>
      </c>
      <c r="F56">
        <v>5</v>
      </c>
      <c r="G56" t="s">
        <v>31</v>
      </c>
      <c r="H56">
        <v>260.3</v>
      </c>
      <c r="J56" s="2">
        <f t="shared" si="0"/>
        <v>104.28130843060001</v>
      </c>
      <c r="K56">
        <v>5</v>
      </c>
      <c r="L56">
        <v>62.8</v>
      </c>
      <c r="N56" s="2">
        <f t="shared" si="1"/>
        <v>30.0656602028</v>
      </c>
      <c r="O56">
        <v>3</v>
      </c>
      <c r="P56">
        <v>4</v>
      </c>
      <c r="Q56">
        <v>16.100000000000001</v>
      </c>
      <c r="R56">
        <v>36.1</v>
      </c>
      <c r="S56" t="s">
        <v>31</v>
      </c>
      <c r="T56" t="s">
        <v>31</v>
      </c>
      <c r="U56" t="s">
        <v>31</v>
      </c>
      <c r="V56" t="s">
        <v>31</v>
      </c>
      <c r="W56" t="s">
        <v>31</v>
      </c>
      <c r="X56" t="s">
        <v>68</v>
      </c>
      <c r="Y56" t="s">
        <v>93</v>
      </c>
      <c r="Z56">
        <v>38.206281699999998</v>
      </c>
      <c r="AA56">
        <v>-1.0434985000000001</v>
      </c>
      <c r="AB56">
        <v>0.18459999999999999</v>
      </c>
    </row>
    <row r="57" spans="1:28" x14ac:dyDescent="0.2">
      <c r="A57">
        <v>18</v>
      </c>
      <c r="B57">
        <v>11</v>
      </c>
      <c r="C57" t="s">
        <v>67</v>
      </c>
      <c r="D57">
        <v>1997</v>
      </c>
      <c r="E57">
        <v>19.5</v>
      </c>
      <c r="F57">
        <v>5</v>
      </c>
      <c r="G57" t="s">
        <v>31</v>
      </c>
      <c r="H57">
        <v>445.96</v>
      </c>
      <c r="J57" s="2">
        <f t="shared" si="0"/>
        <v>178.66036230392001</v>
      </c>
      <c r="K57">
        <v>5</v>
      </c>
      <c r="L57">
        <v>62.8</v>
      </c>
      <c r="N57" s="2">
        <f t="shared" si="1"/>
        <v>30.0656602028</v>
      </c>
      <c r="O57">
        <v>3</v>
      </c>
      <c r="P57">
        <v>4</v>
      </c>
      <c r="Q57">
        <v>16.100000000000001</v>
      </c>
      <c r="R57">
        <v>36.1</v>
      </c>
      <c r="S57" t="s">
        <v>31</v>
      </c>
      <c r="T57" t="s">
        <v>31</v>
      </c>
      <c r="U57" t="s">
        <v>31</v>
      </c>
      <c r="V57" t="s">
        <v>31</v>
      </c>
      <c r="W57" t="s">
        <v>31</v>
      </c>
      <c r="X57" t="s">
        <v>68</v>
      </c>
      <c r="Y57" t="s">
        <v>93</v>
      </c>
      <c r="Z57">
        <v>38.206281699999998</v>
      </c>
      <c r="AA57">
        <v>-1.0434985000000001</v>
      </c>
      <c r="AB57">
        <v>0.18459999999999999</v>
      </c>
    </row>
    <row r="58" spans="1:28" x14ac:dyDescent="0.2">
      <c r="A58">
        <v>18</v>
      </c>
      <c r="B58">
        <v>12</v>
      </c>
      <c r="C58" t="s">
        <v>67</v>
      </c>
      <c r="D58">
        <v>1997</v>
      </c>
      <c r="E58">
        <v>26</v>
      </c>
      <c r="F58">
        <v>5</v>
      </c>
      <c r="G58" t="s">
        <v>31</v>
      </c>
      <c r="H58">
        <v>577.92999999999995</v>
      </c>
      <c r="J58" s="2">
        <f t="shared" si="0"/>
        <v>231.53014437685999</v>
      </c>
      <c r="K58">
        <v>5</v>
      </c>
      <c r="L58">
        <v>62.8</v>
      </c>
      <c r="N58" s="2">
        <f t="shared" si="1"/>
        <v>30.0656602028</v>
      </c>
      <c r="O58">
        <v>3</v>
      </c>
      <c r="P58">
        <v>4</v>
      </c>
      <c r="Q58">
        <v>16.100000000000001</v>
      </c>
      <c r="R58">
        <v>36.1</v>
      </c>
      <c r="S58" t="s">
        <v>31</v>
      </c>
      <c r="T58" t="s">
        <v>31</v>
      </c>
      <c r="U58" t="s">
        <v>31</v>
      </c>
      <c r="V58" t="s">
        <v>31</v>
      </c>
      <c r="W58" t="s">
        <v>31</v>
      </c>
      <c r="X58" t="s">
        <v>68</v>
      </c>
      <c r="Y58" t="s">
        <v>93</v>
      </c>
      <c r="Z58">
        <v>38.206281699999998</v>
      </c>
      <c r="AA58">
        <v>-1.0434985000000001</v>
      </c>
      <c r="AB58">
        <v>0.18459999999999999</v>
      </c>
    </row>
    <row r="59" spans="1:28" x14ac:dyDescent="0.2">
      <c r="A59">
        <v>18</v>
      </c>
      <c r="B59">
        <v>13</v>
      </c>
      <c r="C59" t="s">
        <v>67</v>
      </c>
      <c r="D59">
        <v>1997</v>
      </c>
      <c r="E59">
        <v>6.5</v>
      </c>
      <c r="F59">
        <v>5</v>
      </c>
      <c r="G59" t="s">
        <v>31</v>
      </c>
      <c r="H59">
        <v>233.9</v>
      </c>
      <c r="J59" s="2">
        <f t="shared" si="0"/>
        <v>93.704948297800001</v>
      </c>
      <c r="K59">
        <v>5</v>
      </c>
      <c r="L59">
        <v>78.27</v>
      </c>
      <c r="N59" s="2">
        <f t="shared" si="1"/>
        <v>37.471962166769998</v>
      </c>
      <c r="O59">
        <v>4</v>
      </c>
      <c r="P59">
        <v>5</v>
      </c>
      <c r="Q59">
        <v>16.100000000000001</v>
      </c>
      <c r="R59">
        <v>36.1</v>
      </c>
      <c r="S59" t="s">
        <v>31</v>
      </c>
      <c r="T59" t="s">
        <v>31</v>
      </c>
      <c r="U59" t="s">
        <v>31</v>
      </c>
      <c r="V59" t="s">
        <v>31</v>
      </c>
      <c r="W59" t="s">
        <v>31</v>
      </c>
      <c r="X59" t="s">
        <v>68</v>
      </c>
      <c r="Y59" t="s">
        <v>93</v>
      </c>
      <c r="Z59">
        <v>38.206281699999998</v>
      </c>
      <c r="AA59">
        <v>-1.0434985000000001</v>
      </c>
      <c r="AB59">
        <v>0.18459999999999999</v>
      </c>
    </row>
    <row r="60" spans="1:28" x14ac:dyDescent="0.2">
      <c r="A60">
        <v>18</v>
      </c>
      <c r="B60">
        <v>14</v>
      </c>
      <c r="C60" t="s">
        <v>67</v>
      </c>
      <c r="D60">
        <v>1997</v>
      </c>
      <c r="E60">
        <v>13</v>
      </c>
      <c r="F60">
        <v>5</v>
      </c>
      <c r="G60" t="s">
        <v>31</v>
      </c>
      <c r="H60">
        <v>363.14</v>
      </c>
      <c r="J60" s="2">
        <f t="shared" si="0"/>
        <v>145.48103858428001</v>
      </c>
      <c r="K60">
        <v>5</v>
      </c>
      <c r="L60">
        <v>78.27</v>
      </c>
      <c r="N60" s="2">
        <f t="shared" si="1"/>
        <v>37.471962166769998</v>
      </c>
      <c r="O60">
        <v>4</v>
      </c>
      <c r="P60">
        <v>5</v>
      </c>
      <c r="Q60">
        <v>16.100000000000001</v>
      </c>
      <c r="R60">
        <v>36.1</v>
      </c>
      <c r="S60" t="s">
        <v>31</v>
      </c>
      <c r="T60" t="s">
        <v>31</v>
      </c>
      <c r="U60" t="s">
        <v>31</v>
      </c>
      <c r="V60" t="s">
        <v>31</v>
      </c>
      <c r="W60" t="s">
        <v>31</v>
      </c>
      <c r="X60" t="s">
        <v>68</v>
      </c>
      <c r="Y60" t="s">
        <v>93</v>
      </c>
      <c r="Z60">
        <v>38.206281699999998</v>
      </c>
      <c r="AA60">
        <v>-1.0434985000000001</v>
      </c>
      <c r="AB60">
        <v>0.18459999999999999</v>
      </c>
    </row>
    <row r="61" spans="1:28" x14ac:dyDescent="0.2">
      <c r="A61">
        <v>18</v>
      </c>
      <c r="B61">
        <v>15</v>
      </c>
      <c r="C61" t="s">
        <v>67</v>
      </c>
      <c r="D61">
        <v>1997</v>
      </c>
      <c r="E61">
        <v>19.5</v>
      </c>
      <c r="F61">
        <v>5</v>
      </c>
      <c r="G61" t="s">
        <v>31</v>
      </c>
      <c r="H61">
        <v>425.03</v>
      </c>
      <c r="J61" s="2">
        <f t="shared" si="0"/>
        <v>170.27539194106001</v>
      </c>
      <c r="K61">
        <v>5</v>
      </c>
      <c r="L61">
        <v>78.27</v>
      </c>
      <c r="N61" s="2">
        <f t="shared" si="1"/>
        <v>37.471962166769998</v>
      </c>
      <c r="O61">
        <v>4</v>
      </c>
      <c r="P61">
        <v>5</v>
      </c>
      <c r="Q61">
        <v>16.100000000000001</v>
      </c>
      <c r="R61">
        <v>36.1</v>
      </c>
      <c r="S61" t="s">
        <v>31</v>
      </c>
      <c r="T61" t="s">
        <v>31</v>
      </c>
      <c r="U61" t="s">
        <v>31</v>
      </c>
      <c r="V61" t="s">
        <v>31</v>
      </c>
      <c r="W61" t="s">
        <v>31</v>
      </c>
      <c r="X61" t="s">
        <v>68</v>
      </c>
      <c r="Y61" t="s">
        <v>93</v>
      </c>
      <c r="Z61">
        <v>38.206281699999998</v>
      </c>
      <c r="AA61">
        <v>-1.0434985000000001</v>
      </c>
      <c r="AB61">
        <v>0.18459999999999999</v>
      </c>
    </row>
    <row r="62" spans="1:28" x14ac:dyDescent="0.2">
      <c r="A62">
        <v>18</v>
      </c>
      <c r="B62">
        <v>16</v>
      </c>
      <c r="C62" t="s">
        <v>67</v>
      </c>
      <c r="D62">
        <v>1997</v>
      </c>
      <c r="E62">
        <v>26</v>
      </c>
      <c r="F62">
        <v>5</v>
      </c>
      <c r="G62" t="s">
        <v>31</v>
      </c>
      <c r="H62">
        <v>545.16</v>
      </c>
      <c r="J62" s="2">
        <f t="shared" si="0"/>
        <v>218.40183674232</v>
      </c>
      <c r="K62">
        <v>5</v>
      </c>
      <c r="L62">
        <v>78.27</v>
      </c>
      <c r="N62" s="2">
        <f t="shared" si="1"/>
        <v>37.471962166769998</v>
      </c>
      <c r="O62">
        <v>4</v>
      </c>
      <c r="P62">
        <v>5</v>
      </c>
      <c r="Q62">
        <v>16.100000000000001</v>
      </c>
      <c r="R62">
        <v>36.1</v>
      </c>
      <c r="S62" t="s">
        <v>31</v>
      </c>
      <c r="T62" t="s">
        <v>31</v>
      </c>
      <c r="U62" t="s">
        <v>31</v>
      </c>
      <c r="V62" t="s">
        <v>31</v>
      </c>
      <c r="W62" t="s">
        <v>31</v>
      </c>
      <c r="X62" t="s">
        <v>68</v>
      </c>
      <c r="Y62" t="s">
        <v>93</v>
      </c>
      <c r="Z62">
        <v>38.206281699999998</v>
      </c>
      <c r="AA62">
        <v>-1.0434985000000001</v>
      </c>
      <c r="AB62">
        <v>0.18459999999999999</v>
      </c>
    </row>
    <row r="63" spans="1:28" x14ac:dyDescent="0.2">
      <c r="A63">
        <v>18</v>
      </c>
      <c r="B63">
        <v>17</v>
      </c>
      <c r="C63" t="s">
        <v>67</v>
      </c>
      <c r="D63">
        <v>1997</v>
      </c>
      <c r="E63">
        <v>6.5</v>
      </c>
      <c r="F63">
        <v>5</v>
      </c>
      <c r="G63" t="s">
        <v>31</v>
      </c>
      <c r="H63">
        <v>235.72</v>
      </c>
      <c r="J63" s="2">
        <f t="shared" si="0"/>
        <v>94.43407615544001</v>
      </c>
      <c r="K63">
        <v>5</v>
      </c>
      <c r="L63">
        <v>72.81</v>
      </c>
      <c r="N63" s="2">
        <f t="shared" si="1"/>
        <v>34.857973238310002</v>
      </c>
      <c r="O63">
        <v>5</v>
      </c>
      <c r="P63">
        <v>6</v>
      </c>
      <c r="Q63">
        <v>16.100000000000001</v>
      </c>
      <c r="R63">
        <v>36.1</v>
      </c>
      <c r="S63" t="s">
        <v>31</v>
      </c>
      <c r="T63" t="s">
        <v>31</v>
      </c>
      <c r="U63" t="s">
        <v>31</v>
      </c>
      <c r="V63" t="s">
        <v>31</v>
      </c>
      <c r="W63" t="s">
        <v>31</v>
      </c>
      <c r="X63" t="s">
        <v>68</v>
      </c>
      <c r="Y63" t="s">
        <v>93</v>
      </c>
      <c r="Z63">
        <v>38.206281699999998</v>
      </c>
      <c r="AA63">
        <v>-1.0434985000000001</v>
      </c>
      <c r="AB63">
        <v>0.18459999999999999</v>
      </c>
    </row>
    <row r="64" spans="1:28" x14ac:dyDescent="0.2">
      <c r="A64">
        <v>18</v>
      </c>
      <c r="B64">
        <v>18</v>
      </c>
      <c r="C64" t="s">
        <v>67</v>
      </c>
      <c r="D64">
        <v>1997</v>
      </c>
      <c r="E64">
        <v>13</v>
      </c>
      <c r="F64">
        <v>5</v>
      </c>
      <c r="G64" t="s">
        <v>31</v>
      </c>
      <c r="H64">
        <v>232.99</v>
      </c>
      <c r="J64" s="2">
        <f t="shared" si="0"/>
        <v>93.340384368980011</v>
      </c>
      <c r="K64">
        <v>5</v>
      </c>
      <c r="L64">
        <v>72.81</v>
      </c>
      <c r="N64" s="2">
        <f t="shared" si="1"/>
        <v>34.857973238310002</v>
      </c>
      <c r="O64">
        <v>5</v>
      </c>
      <c r="P64">
        <v>6</v>
      </c>
      <c r="Q64">
        <v>16.100000000000001</v>
      </c>
      <c r="R64">
        <v>36.1</v>
      </c>
      <c r="S64" t="s">
        <v>31</v>
      </c>
      <c r="T64" t="s">
        <v>31</v>
      </c>
      <c r="U64" t="s">
        <v>31</v>
      </c>
      <c r="V64" t="s">
        <v>31</v>
      </c>
      <c r="W64" t="s">
        <v>31</v>
      </c>
      <c r="X64" t="s">
        <v>68</v>
      </c>
      <c r="Y64" t="s">
        <v>93</v>
      </c>
      <c r="Z64">
        <v>38.206281699999998</v>
      </c>
      <c r="AA64">
        <v>-1.0434985000000001</v>
      </c>
      <c r="AB64">
        <v>0.18459999999999999</v>
      </c>
    </row>
    <row r="65" spans="1:28" x14ac:dyDescent="0.2">
      <c r="A65">
        <v>18</v>
      </c>
      <c r="B65">
        <v>19</v>
      </c>
      <c r="C65" t="s">
        <v>67</v>
      </c>
      <c r="D65">
        <v>1997</v>
      </c>
      <c r="E65">
        <v>19.5</v>
      </c>
      <c r="F65">
        <v>5</v>
      </c>
      <c r="G65" t="s">
        <v>31</v>
      </c>
      <c r="H65">
        <v>205.69</v>
      </c>
      <c r="J65" s="2">
        <f t="shared" si="0"/>
        <v>82.403466504380006</v>
      </c>
      <c r="K65">
        <v>5</v>
      </c>
      <c r="L65">
        <v>72.81</v>
      </c>
      <c r="N65" s="2">
        <f t="shared" si="1"/>
        <v>34.857973238310002</v>
      </c>
      <c r="O65">
        <v>5</v>
      </c>
      <c r="P65">
        <v>6</v>
      </c>
      <c r="Q65">
        <v>16.100000000000001</v>
      </c>
      <c r="R65">
        <v>36.1</v>
      </c>
      <c r="S65" t="s">
        <v>31</v>
      </c>
      <c r="T65" t="s">
        <v>31</v>
      </c>
      <c r="U65" t="s">
        <v>31</v>
      </c>
      <c r="V65" t="s">
        <v>31</v>
      </c>
      <c r="W65" t="s">
        <v>31</v>
      </c>
      <c r="X65" t="s">
        <v>68</v>
      </c>
      <c r="Y65" t="s">
        <v>93</v>
      </c>
      <c r="Z65">
        <v>38.206281699999998</v>
      </c>
      <c r="AA65">
        <v>-1.0434985000000001</v>
      </c>
      <c r="AB65">
        <v>0.18459999999999999</v>
      </c>
    </row>
    <row r="66" spans="1:28" x14ac:dyDescent="0.2">
      <c r="A66">
        <v>18</v>
      </c>
      <c r="B66">
        <v>20</v>
      </c>
      <c r="C66" t="s">
        <v>67</v>
      </c>
      <c r="D66">
        <v>1997</v>
      </c>
      <c r="E66">
        <v>26</v>
      </c>
      <c r="F66">
        <v>5</v>
      </c>
      <c r="G66" t="s">
        <v>31</v>
      </c>
      <c r="H66">
        <v>316.72000000000003</v>
      </c>
      <c r="J66" s="2">
        <f t="shared" si="0"/>
        <v>126.88427201744001</v>
      </c>
      <c r="K66">
        <v>5</v>
      </c>
      <c r="L66">
        <v>72.81</v>
      </c>
      <c r="N66" s="2">
        <f t="shared" si="1"/>
        <v>34.857973238310002</v>
      </c>
      <c r="O66">
        <v>5</v>
      </c>
      <c r="P66">
        <v>6</v>
      </c>
      <c r="Q66">
        <v>16.100000000000001</v>
      </c>
      <c r="R66">
        <v>36.1</v>
      </c>
      <c r="S66" t="s">
        <v>31</v>
      </c>
      <c r="T66" t="s">
        <v>31</v>
      </c>
      <c r="U66" t="s">
        <v>31</v>
      </c>
      <c r="V66" t="s">
        <v>31</v>
      </c>
      <c r="W66" t="s">
        <v>31</v>
      </c>
      <c r="X66" t="s">
        <v>68</v>
      </c>
      <c r="Y66" t="s">
        <v>93</v>
      </c>
      <c r="Z66">
        <v>38.206281699999998</v>
      </c>
      <c r="AA66">
        <v>-1.0434985000000001</v>
      </c>
      <c r="AB66">
        <v>0.18459999999999999</v>
      </c>
    </row>
    <row r="67" spans="1:28" x14ac:dyDescent="0.2">
      <c r="A67">
        <v>20</v>
      </c>
      <c r="B67">
        <v>1</v>
      </c>
      <c r="C67" t="s">
        <v>71</v>
      </c>
      <c r="D67">
        <v>1990</v>
      </c>
      <c r="E67">
        <v>22.5</v>
      </c>
      <c r="F67">
        <v>4</v>
      </c>
      <c r="G67" t="s">
        <v>31</v>
      </c>
      <c r="H67">
        <v>87.2</v>
      </c>
      <c r="J67" s="2">
        <f t="shared" ref="J67:J87" si="2">0.400619702*H67</f>
        <v>34.934038014400002</v>
      </c>
      <c r="K67">
        <v>4</v>
      </c>
      <c r="L67">
        <v>65.2</v>
      </c>
      <c r="N67" s="2">
        <f t="shared" ref="N67:N87" si="3">0.478752551*L67</f>
        <v>31.214666325200003</v>
      </c>
      <c r="O67">
        <v>0.3</v>
      </c>
      <c r="P67">
        <v>1</v>
      </c>
      <c r="Q67">
        <v>10.4</v>
      </c>
      <c r="R67">
        <v>36.700000000000003</v>
      </c>
      <c r="S67" t="s">
        <v>31</v>
      </c>
      <c r="T67" t="s">
        <v>31</v>
      </c>
      <c r="U67" t="s">
        <v>31</v>
      </c>
      <c r="V67" t="s">
        <v>31</v>
      </c>
      <c r="W67" t="s">
        <v>31</v>
      </c>
      <c r="X67" t="s">
        <v>72</v>
      </c>
      <c r="Y67" t="s">
        <v>91</v>
      </c>
      <c r="Z67">
        <v>35.648300999999996</v>
      </c>
      <c r="AA67">
        <v>-106.58593999999999</v>
      </c>
      <c r="AB67">
        <v>0.26140000000000002</v>
      </c>
    </row>
    <row r="68" spans="1:28" x14ac:dyDescent="0.2">
      <c r="A68">
        <v>20</v>
      </c>
      <c r="B68">
        <v>2</v>
      </c>
      <c r="C68" t="s">
        <v>71</v>
      </c>
      <c r="D68">
        <v>1990</v>
      </c>
      <c r="E68">
        <v>45</v>
      </c>
      <c r="F68">
        <v>4</v>
      </c>
      <c r="G68" t="s">
        <v>31</v>
      </c>
      <c r="H68">
        <v>91.4</v>
      </c>
      <c r="J68" s="2">
        <f t="shared" si="2"/>
        <v>36.616640762800003</v>
      </c>
      <c r="K68">
        <v>4</v>
      </c>
      <c r="L68">
        <v>65.2</v>
      </c>
      <c r="N68" s="2">
        <f t="shared" si="3"/>
        <v>31.214666325200003</v>
      </c>
      <c r="O68">
        <v>0.3</v>
      </c>
      <c r="P68">
        <v>1</v>
      </c>
      <c r="Q68">
        <v>10.4</v>
      </c>
      <c r="R68">
        <v>36.700000000000003</v>
      </c>
      <c r="S68" t="s">
        <v>31</v>
      </c>
      <c r="T68" t="s">
        <v>31</v>
      </c>
      <c r="U68" t="s">
        <v>31</v>
      </c>
      <c r="V68" t="s">
        <v>31</v>
      </c>
      <c r="W68" t="s">
        <v>31</v>
      </c>
      <c r="X68" t="s">
        <v>72</v>
      </c>
      <c r="Y68" t="s">
        <v>91</v>
      </c>
      <c r="Z68">
        <v>35.648300999999996</v>
      </c>
      <c r="AA68">
        <v>-106.58593999999999</v>
      </c>
      <c r="AB68">
        <v>0.26140000000000002</v>
      </c>
    </row>
    <row r="69" spans="1:28" x14ac:dyDescent="0.2">
      <c r="A69">
        <v>20</v>
      </c>
      <c r="B69">
        <v>3</v>
      </c>
      <c r="C69" t="s">
        <v>71</v>
      </c>
      <c r="D69">
        <v>1990</v>
      </c>
      <c r="E69">
        <v>90</v>
      </c>
      <c r="F69">
        <v>4</v>
      </c>
      <c r="G69" t="s">
        <v>31</v>
      </c>
      <c r="H69">
        <v>82.5</v>
      </c>
      <c r="J69" s="2">
        <f t="shared" si="2"/>
        <v>33.051125415000001</v>
      </c>
      <c r="K69">
        <v>4</v>
      </c>
      <c r="L69">
        <v>65.2</v>
      </c>
      <c r="N69" s="2">
        <f t="shared" si="3"/>
        <v>31.214666325200003</v>
      </c>
      <c r="O69">
        <v>0.3</v>
      </c>
      <c r="P69">
        <v>1</v>
      </c>
      <c r="Q69">
        <v>10.4</v>
      </c>
      <c r="R69">
        <v>36.700000000000003</v>
      </c>
      <c r="S69" t="s">
        <v>31</v>
      </c>
      <c r="T69" t="s">
        <v>31</v>
      </c>
      <c r="U69" t="s">
        <v>31</v>
      </c>
      <c r="V69" t="s">
        <v>31</v>
      </c>
      <c r="W69" t="s">
        <v>31</v>
      </c>
      <c r="X69" t="s">
        <v>72</v>
      </c>
      <c r="Y69" t="s">
        <v>91</v>
      </c>
      <c r="Z69">
        <v>35.648300999999996</v>
      </c>
      <c r="AA69">
        <v>-106.58593999999999</v>
      </c>
      <c r="AB69">
        <v>0.26140000000000002</v>
      </c>
    </row>
    <row r="70" spans="1:28" x14ac:dyDescent="0.2">
      <c r="A70">
        <v>20</v>
      </c>
      <c r="B70">
        <v>4</v>
      </c>
      <c r="C70" t="s">
        <v>71</v>
      </c>
      <c r="D70">
        <v>1990</v>
      </c>
      <c r="E70">
        <v>22.5</v>
      </c>
      <c r="F70">
        <v>4</v>
      </c>
      <c r="G70" t="s">
        <v>31</v>
      </c>
      <c r="H70">
        <v>145.5</v>
      </c>
      <c r="J70" s="2">
        <f t="shared" si="2"/>
        <v>58.290166641000006</v>
      </c>
      <c r="K70">
        <v>4</v>
      </c>
      <c r="L70">
        <v>120.8</v>
      </c>
      <c r="N70" s="2">
        <f t="shared" si="3"/>
        <v>57.833308160800001</v>
      </c>
      <c r="O70">
        <v>2.2999999999999998</v>
      </c>
      <c r="P70">
        <v>3</v>
      </c>
      <c r="Q70">
        <v>10.4</v>
      </c>
      <c r="R70">
        <v>36.700000000000003</v>
      </c>
      <c r="S70" t="s">
        <v>31</v>
      </c>
      <c r="T70" t="s">
        <v>31</v>
      </c>
      <c r="U70" t="s">
        <v>31</v>
      </c>
      <c r="V70" t="s">
        <v>31</v>
      </c>
      <c r="W70" t="s">
        <v>31</v>
      </c>
      <c r="X70" t="s">
        <v>72</v>
      </c>
      <c r="Y70" t="s">
        <v>91</v>
      </c>
      <c r="Z70">
        <v>35.648300999999996</v>
      </c>
      <c r="AA70">
        <v>-106.58593999999999</v>
      </c>
      <c r="AB70">
        <v>0.26140000000000002</v>
      </c>
    </row>
    <row r="71" spans="1:28" x14ac:dyDescent="0.2">
      <c r="A71">
        <v>20</v>
      </c>
      <c r="B71">
        <v>5</v>
      </c>
      <c r="C71" t="s">
        <v>71</v>
      </c>
      <c r="D71">
        <v>1990</v>
      </c>
      <c r="E71">
        <v>45</v>
      </c>
      <c r="F71">
        <v>4</v>
      </c>
      <c r="G71" t="s">
        <v>31</v>
      </c>
      <c r="H71">
        <v>141.69999999999999</v>
      </c>
      <c r="J71" s="2">
        <f t="shared" si="2"/>
        <v>56.767811773399998</v>
      </c>
      <c r="K71">
        <v>4</v>
      </c>
      <c r="L71">
        <v>120.8</v>
      </c>
      <c r="N71" s="2">
        <f t="shared" si="3"/>
        <v>57.833308160800001</v>
      </c>
      <c r="O71">
        <v>2.2999999999999998</v>
      </c>
      <c r="P71">
        <v>3</v>
      </c>
      <c r="Q71">
        <v>10.4</v>
      </c>
      <c r="R71">
        <v>36.700000000000003</v>
      </c>
      <c r="S71" t="s">
        <v>31</v>
      </c>
      <c r="T71" t="s">
        <v>31</v>
      </c>
      <c r="U71" t="s">
        <v>31</v>
      </c>
      <c r="V71" t="s">
        <v>31</v>
      </c>
      <c r="W71" t="s">
        <v>31</v>
      </c>
      <c r="X71" t="s">
        <v>72</v>
      </c>
      <c r="Y71" t="s">
        <v>91</v>
      </c>
      <c r="Z71">
        <v>35.648300999999996</v>
      </c>
      <c r="AA71">
        <v>-106.58593999999999</v>
      </c>
      <c r="AB71">
        <v>0.26140000000000002</v>
      </c>
    </row>
    <row r="72" spans="1:28" x14ac:dyDescent="0.2">
      <c r="A72">
        <v>20</v>
      </c>
      <c r="B72">
        <v>6</v>
      </c>
      <c r="C72" t="s">
        <v>71</v>
      </c>
      <c r="D72">
        <v>1990</v>
      </c>
      <c r="E72">
        <v>90</v>
      </c>
      <c r="F72">
        <v>4</v>
      </c>
      <c r="G72" t="s">
        <v>31</v>
      </c>
      <c r="H72">
        <v>153.5</v>
      </c>
      <c r="J72" s="2">
        <f t="shared" si="2"/>
        <v>61.495124257000001</v>
      </c>
      <c r="K72">
        <v>4</v>
      </c>
      <c r="L72">
        <v>120.8</v>
      </c>
      <c r="N72" s="2">
        <f t="shared" si="3"/>
        <v>57.833308160800001</v>
      </c>
      <c r="O72">
        <v>2.2999999999999998</v>
      </c>
      <c r="P72">
        <v>3</v>
      </c>
      <c r="Q72">
        <v>10.4</v>
      </c>
      <c r="R72">
        <v>36.700000000000003</v>
      </c>
      <c r="S72" t="s">
        <v>31</v>
      </c>
      <c r="T72" t="s">
        <v>31</v>
      </c>
      <c r="U72" t="s">
        <v>31</v>
      </c>
      <c r="V72" t="s">
        <v>31</v>
      </c>
      <c r="W72" t="s">
        <v>31</v>
      </c>
      <c r="X72" t="s">
        <v>72</v>
      </c>
      <c r="Y72" t="s">
        <v>91</v>
      </c>
      <c r="Z72">
        <v>35.648300999999996</v>
      </c>
      <c r="AA72">
        <v>-106.58593999999999</v>
      </c>
      <c r="AB72">
        <v>0.26140000000000002</v>
      </c>
    </row>
    <row r="73" spans="1:28" x14ac:dyDescent="0.2">
      <c r="A73">
        <v>20</v>
      </c>
      <c r="B73">
        <v>7</v>
      </c>
      <c r="C73" t="s">
        <v>71</v>
      </c>
      <c r="D73">
        <v>1990</v>
      </c>
      <c r="E73">
        <v>22.5</v>
      </c>
      <c r="F73">
        <v>4</v>
      </c>
      <c r="G73" t="s">
        <v>31</v>
      </c>
      <c r="H73">
        <v>102</v>
      </c>
      <c r="J73" s="2">
        <f t="shared" si="2"/>
        <v>40.863209604000005</v>
      </c>
      <c r="K73">
        <v>4</v>
      </c>
      <c r="L73">
        <v>79.5</v>
      </c>
      <c r="N73" s="2">
        <f t="shared" si="3"/>
        <v>38.060827804500001</v>
      </c>
      <c r="O73">
        <v>3.3</v>
      </c>
      <c r="P73">
        <v>4</v>
      </c>
      <c r="Q73">
        <v>10.4</v>
      </c>
      <c r="R73">
        <v>36.700000000000003</v>
      </c>
      <c r="S73" t="s">
        <v>31</v>
      </c>
      <c r="T73" t="s">
        <v>31</v>
      </c>
      <c r="U73" t="s">
        <v>31</v>
      </c>
      <c r="V73" t="s">
        <v>31</v>
      </c>
      <c r="W73" t="s">
        <v>31</v>
      </c>
      <c r="X73" t="s">
        <v>72</v>
      </c>
      <c r="Y73" t="s">
        <v>91</v>
      </c>
      <c r="Z73">
        <v>35.648300999999996</v>
      </c>
      <c r="AA73">
        <v>-106.58593999999999</v>
      </c>
      <c r="AB73">
        <v>0.26140000000000002</v>
      </c>
    </row>
    <row r="74" spans="1:28" x14ac:dyDescent="0.2">
      <c r="A74">
        <v>20</v>
      </c>
      <c r="B74">
        <v>8</v>
      </c>
      <c r="C74" t="s">
        <v>71</v>
      </c>
      <c r="D74">
        <v>1990</v>
      </c>
      <c r="E74">
        <v>45</v>
      </c>
      <c r="F74">
        <v>4</v>
      </c>
      <c r="G74" t="s">
        <v>31</v>
      </c>
      <c r="H74">
        <v>112.9</v>
      </c>
      <c r="J74" s="2">
        <f t="shared" si="2"/>
        <v>45.229964355800007</v>
      </c>
      <c r="K74">
        <v>4</v>
      </c>
      <c r="L74">
        <v>79.5</v>
      </c>
      <c r="N74" s="2">
        <f t="shared" si="3"/>
        <v>38.060827804500001</v>
      </c>
      <c r="O74">
        <v>3.3</v>
      </c>
      <c r="P74">
        <v>4</v>
      </c>
      <c r="Q74">
        <v>10.4</v>
      </c>
      <c r="R74">
        <v>36.700000000000003</v>
      </c>
      <c r="S74" t="s">
        <v>31</v>
      </c>
      <c r="T74" t="s">
        <v>31</v>
      </c>
      <c r="U74" t="s">
        <v>31</v>
      </c>
      <c r="V74" t="s">
        <v>31</v>
      </c>
      <c r="W74" t="s">
        <v>31</v>
      </c>
      <c r="X74" t="s">
        <v>72</v>
      </c>
      <c r="Y74" t="s">
        <v>91</v>
      </c>
      <c r="Z74">
        <v>35.648300999999996</v>
      </c>
      <c r="AA74">
        <v>-106.58593999999999</v>
      </c>
      <c r="AB74">
        <v>0.26140000000000002</v>
      </c>
    </row>
    <row r="75" spans="1:28" x14ac:dyDescent="0.2">
      <c r="A75">
        <v>20</v>
      </c>
      <c r="B75">
        <v>9</v>
      </c>
      <c r="C75" t="s">
        <v>71</v>
      </c>
      <c r="D75">
        <v>1990</v>
      </c>
      <c r="E75">
        <v>90</v>
      </c>
      <c r="F75">
        <v>4</v>
      </c>
      <c r="G75" t="s">
        <v>31</v>
      </c>
      <c r="H75">
        <v>100.8</v>
      </c>
      <c r="J75" s="2">
        <f t="shared" si="2"/>
        <v>40.382465961599998</v>
      </c>
      <c r="K75">
        <v>4</v>
      </c>
      <c r="L75">
        <v>79.5</v>
      </c>
      <c r="N75" s="2">
        <f t="shared" si="3"/>
        <v>38.060827804500001</v>
      </c>
      <c r="O75">
        <v>3.3</v>
      </c>
      <c r="P75">
        <v>4</v>
      </c>
      <c r="Q75">
        <v>10.4</v>
      </c>
      <c r="R75">
        <v>36.700000000000003</v>
      </c>
      <c r="S75" t="s">
        <v>31</v>
      </c>
      <c r="T75" t="s">
        <v>31</v>
      </c>
      <c r="U75" t="s">
        <v>31</v>
      </c>
      <c r="V75" t="s">
        <v>31</v>
      </c>
      <c r="W75" t="s">
        <v>31</v>
      </c>
      <c r="X75" t="s">
        <v>72</v>
      </c>
      <c r="Y75" t="s">
        <v>91</v>
      </c>
      <c r="Z75">
        <v>35.648300999999996</v>
      </c>
      <c r="AA75">
        <v>-106.58593999999999</v>
      </c>
      <c r="AB75">
        <v>0.26140000000000002</v>
      </c>
    </row>
    <row r="76" spans="1:28" x14ac:dyDescent="0.2">
      <c r="A76">
        <v>20</v>
      </c>
      <c r="B76">
        <v>10</v>
      </c>
      <c r="C76" t="s">
        <v>71</v>
      </c>
      <c r="D76">
        <v>1990</v>
      </c>
      <c r="E76">
        <v>22.5</v>
      </c>
      <c r="F76">
        <v>4</v>
      </c>
      <c r="G76" t="s">
        <v>31</v>
      </c>
      <c r="H76">
        <v>57</v>
      </c>
      <c r="J76" s="2">
        <f t="shared" si="2"/>
        <v>22.835323014</v>
      </c>
      <c r="K76">
        <v>4</v>
      </c>
      <c r="L76">
        <v>41.7</v>
      </c>
      <c r="N76" s="2">
        <f t="shared" si="3"/>
        <v>19.963981376700001</v>
      </c>
      <c r="O76">
        <v>4.3</v>
      </c>
      <c r="P76">
        <v>5</v>
      </c>
      <c r="Q76">
        <v>10.4</v>
      </c>
      <c r="R76">
        <v>36.700000000000003</v>
      </c>
      <c r="S76" t="s">
        <v>31</v>
      </c>
      <c r="T76" t="s">
        <v>31</v>
      </c>
      <c r="U76" t="s">
        <v>31</v>
      </c>
      <c r="V76" t="s">
        <v>31</v>
      </c>
      <c r="W76" t="s">
        <v>31</v>
      </c>
      <c r="X76" t="s">
        <v>72</v>
      </c>
      <c r="Y76" t="s">
        <v>91</v>
      </c>
      <c r="Z76">
        <v>35.648300999999996</v>
      </c>
      <c r="AA76">
        <v>-106.58593999999999</v>
      </c>
      <c r="AB76">
        <v>0.26140000000000002</v>
      </c>
    </row>
    <row r="77" spans="1:28" x14ac:dyDescent="0.2">
      <c r="A77">
        <v>20</v>
      </c>
      <c r="B77">
        <v>11</v>
      </c>
      <c r="C77" t="s">
        <v>71</v>
      </c>
      <c r="D77">
        <v>1990</v>
      </c>
      <c r="E77">
        <v>45</v>
      </c>
      <c r="F77">
        <v>4</v>
      </c>
      <c r="G77" t="s">
        <v>31</v>
      </c>
      <c r="H77">
        <v>72.8</v>
      </c>
      <c r="J77" s="2">
        <f t="shared" si="2"/>
        <v>29.1651143056</v>
      </c>
      <c r="K77">
        <v>4</v>
      </c>
      <c r="L77">
        <v>41.7</v>
      </c>
      <c r="N77" s="2">
        <f t="shared" si="3"/>
        <v>19.963981376700001</v>
      </c>
      <c r="O77">
        <v>4.3</v>
      </c>
      <c r="P77">
        <v>5</v>
      </c>
      <c r="Q77">
        <v>10.4</v>
      </c>
      <c r="R77">
        <v>36.700000000000003</v>
      </c>
      <c r="S77" t="s">
        <v>31</v>
      </c>
      <c r="T77" t="s">
        <v>31</v>
      </c>
      <c r="U77" t="s">
        <v>31</v>
      </c>
      <c r="V77" t="s">
        <v>31</v>
      </c>
      <c r="W77" t="s">
        <v>31</v>
      </c>
      <c r="X77" t="s">
        <v>72</v>
      </c>
      <c r="Y77" t="s">
        <v>91</v>
      </c>
      <c r="Z77">
        <v>35.648300999999996</v>
      </c>
      <c r="AA77">
        <v>-106.58593999999999</v>
      </c>
      <c r="AB77">
        <v>0.26140000000000002</v>
      </c>
    </row>
    <row r="78" spans="1:28" x14ac:dyDescent="0.2">
      <c r="A78">
        <v>20</v>
      </c>
      <c r="B78">
        <v>12</v>
      </c>
      <c r="C78" t="s">
        <v>71</v>
      </c>
      <c r="D78">
        <v>1990</v>
      </c>
      <c r="E78">
        <v>90</v>
      </c>
      <c r="F78">
        <v>4</v>
      </c>
      <c r="G78" t="s">
        <v>31</v>
      </c>
      <c r="H78">
        <v>71.599999999999994</v>
      </c>
      <c r="J78" s="2">
        <f t="shared" si="2"/>
        <v>28.684370663199999</v>
      </c>
      <c r="K78">
        <v>4</v>
      </c>
      <c r="L78">
        <v>41.7</v>
      </c>
      <c r="N78" s="2">
        <f t="shared" si="3"/>
        <v>19.963981376700001</v>
      </c>
      <c r="O78">
        <v>4.3</v>
      </c>
      <c r="P78">
        <v>5</v>
      </c>
      <c r="Q78">
        <v>10.4</v>
      </c>
      <c r="R78">
        <v>36.700000000000003</v>
      </c>
      <c r="S78" t="s">
        <v>31</v>
      </c>
      <c r="T78" t="s">
        <v>31</v>
      </c>
      <c r="U78" t="s">
        <v>31</v>
      </c>
      <c r="V78" t="s">
        <v>31</v>
      </c>
      <c r="W78" t="s">
        <v>31</v>
      </c>
      <c r="X78" t="s">
        <v>72</v>
      </c>
      <c r="Y78" t="s">
        <v>91</v>
      </c>
      <c r="Z78">
        <v>35.648300999999996</v>
      </c>
      <c r="AA78">
        <v>-106.58593999999999</v>
      </c>
      <c r="AB78">
        <v>0.26140000000000002</v>
      </c>
    </row>
    <row r="79" spans="1:28" x14ac:dyDescent="0.2">
      <c r="A79">
        <v>22</v>
      </c>
      <c r="B79">
        <v>1</v>
      </c>
      <c r="C79" t="s">
        <v>75</v>
      </c>
      <c r="D79">
        <v>2003</v>
      </c>
      <c r="E79">
        <v>40</v>
      </c>
      <c r="F79">
        <v>4</v>
      </c>
      <c r="G79" t="s">
        <v>31</v>
      </c>
      <c r="H79">
        <v>977</v>
      </c>
      <c r="J79" s="2">
        <f t="shared" si="2"/>
        <v>391.40544885400004</v>
      </c>
      <c r="K79">
        <v>4</v>
      </c>
      <c r="L79">
        <v>153</v>
      </c>
      <c r="N79" s="2">
        <f t="shared" si="3"/>
        <v>73.249140303000004</v>
      </c>
      <c r="O79">
        <v>1</v>
      </c>
      <c r="P79">
        <v>2</v>
      </c>
      <c r="Q79">
        <v>13.8</v>
      </c>
      <c r="R79">
        <v>44.4</v>
      </c>
      <c r="S79" t="s">
        <v>31</v>
      </c>
      <c r="T79" t="s">
        <v>31</v>
      </c>
      <c r="U79" t="s">
        <v>31</v>
      </c>
      <c r="V79" t="s">
        <v>31</v>
      </c>
      <c r="W79" t="s">
        <v>31</v>
      </c>
      <c r="X79" t="s">
        <v>76</v>
      </c>
      <c r="Y79" t="s">
        <v>93</v>
      </c>
      <c r="Z79">
        <v>40.418889999999998</v>
      </c>
      <c r="AA79">
        <v>-3.6919400000000002</v>
      </c>
      <c r="AB79">
        <v>0.27779999999999999</v>
      </c>
    </row>
    <row r="80" spans="1:28" x14ac:dyDescent="0.2">
      <c r="A80">
        <v>22</v>
      </c>
      <c r="B80">
        <v>2</v>
      </c>
      <c r="C80" t="s">
        <v>75</v>
      </c>
      <c r="D80">
        <v>2003</v>
      </c>
      <c r="E80">
        <v>80</v>
      </c>
      <c r="F80">
        <v>4</v>
      </c>
      <c r="G80" t="s">
        <v>31</v>
      </c>
      <c r="H80">
        <v>923</v>
      </c>
      <c r="J80" s="2">
        <f t="shared" si="2"/>
        <v>369.77198494600003</v>
      </c>
      <c r="K80">
        <v>4</v>
      </c>
      <c r="L80">
        <v>153</v>
      </c>
      <c r="N80" s="2">
        <f t="shared" si="3"/>
        <v>73.249140303000004</v>
      </c>
      <c r="O80">
        <v>1</v>
      </c>
      <c r="P80">
        <v>2</v>
      </c>
      <c r="Q80">
        <v>13.8</v>
      </c>
      <c r="R80">
        <v>44.4</v>
      </c>
      <c r="S80" t="s">
        <v>31</v>
      </c>
      <c r="T80" t="s">
        <v>31</v>
      </c>
      <c r="U80" t="s">
        <v>31</v>
      </c>
      <c r="V80" t="s">
        <v>31</v>
      </c>
      <c r="W80" t="s">
        <v>31</v>
      </c>
      <c r="X80" t="s">
        <v>76</v>
      </c>
      <c r="Y80" t="s">
        <v>93</v>
      </c>
      <c r="Z80">
        <v>40.418889999999998</v>
      </c>
      <c r="AA80">
        <v>-3.6919400000000002</v>
      </c>
      <c r="AB80">
        <v>0.27779999999999999</v>
      </c>
    </row>
    <row r="81" spans="1:28" x14ac:dyDescent="0.2">
      <c r="A81">
        <v>22</v>
      </c>
      <c r="B81">
        <v>3</v>
      </c>
      <c r="C81" t="s">
        <v>75</v>
      </c>
      <c r="D81">
        <v>2003</v>
      </c>
      <c r="E81">
        <v>120</v>
      </c>
      <c r="F81">
        <v>4</v>
      </c>
      <c r="G81" t="s">
        <v>31</v>
      </c>
      <c r="H81">
        <v>701</v>
      </c>
      <c r="J81" s="2">
        <f t="shared" si="2"/>
        <v>280.83441110199999</v>
      </c>
      <c r="K81">
        <v>4</v>
      </c>
      <c r="L81">
        <v>153</v>
      </c>
      <c r="N81" s="2">
        <f t="shared" si="3"/>
        <v>73.249140303000004</v>
      </c>
      <c r="O81">
        <v>1</v>
      </c>
      <c r="P81">
        <v>2</v>
      </c>
      <c r="Q81">
        <v>13.8</v>
      </c>
      <c r="R81">
        <v>44.4</v>
      </c>
      <c r="S81" t="s">
        <v>31</v>
      </c>
      <c r="T81" t="s">
        <v>31</v>
      </c>
      <c r="U81" t="s">
        <v>31</v>
      </c>
      <c r="V81" t="s">
        <v>31</v>
      </c>
      <c r="W81" t="s">
        <v>31</v>
      </c>
      <c r="X81" t="s">
        <v>76</v>
      </c>
      <c r="Y81" t="s">
        <v>93</v>
      </c>
      <c r="Z81">
        <v>40.418889999999998</v>
      </c>
      <c r="AA81">
        <v>-3.6919400000000002</v>
      </c>
      <c r="AB81">
        <v>0.27779999999999999</v>
      </c>
    </row>
    <row r="82" spans="1:28" x14ac:dyDescent="0.2">
      <c r="A82">
        <v>22</v>
      </c>
      <c r="B82">
        <v>4</v>
      </c>
      <c r="C82" t="s">
        <v>75</v>
      </c>
      <c r="D82">
        <v>2003</v>
      </c>
      <c r="E82">
        <v>40</v>
      </c>
      <c r="F82">
        <v>4</v>
      </c>
      <c r="G82" t="s">
        <v>31</v>
      </c>
      <c r="H82">
        <v>200</v>
      </c>
      <c r="J82" s="2">
        <f t="shared" si="2"/>
        <v>80.123940400000009</v>
      </c>
      <c r="K82">
        <v>4</v>
      </c>
      <c r="L82">
        <v>206</v>
      </c>
      <c r="N82" s="2">
        <f t="shared" si="3"/>
        <v>98.623025506000005</v>
      </c>
      <c r="O82">
        <v>2</v>
      </c>
      <c r="P82">
        <v>3</v>
      </c>
      <c r="Q82">
        <v>13.8</v>
      </c>
      <c r="R82">
        <v>44.4</v>
      </c>
      <c r="S82" t="s">
        <v>31</v>
      </c>
      <c r="T82" t="s">
        <v>31</v>
      </c>
      <c r="U82" t="s">
        <v>31</v>
      </c>
      <c r="V82" t="s">
        <v>31</v>
      </c>
      <c r="W82" t="s">
        <v>31</v>
      </c>
      <c r="X82" t="s">
        <v>76</v>
      </c>
      <c r="Y82" t="s">
        <v>93</v>
      </c>
      <c r="Z82">
        <v>40.418889999999998</v>
      </c>
      <c r="AA82">
        <v>-3.6919400000000002</v>
      </c>
      <c r="AB82">
        <v>0.27779999999999999</v>
      </c>
    </row>
    <row r="83" spans="1:28" x14ac:dyDescent="0.2">
      <c r="A83">
        <v>22</v>
      </c>
      <c r="B83">
        <v>5</v>
      </c>
      <c r="C83" t="s">
        <v>75</v>
      </c>
      <c r="D83">
        <v>2003</v>
      </c>
      <c r="E83">
        <v>80</v>
      </c>
      <c r="F83">
        <v>4</v>
      </c>
      <c r="G83" t="s">
        <v>31</v>
      </c>
      <c r="H83">
        <v>283</v>
      </c>
      <c r="J83" s="2">
        <f t="shared" si="2"/>
        <v>113.37537566600001</v>
      </c>
      <c r="K83">
        <v>4</v>
      </c>
      <c r="L83">
        <v>206</v>
      </c>
      <c r="N83" s="2">
        <f t="shared" si="3"/>
        <v>98.623025506000005</v>
      </c>
      <c r="O83">
        <v>2</v>
      </c>
      <c r="P83">
        <v>3</v>
      </c>
      <c r="Q83">
        <v>13.8</v>
      </c>
      <c r="R83">
        <v>44.4</v>
      </c>
      <c r="S83" t="s">
        <v>31</v>
      </c>
      <c r="T83" t="s">
        <v>31</v>
      </c>
      <c r="U83" t="s">
        <v>31</v>
      </c>
      <c r="V83" t="s">
        <v>31</v>
      </c>
      <c r="W83" t="s">
        <v>31</v>
      </c>
      <c r="X83" t="s">
        <v>76</v>
      </c>
      <c r="Y83" t="s">
        <v>93</v>
      </c>
      <c r="Z83">
        <v>40.418889999999998</v>
      </c>
      <c r="AA83">
        <v>-3.6919400000000002</v>
      </c>
      <c r="AB83">
        <v>0.27779999999999999</v>
      </c>
    </row>
    <row r="84" spans="1:28" x14ac:dyDescent="0.2">
      <c r="A84">
        <v>22</v>
      </c>
      <c r="B84">
        <v>6</v>
      </c>
      <c r="C84" t="s">
        <v>75</v>
      </c>
      <c r="D84">
        <v>2003</v>
      </c>
      <c r="E84">
        <v>120</v>
      </c>
      <c r="F84">
        <v>4</v>
      </c>
      <c r="G84" t="s">
        <v>31</v>
      </c>
      <c r="H84">
        <v>325</v>
      </c>
      <c r="J84" s="2">
        <f t="shared" si="2"/>
        <v>130.20140315</v>
      </c>
      <c r="K84">
        <v>4</v>
      </c>
      <c r="L84">
        <v>206</v>
      </c>
      <c r="N84" s="2">
        <f t="shared" si="3"/>
        <v>98.623025506000005</v>
      </c>
      <c r="O84">
        <v>2</v>
      </c>
      <c r="P84">
        <v>3</v>
      </c>
      <c r="Q84">
        <v>13.8</v>
      </c>
      <c r="R84">
        <v>44.4</v>
      </c>
      <c r="S84" t="s">
        <v>31</v>
      </c>
      <c r="T84" t="s">
        <v>31</v>
      </c>
      <c r="U84" t="s">
        <v>31</v>
      </c>
      <c r="V84" t="s">
        <v>31</v>
      </c>
      <c r="W84" t="s">
        <v>31</v>
      </c>
      <c r="X84" t="s">
        <v>76</v>
      </c>
      <c r="Y84" t="s">
        <v>93</v>
      </c>
      <c r="Z84">
        <v>40.418889999999998</v>
      </c>
      <c r="AA84">
        <v>-3.6919400000000002</v>
      </c>
      <c r="AB84">
        <v>0.27779999999999999</v>
      </c>
    </row>
    <row r="85" spans="1:28" x14ac:dyDescent="0.2">
      <c r="A85">
        <v>22</v>
      </c>
      <c r="B85">
        <v>7</v>
      </c>
      <c r="C85" t="s">
        <v>75</v>
      </c>
      <c r="D85">
        <v>2003</v>
      </c>
      <c r="E85">
        <v>40</v>
      </c>
      <c r="F85">
        <v>4</v>
      </c>
      <c r="G85" t="s">
        <v>31</v>
      </c>
      <c r="H85">
        <v>484</v>
      </c>
      <c r="J85" s="2">
        <f t="shared" si="2"/>
        <v>193.89993576800001</v>
      </c>
      <c r="K85">
        <v>4</v>
      </c>
      <c r="L85">
        <v>200</v>
      </c>
      <c r="N85" s="2">
        <f t="shared" si="3"/>
        <v>95.750510200000008</v>
      </c>
      <c r="O85">
        <v>3</v>
      </c>
      <c r="P85">
        <v>4</v>
      </c>
      <c r="Q85">
        <v>13.8</v>
      </c>
      <c r="R85">
        <v>44.4</v>
      </c>
      <c r="S85" t="s">
        <v>31</v>
      </c>
      <c r="T85" t="s">
        <v>31</v>
      </c>
      <c r="U85" t="s">
        <v>31</v>
      </c>
      <c r="V85" t="s">
        <v>31</v>
      </c>
      <c r="W85" t="s">
        <v>31</v>
      </c>
      <c r="X85" t="s">
        <v>76</v>
      </c>
      <c r="Y85" t="s">
        <v>93</v>
      </c>
      <c r="Z85">
        <v>40.418889999999998</v>
      </c>
      <c r="AA85">
        <v>-3.6919400000000002</v>
      </c>
      <c r="AB85">
        <v>0.27779999999999999</v>
      </c>
    </row>
    <row r="86" spans="1:28" x14ac:dyDescent="0.2">
      <c r="A86">
        <v>22</v>
      </c>
      <c r="B86">
        <v>8</v>
      </c>
      <c r="C86" t="s">
        <v>75</v>
      </c>
      <c r="D86">
        <v>2003</v>
      </c>
      <c r="E86">
        <v>80</v>
      </c>
      <c r="F86">
        <v>4</v>
      </c>
      <c r="G86" t="s">
        <v>31</v>
      </c>
      <c r="H86">
        <v>831</v>
      </c>
      <c r="J86" s="2">
        <f t="shared" si="2"/>
        <v>332.91497236200001</v>
      </c>
      <c r="K86">
        <v>4</v>
      </c>
      <c r="L86">
        <v>200</v>
      </c>
      <c r="N86" s="2">
        <f t="shared" si="3"/>
        <v>95.750510200000008</v>
      </c>
      <c r="O86">
        <v>3</v>
      </c>
      <c r="P86">
        <v>4</v>
      </c>
      <c r="Q86">
        <v>13.8</v>
      </c>
      <c r="R86">
        <v>44.4</v>
      </c>
      <c r="S86" t="s">
        <v>31</v>
      </c>
      <c r="T86" t="s">
        <v>31</v>
      </c>
      <c r="U86" t="s">
        <v>31</v>
      </c>
      <c r="V86" t="s">
        <v>31</v>
      </c>
      <c r="W86" t="s">
        <v>31</v>
      </c>
      <c r="X86" t="s">
        <v>76</v>
      </c>
      <c r="Y86" t="s">
        <v>93</v>
      </c>
      <c r="Z86">
        <v>40.418889999999998</v>
      </c>
      <c r="AA86">
        <v>-3.6919400000000002</v>
      </c>
      <c r="AB86">
        <v>0.27779999999999999</v>
      </c>
    </row>
    <row r="87" spans="1:28" x14ac:dyDescent="0.2">
      <c r="A87">
        <v>22</v>
      </c>
      <c r="B87">
        <v>9</v>
      </c>
      <c r="C87" t="s">
        <v>75</v>
      </c>
      <c r="D87">
        <v>2003</v>
      </c>
      <c r="E87">
        <v>80</v>
      </c>
      <c r="F87">
        <v>4</v>
      </c>
      <c r="G87" t="s">
        <v>31</v>
      </c>
      <c r="H87">
        <v>847</v>
      </c>
      <c r="J87" s="2">
        <f t="shared" si="2"/>
        <v>339.32488759400002</v>
      </c>
      <c r="K87">
        <v>4</v>
      </c>
      <c r="L87">
        <v>200</v>
      </c>
      <c r="N87" s="2">
        <f t="shared" si="3"/>
        <v>95.750510200000008</v>
      </c>
      <c r="O87">
        <v>3</v>
      </c>
      <c r="P87">
        <v>4</v>
      </c>
      <c r="Q87">
        <v>13.8</v>
      </c>
      <c r="R87">
        <v>44.4</v>
      </c>
      <c r="S87" t="s">
        <v>31</v>
      </c>
      <c r="T87" t="s">
        <v>31</v>
      </c>
      <c r="U87" t="s">
        <v>31</v>
      </c>
      <c r="V87" t="s">
        <v>31</v>
      </c>
      <c r="W87" t="s">
        <v>31</v>
      </c>
      <c r="X87" t="s">
        <v>76</v>
      </c>
      <c r="Y87" t="s">
        <v>93</v>
      </c>
      <c r="Z87">
        <v>40.418889999999998</v>
      </c>
      <c r="AA87">
        <v>-3.6919400000000002</v>
      </c>
      <c r="AB87">
        <v>0.27779999999999999</v>
      </c>
    </row>
    <row r="88" spans="1:28" x14ac:dyDescent="0.2">
      <c r="A88">
        <v>25</v>
      </c>
      <c r="B88">
        <v>1</v>
      </c>
      <c r="C88" t="s">
        <v>79</v>
      </c>
      <c r="D88">
        <v>2010</v>
      </c>
      <c r="E88">
        <f>3.37</f>
        <v>3.37</v>
      </c>
      <c r="F88">
        <v>6</v>
      </c>
      <c r="G88" t="s">
        <v>49</v>
      </c>
      <c r="H88">
        <v>224.2</v>
      </c>
      <c r="I88" s="2">
        <f>71.1*SQRT(6)</f>
        <v>174.15872071188394</v>
      </c>
      <c r="J88" s="2">
        <f>71.1*SQRT(6)</f>
        <v>174.15872071188394</v>
      </c>
      <c r="K88">
        <v>6</v>
      </c>
      <c r="L88">
        <v>118.2</v>
      </c>
      <c r="M88">
        <v>83.7</v>
      </c>
      <c r="N88">
        <v>83.7</v>
      </c>
      <c r="O88">
        <v>1</v>
      </c>
      <c r="P88">
        <v>2</v>
      </c>
      <c r="Q88">
        <v>10.3</v>
      </c>
      <c r="R88">
        <v>45.1</v>
      </c>
      <c r="S88" t="s">
        <v>31</v>
      </c>
      <c r="T88" t="s">
        <v>31</v>
      </c>
      <c r="U88" t="s">
        <v>31</v>
      </c>
      <c r="V88" t="s">
        <v>31</v>
      </c>
      <c r="W88" t="s">
        <v>31</v>
      </c>
      <c r="X88" t="s">
        <v>80</v>
      </c>
      <c r="Y88" t="s">
        <v>91</v>
      </c>
      <c r="Z88">
        <v>40.700000000000003</v>
      </c>
      <c r="AA88">
        <v>-111.916</v>
      </c>
      <c r="AB88">
        <v>0.2482</v>
      </c>
    </row>
    <row r="89" spans="1:28" x14ac:dyDescent="0.2">
      <c r="A89">
        <v>25</v>
      </c>
      <c r="B89">
        <v>2</v>
      </c>
      <c r="C89" t="s">
        <v>79</v>
      </c>
      <c r="D89">
        <v>2010</v>
      </c>
      <c r="E89">
        <f>3.37*5</f>
        <v>16.850000000000001</v>
      </c>
      <c r="F89">
        <v>6</v>
      </c>
      <c r="G89" t="s">
        <v>49</v>
      </c>
      <c r="H89">
        <v>441.3</v>
      </c>
      <c r="I89" s="2">
        <f>89.1*SQRT(6)</f>
        <v>218.24953608198115</v>
      </c>
      <c r="J89" s="2">
        <f>89.1*SQRT(6)</f>
        <v>218.24953608198115</v>
      </c>
      <c r="K89">
        <v>6</v>
      </c>
      <c r="L89">
        <v>118.2</v>
      </c>
      <c r="M89">
        <v>83.7</v>
      </c>
      <c r="N89">
        <v>83.7</v>
      </c>
      <c r="O89">
        <v>1</v>
      </c>
      <c r="P89">
        <v>2</v>
      </c>
      <c r="Q89">
        <v>10.3</v>
      </c>
      <c r="R89">
        <v>45.1</v>
      </c>
      <c r="S89" t="s">
        <v>31</v>
      </c>
      <c r="T89" t="s">
        <v>31</v>
      </c>
      <c r="U89" t="s">
        <v>31</v>
      </c>
      <c r="V89" t="s">
        <v>31</v>
      </c>
      <c r="W89" t="s">
        <v>31</v>
      </c>
      <c r="X89" t="s">
        <v>80</v>
      </c>
      <c r="Y89" t="s">
        <v>91</v>
      </c>
      <c r="Z89">
        <v>40.700000000000003</v>
      </c>
      <c r="AA89">
        <v>-111.916</v>
      </c>
      <c r="AB89">
        <v>0.2482</v>
      </c>
    </row>
    <row r="90" spans="1:28" x14ac:dyDescent="0.2">
      <c r="A90">
        <v>25</v>
      </c>
      <c r="B90">
        <v>3</v>
      </c>
      <c r="C90" t="s">
        <v>79</v>
      </c>
      <c r="D90">
        <v>2010</v>
      </c>
      <c r="E90">
        <f>3.37*10</f>
        <v>33.700000000000003</v>
      </c>
      <c r="F90">
        <v>6</v>
      </c>
      <c r="G90" t="s">
        <v>49</v>
      </c>
      <c r="H90">
        <v>411.7</v>
      </c>
      <c r="I90" s="2">
        <f>89.1*SQRT(6)</f>
        <v>218.24953608198115</v>
      </c>
      <c r="J90" s="2">
        <f>89.1*SQRT(6)</f>
        <v>218.24953608198115</v>
      </c>
      <c r="K90">
        <v>6</v>
      </c>
      <c r="L90">
        <v>118.2</v>
      </c>
      <c r="M90">
        <v>83.7</v>
      </c>
      <c r="N90">
        <v>83.7</v>
      </c>
      <c r="O90">
        <v>1</v>
      </c>
      <c r="P90">
        <v>2</v>
      </c>
      <c r="Q90">
        <v>10.3</v>
      </c>
      <c r="R90">
        <v>45.1</v>
      </c>
      <c r="S90" t="s">
        <v>31</v>
      </c>
      <c r="T90" t="s">
        <v>31</v>
      </c>
      <c r="U90" t="s">
        <v>31</v>
      </c>
      <c r="V90" t="s">
        <v>31</v>
      </c>
      <c r="W90" t="s">
        <v>31</v>
      </c>
      <c r="X90" t="s">
        <v>80</v>
      </c>
      <c r="Y90" t="s">
        <v>91</v>
      </c>
      <c r="Z90">
        <v>40.700000000000003</v>
      </c>
      <c r="AA90">
        <v>-111.916</v>
      </c>
      <c r="AB90">
        <v>0.2482</v>
      </c>
    </row>
    <row r="91" spans="1:28" x14ac:dyDescent="0.2">
      <c r="A91">
        <v>25</v>
      </c>
      <c r="B91">
        <v>4</v>
      </c>
      <c r="C91" t="s">
        <v>79</v>
      </c>
      <c r="D91">
        <v>2010</v>
      </c>
      <c r="E91" s="1">
        <f>3.37*20</f>
        <v>67.400000000000006</v>
      </c>
      <c r="F91">
        <v>6</v>
      </c>
      <c r="G91" t="s">
        <v>49</v>
      </c>
      <c r="H91">
        <v>648.6</v>
      </c>
      <c r="I91" s="2">
        <f>178.7*SQRT(6)</f>
        <v>437.72381703535387</v>
      </c>
      <c r="J91" s="2">
        <f>178.7*SQRT(6)</f>
        <v>437.72381703535387</v>
      </c>
      <c r="K91">
        <v>6</v>
      </c>
      <c r="L91">
        <v>118.2</v>
      </c>
      <c r="M91">
        <v>83.7</v>
      </c>
      <c r="N91">
        <v>83.7</v>
      </c>
      <c r="O91">
        <v>1</v>
      </c>
      <c r="P91">
        <v>2</v>
      </c>
      <c r="Q91">
        <v>10.3</v>
      </c>
      <c r="R91">
        <v>45.1</v>
      </c>
      <c r="S91" t="s">
        <v>31</v>
      </c>
      <c r="T91" t="s">
        <v>31</v>
      </c>
      <c r="U91" t="s">
        <v>31</v>
      </c>
      <c r="V91" t="s">
        <v>31</v>
      </c>
      <c r="W91" t="s">
        <v>31</v>
      </c>
      <c r="X91" t="s">
        <v>80</v>
      </c>
      <c r="Y91" t="s">
        <v>91</v>
      </c>
      <c r="Z91">
        <v>40.700000000000003</v>
      </c>
      <c r="AA91">
        <v>-111.916</v>
      </c>
      <c r="AB91">
        <v>0.2482</v>
      </c>
    </row>
    <row r="92" spans="1:28" x14ac:dyDescent="0.2">
      <c r="A92">
        <v>25</v>
      </c>
      <c r="B92">
        <v>5</v>
      </c>
      <c r="C92" t="s">
        <v>79</v>
      </c>
      <c r="D92">
        <v>2010</v>
      </c>
      <c r="E92">
        <v>1.8</v>
      </c>
      <c r="F92">
        <v>6</v>
      </c>
      <c r="G92" t="s">
        <v>49</v>
      </c>
      <c r="H92">
        <v>620.9</v>
      </c>
      <c r="I92" s="2">
        <f>151.2*SQRT(6)</f>
        <v>370.36284910881648</v>
      </c>
      <c r="J92" s="2">
        <f>151.2*SQRT(6)</f>
        <v>370.36284910881648</v>
      </c>
      <c r="K92">
        <v>6</v>
      </c>
      <c r="L92">
        <v>118.2</v>
      </c>
      <c r="M92">
        <v>83.7</v>
      </c>
      <c r="N92">
        <v>83.7</v>
      </c>
      <c r="O92">
        <v>1</v>
      </c>
      <c r="P92">
        <v>2</v>
      </c>
      <c r="Q92">
        <v>5</v>
      </c>
      <c r="R92">
        <v>67.8</v>
      </c>
      <c r="S92" t="s">
        <v>31</v>
      </c>
      <c r="T92" t="s">
        <v>31</v>
      </c>
      <c r="U92" t="s">
        <v>31</v>
      </c>
      <c r="V92" t="s">
        <v>31</v>
      </c>
      <c r="W92" t="s">
        <v>31</v>
      </c>
      <c r="X92" t="s">
        <v>81</v>
      </c>
      <c r="Y92" t="s">
        <v>91</v>
      </c>
      <c r="Z92">
        <v>40.799999999999997</v>
      </c>
      <c r="AA92">
        <v>-111.6</v>
      </c>
      <c r="AB92">
        <v>0.34649999999999997</v>
      </c>
    </row>
    <row r="93" spans="1:28" x14ac:dyDescent="0.2">
      <c r="A93">
        <v>25</v>
      </c>
      <c r="B93">
        <v>6</v>
      </c>
      <c r="C93" t="s">
        <v>79</v>
      </c>
      <c r="D93">
        <v>2010</v>
      </c>
      <c r="E93">
        <f>E92*5</f>
        <v>9</v>
      </c>
      <c r="F93">
        <v>6</v>
      </c>
      <c r="G93" t="s">
        <v>49</v>
      </c>
      <c r="H93">
        <v>692.9</v>
      </c>
      <c r="I93" s="2">
        <f>142*SQRT(6)</f>
        <v>347.82754347521126</v>
      </c>
      <c r="J93" s="2">
        <f>142*SQRT(6)</f>
        <v>347.82754347521126</v>
      </c>
      <c r="K93">
        <v>6</v>
      </c>
      <c r="L93">
        <v>118.2</v>
      </c>
      <c r="M93">
        <v>83.7</v>
      </c>
      <c r="N93">
        <v>83.7</v>
      </c>
      <c r="O93">
        <v>1</v>
      </c>
      <c r="P93">
        <v>2</v>
      </c>
      <c r="Q93">
        <v>5</v>
      </c>
      <c r="R93">
        <v>67.8</v>
      </c>
      <c r="S93" t="s">
        <v>31</v>
      </c>
      <c r="T93" t="s">
        <v>31</v>
      </c>
      <c r="U93" t="s">
        <v>31</v>
      </c>
      <c r="V93" t="s">
        <v>31</v>
      </c>
      <c r="W93" t="s">
        <v>31</v>
      </c>
      <c r="X93" t="s">
        <v>81</v>
      </c>
      <c r="Y93" t="s">
        <v>91</v>
      </c>
      <c r="Z93">
        <v>40.799999999999997</v>
      </c>
      <c r="AA93">
        <v>-111.6</v>
      </c>
      <c r="AB93">
        <v>0.34649999999999997</v>
      </c>
    </row>
    <row r="94" spans="1:28" x14ac:dyDescent="0.2">
      <c r="A94">
        <v>25</v>
      </c>
      <c r="B94">
        <v>7</v>
      </c>
      <c r="C94" t="s">
        <v>79</v>
      </c>
      <c r="D94">
        <v>2010</v>
      </c>
      <c r="E94">
        <f>E92*10</f>
        <v>18</v>
      </c>
      <c r="F94">
        <v>6</v>
      </c>
      <c r="G94" t="s">
        <v>49</v>
      </c>
      <c r="H94">
        <v>687.6</v>
      </c>
      <c r="I94" s="2">
        <f>91.8*SQRT(6)</f>
        <v>224.86315838749573</v>
      </c>
      <c r="J94" s="2">
        <f>91.8*SQRT(6)</f>
        <v>224.86315838749573</v>
      </c>
      <c r="K94">
        <v>6</v>
      </c>
      <c r="L94">
        <v>118.2</v>
      </c>
      <c r="M94">
        <v>83.7</v>
      </c>
      <c r="N94">
        <v>83.7</v>
      </c>
      <c r="O94">
        <v>1</v>
      </c>
      <c r="P94">
        <v>2</v>
      </c>
      <c r="Q94">
        <v>5</v>
      </c>
      <c r="R94">
        <v>67.8</v>
      </c>
      <c r="S94" t="s">
        <v>31</v>
      </c>
      <c r="T94" t="s">
        <v>31</v>
      </c>
      <c r="U94" t="s">
        <v>31</v>
      </c>
      <c r="V94" t="s">
        <v>31</v>
      </c>
      <c r="W94" t="s">
        <v>31</v>
      </c>
      <c r="X94" t="s">
        <v>81</v>
      </c>
      <c r="Y94" t="s">
        <v>91</v>
      </c>
      <c r="Z94">
        <v>40.799999999999997</v>
      </c>
      <c r="AA94">
        <v>-111.6</v>
      </c>
      <c r="AB94">
        <v>0.34649999999999997</v>
      </c>
    </row>
    <row r="95" spans="1:28" x14ac:dyDescent="0.2">
      <c r="A95">
        <v>25</v>
      </c>
      <c r="B95">
        <v>8</v>
      </c>
      <c r="C95" t="s">
        <v>79</v>
      </c>
      <c r="D95">
        <v>2010</v>
      </c>
      <c r="E95">
        <f>E92*20</f>
        <v>36</v>
      </c>
      <c r="F95">
        <v>6</v>
      </c>
      <c r="G95" t="s">
        <v>49</v>
      </c>
      <c r="H95">
        <v>1052.8</v>
      </c>
      <c r="I95" s="2">
        <f>303.6*SQRT(6)</f>
        <v>743.66508590897286</v>
      </c>
      <c r="J95" s="2">
        <f>303.6*SQRT(6)</f>
        <v>743.66508590897286</v>
      </c>
      <c r="K95">
        <v>6</v>
      </c>
      <c r="L95">
        <v>118.2</v>
      </c>
      <c r="M95">
        <v>83.7</v>
      </c>
      <c r="N95">
        <v>83.7</v>
      </c>
      <c r="O95">
        <v>1</v>
      </c>
      <c r="P95">
        <v>2</v>
      </c>
      <c r="Q95">
        <v>5</v>
      </c>
      <c r="R95">
        <v>67.8</v>
      </c>
      <c r="S95" t="s">
        <v>31</v>
      </c>
      <c r="T95" t="s">
        <v>31</v>
      </c>
      <c r="U95" t="s">
        <v>31</v>
      </c>
      <c r="V95" t="s">
        <v>31</v>
      </c>
      <c r="W95" t="s">
        <v>31</v>
      </c>
      <c r="X95" t="s">
        <v>81</v>
      </c>
      <c r="Y95" t="s">
        <v>91</v>
      </c>
      <c r="Z95">
        <v>40.799999999999997</v>
      </c>
      <c r="AA95">
        <v>-111.6</v>
      </c>
      <c r="AB95">
        <v>0.34649999999999997</v>
      </c>
    </row>
    <row r="96" spans="1:28" x14ac:dyDescent="0.2">
      <c r="A96">
        <v>25</v>
      </c>
      <c r="B96">
        <v>9</v>
      </c>
      <c r="C96" t="s">
        <v>79</v>
      </c>
      <c r="D96">
        <v>2010</v>
      </c>
      <c r="E96">
        <v>7.63</v>
      </c>
      <c r="F96">
        <v>6</v>
      </c>
      <c r="G96" t="s">
        <v>49</v>
      </c>
      <c r="H96">
        <v>127</v>
      </c>
      <c r="I96" s="2">
        <f>150.5*SQRT(6)</f>
        <v>368.64820628886827</v>
      </c>
      <c r="J96" s="2">
        <f>150.5*SQRT(6)</f>
        <v>368.64820628886827</v>
      </c>
      <c r="K96">
        <v>6</v>
      </c>
      <c r="L96">
        <v>118.2</v>
      </c>
      <c r="M96">
        <v>83.7</v>
      </c>
      <c r="N96">
        <v>83.7</v>
      </c>
      <c r="O96">
        <v>1</v>
      </c>
      <c r="P96">
        <v>2</v>
      </c>
      <c r="Q96">
        <v>9.9</v>
      </c>
      <c r="R96">
        <v>50.4</v>
      </c>
      <c r="S96" t="s">
        <v>31</v>
      </c>
      <c r="T96" t="s">
        <v>31</v>
      </c>
      <c r="U96" t="s">
        <v>31</v>
      </c>
      <c r="V96" t="s">
        <v>31</v>
      </c>
      <c r="W96" t="s">
        <v>31</v>
      </c>
      <c r="X96" t="s">
        <v>82</v>
      </c>
      <c r="Y96" t="s">
        <v>91</v>
      </c>
      <c r="Z96">
        <v>41</v>
      </c>
      <c r="AA96">
        <v>-112</v>
      </c>
      <c r="AB96">
        <v>0.26140000000000002</v>
      </c>
    </row>
    <row r="97" spans="1:28" x14ac:dyDescent="0.2">
      <c r="A97">
        <v>25</v>
      </c>
      <c r="B97">
        <v>10</v>
      </c>
      <c r="C97" t="s">
        <v>79</v>
      </c>
      <c r="D97">
        <v>2010</v>
      </c>
      <c r="E97">
        <f>E96*5</f>
        <v>38.15</v>
      </c>
      <c r="F97">
        <v>6</v>
      </c>
      <c r="G97" t="s">
        <v>49</v>
      </c>
      <c r="H97">
        <v>306.5</v>
      </c>
      <c r="I97" s="2">
        <f>72.5*SQRT(6)</f>
        <v>177.58800635178039</v>
      </c>
      <c r="J97" s="2">
        <f>72.5*SQRT(6)</f>
        <v>177.58800635178039</v>
      </c>
      <c r="K97">
        <v>6</v>
      </c>
      <c r="L97">
        <v>118.2</v>
      </c>
      <c r="M97">
        <v>83.7</v>
      </c>
      <c r="N97">
        <v>83.7</v>
      </c>
      <c r="O97">
        <v>1</v>
      </c>
      <c r="P97">
        <v>2</v>
      </c>
      <c r="Q97">
        <v>9.9</v>
      </c>
      <c r="R97">
        <v>50.4</v>
      </c>
      <c r="S97" t="s">
        <v>31</v>
      </c>
      <c r="T97" t="s">
        <v>31</v>
      </c>
      <c r="U97" t="s">
        <v>31</v>
      </c>
      <c r="V97" t="s">
        <v>31</v>
      </c>
      <c r="W97" t="s">
        <v>31</v>
      </c>
      <c r="X97" t="s">
        <v>82</v>
      </c>
      <c r="Y97" t="s">
        <v>91</v>
      </c>
      <c r="Z97">
        <v>41</v>
      </c>
      <c r="AA97">
        <v>-112</v>
      </c>
      <c r="AB97">
        <v>0.26140000000000002</v>
      </c>
    </row>
    <row r="98" spans="1:28" x14ac:dyDescent="0.2">
      <c r="A98">
        <v>25</v>
      </c>
      <c r="B98">
        <v>11</v>
      </c>
      <c r="C98" t="s">
        <v>79</v>
      </c>
      <c r="D98">
        <v>2010</v>
      </c>
      <c r="E98">
        <f>E96*10</f>
        <v>76.3</v>
      </c>
      <c r="F98">
        <v>6</v>
      </c>
      <c r="G98" t="s">
        <v>49</v>
      </c>
      <c r="H98">
        <v>326.7</v>
      </c>
      <c r="I98" s="2">
        <f>141.9*SQRT(6)</f>
        <v>347.58259450093294</v>
      </c>
      <c r="J98" s="2">
        <f>141.9*SQRT(6)</f>
        <v>347.58259450093294</v>
      </c>
      <c r="K98">
        <v>6</v>
      </c>
      <c r="L98">
        <v>118.2</v>
      </c>
      <c r="M98">
        <v>83.7</v>
      </c>
      <c r="N98">
        <v>83.7</v>
      </c>
      <c r="O98">
        <v>1</v>
      </c>
      <c r="P98">
        <v>2</v>
      </c>
      <c r="Q98">
        <v>9.9</v>
      </c>
      <c r="R98">
        <v>50.4</v>
      </c>
      <c r="S98" t="s">
        <v>31</v>
      </c>
      <c r="T98" t="s">
        <v>31</v>
      </c>
      <c r="U98" t="s">
        <v>31</v>
      </c>
      <c r="V98" t="s">
        <v>31</v>
      </c>
      <c r="W98" t="s">
        <v>31</v>
      </c>
      <c r="X98" t="s">
        <v>82</v>
      </c>
      <c r="Y98" t="s">
        <v>91</v>
      </c>
      <c r="Z98">
        <v>41</v>
      </c>
      <c r="AA98">
        <v>-112</v>
      </c>
      <c r="AB98">
        <v>0.26140000000000002</v>
      </c>
    </row>
    <row r="99" spans="1:28" x14ac:dyDescent="0.2">
      <c r="A99">
        <v>25</v>
      </c>
      <c r="B99">
        <v>12</v>
      </c>
      <c r="C99" t="s">
        <v>79</v>
      </c>
      <c r="D99">
        <v>2010</v>
      </c>
      <c r="E99">
        <f>E96*20</f>
        <v>152.6</v>
      </c>
      <c r="F99">
        <v>6</v>
      </c>
      <c r="G99" t="s">
        <v>49</v>
      </c>
      <c r="H99">
        <v>564.79999999999995</v>
      </c>
      <c r="I99" s="2">
        <f>265.2*SQRT(6)</f>
        <v>649.6046797860987</v>
      </c>
      <c r="J99" s="2">
        <f>265.2*SQRT(6)</f>
        <v>649.6046797860987</v>
      </c>
      <c r="K99">
        <v>6</v>
      </c>
      <c r="L99">
        <v>118.2</v>
      </c>
      <c r="M99">
        <v>83.7</v>
      </c>
      <c r="N99">
        <v>83.7</v>
      </c>
      <c r="O99">
        <v>1</v>
      </c>
      <c r="P99">
        <v>2</v>
      </c>
      <c r="Q99">
        <v>9.9</v>
      </c>
      <c r="R99">
        <v>50.4</v>
      </c>
      <c r="S99" t="s">
        <v>31</v>
      </c>
      <c r="T99" t="s">
        <v>31</v>
      </c>
      <c r="U99" t="s">
        <v>31</v>
      </c>
      <c r="V99" t="s">
        <v>31</v>
      </c>
      <c r="W99" t="s">
        <v>31</v>
      </c>
      <c r="X99" t="s">
        <v>82</v>
      </c>
      <c r="Y99" t="s">
        <v>91</v>
      </c>
      <c r="Z99">
        <v>41</v>
      </c>
      <c r="AA99">
        <v>-112</v>
      </c>
      <c r="AB99">
        <v>0.26140000000000002</v>
      </c>
    </row>
    <row r="100" spans="1:28" x14ac:dyDescent="0.2">
      <c r="A100">
        <v>25</v>
      </c>
      <c r="B100">
        <v>13</v>
      </c>
      <c r="C100" t="s">
        <v>79</v>
      </c>
      <c r="D100">
        <v>2010</v>
      </c>
      <c r="E100">
        <v>19.760000000000002</v>
      </c>
      <c r="F100">
        <v>6</v>
      </c>
      <c r="G100" t="s">
        <v>49</v>
      </c>
      <c r="H100">
        <v>1040.8</v>
      </c>
      <c r="I100" s="2">
        <f>200.1*SQRT(6)</f>
        <v>490.1428975309139</v>
      </c>
      <c r="J100" s="2">
        <f>200.1*SQRT(6)</f>
        <v>490.1428975309139</v>
      </c>
      <c r="K100">
        <v>6</v>
      </c>
      <c r="L100">
        <v>118.2</v>
      </c>
      <c r="M100">
        <v>83.7</v>
      </c>
      <c r="N100">
        <v>83.7</v>
      </c>
      <c r="O100">
        <v>1</v>
      </c>
      <c r="P100">
        <v>2</v>
      </c>
      <c r="Q100">
        <v>10.7</v>
      </c>
      <c r="R100">
        <v>19.3</v>
      </c>
      <c r="S100" t="s">
        <v>29</v>
      </c>
      <c r="T100" t="s">
        <v>31</v>
      </c>
      <c r="U100" t="s">
        <v>31</v>
      </c>
      <c r="V100" t="s">
        <v>31</v>
      </c>
      <c r="W100" t="s">
        <v>31</v>
      </c>
      <c r="X100" t="s">
        <v>83</v>
      </c>
      <c r="Y100" t="s">
        <v>91</v>
      </c>
      <c r="Z100">
        <v>40.4</v>
      </c>
      <c r="AA100">
        <v>-113.2</v>
      </c>
      <c r="AB100">
        <v>9.5600000000000004E-2</v>
      </c>
    </row>
    <row r="101" spans="1:28" x14ac:dyDescent="0.2">
      <c r="A101">
        <v>25</v>
      </c>
      <c r="B101">
        <v>14</v>
      </c>
      <c r="C101" t="s">
        <v>79</v>
      </c>
      <c r="D101">
        <v>2010</v>
      </c>
      <c r="E101">
        <f>19.76*5</f>
        <v>98.800000000000011</v>
      </c>
      <c r="F101">
        <v>6</v>
      </c>
      <c r="G101" t="s">
        <v>49</v>
      </c>
      <c r="H101">
        <v>563.5</v>
      </c>
      <c r="I101" s="2">
        <f>166.9*SQRT(6)</f>
        <v>408.81983807051239</v>
      </c>
      <c r="J101" s="2">
        <f>166.9*SQRT(6)</f>
        <v>408.81983807051239</v>
      </c>
      <c r="K101">
        <v>6</v>
      </c>
      <c r="L101">
        <v>118.2</v>
      </c>
      <c r="M101">
        <v>83.7</v>
      </c>
      <c r="N101">
        <v>83.7</v>
      </c>
      <c r="O101">
        <v>1</v>
      </c>
      <c r="P101">
        <v>2</v>
      </c>
      <c r="Q101">
        <v>10.7</v>
      </c>
      <c r="R101">
        <v>19.3</v>
      </c>
      <c r="S101" t="s">
        <v>29</v>
      </c>
      <c r="T101" t="s">
        <v>31</v>
      </c>
      <c r="U101" t="s">
        <v>31</v>
      </c>
      <c r="V101" t="s">
        <v>31</v>
      </c>
      <c r="W101" t="s">
        <v>31</v>
      </c>
      <c r="X101" t="s">
        <v>83</v>
      </c>
      <c r="Y101" t="s">
        <v>91</v>
      </c>
      <c r="Z101">
        <v>40.4</v>
      </c>
      <c r="AA101">
        <v>-113.2</v>
      </c>
      <c r="AB101">
        <v>9.5600000000000004E-2</v>
      </c>
    </row>
    <row r="102" spans="1:28" x14ac:dyDescent="0.2">
      <c r="A102">
        <v>25</v>
      </c>
      <c r="B102">
        <v>15</v>
      </c>
      <c r="C102" t="s">
        <v>79</v>
      </c>
      <c r="D102">
        <v>2010</v>
      </c>
      <c r="E102">
        <f>19.76*10</f>
        <v>197.60000000000002</v>
      </c>
      <c r="F102">
        <v>6</v>
      </c>
      <c r="G102" t="s">
        <v>49</v>
      </c>
      <c r="H102">
        <v>536.6</v>
      </c>
      <c r="I102" s="2">
        <f>54.4*SQRT(6)</f>
        <v>133.25224200740487</v>
      </c>
      <c r="J102" s="2">
        <f>54.4*SQRT(6)</f>
        <v>133.25224200740487</v>
      </c>
      <c r="K102">
        <v>6</v>
      </c>
      <c r="L102">
        <v>118.2</v>
      </c>
      <c r="M102">
        <v>83.7</v>
      </c>
      <c r="N102">
        <v>83.7</v>
      </c>
      <c r="O102">
        <v>1</v>
      </c>
      <c r="P102">
        <v>2</v>
      </c>
      <c r="Q102">
        <v>10.7</v>
      </c>
      <c r="R102">
        <v>19.3</v>
      </c>
      <c r="S102" t="s">
        <v>29</v>
      </c>
      <c r="T102" t="s">
        <v>31</v>
      </c>
      <c r="U102" t="s">
        <v>31</v>
      </c>
      <c r="V102" t="s">
        <v>31</v>
      </c>
      <c r="W102" t="s">
        <v>31</v>
      </c>
      <c r="X102" t="s">
        <v>83</v>
      </c>
      <c r="Y102" t="s">
        <v>91</v>
      </c>
      <c r="Z102">
        <v>40.4</v>
      </c>
      <c r="AA102">
        <v>-113.2</v>
      </c>
      <c r="AB102">
        <v>9.5600000000000004E-2</v>
      </c>
    </row>
    <row r="103" spans="1:28" x14ac:dyDescent="0.2">
      <c r="A103">
        <v>28</v>
      </c>
      <c r="B103">
        <v>1</v>
      </c>
      <c r="C103" t="s">
        <v>88</v>
      </c>
      <c r="D103">
        <v>1998</v>
      </c>
      <c r="E103">
        <v>22.4</v>
      </c>
      <c r="F103">
        <v>4</v>
      </c>
      <c r="G103" t="s">
        <v>31</v>
      </c>
      <c r="H103">
        <v>1528</v>
      </c>
      <c r="J103" s="2">
        <f t="shared" ref="J103:J114" si="4">0.400619702*H103</f>
        <v>612.14690465600006</v>
      </c>
      <c r="K103">
        <v>4</v>
      </c>
      <c r="L103">
        <v>69</v>
      </c>
      <c r="N103" s="2">
        <f t="shared" ref="N103:N114" si="5">0.478752551*L103</f>
        <v>33.033926018999999</v>
      </c>
      <c r="O103">
        <v>1</v>
      </c>
      <c r="P103">
        <v>2</v>
      </c>
      <c r="Q103">
        <v>10.6</v>
      </c>
      <c r="R103">
        <v>41.8</v>
      </c>
      <c r="S103" t="s">
        <v>29</v>
      </c>
      <c r="T103" t="s">
        <v>29</v>
      </c>
      <c r="U103" t="s">
        <v>31</v>
      </c>
      <c r="V103" t="s">
        <v>29</v>
      </c>
      <c r="W103" t="s">
        <v>31</v>
      </c>
      <c r="X103" t="s">
        <v>89</v>
      </c>
      <c r="Y103" t="s">
        <v>91</v>
      </c>
      <c r="Z103">
        <v>40.700000000000003</v>
      </c>
      <c r="AA103">
        <v>-112.1</v>
      </c>
      <c r="AB103" s="4">
        <v>0.2482</v>
      </c>
    </row>
    <row r="104" spans="1:28" x14ac:dyDescent="0.2">
      <c r="A104">
        <v>28</v>
      </c>
      <c r="B104">
        <v>2</v>
      </c>
      <c r="C104" t="s">
        <v>88</v>
      </c>
      <c r="D104">
        <v>1998</v>
      </c>
      <c r="E104">
        <v>44.8</v>
      </c>
      <c r="F104">
        <v>4</v>
      </c>
      <c r="G104" t="s">
        <v>31</v>
      </c>
      <c r="H104">
        <v>1639</v>
      </c>
      <c r="J104" s="2">
        <f t="shared" si="4"/>
        <v>656.615691578</v>
      </c>
      <c r="K104">
        <v>4</v>
      </c>
      <c r="L104">
        <v>69</v>
      </c>
      <c r="N104" s="2">
        <f t="shared" si="5"/>
        <v>33.033926018999999</v>
      </c>
      <c r="O104">
        <v>1</v>
      </c>
      <c r="P104">
        <v>2</v>
      </c>
      <c r="Q104">
        <v>10.6</v>
      </c>
      <c r="R104">
        <v>41.8</v>
      </c>
      <c r="S104" t="s">
        <v>29</v>
      </c>
      <c r="T104" t="s">
        <v>29</v>
      </c>
      <c r="U104" t="s">
        <v>31</v>
      </c>
      <c r="V104" t="s">
        <v>29</v>
      </c>
      <c r="W104" t="s">
        <v>31</v>
      </c>
      <c r="X104" t="s">
        <v>89</v>
      </c>
      <c r="Y104" t="s">
        <v>91</v>
      </c>
      <c r="Z104">
        <v>40.700000000000003</v>
      </c>
      <c r="AA104">
        <v>-112.1</v>
      </c>
      <c r="AB104" s="4">
        <v>0.2482</v>
      </c>
    </row>
    <row r="105" spans="1:28" x14ac:dyDescent="0.2">
      <c r="A105">
        <v>28</v>
      </c>
      <c r="B105">
        <v>3</v>
      </c>
      <c r="C105" t="s">
        <v>88</v>
      </c>
      <c r="D105">
        <v>1998</v>
      </c>
      <c r="E105">
        <v>67.2</v>
      </c>
      <c r="F105">
        <v>4</v>
      </c>
      <c r="G105" t="s">
        <v>31</v>
      </c>
      <c r="H105">
        <v>1669</v>
      </c>
      <c r="J105" s="2">
        <f t="shared" si="4"/>
        <v>668.63428263800006</v>
      </c>
      <c r="K105">
        <v>4</v>
      </c>
      <c r="L105">
        <v>69</v>
      </c>
      <c r="N105" s="2">
        <f t="shared" si="5"/>
        <v>33.033926018999999</v>
      </c>
      <c r="O105">
        <v>1</v>
      </c>
      <c r="P105">
        <v>2</v>
      </c>
      <c r="Q105">
        <v>10.6</v>
      </c>
      <c r="R105">
        <v>41.8</v>
      </c>
      <c r="S105" t="s">
        <v>29</v>
      </c>
      <c r="T105" t="s">
        <v>29</v>
      </c>
      <c r="U105" t="s">
        <v>31</v>
      </c>
      <c r="V105" t="s">
        <v>29</v>
      </c>
      <c r="W105" t="s">
        <v>31</v>
      </c>
      <c r="X105" t="s">
        <v>89</v>
      </c>
      <c r="Y105" t="s">
        <v>91</v>
      </c>
      <c r="Z105">
        <v>40.700000000000003</v>
      </c>
      <c r="AA105">
        <v>-112.1</v>
      </c>
      <c r="AB105" s="4">
        <v>0.2482</v>
      </c>
    </row>
    <row r="106" spans="1:28" x14ac:dyDescent="0.2">
      <c r="A106">
        <v>28</v>
      </c>
      <c r="B106">
        <v>4</v>
      </c>
      <c r="C106" t="s">
        <v>88</v>
      </c>
      <c r="D106">
        <v>1998</v>
      </c>
      <c r="E106">
        <v>22.4</v>
      </c>
      <c r="F106">
        <v>8</v>
      </c>
      <c r="G106" t="s">
        <v>31</v>
      </c>
      <c r="H106">
        <v>1275</v>
      </c>
      <c r="J106" s="2">
        <f t="shared" si="4"/>
        <v>510.79012005000004</v>
      </c>
      <c r="K106">
        <v>4</v>
      </c>
      <c r="L106">
        <v>105</v>
      </c>
      <c r="N106" s="2">
        <f t="shared" si="5"/>
        <v>50.269017855000001</v>
      </c>
      <c r="O106">
        <v>1</v>
      </c>
      <c r="P106">
        <v>2</v>
      </c>
      <c r="Q106">
        <v>10.6</v>
      </c>
      <c r="R106">
        <v>41.8</v>
      </c>
      <c r="S106" t="s">
        <v>31</v>
      </c>
      <c r="T106" t="s">
        <v>29</v>
      </c>
      <c r="U106" t="s">
        <v>31</v>
      </c>
      <c r="V106" t="s">
        <v>29</v>
      </c>
      <c r="W106" t="s">
        <v>31</v>
      </c>
      <c r="X106" t="s">
        <v>89</v>
      </c>
      <c r="Y106" t="s">
        <v>91</v>
      </c>
      <c r="Z106">
        <v>40.700000000000003</v>
      </c>
      <c r="AA106">
        <v>-112.1</v>
      </c>
      <c r="AB106" s="4">
        <v>0.2482</v>
      </c>
    </row>
    <row r="107" spans="1:28" x14ac:dyDescent="0.2">
      <c r="A107">
        <v>28</v>
      </c>
      <c r="B107">
        <v>5</v>
      </c>
      <c r="C107" t="s">
        <v>88</v>
      </c>
      <c r="D107">
        <v>1998</v>
      </c>
      <c r="E107">
        <v>44.8</v>
      </c>
      <c r="F107">
        <v>8</v>
      </c>
      <c r="G107" t="s">
        <v>31</v>
      </c>
      <c r="H107">
        <v>1606</v>
      </c>
      <c r="J107" s="2">
        <f t="shared" si="4"/>
        <v>643.39524141200002</v>
      </c>
      <c r="K107">
        <v>4</v>
      </c>
      <c r="L107">
        <v>105</v>
      </c>
      <c r="N107" s="2">
        <f t="shared" si="5"/>
        <v>50.269017855000001</v>
      </c>
      <c r="O107">
        <v>1</v>
      </c>
      <c r="P107">
        <v>2</v>
      </c>
      <c r="Q107">
        <v>10.6</v>
      </c>
      <c r="R107">
        <v>41.8</v>
      </c>
      <c r="S107" t="s">
        <v>31</v>
      </c>
      <c r="T107" t="s">
        <v>29</v>
      </c>
      <c r="U107" t="s">
        <v>31</v>
      </c>
      <c r="V107" t="s">
        <v>29</v>
      </c>
      <c r="W107" t="s">
        <v>31</v>
      </c>
      <c r="X107" t="s">
        <v>89</v>
      </c>
      <c r="Y107" t="s">
        <v>91</v>
      </c>
      <c r="Z107">
        <v>40.700000000000003</v>
      </c>
      <c r="AA107">
        <v>-112.1</v>
      </c>
      <c r="AB107" s="4">
        <v>0.2482</v>
      </c>
    </row>
    <row r="108" spans="1:28" x14ac:dyDescent="0.2">
      <c r="A108">
        <v>28</v>
      </c>
      <c r="B108">
        <v>6</v>
      </c>
      <c r="C108" t="s">
        <v>88</v>
      </c>
      <c r="D108">
        <v>1998</v>
      </c>
      <c r="E108">
        <v>67.2</v>
      </c>
      <c r="F108">
        <v>8</v>
      </c>
      <c r="G108" t="s">
        <v>31</v>
      </c>
      <c r="H108">
        <v>2077</v>
      </c>
      <c r="J108" s="2">
        <f t="shared" si="4"/>
        <v>832.08712105400002</v>
      </c>
      <c r="K108">
        <v>4</v>
      </c>
      <c r="L108">
        <v>105</v>
      </c>
      <c r="N108" s="2">
        <f t="shared" si="5"/>
        <v>50.269017855000001</v>
      </c>
      <c r="O108">
        <v>1</v>
      </c>
      <c r="P108">
        <v>2</v>
      </c>
      <c r="Q108">
        <v>10.6</v>
      </c>
      <c r="R108">
        <v>41.8</v>
      </c>
      <c r="S108" t="s">
        <v>31</v>
      </c>
      <c r="T108" t="s">
        <v>29</v>
      </c>
      <c r="U108" t="s">
        <v>31</v>
      </c>
      <c r="V108" t="s">
        <v>29</v>
      </c>
      <c r="W108" t="s">
        <v>31</v>
      </c>
      <c r="X108" t="s">
        <v>89</v>
      </c>
      <c r="Y108" t="s">
        <v>91</v>
      </c>
      <c r="Z108">
        <v>40.700000000000003</v>
      </c>
      <c r="AA108">
        <v>-112.1</v>
      </c>
      <c r="AB108" s="4">
        <v>0.2482</v>
      </c>
    </row>
    <row r="109" spans="1:28" x14ac:dyDescent="0.2">
      <c r="A109">
        <v>28</v>
      </c>
      <c r="B109">
        <v>7</v>
      </c>
      <c r="C109" t="s">
        <v>88</v>
      </c>
      <c r="D109">
        <v>1998</v>
      </c>
      <c r="E109">
        <v>22.4</v>
      </c>
      <c r="F109">
        <v>4</v>
      </c>
      <c r="G109" t="s">
        <v>31</v>
      </c>
      <c r="H109">
        <v>1085</v>
      </c>
      <c r="J109" s="2">
        <f t="shared" si="4"/>
        <v>434.67237667000001</v>
      </c>
      <c r="K109">
        <v>4</v>
      </c>
      <c r="L109">
        <v>232</v>
      </c>
      <c r="N109" s="2">
        <f t="shared" si="5"/>
        <v>111.07059183200001</v>
      </c>
      <c r="O109">
        <v>1</v>
      </c>
      <c r="P109">
        <v>2</v>
      </c>
      <c r="Q109">
        <v>10.6</v>
      </c>
      <c r="R109">
        <v>41.8</v>
      </c>
      <c r="S109" t="s">
        <v>29</v>
      </c>
      <c r="T109" t="s">
        <v>29</v>
      </c>
      <c r="U109" t="s">
        <v>31</v>
      </c>
      <c r="V109" t="s">
        <v>29</v>
      </c>
      <c r="W109" t="s">
        <v>31</v>
      </c>
      <c r="X109" t="s">
        <v>89</v>
      </c>
      <c r="Y109" t="s">
        <v>91</v>
      </c>
      <c r="Z109">
        <v>40.700000000000003</v>
      </c>
      <c r="AA109">
        <v>-112.1</v>
      </c>
      <c r="AB109" s="4">
        <v>0.2482</v>
      </c>
    </row>
    <row r="110" spans="1:28" x14ac:dyDescent="0.2">
      <c r="A110">
        <v>28</v>
      </c>
      <c r="B110">
        <v>8</v>
      </c>
      <c r="C110" t="s">
        <v>88</v>
      </c>
      <c r="D110">
        <v>1998</v>
      </c>
      <c r="E110">
        <v>44.8</v>
      </c>
      <c r="F110">
        <v>4</v>
      </c>
      <c r="G110" t="s">
        <v>31</v>
      </c>
      <c r="H110">
        <v>1119</v>
      </c>
      <c r="J110" s="2">
        <f t="shared" si="4"/>
        <v>448.29344653800001</v>
      </c>
      <c r="K110">
        <v>4</v>
      </c>
      <c r="L110">
        <v>232</v>
      </c>
      <c r="N110" s="2">
        <f t="shared" si="5"/>
        <v>111.07059183200001</v>
      </c>
      <c r="O110">
        <v>1</v>
      </c>
      <c r="P110">
        <v>2</v>
      </c>
      <c r="Q110">
        <v>10.6</v>
      </c>
      <c r="R110">
        <v>41.8</v>
      </c>
      <c r="S110" t="s">
        <v>29</v>
      </c>
      <c r="T110" t="s">
        <v>29</v>
      </c>
      <c r="U110" t="s">
        <v>31</v>
      </c>
      <c r="V110" t="s">
        <v>29</v>
      </c>
      <c r="W110" t="s">
        <v>31</v>
      </c>
      <c r="X110" t="s">
        <v>89</v>
      </c>
      <c r="Y110" t="s">
        <v>91</v>
      </c>
      <c r="Z110">
        <v>40.700000000000003</v>
      </c>
      <c r="AA110">
        <v>-112.1</v>
      </c>
      <c r="AB110" s="4">
        <v>0.2482</v>
      </c>
    </row>
    <row r="111" spans="1:28" x14ac:dyDescent="0.2">
      <c r="A111">
        <v>28</v>
      </c>
      <c r="B111">
        <v>9</v>
      </c>
      <c r="C111" t="s">
        <v>88</v>
      </c>
      <c r="D111">
        <v>1998</v>
      </c>
      <c r="E111">
        <v>67.2</v>
      </c>
      <c r="F111">
        <v>4</v>
      </c>
      <c r="G111" t="s">
        <v>31</v>
      </c>
      <c r="H111">
        <v>1448</v>
      </c>
      <c r="J111" s="2">
        <f t="shared" si="4"/>
        <v>580.09732849600005</v>
      </c>
      <c r="K111">
        <v>4</v>
      </c>
      <c r="L111">
        <v>232</v>
      </c>
      <c r="N111" s="2">
        <f t="shared" si="5"/>
        <v>111.07059183200001</v>
      </c>
      <c r="O111">
        <v>1</v>
      </c>
      <c r="P111">
        <v>2</v>
      </c>
      <c r="Q111">
        <v>10.6</v>
      </c>
      <c r="R111">
        <v>41.8</v>
      </c>
      <c r="S111" t="s">
        <v>29</v>
      </c>
      <c r="T111" t="s">
        <v>29</v>
      </c>
      <c r="U111" t="s">
        <v>31</v>
      </c>
      <c r="V111" t="s">
        <v>29</v>
      </c>
      <c r="W111" t="s">
        <v>31</v>
      </c>
      <c r="X111" t="s">
        <v>89</v>
      </c>
      <c r="Y111" t="s">
        <v>91</v>
      </c>
      <c r="Z111">
        <v>40.700000000000003</v>
      </c>
      <c r="AA111">
        <v>-112.1</v>
      </c>
      <c r="AB111" s="4">
        <v>0.2482</v>
      </c>
    </row>
    <row r="112" spans="1:28" x14ac:dyDescent="0.2">
      <c r="A112">
        <v>28</v>
      </c>
      <c r="B112">
        <v>10</v>
      </c>
      <c r="C112" t="s">
        <v>88</v>
      </c>
      <c r="D112">
        <v>1998</v>
      </c>
      <c r="E112">
        <v>22.4</v>
      </c>
      <c r="F112">
        <v>4</v>
      </c>
      <c r="G112" t="s">
        <v>31</v>
      </c>
      <c r="H112">
        <v>416</v>
      </c>
      <c r="J112" s="2">
        <f t="shared" si="4"/>
        <v>166.65779603200002</v>
      </c>
      <c r="K112">
        <v>4</v>
      </c>
      <c r="L112">
        <v>47</v>
      </c>
      <c r="N112" s="2">
        <f t="shared" si="5"/>
        <v>22.501369897</v>
      </c>
      <c r="O112">
        <v>1</v>
      </c>
      <c r="P112">
        <v>2</v>
      </c>
      <c r="Q112">
        <v>10.6</v>
      </c>
      <c r="R112">
        <v>41.8</v>
      </c>
      <c r="S112" t="s">
        <v>31</v>
      </c>
      <c r="T112" t="s">
        <v>29</v>
      </c>
      <c r="U112" t="s">
        <v>31</v>
      </c>
      <c r="V112" t="s">
        <v>29</v>
      </c>
      <c r="W112" t="s">
        <v>31</v>
      </c>
      <c r="X112" t="s">
        <v>89</v>
      </c>
      <c r="Y112" t="s">
        <v>91</v>
      </c>
      <c r="Z112">
        <v>40.700000000000003</v>
      </c>
      <c r="AA112">
        <v>-112.1</v>
      </c>
      <c r="AB112" s="4">
        <v>0.2482</v>
      </c>
    </row>
    <row r="113" spans="1:28" x14ac:dyDescent="0.2">
      <c r="A113">
        <v>28</v>
      </c>
      <c r="B113">
        <v>11</v>
      </c>
      <c r="C113" t="s">
        <v>88</v>
      </c>
      <c r="D113">
        <v>1998</v>
      </c>
      <c r="E113">
        <v>44.8</v>
      </c>
      <c r="F113">
        <v>4</v>
      </c>
      <c r="G113" t="s">
        <v>31</v>
      </c>
      <c r="H113">
        <v>966</v>
      </c>
      <c r="J113" s="2">
        <f t="shared" si="4"/>
        <v>386.99863213200001</v>
      </c>
      <c r="K113">
        <v>4</v>
      </c>
      <c r="L113">
        <v>47</v>
      </c>
      <c r="N113" s="2">
        <f t="shared" si="5"/>
        <v>22.501369897</v>
      </c>
      <c r="O113">
        <v>1</v>
      </c>
      <c r="P113">
        <v>2</v>
      </c>
      <c r="Q113">
        <v>10.6</v>
      </c>
      <c r="R113">
        <v>41.8</v>
      </c>
      <c r="S113" t="s">
        <v>31</v>
      </c>
      <c r="T113" t="s">
        <v>29</v>
      </c>
      <c r="U113" t="s">
        <v>31</v>
      </c>
      <c r="V113" t="s">
        <v>29</v>
      </c>
      <c r="W113" t="s">
        <v>31</v>
      </c>
      <c r="X113" t="s">
        <v>89</v>
      </c>
      <c r="Y113" t="s">
        <v>91</v>
      </c>
      <c r="Z113">
        <v>40.700000000000003</v>
      </c>
      <c r="AA113">
        <v>-112.1</v>
      </c>
      <c r="AB113" s="4">
        <v>0.2482</v>
      </c>
    </row>
    <row r="114" spans="1:28" x14ac:dyDescent="0.2">
      <c r="A114">
        <v>28</v>
      </c>
      <c r="B114">
        <v>12</v>
      </c>
      <c r="C114" t="s">
        <v>88</v>
      </c>
      <c r="D114">
        <v>1998</v>
      </c>
      <c r="E114">
        <v>67.2</v>
      </c>
      <c r="F114">
        <v>4</v>
      </c>
      <c r="G114" t="s">
        <v>31</v>
      </c>
      <c r="H114">
        <v>1446</v>
      </c>
      <c r="J114" s="2">
        <f t="shared" si="4"/>
        <v>579.29608909199999</v>
      </c>
      <c r="K114">
        <v>4</v>
      </c>
      <c r="L114">
        <v>47</v>
      </c>
      <c r="N114" s="2">
        <f t="shared" si="5"/>
        <v>22.501369897</v>
      </c>
      <c r="O114">
        <v>1</v>
      </c>
      <c r="P114">
        <v>2</v>
      </c>
      <c r="Q114">
        <v>10.6</v>
      </c>
      <c r="R114">
        <v>41.8</v>
      </c>
      <c r="S114" t="s">
        <v>31</v>
      </c>
      <c r="T114" t="s">
        <v>29</v>
      </c>
      <c r="U114" t="s">
        <v>31</v>
      </c>
      <c r="V114" t="s">
        <v>29</v>
      </c>
      <c r="W114" t="s">
        <v>31</v>
      </c>
      <c r="X114" t="s">
        <v>89</v>
      </c>
      <c r="Y114" t="s">
        <v>91</v>
      </c>
      <c r="Z114">
        <v>40.700000000000003</v>
      </c>
      <c r="AA114">
        <v>-112.1</v>
      </c>
      <c r="AB114" s="4">
        <v>0.2482</v>
      </c>
    </row>
    <row r="115" spans="1:28" x14ac:dyDescent="0.2">
      <c r="A115">
        <v>29</v>
      </c>
      <c r="B115">
        <v>1</v>
      </c>
      <c r="C115" t="s">
        <v>104</v>
      </c>
      <c r="D115">
        <v>2018</v>
      </c>
      <c r="E115">
        <v>150</v>
      </c>
      <c r="F115">
        <v>8</v>
      </c>
      <c r="G115" t="s">
        <v>49</v>
      </c>
      <c r="H115">
        <v>598</v>
      </c>
      <c r="I115">
        <v>151</v>
      </c>
      <c r="J115">
        <v>151</v>
      </c>
      <c r="K115">
        <v>8</v>
      </c>
      <c r="L115">
        <v>42.5</v>
      </c>
      <c r="M115">
        <v>10.5</v>
      </c>
      <c r="N115">
        <v>10.5</v>
      </c>
      <c r="O115">
        <v>13</v>
      </c>
      <c r="P115">
        <v>14</v>
      </c>
      <c r="Q115">
        <v>3.4</v>
      </c>
      <c r="R115">
        <v>39.200000000000003</v>
      </c>
      <c r="S115" t="s">
        <v>31</v>
      </c>
      <c r="T115" t="s">
        <v>29</v>
      </c>
      <c r="U115" t="s">
        <v>31</v>
      </c>
      <c r="V115" t="s">
        <v>29</v>
      </c>
      <c r="W115" t="s">
        <v>31</v>
      </c>
      <c r="X115" t="s">
        <v>52</v>
      </c>
      <c r="Y115" t="s">
        <v>94</v>
      </c>
      <c r="Z115">
        <v>50.511940000000003</v>
      </c>
      <c r="AA115">
        <v>-120.97472</v>
      </c>
      <c r="AB115">
        <v>0.56010000000000004</v>
      </c>
    </row>
    <row r="116" spans="1:28" x14ac:dyDescent="0.2">
      <c r="A116">
        <v>29</v>
      </c>
      <c r="B116">
        <v>2</v>
      </c>
      <c r="C116" t="s">
        <v>104</v>
      </c>
      <c r="D116">
        <v>2018</v>
      </c>
      <c r="E116">
        <v>250</v>
      </c>
      <c r="F116">
        <v>8</v>
      </c>
      <c r="G116" t="s">
        <v>49</v>
      </c>
      <c r="H116">
        <v>666</v>
      </c>
      <c r="I116">
        <v>170</v>
      </c>
      <c r="J116">
        <v>170</v>
      </c>
      <c r="K116">
        <v>8</v>
      </c>
      <c r="L116">
        <v>43.5</v>
      </c>
      <c r="M116">
        <v>10.5</v>
      </c>
      <c r="N116">
        <v>10.5</v>
      </c>
      <c r="O116">
        <v>13</v>
      </c>
      <c r="P116">
        <v>14</v>
      </c>
      <c r="Q116">
        <v>3.4</v>
      </c>
      <c r="R116">
        <v>39.200000000000003</v>
      </c>
      <c r="S116" t="s">
        <v>31</v>
      </c>
      <c r="T116" t="s">
        <v>29</v>
      </c>
      <c r="U116" t="s">
        <v>31</v>
      </c>
      <c r="V116" t="s">
        <v>29</v>
      </c>
      <c r="W116" t="s">
        <v>31</v>
      </c>
      <c r="X116" t="s">
        <v>52</v>
      </c>
      <c r="Y116" t="s">
        <v>94</v>
      </c>
      <c r="Z116">
        <v>50.511940000000003</v>
      </c>
      <c r="AA116">
        <v>-120.97472</v>
      </c>
      <c r="AB116">
        <v>0.56010000000000004</v>
      </c>
    </row>
    <row r="117" spans="1:28" x14ac:dyDescent="0.2">
      <c r="A117">
        <v>30</v>
      </c>
      <c r="B117">
        <v>1</v>
      </c>
      <c r="C117" t="s">
        <v>105</v>
      </c>
      <c r="D117">
        <v>2011</v>
      </c>
      <c r="E117">
        <v>25</v>
      </c>
      <c r="F117">
        <v>3</v>
      </c>
      <c r="G117" t="s">
        <v>31</v>
      </c>
      <c r="H117">
        <v>492</v>
      </c>
      <c r="J117" s="2">
        <f t="shared" ref="J117:J124" si="6">0.400619702*H117</f>
        <v>197.10489338400001</v>
      </c>
      <c r="K117">
        <v>3</v>
      </c>
      <c r="L117">
        <v>188</v>
      </c>
      <c r="N117" s="2">
        <f t="shared" ref="N117:N124" si="7">0.478752551*L117</f>
        <v>90.005479588</v>
      </c>
      <c r="O117">
        <v>1</v>
      </c>
      <c r="P117">
        <v>2</v>
      </c>
      <c r="Q117">
        <v>8.9</v>
      </c>
      <c r="R117">
        <v>44.1</v>
      </c>
      <c r="S117" t="s">
        <v>31</v>
      </c>
      <c r="T117" t="s">
        <v>31</v>
      </c>
      <c r="U117" t="s">
        <v>31</v>
      </c>
      <c r="V117" t="s">
        <v>31</v>
      </c>
      <c r="W117" t="s">
        <v>29</v>
      </c>
      <c r="X117" t="s">
        <v>106</v>
      </c>
      <c r="Y117" t="s">
        <v>155</v>
      </c>
      <c r="Z117">
        <v>38.613329999999998</v>
      </c>
      <c r="AA117">
        <v>43.233879999999999</v>
      </c>
      <c r="AB117">
        <v>0.31290000000000001</v>
      </c>
    </row>
    <row r="118" spans="1:28" x14ac:dyDescent="0.2">
      <c r="A118">
        <v>30</v>
      </c>
      <c r="B118">
        <v>1</v>
      </c>
      <c r="C118" t="s">
        <v>105</v>
      </c>
      <c r="D118">
        <v>2011</v>
      </c>
      <c r="E118">
        <v>50</v>
      </c>
      <c r="F118">
        <v>3</v>
      </c>
      <c r="G118" t="s">
        <v>31</v>
      </c>
      <c r="H118">
        <v>384</v>
      </c>
      <c r="J118" s="2">
        <f t="shared" si="6"/>
        <v>153.83796556800002</v>
      </c>
      <c r="K118">
        <v>3</v>
      </c>
      <c r="L118">
        <v>188</v>
      </c>
      <c r="N118" s="2">
        <f t="shared" si="7"/>
        <v>90.005479588</v>
      </c>
      <c r="O118">
        <v>1</v>
      </c>
      <c r="P118">
        <v>2</v>
      </c>
      <c r="Q118">
        <v>8.9</v>
      </c>
      <c r="R118">
        <v>44.1</v>
      </c>
      <c r="S118" t="s">
        <v>31</v>
      </c>
      <c r="T118" t="s">
        <v>31</v>
      </c>
      <c r="U118" t="s">
        <v>31</v>
      </c>
      <c r="V118" t="s">
        <v>31</v>
      </c>
      <c r="W118" t="s">
        <v>31</v>
      </c>
      <c r="X118" t="s">
        <v>106</v>
      </c>
      <c r="Y118" t="s">
        <v>155</v>
      </c>
      <c r="Z118">
        <v>38.613329999999998</v>
      </c>
      <c r="AA118">
        <v>43.233879999999999</v>
      </c>
      <c r="AB118">
        <v>0.31290000000000001</v>
      </c>
    </row>
    <row r="119" spans="1:28" x14ac:dyDescent="0.2">
      <c r="A119">
        <v>30</v>
      </c>
      <c r="B119">
        <v>1</v>
      </c>
      <c r="C119" t="s">
        <v>105</v>
      </c>
      <c r="D119">
        <v>2011</v>
      </c>
      <c r="E119">
        <v>75</v>
      </c>
      <c r="F119">
        <v>3</v>
      </c>
      <c r="G119" t="s">
        <v>31</v>
      </c>
      <c r="H119">
        <v>764</v>
      </c>
      <c r="J119" s="2">
        <f t="shared" si="6"/>
        <v>306.07345232800003</v>
      </c>
      <c r="K119">
        <v>3</v>
      </c>
      <c r="L119">
        <v>188</v>
      </c>
      <c r="N119" s="2">
        <f t="shared" si="7"/>
        <v>90.005479588</v>
      </c>
      <c r="O119">
        <v>1</v>
      </c>
      <c r="P119">
        <v>2</v>
      </c>
      <c r="Q119">
        <v>8.9</v>
      </c>
      <c r="R119">
        <v>44.1</v>
      </c>
      <c r="S119" t="s">
        <v>31</v>
      </c>
      <c r="T119" t="s">
        <v>31</v>
      </c>
      <c r="U119" t="s">
        <v>31</v>
      </c>
      <c r="V119" t="s">
        <v>31</v>
      </c>
      <c r="W119" t="s">
        <v>31</v>
      </c>
      <c r="X119" t="s">
        <v>106</v>
      </c>
      <c r="Y119" t="s">
        <v>155</v>
      </c>
      <c r="Z119">
        <v>38.613329999999998</v>
      </c>
      <c r="AA119">
        <v>43.233879999999999</v>
      </c>
      <c r="AB119">
        <v>0.31290000000000001</v>
      </c>
    </row>
    <row r="120" spans="1:28" x14ac:dyDescent="0.2">
      <c r="A120">
        <v>30</v>
      </c>
      <c r="B120">
        <v>1</v>
      </c>
      <c r="C120" t="s">
        <v>105</v>
      </c>
      <c r="D120">
        <v>2011</v>
      </c>
      <c r="E120">
        <v>100</v>
      </c>
      <c r="F120">
        <v>3</v>
      </c>
      <c r="G120" t="s">
        <v>31</v>
      </c>
      <c r="H120">
        <v>762</v>
      </c>
      <c r="J120" s="2">
        <f t="shared" si="6"/>
        <v>305.27221292400003</v>
      </c>
      <c r="K120">
        <v>3</v>
      </c>
      <c r="L120">
        <v>188</v>
      </c>
      <c r="N120" s="2">
        <f t="shared" si="7"/>
        <v>90.005479588</v>
      </c>
      <c r="O120">
        <v>1</v>
      </c>
      <c r="P120">
        <v>2</v>
      </c>
      <c r="Q120">
        <v>8.9</v>
      </c>
      <c r="R120">
        <v>44.1</v>
      </c>
      <c r="S120" t="s">
        <v>31</v>
      </c>
      <c r="T120" t="s">
        <v>31</v>
      </c>
      <c r="U120" t="s">
        <v>31</v>
      </c>
      <c r="V120" t="s">
        <v>31</v>
      </c>
      <c r="W120" t="s">
        <v>31</v>
      </c>
      <c r="X120" t="s">
        <v>106</v>
      </c>
      <c r="Y120" t="s">
        <v>155</v>
      </c>
      <c r="Z120">
        <v>38.613329999999998</v>
      </c>
      <c r="AA120">
        <v>43.233879999999999</v>
      </c>
      <c r="AB120">
        <v>0.31290000000000001</v>
      </c>
    </row>
    <row r="121" spans="1:28" x14ac:dyDescent="0.2">
      <c r="A121">
        <v>30</v>
      </c>
      <c r="B121">
        <v>1</v>
      </c>
      <c r="C121" t="s">
        <v>105</v>
      </c>
      <c r="D121">
        <v>2011</v>
      </c>
      <c r="E121">
        <v>50</v>
      </c>
      <c r="F121">
        <v>3</v>
      </c>
      <c r="G121" t="s">
        <v>31</v>
      </c>
      <c r="H121">
        <v>2326.0700000000002</v>
      </c>
      <c r="J121" s="2">
        <f t="shared" si="6"/>
        <v>931.8694702311401</v>
      </c>
      <c r="K121">
        <v>3</v>
      </c>
      <c r="L121">
        <v>880</v>
      </c>
      <c r="N121" s="2">
        <f t="shared" si="7"/>
        <v>421.30224488000005</v>
      </c>
      <c r="O121">
        <v>2</v>
      </c>
      <c r="P121">
        <v>3</v>
      </c>
      <c r="Q121">
        <v>8.9</v>
      </c>
      <c r="R121">
        <v>44.1</v>
      </c>
      <c r="S121" t="s">
        <v>31</v>
      </c>
      <c r="T121" t="s">
        <v>31</v>
      </c>
      <c r="U121" t="s">
        <v>31</v>
      </c>
      <c r="V121" t="s">
        <v>31</v>
      </c>
      <c r="W121" t="s">
        <v>29</v>
      </c>
      <c r="X121" t="s">
        <v>106</v>
      </c>
      <c r="Y121" t="s">
        <v>155</v>
      </c>
      <c r="Z121">
        <v>38.613329999999998</v>
      </c>
      <c r="AA121">
        <v>43.233879999999999</v>
      </c>
      <c r="AB121">
        <v>0.31290000000000001</v>
      </c>
    </row>
    <row r="122" spans="1:28" x14ac:dyDescent="0.2">
      <c r="A122">
        <v>30</v>
      </c>
      <c r="B122">
        <v>1</v>
      </c>
      <c r="C122" t="s">
        <v>105</v>
      </c>
      <c r="D122">
        <v>2011</v>
      </c>
      <c r="E122">
        <v>100</v>
      </c>
      <c r="F122">
        <v>3</v>
      </c>
      <c r="G122" t="s">
        <v>31</v>
      </c>
      <c r="H122">
        <v>2823.03</v>
      </c>
      <c r="J122" s="2">
        <f t="shared" si="6"/>
        <v>1130.96143733706</v>
      </c>
      <c r="K122">
        <v>3</v>
      </c>
      <c r="L122">
        <v>880</v>
      </c>
      <c r="N122" s="2">
        <f t="shared" si="7"/>
        <v>421.30224488000005</v>
      </c>
      <c r="O122">
        <v>2</v>
      </c>
      <c r="P122">
        <v>3</v>
      </c>
      <c r="Q122">
        <v>8.9</v>
      </c>
      <c r="R122">
        <v>44.1</v>
      </c>
      <c r="S122" t="s">
        <v>31</v>
      </c>
      <c r="T122" t="s">
        <v>31</v>
      </c>
      <c r="U122" t="s">
        <v>31</v>
      </c>
      <c r="V122" t="s">
        <v>31</v>
      </c>
      <c r="W122" t="s">
        <v>29</v>
      </c>
      <c r="X122" t="s">
        <v>106</v>
      </c>
      <c r="Y122" t="s">
        <v>155</v>
      </c>
      <c r="Z122">
        <v>38.613329999999998</v>
      </c>
      <c r="AA122">
        <v>43.233879999999999</v>
      </c>
      <c r="AB122">
        <v>0.31290000000000001</v>
      </c>
    </row>
    <row r="123" spans="1:28" x14ac:dyDescent="0.2">
      <c r="A123">
        <v>30</v>
      </c>
      <c r="B123">
        <v>1</v>
      </c>
      <c r="C123" t="s">
        <v>105</v>
      </c>
      <c r="D123">
        <v>2011</v>
      </c>
      <c r="E123">
        <v>150</v>
      </c>
      <c r="F123">
        <v>3</v>
      </c>
      <c r="G123" t="s">
        <v>31</v>
      </c>
      <c r="H123">
        <v>3680</v>
      </c>
      <c r="J123" s="2">
        <f t="shared" si="6"/>
        <v>1474.28050336</v>
      </c>
      <c r="K123">
        <v>3</v>
      </c>
      <c r="L123">
        <v>880</v>
      </c>
      <c r="N123" s="2">
        <f t="shared" si="7"/>
        <v>421.30224488000005</v>
      </c>
      <c r="O123">
        <v>2</v>
      </c>
      <c r="P123">
        <v>3</v>
      </c>
      <c r="Q123">
        <v>8.9</v>
      </c>
      <c r="R123">
        <v>44.1</v>
      </c>
      <c r="S123" t="s">
        <v>31</v>
      </c>
      <c r="T123" t="s">
        <v>31</v>
      </c>
      <c r="U123" t="s">
        <v>31</v>
      </c>
      <c r="V123" t="s">
        <v>31</v>
      </c>
      <c r="W123" t="s">
        <v>29</v>
      </c>
      <c r="X123" t="s">
        <v>106</v>
      </c>
      <c r="Y123" t="s">
        <v>155</v>
      </c>
      <c r="Z123">
        <v>38.613329999999998</v>
      </c>
      <c r="AA123">
        <v>43.233879999999999</v>
      </c>
      <c r="AB123">
        <v>0.31290000000000001</v>
      </c>
    </row>
    <row r="124" spans="1:28" x14ac:dyDescent="0.2">
      <c r="A124">
        <v>30</v>
      </c>
      <c r="B124">
        <v>1</v>
      </c>
      <c r="C124" t="s">
        <v>105</v>
      </c>
      <c r="D124">
        <v>2011</v>
      </c>
      <c r="E124">
        <v>200</v>
      </c>
      <c r="F124">
        <v>3</v>
      </c>
      <c r="G124" t="s">
        <v>31</v>
      </c>
      <c r="H124">
        <v>3513.03</v>
      </c>
      <c r="J124" s="2">
        <f t="shared" si="6"/>
        <v>1407.3890317170601</v>
      </c>
      <c r="K124">
        <v>3</v>
      </c>
      <c r="L124">
        <v>880</v>
      </c>
      <c r="N124" s="2">
        <f t="shared" si="7"/>
        <v>421.30224488000005</v>
      </c>
      <c r="O124">
        <v>2</v>
      </c>
      <c r="P124">
        <v>3</v>
      </c>
      <c r="Q124">
        <v>8.9</v>
      </c>
      <c r="R124">
        <v>44.1</v>
      </c>
      <c r="S124" t="s">
        <v>31</v>
      </c>
      <c r="T124" t="s">
        <v>31</v>
      </c>
      <c r="U124" t="s">
        <v>31</v>
      </c>
      <c r="V124" t="s">
        <v>31</v>
      </c>
      <c r="W124" t="s">
        <v>29</v>
      </c>
      <c r="X124" t="s">
        <v>106</v>
      </c>
      <c r="Y124" t="s">
        <v>155</v>
      </c>
      <c r="Z124">
        <v>38.613329999999998</v>
      </c>
      <c r="AA124">
        <v>43.233879999999999</v>
      </c>
      <c r="AB124">
        <v>0.31290000000000001</v>
      </c>
    </row>
    <row r="125" spans="1:28" x14ac:dyDescent="0.2">
      <c r="A125">
        <v>31</v>
      </c>
      <c r="B125">
        <v>1</v>
      </c>
      <c r="C125" t="s">
        <v>107</v>
      </c>
      <c r="D125">
        <v>2018</v>
      </c>
      <c r="E125">
        <v>20</v>
      </c>
      <c r="F125">
        <v>4</v>
      </c>
      <c r="G125" t="s">
        <v>49</v>
      </c>
      <c r="H125">
        <v>154.1</v>
      </c>
      <c r="I125">
        <v>26.52</v>
      </c>
      <c r="J125">
        <v>26.52</v>
      </c>
      <c r="K125">
        <v>4</v>
      </c>
      <c r="L125">
        <v>79.099999999999994</v>
      </c>
      <c r="M125">
        <v>12.7</v>
      </c>
      <c r="N125">
        <v>12.7</v>
      </c>
      <c r="O125">
        <v>14</v>
      </c>
      <c r="P125">
        <v>15</v>
      </c>
      <c r="Q125">
        <v>3.3</v>
      </c>
      <c r="R125">
        <v>38.799999999999997</v>
      </c>
      <c r="S125" t="s">
        <v>31</v>
      </c>
      <c r="T125" t="s">
        <v>31</v>
      </c>
      <c r="U125" t="s">
        <v>31</v>
      </c>
      <c r="V125" t="s">
        <v>31</v>
      </c>
      <c r="W125" t="s">
        <v>31</v>
      </c>
      <c r="X125" t="s">
        <v>108</v>
      </c>
      <c r="Y125" t="s">
        <v>94</v>
      </c>
      <c r="Z125">
        <v>51.41666</v>
      </c>
      <c r="AA125">
        <v>-122.15</v>
      </c>
      <c r="AB125">
        <v>0.45629999999999998</v>
      </c>
    </row>
    <row r="126" spans="1:28" x14ac:dyDescent="0.2">
      <c r="A126">
        <v>32</v>
      </c>
      <c r="B126">
        <v>1</v>
      </c>
      <c r="C126" t="s">
        <v>109</v>
      </c>
      <c r="D126">
        <v>2015</v>
      </c>
      <c r="E126">
        <v>202</v>
      </c>
      <c r="F126">
        <v>4</v>
      </c>
      <c r="G126" t="s">
        <v>31</v>
      </c>
      <c r="H126">
        <v>744</v>
      </c>
      <c r="J126" s="2">
        <f>0.400619702*H126</f>
        <v>298.06105828800003</v>
      </c>
      <c r="K126">
        <v>4</v>
      </c>
      <c r="L126">
        <v>2080</v>
      </c>
      <c r="N126" s="2">
        <f>0.478752551*L126</f>
        <v>995.80530608000004</v>
      </c>
      <c r="O126">
        <v>2.5</v>
      </c>
      <c r="P126">
        <v>3</v>
      </c>
      <c r="Q126">
        <v>9.6999999999999993</v>
      </c>
      <c r="R126">
        <v>93.4</v>
      </c>
      <c r="S126" t="s">
        <v>31</v>
      </c>
      <c r="T126" t="s">
        <v>29</v>
      </c>
      <c r="U126" t="s">
        <v>31</v>
      </c>
      <c r="V126" t="s">
        <v>29</v>
      </c>
      <c r="W126" t="s">
        <v>31</v>
      </c>
      <c r="X126" t="s">
        <v>110</v>
      </c>
      <c r="Y126" t="s">
        <v>91</v>
      </c>
      <c r="Z126">
        <v>41.798609999999996</v>
      </c>
      <c r="AA126">
        <v>-87.969440000000006</v>
      </c>
      <c r="AB126">
        <v>0.80220000000000002</v>
      </c>
    </row>
    <row r="127" spans="1:28" x14ac:dyDescent="0.2">
      <c r="A127">
        <v>32</v>
      </c>
      <c r="B127">
        <v>2</v>
      </c>
      <c r="C127" t="s">
        <v>109</v>
      </c>
      <c r="D127">
        <v>2015</v>
      </c>
      <c r="E127">
        <v>202</v>
      </c>
      <c r="F127">
        <v>4</v>
      </c>
      <c r="G127" t="s">
        <v>31</v>
      </c>
      <c r="H127">
        <v>566</v>
      </c>
      <c r="J127" s="2">
        <f>0.400619702*H127</f>
        <v>226.75075133200002</v>
      </c>
      <c r="K127">
        <v>4</v>
      </c>
      <c r="L127">
        <v>2080</v>
      </c>
      <c r="N127" s="2">
        <f>0.478752551*L127</f>
        <v>995.80530608000004</v>
      </c>
      <c r="O127">
        <v>2.5</v>
      </c>
      <c r="P127">
        <v>3</v>
      </c>
      <c r="Q127">
        <v>9.6999999999999993</v>
      </c>
      <c r="R127">
        <v>93.4</v>
      </c>
      <c r="S127" t="s">
        <v>29</v>
      </c>
      <c r="T127" t="s">
        <v>29</v>
      </c>
      <c r="U127" t="s">
        <v>31</v>
      </c>
      <c r="V127" t="s">
        <v>29</v>
      </c>
      <c r="W127" t="s">
        <v>31</v>
      </c>
      <c r="X127" t="s">
        <v>110</v>
      </c>
      <c r="Y127" t="s">
        <v>91</v>
      </c>
      <c r="Z127">
        <v>41.798609999999996</v>
      </c>
      <c r="AA127">
        <v>-87.969440000000006</v>
      </c>
      <c r="AB127">
        <v>0.80220000000000002</v>
      </c>
    </row>
    <row r="128" spans="1:28" x14ac:dyDescent="0.2">
      <c r="A128">
        <v>32</v>
      </c>
      <c r="B128">
        <v>3</v>
      </c>
      <c r="C128" t="s">
        <v>109</v>
      </c>
      <c r="D128">
        <v>2015</v>
      </c>
      <c r="E128">
        <v>404</v>
      </c>
      <c r="F128">
        <v>4</v>
      </c>
      <c r="G128" t="s">
        <v>31</v>
      </c>
      <c r="H128">
        <v>459</v>
      </c>
      <c r="J128" s="2">
        <f>0.400619702*H128</f>
        <v>183.884443218</v>
      </c>
      <c r="K128">
        <v>4</v>
      </c>
      <c r="L128">
        <v>2080</v>
      </c>
      <c r="N128" s="2">
        <f>0.478752551*L128</f>
        <v>995.80530608000004</v>
      </c>
      <c r="O128">
        <v>2.5</v>
      </c>
      <c r="P128">
        <v>3</v>
      </c>
      <c r="Q128">
        <v>9.6999999999999993</v>
      </c>
      <c r="R128">
        <v>93.4</v>
      </c>
      <c r="S128" t="s">
        <v>31</v>
      </c>
      <c r="T128" t="s">
        <v>29</v>
      </c>
      <c r="U128" t="s">
        <v>31</v>
      </c>
      <c r="V128" t="s">
        <v>29</v>
      </c>
      <c r="W128" t="s">
        <v>31</v>
      </c>
      <c r="X128" t="s">
        <v>110</v>
      </c>
      <c r="Y128" t="s">
        <v>91</v>
      </c>
      <c r="Z128">
        <v>41.798609999999996</v>
      </c>
      <c r="AA128">
        <v>-87.969440000000006</v>
      </c>
      <c r="AB128">
        <v>0.80220000000000002</v>
      </c>
    </row>
    <row r="129" spans="1:28" x14ac:dyDescent="0.2">
      <c r="A129">
        <v>33</v>
      </c>
      <c r="B129">
        <v>1</v>
      </c>
      <c r="C129" t="s">
        <v>111</v>
      </c>
      <c r="D129">
        <v>2017</v>
      </c>
      <c r="E129">
        <v>22.4</v>
      </c>
      <c r="F129">
        <v>6</v>
      </c>
      <c r="G129" t="s">
        <v>112</v>
      </c>
      <c r="H129">
        <v>173.39</v>
      </c>
      <c r="I129">
        <v>21.46</v>
      </c>
      <c r="J129">
        <v>21.46</v>
      </c>
      <c r="K129">
        <v>6</v>
      </c>
      <c r="L129">
        <v>138.82</v>
      </c>
      <c r="M129">
        <v>15.93</v>
      </c>
      <c r="N129">
        <v>15.93</v>
      </c>
      <c r="O129">
        <v>1</v>
      </c>
      <c r="P129">
        <v>2</v>
      </c>
      <c r="Q129">
        <v>6.8</v>
      </c>
      <c r="R129">
        <v>38.4</v>
      </c>
      <c r="S129" t="s">
        <v>31</v>
      </c>
      <c r="T129" t="s">
        <v>31</v>
      </c>
      <c r="U129" t="s">
        <v>31</v>
      </c>
      <c r="V129" t="s">
        <v>31</v>
      </c>
      <c r="W129" t="s">
        <v>31</v>
      </c>
      <c r="X129" t="s">
        <v>113</v>
      </c>
      <c r="Y129" t="s">
        <v>91</v>
      </c>
      <c r="Z129">
        <v>41.212859999999999</v>
      </c>
      <c r="AA129">
        <v>-104.85183000000001</v>
      </c>
      <c r="AB129">
        <v>0.2402</v>
      </c>
    </row>
    <row r="130" spans="1:28" x14ac:dyDescent="0.2">
      <c r="A130">
        <v>33</v>
      </c>
      <c r="B130">
        <v>2</v>
      </c>
      <c r="C130" t="s">
        <v>111</v>
      </c>
      <c r="D130">
        <v>2017</v>
      </c>
      <c r="E130">
        <v>22.4</v>
      </c>
      <c r="F130">
        <v>6</v>
      </c>
      <c r="G130" t="s">
        <v>112</v>
      </c>
      <c r="H130">
        <v>149.72</v>
      </c>
      <c r="I130">
        <v>23.25</v>
      </c>
      <c r="J130">
        <v>23.25</v>
      </c>
      <c r="K130">
        <v>6</v>
      </c>
      <c r="L130">
        <v>129.88</v>
      </c>
      <c r="M130">
        <v>32.799999999999997</v>
      </c>
      <c r="N130">
        <v>32.799999999999997</v>
      </c>
      <c r="O130">
        <v>2</v>
      </c>
      <c r="P130">
        <v>3</v>
      </c>
      <c r="Q130">
        <v>6.8</v>
      </c>
      <c r="R130">
        <v>38.4</v>
      </c>
      <c r="S130" t="s">
        <v>31</v>
      </c>
      <c r="T130" t="s">
        <v>31</v>
      </c>
      <c r="U130" t="s">
        <v>31</v>
      </c>
      <c r="V130" t="s">
        <v>31</v>
      </c>
      <c r="W130" t="s">
        <v>31</v>
      </c>
      <c r="X130" t="s">
        <v>113</v>
      </c>
      <c r="Y130" t="s">
        <v>91</v>
      </c>
      <c r="Z130">
        <v>41.212859999999999</v>
      </c>
      <c r="AA130">
        <v>-104.85183000000001</v>
      </c>
      <c r="AB130">
        <v>0.2402</v>
      </c>
    </row>
    <row r="131" spans="1:28" x14ac:dyDescent="0.2">
      <c r="A131">
        <v>33</v>
      </c>
      <c r="B131">
        <v>3</v>
      </c>
      <c r="C131" t="s">
        <v>111</v>
      </c>
      <c r="D131">
        <v>2017</v>
      </c>
      <c r="E131">
        <v>22.4</v>
      </c>
      <c r="F131">
        <v>6</v>
      </c>
      <c r="G131" t="s">
        <v>112</v>
      </c>
      <c r="H131">
        <v>186.51</v>
      </c>
      <c r="I131">
        <v>15.08</v>
      </c>
      <c r="J131">
        <v>15.08</v>
      </c>
      <c r="K131">
        <v>6</v>
      </c>
      <c r="L131">
        <v>151.59</v>
      </c>
      <c r="M131">
        <v>14.29</v>
      </c>
      <c r="N131">
        <v>14.29</v>
      </c>
      <c r="O131">
        <v>3</v>
      </c>
      <c r="P131">
        <v>4</v>
      </c>
      <c r="Q131">
        <v>6.8</v>
      </c>
      <c r="R131">
        <v>38.4</v>
      </c>
      <c r="S131" t="s">
        <v>31</v>
      </c>
      <c r="T131" t="s">
        <v>31</v>
      </c>
      <c r="U131" t="s">
        <v>31</v>
      </c>
      <c r="V131" t="s">
        <v>31</v>
      </c>
      <c r="W131" t="s">
        <v>31</v>
      </c>
      <c r="X131" t="s">
        <v>113</v>
      </c>
      <c r="Y131" t="s">
        <v>91</v>
      </c>
      <c r="Z131">
        <v>41.212859999999999</v>
      </c>
      <c r="AA131">
        <v>-104.85183000000001</v>
      </c>
      <c r="AB131">
        <v>0.2402</v>
      </c>
    </row>
    <row r="132" spans="1:28" x14ac:dyDescent="0.2">
      <c r="A132">
        <v>33</v>
      </c>
      <c r="B132">
        <v>4</v>
      </c>
      <c r="C132" t="s">
        <v>111</v>
      </c>
      <c r="D132">
        <v>2017</v>
      </c>
      <c r="E132">
        <v>22.4</v>
      </c>
      <c r="F132">
        <v>6</v>
      </c>
      <c r="G132" t="s">
        <v>112</v>
      </c>
      <c r="H132">
        <v>215.08</v>
      </c>
      <c r="I132">
        <v>20.63</v>
      </c>
      <c r="J132">
        <v>20.63</v>
      </c>
      <c r="K132">
        <v>6</v>
      </c>
      <c r="L132">
        <v>157.94</v>
      </c>
      <c r="M132">
        <v>11.9</v>
      </c>
      <c r="N132">
        <v>11.9</v>
      </c>
      <c r="O132">
        <v>4</v>
      </c>
      <c r="P132">
        <v>5</v>
      </c>
      <c r="Q132">
        <v>6.8</v>
      </c>
      <c r="R132">
        <v>38.4</v>
      </c>
      <c r="S132" t="s">
        <v>31</v>
      </c>
      <c r="T132" t="s">
        <v>31</v>
      </c>
      <c r="U132" t="s">
        <v>31</v>
      </c>
      <c r="V132" t="s">
        <v>31</v>
      </c>
      <c r="W132" t="s">
        <v>31</v>
      </c>
      <c r="X132" t="s">
        <v>113</v>
      </c>
      <c r="Y132" t="s">
        <v>91</v>
      </c>
      <c r="Z132">
        <v>41.212859999999999</v>
      </c>
      <c r="AA132">
        <v>-104.85183000000001</v>
      </c>
      <c r="AB132">
        <v>0.2402</v>
      </c>
    </row>
    <row r="133" spans="1:28" x14ac:dyDescent="0.2">
      <c r="A133">
        <v>33</v>
      </c>
      <c r="B133">
        <v>5</v>
      </c>
      <c r="C133" t="s">
        <v>111</v>
      </c>
      <c r="D133">
        <v>2017</v>
      </c>
      <c r="E133">
        <v>22.4</v>
      </c>
      <c r="F133">
        <v>6</v>
      </c>
      <c r="G133" t="s">
        <v>112</v>
      </c>
      <c r="H133">
        <v>372.11</v>
      </c>
      <c r="I133">
        <v>83.6</v>
      </c>
      <c r="J133">
        <v>83.6</v>
      </c>
      <c r="K133">
        <v>6</v>
      </c>
      <c r="L133">
        <v>246.33</v>
      </c>
      <c r="M133">
        <v>64.81</v>
      </c>
      <c r="N133">
        <v>64.81</v>
      </c>
      <c r="O133">
        <v>5</v>
      </c>
      <c r="P133">
        <v>6</v>
      </c>
      <c r="Q133">
        <v>6.8</v>
      </c>
      <c r="R133">
        <v>38.4</v>
      </c>
      <c r="S133" t="s">
        <v>31</v>
      </c>
      <c r="T133" t="s">
        <v>31</v>
      </c>
      <c r="U133" t="s">
        <v>31</v>
      </c>
      <c r="V133" t="s">
        <v>31</v>
      </c>
      <c r="W133" t="s">
        <v>31</v>
      </c>
      <c r="X133" t="s">
        <v>113</v>
      </c>
      <c r="Y133" t="s">
        <v>91</v>
      </c>
      <c r="Z133">
        <v>41.212859999999999</v>
      </c>
      <c r="AA133">
        <v>-104.85183000000001</v>
      </c>
      <c r="AB133">
        <v>0.2402</v>
      </c>
    </row>
    <row r="134" spans="1:28" x14ac:dyDescent="0.2">
      <c r="A134">
        <v>33</v>
      </c>
      <c r="B134">
        <v>6</v>
      </c>
      <c r="C134" t="s">
        <v>111</v>
      </c>
      <c r="D134">
        <v>2017</v>
      </c>
      <c r="E134">
        <v>22.4</v>
      </c>
      <c r="F134">
        <v>6</v>
      </c>
      <c r="G134" t="s">
        <v>112</v>
      </c>
      <c r="H134">
        <v>324.26</v>
      </c>
      <c r="I134">
        <v>45.17</v>
      </c>
      <c r="J134">
        <v>45.17</v>
      </c>
      <c r="K134">
        <v>6</v>
      </c>
      <c r="L134">
        <v>328.81</v>
      </c>
      <c r="M134">
        <v>81.27</v>
      </c>
      <c r="N134">
        <v>81.27</v>
      </c>
      <c r="O134">
        <v>17</v>
      </c>
      <c r="P134">
        <v>18</v>
      </c>
      <c r="Q134">
        <v>6.8</v>
      </c>
      <c r="R134">
        <v>38.4</v>
      </c>
      <c r="S134" t="s">
        <v>31</v>
      </c>
      <c r="T134" t="s">
        <v>31</v>
      </c>
      <c r="U134" t="s">
        <v>31</v>
      </c>
      <c r="V134" t="s">
        <v>31</v>
      </c>
      <c r="W134" t="s">
        <v>31</v>
      </c>
      <c r="X134" t="s">
        <v>113</v>
      </c>
      <c r="Y134" t="s">
        <v>91</v>
      </c>
      <c r="Z134">
        <v>41.212859999999999</v>
      </c>
      <c r="AA134">
        <v>-104.85183000000001</v>
      </c>
      <c r="AB134">
        <v>0.2402</v>
      </c>
    </row>
    <row r="135" spans="1:28" x14ac:dyDescent="0.2">
      <c r="A135">
        <v>33</v>
      </c>
      <c r="B135">
        <v>7</v>
      </c>
      <c r="C135" t="s">
        <v>111</v>
      </c>
      <c r="D135">
        <v>2017</v>
      </c>
      <c r="E135">
        <v>22.4</v>
      </c>
      <c r="F135">
        <v>6</v>
      </c>
      <c r="G135" t="s">
        <v>112</v>
      </c>
      <c r="H135">
        <v>383.05</v>
      </c>
      <c r="I135">
        <v>53.03</v>
      </c>
      <c r="J135">
        <v>53.03</v>
      </c>
      <c r="K135">
        <v>6</v>
      </c>
      <c r="L135">
        <v>338.55</v>
      </c>
      <c r="M135">
        <v>84.6</v>
      </c>
      <c r="N135">
        <v>84.6</v>
      </c>
      <c r="O135">
        <v>22</v>
      </c>
      <c r="P135">
        <v>23</v>
      </c>
      <c r="Q135">
        <v>6.8</v>
      </c>
      <c r="R135">
        <v>38.4</v>
      </c>
      <c r="S135" t="s">
        <v>31</v>
      </c>
      <c r="T135" t="s">
        <v>31</v>
      </c>
      <c r="U135" t="s">
        <v>31</v>
      </c>
      <c r="V135" t="s">
        <v>31</v>
      </c>
      <c r="W135" t="s">
        <v>31</v>
      </c>
      <c r="X135" t="s">
        <v>113</v>
      </c>
      <c r="Y135" t="s">
        <v>91</v>
      </c>
      <c r="Z135">
        <v>41.212859999999999</v>
      </c>
      <c r="AA135">
        <v>-104.85183000000001</v>
      </c>
      <c r="AB135">
        <v>0.2402</v>
      </c>
    </row>
    <row r="136" spans="1:28" x14ac:dyDescent="0.2">
      <c r="A136">
        <v>34</v>
      </c>
      <c r="B136">
        <v>1</v>
      </c>
      <c r="C136" t="s">
        <v>27</v>
      </c>
      <c r="D136">
        <v>2003</v>
      </c>
      <c r="E136">
        <v>44</v>
      </c>
      <c r="F136">
        <v>3</v>
      </c>
      <c r="G136" t="s">
        <v>49</v>
      </c>
      <c r="H136">
        <v>357.68</v>
      </c>
      <c r="I136">
        <v>57.43</v>
      </c>
      <c r="J136">
        <v>57.43</v>
      </c>
      <c r="K136">
        <v>3</v>
      </c>
      <c r="L136">
        <v>1.01</v>
      </c>
      <c r="M136">
        <v>1.01</v>
      </c>
      <c r="N136">
        <v>1.01</v>
      </c>
      <c r="O136">
        <v>1</v>
      </c>
      <c r="P136">
        <v>2</v>
      </c>
      <c r="Q136">
        <v>4.9000000000000004</v>
      </c>
      <c r="R136">
        <v>100.7</v>
      </c>
      <c r="S136" t="s">
        <v>29</v>
      </c>
      <c r="T136" t="s">
        <v>29</v>
      </c>
      <c r="U136" t="s">
        <v>31</v>
      </c>
      <c r="V136" t="s">
        <v>29</v>
      </c>
      <c r="W136" t="s">
        <v>31</v>
      </c>
      <c r="X136" t="s">
        <v>114</v>
      </c>
      <c r="Y136" t="s">
        <v>91</v>
      </c>
      <c r="Z136">
        <v>47.486849999999997</v>
      </c>
      <c r="AA136">
        <v>-115.90071</v>
      </c>
      <c r="AB136">
        <v>0.92559999999999998</v>
      </c>
    </row>
    <row r="137" spans="1:28" x14ac:dyDescent="0.2">
      <c r="A137">
        <v>34</v>
      </c>
      <c r="B137">
        <v>2</v>
      </c>
      <c r="C137" t="s">
        <v>27</v>
      </c>
      <c r="D137">
        <v>2003</v>
      </c>
      <c r="E137">
        <v>44</v>
      </c>
      <c r="F137">
        <v>3</v>
      </c>
      <c r="G137" t="s">
        <v>49</v>
      </c>
      <c r="H137">
        <v>274.06</v>
      </c>
      <c r="I137">
        <v>78.59</v>
      </c>
      <c r="J137">
        <v>78.59</v>
      </c>
      <c r="K137">
        <v>3</v>
      </c>
      <c r="L137">
        <v>1.01</v>
      </c>
      <c r="M137">
        <v>1.01</v>
      </c>
      <c r="N137">
        <v>1.01</v>
      </c>
      <c r="O137">
        <v>1</v>
      </c>
      <c r="P137">
        <v>2</v>
      </c>
      <c r="Q137">
        <v>4.9000000000000004</v>
      </c>
      <c r="R137">
        <v>100.7</v>
      </c>
      <c r="S137" t="s">
        <v>29</v>
      </c>
      <c r="T137" t="s">
        <v>29</v>
      </c>
      <c r="U137" t="s">
        <v>31</v>
      </c>
      <c r="V137" t="s">
        <v>29</v>
      </c>
      <c r="W137" t="s">
        <v>31</v>
      </c>
      <c r="X137" t="s">
        <v>114</v>
      </c>
      <c r="Y137" t="s">
        <v>91</v>
      </c>
      <c r="Z137">
        <v>47.486849999999997</v>
      </c>
      <c r="AA137">
        <v>-115.90071</v>
      </c>
      <c r="AB137">
        <v>0.92559999999999998</v>
      </c>
    </row>
    <row r="138" spans="1:28" x14ac:dyDescent="0.2">
      <c r="A138">
        <v>34</v>
      </c>
      <c r="B138">
        <v>3</v>
      </c>
      <c r="C138" t="s">
        <v>27</v>
      </c>
      <c r="D138">
        <v>2003</v>
      </c>
      <c r="E138">
        <v>44</v>
      </c>
      <c r="F138">
        <v>3</v>
      </c>
      <c r="G138" t="s">
        <v>49</v>
      </c>
      <c r="H138">
        <v>293.2</v>
      </c>
      <c r="I138">
        <v>109.82</v>
      </c>
      <c r="J138">
        <v>109.82</v>
      </c>
      <c r="K138">
        <v>3</v>
      </c>
      <c r="L138">
        <v>1.01</v>
      </c>
      <c r="M138">
        <v>1.01</v>
      </c>
      <c r="N138">
        <v>1.01</v>
      </c>
      <c r="O138">
        <v>1</v>
      </c>
      <c r="P138">
        <v>2</v>
      </c>
      <c r="Q138">
        <v>4.9000000000000004</v>
      </c>
      <c r="R138">
        <v>100.7</v>
      </c>
      <c r="S138" t="s">
        <v>29</v>
      </c>
      <c r="T138" t="s">
        <v>29</v>
      </c>
      <c r="U138" t="s">
        <v>31</v>
      </c>
      <c r="V138" t="s">
        <v>29</v>
      </c>
      <c r="W138" t="s">
        <v>31</v>
      </c>
      <c r="X138" t="s">
        <v>114</v>
      </c>
      <c r="Y138" t="s">
        <v>91</v>
      </c>
      <c r="Z138">
        <v>47.486849999999997</v>
      </c>
      <c r="AA138">
        <v>-115.90071</v>
      </c>
      <c r="AB138">
        <v>0.92559999999999998</v>
      </c>
    </row>
    <row r="139" spans="1:28" x14ac:dyDescent="0.2">
      <c r="A139">
        <v>34</v>
      </c>
      <c r="B139">
        <v>4</v>
      </c>
      <c r="C139" t="s">
        <v>27</v>
      </c>
      <c r="D139">
        <v>2003</v>
      </c>
      <c r="E139">
        <v>44</v>
      </c>
      <c r="F139">
        <v>3</v>
      </c>
      <c r="G139" t="s">
        <v>49</v>
      </c>
      <c r="H139">
        <v>231.74</v>
      </c>
      <c r="I139">
        <v>107.81</v>
      </c>
      <c r="J139">
        <v>107.81</v>
      </c>
      <c r="K139">
        <v>3</v>
      </c>
      <c r="L139">
        <v>1.01</v>
      </c>
      <c r="M139">
        <v>1.01</v>
      </c>
      <c r="N139">
        <v>1.01</v>
      </c>
      <c r="O139">
        <v>1</v>
      </c>
      <c r="P139">
        <v>2</v>
      </c>
      <c r="Q139">
        <v>4.9000000000000004</v>
      </c>
      <c r="R139">
        <v>100.7</v>
      </c>
      <c r="S139" t="s">
        <v>29</v>
      </c>
      <c r="T139" t="s">
        <v>29</v>
      </c>
      <c r="U139" t="s">
        <v>31</v>
      </c>
      <c r="V139" t="s">
        <v>29</v>
      </c>
      <c r="W139" t="s">
        <v>31</v>
      </c>
      <c r="X139" t="s">
        <v>114</v>
      </c>
      <c r="Y139" t="s">
        <v>91</v>
      </c>
      <c r="Z139">
        <v>47.486849999999997</v>
      </c>
      <c r="AA139">
        <v>-115.90071</v>
      </c>
      <c r="AB139">
        <v>0.92559999999999998</v>
      </c>
    </row>
    <row r="140" spans="1:28" x14ac:dyDescent="0.2">
      <c r="A140">
        <v>34</v>
      </c>
      <c r="B140">
        <v>5</v>
      </c>
      <c r="C140" t="s">
        <v>27</v>
      </c>
      <c r="D140">
        <v>2003</v>
      </c>
      <c r="E140">
        <v>66</v>
      </c>
      <c r="F140">
        <v>3</v>
      </c>
      <c r="G140" t="s">
        <v>49</v>
      </c>
      <c r="H140">
        <v>35.26</v>
      </c>
      <c r="I140">
        <v>4.03</v>
      </c>
      <c r="J140">
        <v>4.03</v>
      </c>
      <c r="K140">
        <v>3</v>
      </c>
      <c r="L140">
        <v>1.01</v>
      </c>
      <c r="M140">
        <v>1.01</v>
      </c>
      <c r="N140">
        <v>1.01</v>
      </c>
      <c r="O140">
        <v>1</v>
      </c>
      <c r="P140">
        <v>2</v>
      </c>
      <c r="Q140">
        <v>4.9000000000000004</v>
      </c>
      <c r="R140">
        <v>100.7</v>
      </c>
      <c r="S140" t="s">
        <v>29</v>
      </c>
      <c r="T140" t="s">
        <v>29</v>
      </c>
      <c r="U140" t="s">
        <v>31</v>
      </c>
      <c r="V140" t="s">
        <v>29</v>
      </c>
      <c r="W140" t="s">
        <v>31</v>
      </c>
      <c r="X140" t="s">
        <v>114</v>
      </c>
      <c r="Y140" t="s">
        <v>91</v>
      </c>
      <c r="Z140">
        <v>47.486849999999997</v>
      </c>
      <c r="AA140">
        <v>-115.90071</v>
      </c>
      <c r="AB140">
        <v>0.92559999999999998</v>
      </c>
    </row>
    <row r="141" spans="1:28" x14ac:dyDescent="0.2">
      <c r="A141">
        <v>34</v>
      </c>
      <c r="B141">
        <v>6</v>
      </c>
      <c r="C141" t="s">
        <v>27</v>
      </c>
      <c r="D141">
        <v>2003</v>
      </c>
      <c r="E141">
        <v>66</v>
      </c>
      <c r="F141">
        <v>3</v>
      </c>
      <c r="G141" t="s">
        <v>49</v>
      </c>
      <c r="H141">
        <v>243.83</v>
      </c>
      <c r="I141">
        <v>82.62</v>
      </c>
      <c r="J141">
        <v>82.62</v>
      </c>
      <c r="K141">
        <v>3</v>
      </c>
      <c r="L141">
        <v>1.01</v>
      </c>
      <c r="M141">
        <v>1.01</v>
      </c>
      <c r="N141">
        <v>1.01</v>
      </c>
      <c r="O141">
        <v>1</v>
      </c>
      <c r="P141">
        <v>2</v>
      </c>
      <c r="Q141">
        <v>4.9000000000000004</v>
      </c>
      <c r="R141">
        <v>100.7</v>
      </c>
      <c r="S141" t="s">
        <v>29</v>
      </c>
      <c r="T141" t="s">
        <v>29</v>
      </c>
      <c r="U141" t="s">
        <v>31</v>
      </c>
      <c r="V141" t="s">
        <v>29</v>
      </c>
      <c r="W141" t="s">
        <v>31</v>
      </c>
      <c r="X141" t="s">
        <v>114</v>
      </c>
      <c r="Y141" t="s">
        <v>91</v>
      </c>
      <c r="Z141">
        <v>47.486849999999997</v>
      </c>
      <c r="AA141">
        <v>-115.90071</v>
      </c>
      <c r="AB141">
        <v>0.92559999999999998</v>
      </c>
    </row>
    <row r="142" spans="1:28" x14ac:dyDescent="0.2">
      <c r="A142">
        <v>34</v>
      </c>
      <c r="B142">
        <v>7</v>
      </c>
      <c r="C142" t="s">
        <v>27</v>
      </c>
      <c r="D142">
        <v>2003</v>
      </c>
      <c r="E142">
        <v>66</v>
      </c>
      <c r="F142">
        <v>3</v>
      </c>
      <c r="G142" t="s">
        <v>49</v>
      </c>
      <c r="H142">
        <v>232.75</v>
      </c>
      <c r="I142">
        <v>70.53</v>
      </c>
      <c r="J142">
        <v>70.53</v>
      </c>
      <c r="K142">
        <v>3</v>
      </c>
      <c r="L142">
        <v>1.01</v>
      </c>
      <c r="M142">
        <v>1.01</v>
      </c>
      <c r="N142">
        <v>1.01</v>
      </c>
      <c r="O142">
        <v>1</v>
      </c>
      <c r="P142">
        <v>2</v>
      </c>
      <c r="Q142">
        <v>4.9000000000000004</v>
      </c>
      <c r="R142">
        <v>100.7</v>
      </c>
      <c r="S142" t="s">
        <v>29</v>
      </c>
      <c r="T142" t="s">
        <v>29</v>
      </c>
      <c r="U142" t="s">
        <v>31</v>
      </c>
      <c r="V142" t="s">
        <v>29</v>
      </c>
      <c r="W142" t="s">
        <v>31</v>
      </c>
      <c r="X142" t="s">
        <v>114</v>
      </c>
      <c r="Y142" t="s">
        <v>91</v>
      </c>
      <c r="Z142">
        <v>47.486849999999997</v>
      </c>
      <c r="AA142">
        <v>-115.90071</v>
      </c>
      <c r="AB142">
        <v>0.92559999999999998</v>
      </c>
    </row>
    <row r="143" spans="1:28" x14ac:dyDescent="0.2">
      <c r="A143">
        <v>34</v>
      </c>
      <c r="B143">
        <v>8</v>
      </c>
      <c r="C143" t="s">
        <v>27</v>
      </c>
      <c r="D143">
        <v>2003</v>
      </c>
      <c r="E143">
        <v>66</v>
      </c>
      <c r="F143">
        <v>3</v>
      </c>
      <c r="G143" t="s">
        <v>49</v>
      </c>
      <c r="H143">
        <v>281.11</v>
      </c>
      <c r="I143">
        <v>43.32</v>
      </c>
      <c r="J143">
        <v>43.32</v>
      </c>
      <c r="K143">
        <v>3</v>
      </c>
      <c r="L143">
        <v>1.01</v>
      </c>
      <c r="M143">
        <v>1.01</v>
      </c>
      <c r="N143">
        <v>1.01</v>
      </c>
      <c r="O143">
        <v>1</v>
      </c>
      <c r="P143">
        <v>2</v>
      </c>
      <c r="Q143">
        <v>4.9000000000000004</v>
      </c>
      <c r="R143">
        <v>100.7</v>
      </c>
      <c r="S143" t="s">
        <v>29</v>
      </c>
      <c r="T143" t="s">
        <v>29</v>
      </c>
      <c r="U143" t="s">
        <v>31</v>
      </c>
      <c r="V143" t="s">
        <v>29</v>
      </c>
      <c r="W143" t="s">
        <v>31</v>
      </c>
      <c r="X143" t="s">
        <v>114</v>
      </c>
      <c r="Y143" t="s">
        <v>91</v>
      </c>
      <c r="Z143">
        <v>47.486849999999997</v>
      </c>
      <c r="AA143">
        <v>-115.90071</v>
      </c>
      <c r="AB143">
        <v>0.92559999999999998</v>
      </c>
    </row>
    <row r="144" spans="1:28" x14ac:dyDescent="0.2">
      <c r="A144">
        <v>34</v>
      </c>
      <c r="B144">
        <v>9</v>
      </c>
      <c r="C144" t="s">
        <v>27</v>
      </c>
      <c r="D144">
        <v>2003</v>
      </c>
      <c r="E144">
        <v>99</v>
      </c>
      <c r="F144">
        <v>3</v>
      </c>
      <c r="G144" t="s">
        <v>49</v>
      </c>
      <c r="H144">
        <v>181.36</v>
      </c>
      <c r="I144">
        <v>109.82</v>
      </c>
      <c r="J144">
        <v>109.82</v>
      </c>
      <c r="K144">
        <v>3</v>
      </c>
      <c r="L144">
        <v>1.01</v>
      </c>
      <c r="M144">
        <v>1.01</v>
      </c>
      <c r="N144">
        <v>1.01</v>
      </c>
      <c r="O144">
        <v>1</v>
      </c>
      <c r="P144">
        <v>2</v>
      </c>
      <c r="Q144">
        <v>4.9000000000000004</v>
      </c>
      <c r="R144">
        <v>100.7</v>
      </c>
      <c r="S144" t="s">
        <v>29</v>
      </c>
      <c r="T144" t="s">
        <v>29</v>
      </c>
      <c r="U144" t="s">
        <v>31</v>
      </c>
      <c r="V144" t="s">
        <v>29</v>
      </c>
      <c r="W144" t="s">
        <v>31</v>
      </c>
      <c r="X144" t="s">
        <v>114</v>
      </c>
      <c r="Y144" t="s">
        <v>91</v>
      </c>
      <c r="Z144">
        <v>47.486849999999997</v>
      </c>
      <c r="AA144">
        <v>-115.90071</v>
      </c>
      <c r="AB144">
        <v>0.92559999999999998</v>
      </c>
    </row>
    <row r="145" spans="1:28" x14ac:dyDescent="0.2">
      <c r="A145">
        <v>34</v>
      </c>
      <c r="B145">
        <v>10</v>
      </c>
      <c r="C145" t="s">
        <v>27</v>
      </c>
      <c r="D145">
        <v>2003</v>
      </c>
      <c r="E145">
        <v>99</v>
      </c>
      <c r="F145">
        <v>3</v>
      </c>
      <c r="G145" t="s">
        <v>49</v>
      </c>
      <c r="H145">
        <v>58.44</v>
      </c>
      <c r="I145">
        <v>34.26</v>
      </c>
      <c r="J145">
        <v>34.26</v>
      </c>
      <c r="K145">
        <v>3</v>
      </c>
      <c r="L145">
        <v>1.01</v>
      </c>
      <c r="M145">
        <v>1.01</v>
      </c>
      <c r="N145">
        <v>1.01</v>
      </c>
      <c r="O145">
        <v>1</v>
      </c>
      <c r="P145">
        <v>2</v>
      </c>
      <c r="Q145">
        <v>4.9000000000000004</v>
      </c>
      <c r="R145">
        <v>100.7</v>
      </c>
      <c r="S145" t="s">
        <v>29</v>
      </c>
      <c r="T145" t="s">
        <v>29</v>
      </c>
      <c r="U145" t="s">
        <v>31</v>
      </c>
      <c r="V145" t="s">
        <v>29</v>
      </c>
      <c r="W145" t="s">
        <v>31</v>
      </c>
      <c r="X145" t="s">
        <v>114</v>
      </c>
      <c r="Y145" t="s">
        <v>91</v>
      </c>
      <c r="Z145">
        <v>47.486849999999997</v>
      </c>
      <c r="AA145">
        <v>-115.90071</v>
      </c>
      <c r="AB145">
        <v>0.92559999999999998</v>
      </c>
    </row>
    <row r="146" spans="1:28" x14ac:dyDescent="0.2">
      <c r="A146">
        <v>34</v>
      </c>
      <c r="B146">
        <v>11</v>
      </c>
      <c r="C146" t="s">
        <v>27</v>
      </c>
      <c r="D146">
        <v>2003</v>
      </c>
      <c r="E146">
        <v>155</v>
      </c>
      <c r="F146">
        <v>3</v>
      </c>
      <c r="G146" t="s">
        <v>49</v>
      </c>
      <c r="H146">
        <v>92.7</v>
      </c>
      <c r="I146">
        <v>21.16</v>
      </c>
      <c r="J146">
        <v>21.16</v>
      </c>
      <c r="K146">
        <v>3</v>
      </c>
      <c r="L146">
        <v>1.01</v>
      </c>
      <c r="M146">
        <v>1.01</v>
      </c>
      <c r="N146">
        <v>1.01</v>
      </c>
      <c r="O146">
        <v>1</v>
      </c>
      <c r="P146">
        <v>2</v>
      </c>
      <c r="Q146">
        <v>4.9000000000000004</v>
      </c>
      <c r="R146">
        <v>100.7</v>
      </c>
      <c r="S146" t="s">
        <v>29</v>
      </c>
      <c r="T146" t="s">
        <v>29</v>
      </c>
      <c r="U146" t="s">
        <v>31</v>
      </c>
      <c r="V146" t="s">
        <v>29</v>
      </c>
      <c r="W146" t="s">
        <v>31</v>
      </c>
      <c r="X146" t="s">
        <v>114</v>
      </c>
      <c r="Y146" t="s">
        <v>91</v>
      </c>
      <c r="Z146">
        <v>47.486849999999997</v>
      </c>
      <c r="AA146">
        <v>-115.90071</v>
      </c>
      <c r="AB146">
        <v>0.92559999999999998</v>
      </c>
    </row>
    <row r="147" spans="1:28" x14ac:dyDescent="0.2">
      <c r="A147">
        <v>34</v>
      </c>
      <c r="B147">
        <v>12</v>
      </c>
      <c r="C147" t="s">
        <v>27</v>
      </c>
      <c r="D147">
        <v>2003</v>
      </c>
      <c r="E147">
        <v>44</v>
      </c>
      <c r="F147">
        <v>3</v>
      </c>
      <c r="G147" t="s">
        <v>49</v>
      </c>
      <c r="H147">
        <v>581.36</v>
      </c>
      <c r="I147">
        <v>20.149999999999999</v>
      </c>
      <c r="J147">
        <v>20.149999999999999</v>
      </c>
      <c r="K147">
        <v>3</v>
      </c>
      <c r="L147">
        <v>6.05</v>
      </c>
      <c r="M147">
        <v>8.06</v>
      </c>
      <c r="N147">
        <v>8.06</v>
      </c>
      <c r="O147">
        <v>2</v>
      </c>
      <c r="P147">
        <v>3</v>
      </c>
      <c r="Q147">
        <v>4.9000000000000004</v>
      </c>
      <c r="R147">
        <v>100.7</v>
      </c>
      <c r="S147" t="s">
        <v>29</v>
      </c>
      <c r="T147" t="s">
        <v>29</v>
      </c>
      <c r="U147" t="s">
        <v>31</v>
      </c>
      <c r="V147" t="s">
        <v>29</v>
      </c>
      <c r="W147" t="s">
        <v>31</v>
      </c>
      <c r="X147" t="s">
        <v>114</v>
      </c>
      <c r="Y147" t="s">
        <v>91</v>
      </c>
      <c r="Z147">
        <v>47.486849999999997</v>
      </c>
      <c r="AA147">
        <v>-115.90071</v>
      </c>
      <c r="AB147">
        <v>0.92559999999999998</v>
      </c>
    </row>
    <row r="148" spans="1:28" x14ac:dyDescent="0.2">
      <c r="A148">
        <v>34</v>
      </c>
      <c r="B148">
        <v>13</v>
      </c>
      <c r="C148" t="s">
        <v>27</v>
      </c>
      <c r="D148">
        <v>2003</v>
      </c>
      <c r="E148">
        <v>44</v>
      </c>
      <c r="F148">
        <v>3</v>
      </c>
      <c r="G148" t="s">
        <v>49</v>
      </c>
      <c r="H148">
        <v>363.73</v>
      </c>
      <c r="I148">
        <v>14.11</v>
      </c>
      <c r="J148">
        <v>14.11</v>
      </c>
      <c r="K148">
        <v>3</v>
      </c>
      <c r="L148">
        <v>6.05</v>
      </c>
      <c r="M148">
        <v>8.06</v>
      </c>
      <c r="N148">
        <v>8.06</v>
      </c>
      <c r="O148">
        <v>2</v>
      </c>
      <c r="P148">
        <v>3</v>
      </c>
      <c r="Q148">
        <v>4.9000000000000004</v>
      </c>
      <c r="R148">
        <v>100.7</v>
      </c>
      <c r="S148" t="s">
        <v>29</v>
      </c>
      <c r="T148" t="s">
        <v>29</v>
      </c>
      <c r="U148" t="s">
        <v>31</v>
      </c>
      <c r="V148" t="s">
        <v>29</v>
      </c>
      <c r="W148" t="s">
        <v>31</v>
      </c>
      <c r="X148" t="s">
        <v>114</v>
      </c>
      <c r="Y148" t="s">
        <v>91</v>
      </c>
      <c r="Z148">
        <v>47.486849999999997</v>
      </c>
      <c r="AA148">
        <v>-115.90071</v>
      </c>
      <c r="AB148">
        <v>0.92559999999999998</v>
      </c>
    </row>
    <row r="149" spans="1:28" x14ac:dyDescent="0.2">
      <c r="A149">
        <v>34</v>
      </c>
      <c r="B149">
        <v>14</v>
      </c>
      <c r="C149" t="s">
        <v>27</v>
      </c>
      <c r="D149">
        <v>2003</v>
      </c>
      <c r="E149">
        <v>44</v>
      </c>
      <c r="F149">
        <v>3</v>
      </c>
      <c r="G149" t="s">
        <v>49</v>
      </c>
      <c r="H149">
        <v>474.56</v>
      </c>
      <c r="I149">
        <v>176.32</v>
      </c>
      <c r="J149">
        <v>176.32</v>
      </c>
      <c r="K149">
        <v>3</v>
      </c>
      <c r="L149">
        <v>6.05</v>
      </c>
      <c r="M149">
        <v>8.06</v>
      </c>
      <c r="N149">
        <v>8.06</v>
      </c>
      <c r="O149">
        <v>2</v>
      </c>
      <c r="P149">
        <v>3</v>
      </c>
      <c r="Q149">
        <v>4.9000000000000004</v>
      </c>
      <c r="R149">
        <v>100.7</v>
      </c>
      <c r="S149" t="s">
        <v>29</v>
      </c>
      <c r="T149" t="s">
        <v>29</v>
      </c>
      <c r="U149" t="s">
        <v>31</v>
      </c>
      <c r="V149" t="s">
        <v>29</v>
      </c>
      <c r="W149" t="s">
        <v>31</v>
      </c>
      <c r="X149" t="s">
        <v>114</v>
      </c>
      <c r="Y149" t="s">
        <v>91</v>
      </c>
      <c r="Z149">
        <v>47.486849999999997</v>
      </c>
      <c r="AA149">
        <v>-115.90071</v>
      </c>
      <c r="AB149">
        <v>0.92559999999999998</v>
      </c>
    </row>
    <row r="150" spans="1:28" x14ac:dyDescent="0.2">
      <c r="A150">
        <v>34</v>
      </c>
      <c r="B150">
        <v>15</v>
      </c>
      <c r="C150" t="s">
        <v>27</v>
      </c>
      <c r="D150">
        <v>2003</v>
      </c>
      <c r="E150">
        <v>44</v>
      </c>
      <c r="F150">
        <v>3</v>
      </c>
      <c r="G150" t="s">
        <v>49</v>
      </c>
      <c r="H150">
        <v>136.02000000000001</v>
      </c>
      <c r="I150">
        <v>28.21</v>
      </c>
      <c r="J150">
        <v>28.21</v>
      </c>
      <c r="K150">
        <v>3</v>
      </c>
      <c r="L150">
        <v>6.05</v>
      </c>
      <c r="M150">
        <v>8.06</v>
      </c>
      <c r="N150">
        <v>8.06</v>
      </c>
      <c r="O150">
        <v>2</v>
      </c>
      <c r="P150">
        <v>3</v>
      </c>
      <c r="Q150">
        <v>4.9000000000000004</v>
      </c>
      <c r="R150">
        <v>100.7</v>
      </c>
      <c r="S150" t="s">
        <v>29</v>
      </c>
      <c r="T150" t="s">
        <v>29</v>
      </c>
      <c r="U150" t="s">
        <v>31</v>
      </c>
      <c r="V150" t="s">
        <v>29</v>
      </c>
      <c r="W150" t="s">
        <v>31</v>
      </c>
      <c r="X150" t="s">
        <v>114</v>
      </c>
      <c r="Y150" t="s">
        <v>91</v>
      </c>
      <c r="Z150">
        <v>47.486849999999997</v>
      </c>
      <c r="AA150">
        <v>-115.90071</v>
      </c>
      <c r="AB150">
        <v>0.92559999999999998</v>
      </c>
    </row>
    <row r="151" spans="1:28" x14ac:dyDescent="0.2">
      <c r="A151">
        <v>34</v>
      </c>
      <c r="B151">
        <v>16</v>
      </c>
      <c r="C151" t="s">
        <v>27</v>
      </c>
      <c r="D151">
        <v>2003</v>
      </c>
      <c r="E151">
        <v>66</v>
      </c>
      <c r="F151">
        <v>3</v>
      </c>
      <c r="G151" t="s">
        <v>49</v>
      </c>
      <c r="H151">
        <v>517.88</v>
      </c>
      <c r="I151">
        <v>57.43</v>
      </c>
      <c r="J151">
        <v>57.43</v>
      </c>
      <c r="K151">
        <v>3</v>
      </c>
      <c r="L151">
        <v>6.05</v>
      </c>
      <c r="M151">
        <v>8.06</v>
      </c>
      <c r="N151">
        <v>8.06</v>
      </c>
      <c r="O151">
        <v>2</v>
      </c>
      <c r="P151">
        <v>3</v>
      </c>
      <c r="Q151">
        <v>4.9000000000000004</v>
      </c>
      <c r="R151">
        <v>100.7</v>
      </c>
      <c r="S151" t="s">
        <v>29</v>
      </c>
      <c r="T151" t="s">
        <v>29</v>
      </c>
      <c r="U151" t="s">
        <v>31</v>
      </c>
      <c r="V151" t="s">
        <v>29</v>
      </c>
      <c r="W151" t="s">
        <v>31</v>
      </c>
      <c r="X151" t="s">
        <v>114</v>
      </c>
      <c r="Y151" t="s">
        <v>91</v>
      </c>
      <c r="Z151">
        <v>47.486849999999997</v>
      </c>
      <c r="AA151">
        <v>-115.90071</v>
      </c>
      <c r="AB151">
        <v>0.92559999999999998</v>
      </c>
    </row>
    <row r="152" spans="1:28" x14ac:dyDescent="0.2">
      <c r="A152">
        <v>34</v>
      </c>
      <c r="B152">
        <v>17</v>
      </c>
      <c r="C152" t="s">
        <v>27</v>
      </c>
      <c r="D152">
        <v>2003</v>
      </c>
      <c r="E152">
        <v>66</v>
      </c>
      <c r="F152">
        <v>3</v>
      </c>
      <c r="G152" t="s">
        <v>49</v>
      </c>
      <c r="H152">
        <v>474.56</v>
      </c>
      <c r="I152">
        <v>92.7</v>
      </c>
      <c r="J152">
        <v>92.7</v>
      </c>
      <c r="K152">
        <v>3</v>
      </c>
      <c r="L152">
        <v>6.05</v>
      </c>
      <c r="M152">
        <v>8.06</v>
      </c>
      <c r="N152">
        <v>8.06</v>
      </c>
      <c r="O152">
        <v>2</v>
      </c>
      <c r="P152">
        <v>3</v>
      </c>
      <c r="Q152">
        <v>4.9000000000000004</v>
      </c>
      <c r="R152">
        <v>100.7</v>
      </c>
      <c r="S152" t="s">
        <v>29</v>
      </c>
      <c r="T152" t="s">
        <v>29</v>
      </c>
      <c r="U152" t="s">
        <v>31</v>
      </c>
      <c r="V152" t="s">
        <v>29</v>
      </c>
      <c r="W152" t="s">
        <v>31</v>
      </c>
      <c r="X152" t="s">
        <v>114</v>
      </c>
      <c r="Y152" t="s">
        <v>91</v>
      </c>
      <c r="Z152">
        <v>47.486849999999997</v>
      </c>
      <c r="AA152">
        <v>-115.90071</v>
      </c>
      <c r="AB152">
        <v>0.92559999999999998</v>
      </c>
    </row>
    <row r="153" spans="1:28" x14ac:dyDescent="0.2">
      <c r="A153">
        <v>34</v>
      </c>
      <c r="B153">
        <v>18</v>
      </c>
      <c r="C153" t="s">
        <v>27</v>
      </c>
      <c r="D153">
        <v>2003</v>
      </c>
      <c r="E153">
        <v>66</v>
      </c>
      <c r="F153">
        <v>3</v>
      </c>
      <c r="G153" t="s">
        <v>49</v>
      </c>
      <c r="H153">
        <v>609.57000000000005</v>
      </c>
      <c r="I153">
        <v>141.06</v>
      </c>
      <c r="J153">
        <v>141.06</v>
      </c>
      <c r="K153">
        <v>3</v>
      </c>
      <c r="L153">
        <v>6.05</v>
      </c>
      <c r="M153">
        <v>8.06</v>
      </c>
      <c r="N153">
        <v>8.06</v>
      </c>
      <c r="O153">
        <v>2</v>
      </c>
      <c r="P153">
        <v>3</v>
      </c>
      <c r="Q153">
        <v>4.9000000000000004</v>
      </c>
      <c r="R153">
        <v>100.7</v>
      </c>
      <c r="S153" t="s">
        <v>29</v>
      </c>
      <c r="T153" t="s">
        <v>29</v>
      </c>
      <c r="U153" t="s">
        <v>31</v>
      </c>
      <c r="V153" t="s">
        <v>29</v>
      </c>
      <c r="W153" t="s">
        <v>31</v>
      </c>
      <c r="X153" t="s">
        <v>114</v>
      </c>
      <c r="Y153" t="s">
        <v>91</v>
      </c>
      <c r="Z153">
        <v>47.486849999999997</v>
      </c>
      <c r="AA153">
        <v>-115.90071</v>
      </c>
      <c r="AB153">
        <v>0.92559999999999998</v>
      </c>
    </row>
    <row r="154" spans="1:28" x14ac:dyDescent="0.2">
      <c r="A154">
        <v>34</v>
      </c>
      <c r="B154">
        <v>19</v>
      </c>
      <c r="C154" t="s">
        <v>27</v>
      </c>
      <c r="D154">
        <v>2003</v>
      </c>
      <c r="E154">
        <v>99</v>
      </c>
      <c r="F154">
        <v>3</v>
      </c>
      <c r="G154" t="s">
        <v>49</v>
      </c>
      <c r="H154">
        <v>235.77</v>
      </c>
      <c r="I154">
        <v>28.21</v>
      </c>
      <c r="J154">
        <v>28.21</v>
      </c>
      <c r="K154">
        <v>3</v>
      </c>
      <c r="L154">
        <v>6.05</v>
      </c>
      <c r="M154">
        <v>8.06</v>
      </c>
      <c r="N154">
        <v>8.06</v>
      </c>
      <c r="O154">
        <v>2</v>
      </c>
      <c r="P154">
        <v>3</v>
      </c>
      <c r="Q154">
        <v>4.9000000000000004</v>
      </c>
      <c r="R154">
        <v>100.7</v>
      </c>
      <c r="S154" t="s">
        <v>29</v>
      </c>
      <c r="T154" t="s">
        <v>29</v>
      </c>
      <c r="U154" t="s">
        <v>31</v>
      </c>
      <c r="V154" t="s">
        <v>29</v>
      </c>
      <c r="W154" t="s">
        <v>31</v>
      </c>
      <c r="X154" t="s">
        <v>114</v>
      </c>
      <c r="Y154" t="s">
        <v>91</v>
      </c>
      <c r="Z154">
        <v>47.486849999999997</v>
      </c>
      <c r="AA154">
        <v>-115.90071</v>
      </c>
      <c r="AB154">
        <v>0.92559999999999998</v>
      </c>
    </row>
    <row r="155" spans="1:28" x14ac:dyDescent="0.2">
      <c r="A155">
        <v>34</v>
      </c>
      <c r="B155">
        <v>20</v>
      </c>
      <c r="C155" t="s">
        <v>27</v>
      </c>
      <c r="D155">
        <v>2003</v>
      </c>
      <c r="E155">
        <v>99</v>
      </c>
      <c r="F155">
        <v>3</v>
      </c>
      <c r="G155" t="s">
        <v>49</v>
      </c>
      <c r="H155">
        <v>293.2</v>
      </c>
      <c r="I155">
        <v>149.12</v>
      </c>
      <c r="J155">
        <v>149.12</v>
      </c>
      <c r="K155">
        <v>3</v>
      </c>
      <c r="L155">
        <v>6.05</v>
      </c>
      <c r="M155">
        <v>8.06</v>
      </c>
      <c r="N155">
        <v>8.06</v>
      </c>
      <c r="O155">
        <v>2</v>
      </c>
      <c r="P155">
        <v>3</v>
      </c>
      <c r="Q155">
        <v>4.9000000000000004</v>
      </c>
      <c r="R155">
        <v>100.7</v>
      </c>
      <c r="S155" t="s">
        <v>29</v>
      </c>
      <c r="T155" t="s">
        <v>29</v>
      </c>
      <c r="U155" t="s">
        <v>31</v>
      </c>
      <c r="V155" t="s">
        <v>29</v>
      </c>
      <c r="W155" t="s">
        <v>31</v>
      </c>
      <c r="X155" t="s">
        <v>114</v>
      </c>
      <c r="Y155" t="s">
        <v>91</v>
      </c>
      <c r="Z155">
        <v>47.486849999999997</v>
      </c>
      <c r="AA155">
        <v>-115.90071</v>
      </c>
      <c r="AB155">
        <v>0.92559999999999998</v>
      </c>
    </row>
    <row r="156" spans="1:28" x14ac:dyDescent="0.2">
      <c r="A156">
        <v>34</v>
      </c>
      <c r="B156">
        <v>21</v>
      </c>
      <c r="C156" t="s">
        <v>27</v>
      </c>
      <c r="D156">
        <v>2003</v>
      </c>
      <c r="E156">
        <v>99</v>
      </c>
      <c r="F156">
        <v>3</v>
      </c>
      <c r="G156" t="s">
        <v>49</v>
      </c>
      <c r="H156">
        <v>257.93</v>
      </c>
      <c r="I156">
        <v>126.95</v>
      </c>
      <c r="J156">
        <v>126.95</v>
      </c>
      <c r="K156">
        <v>3</v>
      </c>
      <c r="L156">
        <v>6.05</v>
      </c>
      <c r="M156">
        <v>8.06</v>
      </c>
      <c r="N156">
        <v>8.06</v>
      </c>
      <c r="O156">
        <v>2</v>
      </c>
      <c r="P156">
        <v>3</v>
      </c>
      <c r="Q156">
        <v>4.9000000000000004</v>
      </c>
      <c r="R156">
        <v>100.7</v>
      </c>
      <c r="S156" t="s">
        <v>29</v>
      </c>
      <c r="T156" t="s">
        <v>29</v>
      </c>
      <c r="U156" t="s">
        <v>31</v>
      </c>
      <c r="V156" t="s">
        <v>29</v>
      </c>
      <c r="W156" t="s">
        <v>31</v>
      </c>
      <c r="X156" t="s">
        <v>114</v>
      </c>
      <c r="Y156" t="s">
        <v>91</v>
      </c>
      <c r="Z156">
        <v>47.486849999999997</v>
      </c>
      <c r="AA156">
        <v>-115.90071</v>
      </c>
      <c r="AB156">
        <v>0.92559999999999998</v>
      </c>
    </row>
    <row r="157" spans="1:28" x14ac:dyDescent="0.2">
      <c r="A157">
        <v>34</v>
      </c>
      <c r="B157">
        <v>22</v>
      </c>
      <c r="C157" t="s">
        <v>27</v>
      </c>
      <c r="D157">
        <v>2003</v>
      </c>
      <c r="E157">
        <v>155</v>
      </c>
      <c r="F157">
        <v>3</v>
      </c>
      <c r="G157" t="s">
        <v>49</v>
      </c>
      <c r="H157">
        <v>124.94</v>
      </c>
      <c r="I157">
        <v>49.37</v>
      </c>
      <c r="J157">
        <v>49.37</v>
      </c>
      <c r="K157">
        <v>3</v>
      </c>
      <c r="L157">
        <v>6.05</v>
      </c>
      <c r="M157">
        <v>8.06</v>
      </c>
      <c r="N157">
        <v>8.06</v>
      </c>
      <c r="O157">
        <v>2</v>
      </c>
      <c r="P157">
        <v>3</v>
      </c>
      <c r="Q157">
        <v>4.9000000000000004</v>
      </c>
      <c r="R157">
        <v>100.7</v>
      </c>
      <c r="S157" t="s">
        <v>29</v>
      </c>
      <c r="T157" t="s">
        <v>29</v>
      </c>
      <c r="U157" t="s">
        <v>31</v>
      </c>
      <c r="V157" t="s">
        <v>29</v>
      </c>
      <c r="W157" t="s">
        <v>31</v>
      </c>
      <c r="X157" t="s">
        <v>114</v>
      </c>
      <c r="Y157" t="s">
        <v>91</v>
      </c>
      <c r="Z157">
        <v>47.486849999999997</v>
      </c>
      <c r="AA157">
        <v>-115.90071</v>
      </c>
      <c r="AB157">
        <v>0.92559999999999998</v>
      </c>
    </row>
    <row r="158" spans="1:28" x14ac:dyDescent="0.2">
      <c r="A158">
        <v>35</v>
      </c>
      <c r="B158">
        <v>1</v>
      </c>
      <c r="C158" t="s">
        <v>27</v>
      </c>
      <c r="D158">
        <v>2014</v>
      </c>
      <c r="E158">
        <v>112</v>
      </c>
      <c r="F158">
        <v>3</v>
      </c>
      <c r="G158" t="s">
        <v>28</v>
      </c>
      <c r="H158">
        <v>14.6</v>
      </c>
      <c r="I158">
        <v>4.2</v>
      </c>
      <c r="J158">
        <v>4.2</v>
      </c>
      <c r="K158">
        <v>3</v>
      </c>
      <c r="L158">
        <v>0</v>
      </c>
      <c r="M158">
        <v>0</v>
      </c>
      <c r="N158">
        <v>0</v>
      </c>
      <c r="O158">
        <v>12</v>
      </c>
      <c r="P158">
        <v>13</v>
      </c>
      <c r="Q158">
        <v>14</v>
      </c>
      <c r="R158">
        <v>108.7</v>
      </c>
      <c r="S158" t="s">
        <v>29</v>
      </c>
      <c r="T158" t="s">
        <v>29</v>
      </c>
      <c r="U158" t="s">
        <v>31</v>
      </c>
      <c r="V158" t="s">
        <v>29</v>
      </c>
      <c r="W158" t="s">
        <v>31</v>
      </c>
      <c r="X158" t="s">
        <v>32</v>
      </c>
      <c r="Y158" t="s">
        <v>91</v>
      </c>
      <c r="Z158">
        <v>37.084159999999997</v>
      </c>
      <c r="AA158">
        <v>-94.513050000000007</v>
      </c>
      <c r="AB158">
        <v>0.75939999999999996</v>
      </c>
    </row>
    <row r="159" spans="1:28" x14ac:dyDescent="0.2">
      <c r="A159">
        <v>35</v>
      </c>
      <c r="B159">
        <v>2</v>
      </c>
      <c r="C159" t="s">
        <v>27</v>
      </c>
      <c r="D159">
        <v>2014</v>
      </c>
      <c r="E159">
        <v>336</v>
      </c>
      <c r="F159">
        <v>3</v>
      </c>
      <c r="G159" t="s">
        <v>28</v>
      </c>
      <c r="H159">
        <v>47.1</v>
      </c>
      <c r="I159">
        <v>20.8</v>
      </c>
      <c r="J159">
        <v>20.8</v>
      </c>
      <c r="K159">
        <v>3</v>
      </c>
      <c r="L159">
        <v>0</v>
      </c>
      <c r="M159">
        <v>0</v>
      </c>
      <c r="N159">
        <v>0</v>
      </c>
      <c r="O159">
        <v>12</v>
      </c>
      <c r="P159">
        <v>13</v>
      </c>
      <c r="Q159">
        <v>14</v>
      </c>
      <c r="R159">
        <v>108.7</v>
      </c>
      <c r="S159" t="s">
        <v>29</v>
      </c>
      <c r="T159" t="s">
        <v>29</v>
      </c>
      <c r="U159" t="s">
        <v>31</v>
      </c>
      <c r="V159" t="s">
        <v>29</v>
      </c>
      <c r="W159" t="s">
        <v>31</v>
      </c>
      <c r="X159" t="s">
        <v>32</v>
      </c>
      <c r="Y159" t="s">
        <v>91</v>
      </c>
      <c r="Z159">
        <v>37.084159999999997</v>
      </c>
      <c r="AA159">
        <v>-94.513050000000007</v>
      </c>
      <c r="AB159">
        <v>0.75939999999999996</v>
      </c>
    </row>
    <row r="160" spans="1:28" x14ac:dyDescent="0.2">
      <c r="A160">
        <v>36</v>
      </c>
      <c r="B160">
        <v>1</v>
      </c>
      <c r="C160" t="s">
        <v>115</v>
      </c>
      <c r="D160">
        <v>1988</v>
      </c>
      <c r="E160">
        <v>8.9600000000000009</v>
      </c>
      <c r="F160">
        <v>3</v>
      </c>
      <c r="G160" t="s">
        <v>31</v>
      </c>
      <c r="H160">
        <v>1048</v>
      </c>
      <c r="J160" s="2">
        <f t="shared" ref="J160:J165" si="8">0.400619702*H160</f>
        <v>419.84944769600003</v>
      </c>
      <c r="K160">
        <v>2</v>
      </c>
      <c r="L160">
        <v>733</v>
      </c>
      <c r="N160" s="2">
        <f t="shared" ref="N160:N165" si="9">0.478752551*L160</f>
        <v>350.92561988300002</v>
      </c>
      <c r="O160">
        <v>1</v>
      </c>
      <c r="P160">
        <v>2</v>
      </c>
      <c r="Q160">
        <v>11.1</v>
      </c>
      <c r="R160">
        <v>104.8</v>
      </c>
      <c r="S160" t="s">
        <v>31</v>
      </c>
      <c r="T160" t="s">
        <v>29</v>
      </c>
      <c r="U160" t="s">
        <v>31</v>
      </c>
      <c r="V160" t="s">
        <v>29</v>
      </c>
      <c r="W160" t="s">
        <v>29</v>
      </c>
      <c r="X160" t="s">
        <v>116</v>
      </c>
      <c r="Y160" t="s">
        <v>91</v>
      </c>
      <c r="Z160">
        <v>39.5</v>
      </c>
      <c r="AA160">
        <v>-84.733329999999995</v>
      </c>
      <c r="AB160">
        <v>0.87609999999999999</v>
      </c>
    </row>
    <row r="161" spans="1:28" x14ac:dyDescent="0.2">
      <c r="A161">
        <v>36</v>
      </c>
      <c r="B161">
        <v>2</v>
      </c>
      <c r="C161" t="s">
        <v>115</v>
      </c>
      <c r="D161">
        <v>1988</v>
      </c>
      <c r="E161">
        <v>8.9600000000000009</v>
      </c>
      <c r="F161">
        <v>3</v>
      </c>
      <c r="G161" t="s">
        <v>31</v>
      </c>
      <c r="H161">
        <v>747</v>
      </c>
      <c r="J161" s="2">
        <f t="shared" si="8"/>
        <v>299.262917394</v>
      </c>
      <c r="K161">
        <v>2</v>
      </c>
      <c r="L161">
        <v>465</v>
      </c>
      <c r="N161" s="2">
        <f t="shared" si="9"/>
        <v>222.61993621500002</v>
      </c>
      <c r="O161">
        <v>1</v>
      </c>
      <c r="P161">
        <v>2</v>
      </c>
      <c r="Q161">
        <v>11.1</v>
      </c>
      <c r="R161">
        <v>104.8</v>
      </c>
      <c r="S161" t="s">
        <v>31</v>
      </c>
      <c r="T161" t="s">
        <v>29</v>
      </c>
      <c r="U161" t="s">
        <v>31</v>
      </c>
      <c r="V161" t="s">
        <v>29</v>
      </c>
      <c r="W161" t="s">
        <v>29</v>
      </c>
      <c r="X161" t="s">
        <v>116</v>
      </c>
      <c r="Y161" t="s">
        <v>91</v>
      </c>
      <c r="Z161">
        <v>39.5</v>
      </c>
      <c r="AA161">
        <v>-84.733329999999995</v>
      </c>
      <c r="AB161">
        <v>0.87609999999999999</v>
      </c>
    </row>
    <row r="162" spans="1:28" x14ac:dyDescent="0.2">
      <c r="A162">
        <v>36</v>
      </c>
      <c r="B162">
        <v>3</v>
      </c>
      <c r="C162" t="s">
        <v>115</v>
      </c>
      <c r="D162">
        <v>1988</v>
      </c>
      <c r="E162">
        <v>17.920000000000002</v>
      </c>
      <c r="F162">
        <v>3</v>
      </c>
      <c r="G162" t="s">
        <v>31</v>
      </c>
      <c r="H162">
        <v>1142</v>
      </c>
      <c r="J162" s="2">
        <f t="shared" si="8"/>
        <v>457.50769968400004</v>
      </c>
      <c r="K162">
        <v>2</v>
      </c>
      <c r="L162">
        <v>1275</v>
      </c>
      <c r="N162" s="2">
        <f t="shared" si="9"/>
        <v>610.40950252499999</v>
      </c>
      <c r="O162">
        <v>2</v>
      </c>
      <c r="P162">
        <v>3</v>
      </c>
      <c r="Q162">
        <v>11.1</v>
      </c>
      <c r="R162">
        <v>104.8</v>
      </c>
      <c r="S162" t="s">
        <v>31</v>
      </c>
      <c r="T162" t="s">
        <v>29</v>
      </c>
      <c r="U162" t="s">
        <v>31</v>
      </c>
      <c r="V162" t="s">
        <v>29</v>
      </c>
      <c r="W162" t="s">
        <v>29</v>
      </c>
      <c r="X162" t="s">
        <v>116</v>
      </c>
      <c r="Y162" t="s">
        <v>91</v>
      </c>
      <c r="Z162">
        <v>39.5</v>
      </c>
      <c r="AA162">
        <v>-84.733329999999995</v>
      </c>
      <c r="AB162">
        <v>0.87609999999999999</v>
      </c>
    </row>
    <row r="163" spans="1:28" x14ac:dyDescent="0.2">
      <c r="A163">
        <v>36</v>
      </c>
      <c r="B163">
        <v>4</v>
      </c>
      <c r="C163" t="s">
        <v>115</v>
      </c>
      <c r="D163">
        <v>1988</v>
      </c>
      <c r="E163">
        <v>17.920000000000002</v>
      </c>
      <c r="F163">
        <v>3</v>
      </c>
      <c r="G163" t="s">
        <v>31</v>
      </c>
      <c r="H163">
        <v>1109</v>
      </c>
      <c r="J163" s="2">
        <f t="shared" si="8"/>
        <v>444.28724951800001</v>
      </c>
      <c r="K163">
        <v>2</v>
      </c>
      <c r="L163">
        <v>434</v>
      </c>
      <c r="N163" s="2">
        <f t="shared" si="9"/>
        <v>207.778607134</v>
      </c>
      <c r="O163">
        <v>2</v>
      </c>
      <c r="P163">
        <v>3</v>
      </c>
      <c r="Q163">
        <v>11.1</v>
      </c>
      <c r="R163">
        <v>104.8</v>
      </c>
      <c r="S163" t="s">
        <v>31</v>
      </c>
      <c r="T163" t="s">
        <v>29</v>
      </c>
      <c r="U163" t="s">
        <v>31</v>
      </c>
      <c r="V163" t="s">
        <v>29</v>
      </c>
      <c r="W163" t="s">
        <v>29</v>
      </c>
      <c r="X163" t="s">
        <v>116</v>
      </c>
      <c r="Y163" t="s">
        <v>91</v>
      </c>
      <c r="Z163">
        <v>39.5</v>
      </c>
      <c r="AA163">
        <v>-84.733329999999995</v>
      </c>
      <c r="AB163">
        <v>0.87609999999999999</v>
      </c>
    </row>
    <row r="164" spans="1:28" x14ac:dyDescent="0.2">
      <c r="A164">
        <v>36</v>
      </c>
      <c r="B164">
        <v>5</v>
      </c>
      <c r="C164" t="s">
        <v>115</v>
      </c>
      <c r="D164">
        <v>1988</v>
      </c>
      <c r="E164">
        <v>26.94</v>
      </c>
      <c r="F164">
        <v>3</v>
      </c>
      <c r="G164" t="s">
        <v>31</v>
      </c>
      <c r="H164">
        <v>1171</v>
      </c>
      <c r="J164" s="2">
        <f t="shared" si="8"/>
        <v>469.12567104200002</v>
      </c>
      <c r="K164">
        <v>2</v>
      </c>
      <c r="L164">
        <v>1597</v>
      </c>
      <c r="N164" s="2">
        <f t="shared" si="9"/>
        <v>764.56782394700008</v>
      </c>
      <c r="O164">
        <v>3</v>
      </c>
      <c r="P164">
        <v>4</v>
      </c>
      <c r="Q164">
        <v>11.1</v>
      </c>
      <c r="R164">
        <v>104.8</v>
      </c>
      <c r="S164" t="s">
        <v>31</v>
      </c>
      <c r="T164" t="s">
        <v>29</v>
      </c>
      <c r="U164" t="s">
        <v>31</v>
      </c>
      <c r="V164" t="s">
        <v>29</v>
      </c>
      <c r="W164" t="s">
        <v>29</v>
      </c>
      <c r="X164" t="s">
        <v>116</v>
      </c>
      <c r="Y164" t="s">
        <v>91</v>
      </c>
      <c r="Z164">
        <v>39.5</v>
      </c>
      <c r="AA164">
        <v>-84.733329999999995</v>
      </c>
      <c r="AB164">
        <v>0.87609999999999999</v>
      </c>
    </row>
    <row r="165" spans="1:28" x14ac:dyDescent="0.2">
      <c r="A165">
        <v>36</v>
      </c>
      <c r="B165">
        <v>6</v>
      </c>
      <c r="C165" t="s">
        <v>115</v>
      </c>
      <c r="D165">
        <v>1988</v>
      </c>
      <c r="E165">
        <v>26.94</v>
      </c>
      <c r="F165">
        <v>3</v>
      </c>
      <c r="G165" t="s">
        <v>31</v>
      </c>
      <c r="H165">
        <v>1971</v>
      </c>
      <c r="J165" s="2">
        <f t="shared" si="8"/>
        <v>789.62143264200006</v>
      </c>
      <c r="K165">
        <v>2</v>
      </c>
      <c r="L165">
        <v>648</v>
      </c>
      <c r="N165" s="2">
        <f t="shared" si="9"/>
        <v>310.231653048</v>
      </c>
      <c r="O165">
        <v>3</v>
      </c>
      <c r="P165">
        <v>4</v>
      </c>
      <c r="Q165">
        <v>11.1</v>
      </c>
      <c r="R165">
        <v>104.8</v>
      </c>
      <c r="S165" t="s">
        <v>31</v>
      </c>
      <c r="T165" t="s">
        <v>29</v>
      </c>
      <c r="U165" t="s">
        <v>31</v>
      </c>
      <c r="V165" t="s">
        <v>29</v>
      </c>
      <c r="W165" t="s">
        <v>29</v>
      </c>
      <c r="X165" t="s">
        <v>116</v>
      </c>
      <c r="Y165" t="s">
        <v>91</v>
      </c>
      <c r="Z165">
        <v>39.5</v>
      </c>
      <c r="AA165">
        <v>-84.733329999999995</v>
      </c>
      <c r="AB165">
        <v>0.87609999999999999</v>
      </c>
    </row>
    <row r="166" spans="1:28" x14ac:dyDescent="0.2">
      <c r="A166">
        <v>37</v>
      </c>
      <c r="B166">
        <v>1</v>
      </c>
      <c r="C166" t="s">
        <v>97</v>
      </c>
      <c r="D166">
        <v>2012</v>
      </c>
      <c r="E166">
        <v>50</v>
      </c>
      <c r="F166">
        <v>8</v>
      </c>
      <c r="G166" t="s">
        <v>49</v>
      </c>
      <c r="H166">
        <v>31</v>
      </c>
      <c r="I166">
        <v>15.839191899999999</v>
      </c>
      <c r="J166" s="2">
        <v>15.839191899999999</v>
      </c>
      <c r="K166">
        <v>8</v>
      </c>
      <c r="L166">
        <v>0.2</v>
      </c>
      <c r="M166" s="2">
        <v>0.311126984</v>
      </c>
      <c r="N166" s="2">
        <v>0.311126984</v>
      </c>
      <c r="O166">
        <v>1</v>
      </c>
      <c r="P166">
        <v>2</v>
      </c>
      <c r="Q166">
        <v>2.2999999999999998</v>
      </c>
      <c r="R166">
        <v>44.8</v>
      </c>
      <c r="S166" t="s">
        <v>31</v>
      </c>
      <c r="T166" t="s">
        <v>29</v>
      </c>
      <c r="U166" t="s">
        <v>31</v>
      </c>
      <c r="V166" t="s">
        <v>29</v>
      </c>
      <c r="W166" t="s">
        <v>31</v>
      </c>
      <c r="X166" t="s">
        <v>52</v>
      </c>
      <c r="Y166" t="s">
        <v>94</v>
      </c>
      <c r="Z166">
        <v>50.473109999999998</v>
      </c>
      <c r="AA166">
        <v>-121.0218</v>
      </c>
      <c r="AB166">
        <v>0.46660000000000001</v>
      </c>
    </row>
    <row r="167" spans="1:28" x14ac:dyDescent="0.2">
      <c r="A167">
        <v>37</v>
      </c>
      <c r="B167">
        <v>2</v>
      </c>
      <c r="C167" t="s">
        <v>97</v>
      </c>
      <c r="D167">
        <v>2012</v>
      </c>
      <c r="E167">
        <v>100</v>
      </c>
      <c r="F167">
        <v>8</v>
      </c>
      <c r="G167" t="s">
        <v>49</v>
      </c>
      <c r="H167">
        <v>43.3</v>
      </c>
      <c r="I167">
        <v>19.516147159999999</v>
      </c>
      <c r="J167" s="2">
        <v>19.516147159999999</v>
      </c>
      <c r="K167">
        <v>8</v>
      </c>
      <c r="L167">
        <v>0.2</v>
      </c>
      <c r="M167" s="2">
        <v>0.311126984</v>
      </c>
      <c r="N167" s="2">
        <v>0.311126984</v>
      </c>
      <c r="O167">
        <v>1</v>
      </c>
      <c r="P167">
        <v>2</v>
      </c>
      <c r="Q167">
        <v>2.2999999999999998</v>
      </c>
      <c r="R167">
        <v>44.8</v>
      </c>
      <c r="S167" t="s">
        <v>31</v>
      </c>
      <c r="T167" t="s">
        <v>29</v>
      </c>
      <c r="U167" t="s">
        <v>31</v>
      </c>
      <c r="V167" t="s">
        <v>29</v>
      </c>
      <c r="W167" t="s">
        <v>31</v>
      </c>
      <c r="X167" t="s">
        <v>52</v>
      </c>
      <c r="Y167" t="s">
        <v>94</v>
      </c>
      <c r="Z167">
        <v>50.473109999999998</v>
      </c>
      <c r="AA167">
        <v>-121.0218</v>
      </c>
      <c r="AB167">
        <v>0.46660000000000001</v>
      </c>
    </row>
    <row r="168" spans="1:28" x14ac:dyDescent="0.2">
      <c r="A168">
        <v>37</v>
      </c>
      <c r="B168">
        <v>3</v>
      </c>
      <c r="C168" t="s">
        <v>97</v>
      </c>
      <c r="D168">
        <v>2012</v>
      </c>
      <c r="E168">
        <v>150</v>
      </c>
      <c r="F168">
        <v>8</v>
      </c>
      <c r="G168" t="s">
        <v>49</v>
      </c>
      <c r="H168">
        <v>47.5</v>
      </c>
      <c r="I168">
        <v>19.516147159999999</v>
      </c>
      <c r="J168" s="2">
        <v>19.516147159999999</v>
      </c>
      <c r="K168">
        <v>8</v>
      </c>
      <c r="L168">
        <v>0.2</v>
      </c>
      <c r="M168" s="2">
        <v>0.311126984</v>
      </c>
      <c r="N168" s="2">
        <v>0.311126984</v>
      </c>
      <c r="O168">
        <v>1</v>
      </c>
      <c r="P168">
        <v>2</v>
      </c>
      <c r="Q168">
        <v>2.2999999999999998</v>
      </c>
      <c r="R168">
        <v>44.8</v>
      </c>
      <c r="S168" t="s">
        <v>31</v>
      </c>
      <c r="T168" t="s">
        <v>29</v>
      </c>
      <c r="U168" t="s">
        <v>31</v>
      </c>
      <c r="V168" t="s">
        <v>29</v>
      </c>
      <c r="W168" t="s">
        <v>31</v>
      </c>
      <c r="X168" t="s">
        <v>52</v>
      </c>
      <c r="Y168" t="s">
        <v>94</v>
      </c>
      <c r="Z168">
        <v>50.473109999999998</v>
      </c>
      <c r="AA168">
        <v>-121.0218</v>
      </c>
      <c r="AB168">
        <v>0.46660000000000001</v>
      </c>
    </row>
    <row r="169" spans="1:28" x14ac:dyDescent="0.2">
      <c r="A169">
        <v>37</v>
      </c>
      <c r="B169">
        <v>4</v>
      </c>
      <c r="C169" t="s">
        <v>97</v>
      </c>
      <c r="D169">
        <v>2012</v>
      </c>
      <c r="E169">
        <v>200</v>
      </c>
      <c r="F169">
        <v>8</v>
      </c>
      <c r="G169" t="s">
        <v>49</v>
      </c>
      <c r="H169">
        <v>37.5</v>
      </c>
      <c r="I169">
        <v>9.3338095120000002</v>
      </c>
      <c r="J169" s="2">
        <v>9.3338095120000002</v>
      </c>
      <c r="K169">
        <v>8</v>
      </c>
      <c r="L169">
        <v>0.2</v>
      </c>
      <c r="M169" s="2">
        <v>0.311126984</v>
      </c>
      <c r="N169" s="2">
        <v>0.311126984</v>
      </c>
      <c r="O169">
        <v>1</v>
      </c>
      <c r="P169">
        <v>2</v>
      </c>
      <c r="Q169">
        <v>2.2999999999999998</v>
      </c>
      <c r="R169">
        <v>44.8</v>
      </c>
      <c r="S169" t="s">
        <v>31</v>
      </c>
      <c r="T169" t="s">
        <v>29</v>
      </c>
      <c r="U169" t="s">
        <v>31</v>
      </c>
      <c r="V169" t="s">
        <v>29</v>
      </c>
      <c r="W169" t="s">
        <v>31</v>
      </c>
      <c r="X169" t="s">
        <v>52</v>
      </c>
      <c r="Y169" t="s">
        <v>94</v>
      </c>
      <c r="Z169">
        <v>50.473109999999998</v>
      </c>
      <c r="AA169">
        <v>-121.0218</v>
      </c>
      <c r="AB169">
        <v>0.46660000000000001</v>
      </c>
    </row>
    <row r="170" spans="1:28" x14ac:dyDescent="0.2">
      <c r="A170">
        <v>37</v>
      </c>
      <c r="B170">
        <v>5</v>
      </c>
      <c r="C170" t="s">
        <v>97</v>
      </c>
      <c r="D170">
        <v>2012</v>
      </c>
      <c r="E170">
        <v>250</v>
      </c>
      <c r="F170">
        <v>8</v>
      </c>
      <c r="G170" t="s">
        <v>49</v>
      </c>
      <c r="H170">
        <v>43.5</v>
      </c>
      <c r="I170">
        <v>19.233304449999999</v>
      </c>
      <c r="J170" s="2">
        <v>19.233304449999999</v>
      </c>
      <c r="K170">
        <v>8</v>
      </c>
      <c r="L170">
        <v>0.2</v>
      </c>
      <c r="M170" s="2">
        <v>0.311126984</v>
      </c>
      <c r="N170" s="2">
        <v>0.311126984</v>
      </c>
      <c r="O170">
        <v>1</v>
      </c>
      <c r="P170">
        <v>2</v>
      </c>
      <c r="Q170">
        <v>2.2999999999999998</v>
      </c>
      <c r="R170">
        <v>44.8</v>
      </c>
      <c r="S170" t="s">
        <v>31</v>
      </c>
      <c r="T170" t="s">
        <v>29</v>
      </c>
      <c r="U170" t="s">
        <v>31</v>
      </c>
      <c r="V170" t="s">
        <v>29</v>
      </c>
      <c r="W170" t="s">
        <v>31</v>
      </c>
      <c r="X170" t="s">
        <v>52</v>
      </c>
      <c r="Y170" t="s">
        <v>94</v>
      </c>
      <c r="Z170">
        <v>50.473109999999998</v>
      </c>
      <c r="AA170">
        <v>-121.0218</v>
      </c>
      <c r="AB170">
        <v>0.46660000000000001</v>
      </c>
    </row>
    <row r="171" spans="1:28" x14ac:dyDescent="0.2">
      <c r="A171">
        <v>37</v>
      </c>
      <c r="B171">
        <v>6</v>
      </c>
      <c r="C171" t="s">
        <v>97</v>
      </c>
      <c r="D171">
        <v>2012</v>
      </c>
      <c r="E171">
        <v>50</v>
      </c>
      <c r="F171">
        <v>8</v>
      </c>
      <c r="G171" t="s">
        <v>49</v>
      </c>
      <c r="H171">
        <v>178</v>
      </c>
      <c r="I171">
        <v>85.418499170000004</v>
      </c>
      <c r="J171" s="2">
        <v>85.418499170000004</v>
      </c>
      <c r="K171">
        <v>8</v>
      </c>
      <c r="L171">
        <v>8.8000000000000007</v>
      </c>
      <c r="M171" s="2">
        <v>1.7536248169999999</v>
      </c>
      <c r="N171" s="2">
        <v>1.7536248169999999</v>
      </c>
      <c r="O171">
        <v>2</v>
      </c>
      <c r="P171">
        <v>3</v>
      </c>
      <c r="Q171">
        <v>2.2999999999999998</v>
      </c>
      <c r="R171">
        <v>44.8</v>
      </c>
      <c r="S171" t="s">
        <v>31</v>
      </c>
      <c r="T171" t="s">
        <v>29</v>
      </c>
      <c r="U171" t="s">
        <v>31</v>
      </c>
      <c r="V171" t="s">
        <v>29</v>
      </c>
      <c r="W171" t="s">
        <v>31</v>
      </c>
      <c r="X171" t="s">
        <v>52</v>
      </c>
      <c r="Y171" t="s">
        <v>94</v>
      </c>
      <c r="Z171">
        <v>50.473109999999998</v>
      </c>
      <c r="AA171">
        <v>-121.0218</v>
      </c>
      <c r="AB171">
        <v>0.46660000000000001</v>
      </c>
    </row>
    <row r="172" spans="1:28" x14ac:dyDescent="0.2">
      <c r="A172">
        <v>37</v>
      </c>
      <c r="B172">
        <v>7</v>
      </c>
      <c r="C172" t="s">
        <v>97</v>
      </c>
      <c r="D172">
        <v>2012</v>
      </c>
      <c r="E172">
        <v>100</v>
      </c>
      <c r="F172">
        <v>8</v>
      </c>
      <c r="G172" t="s">
        <v>49</v>
      </c>
      <c r="H172">
        <v>204.1</v>
      </c>
      <c r="I172">
        <v>73.539105239999998</v>
      </c>
      <c r="J172" s="2">
        <v>73.539105239999998</v>
      </c>
      <c r="K172">
        <v>8</v>
      </c>
      <c r="L172">
        <v>8.8000000000000007</v>
      </c>
      <c r="M172" s="2">
        <v>1.7536248169999999</v>
      </c>
      <c r="N172" s="2">
        <v>1.7536248169999999</v>
      </c>
      <c r="O172">
        <v>2</v>
      </c>
      <c r="P172">
        <v>3</v>
      </c>
      <c r="Q172">
        <v>2.2999999999999998</v>
      </c>
      <c r="R172">
        <v>44.8</v>
      </c>
      <c r="S172" t="s">
        <v>31</v>
      </c>
      <c r="T172" t="s">
        <v>29</v>
      </c>
      <c r="U172" t="s">
        <v>31</v>
      </c>
      <c r="V172" t="s">
        <v>29</v>
      </c>
      <c r="W172" t="s">
        <v>31</v>
      </c>
      <c r="X172" t="s">
        <v>52</v>
      </c>
      <c r="Y172" t="s">
        <v>94</v>
      </c>
      <c r="Z172">
        <v>50.473109999999998</v>
      </c>
      <c r="AA172">
        <v>-121.0218</v>
      </c>
      <c r="AB172">
        <v>0.46660000000000001</v>
      </c>
    </row>
    <row r="173" spans="1:28" x14ac:dyDescent="0.2">
      <c r="A173">
        <v>37</v>
      </c>
      <c r="B173">
        <v>8</v>
      </c>
      <c r="C173" t="s">
        <v>97</v>
      </c>
      <c r="D173">
        <v>2012</v>
      </c>
      <c r="E173">
        <v>150</v>
      </c>
      <c r="F173">
        <v>8</v>
      </c>
      <c r="G173" t="s">
        <v>49</v>
      </c>
      <c r="H173">
        <v>189.8</v>
      </c>
      <c r="I173">
        <v>132.37038939999999</v>
      </c>
      <c r="J173" s="2">
        <v>132.37038939999999</v>
      </c>
      <c r="K173">
        <v>8</v>
      </c>
      <c r="L173">
        <v>8.8000000000000007</v>
      </c>
      <c r="M173" s="2">
        <v>1.7536248169999999</v>
      </c>
      <c r="N173" s="2">
        <v>1.7536248169999999</v>
      </c>
      <c r="O173">
        <v>2</v>
      </c>
      <c r="P173">
        <v>3</v>
      </c>
      <c r="Q173">
        <v>2.2999999999999998</v>
      </c>
      <c r="R173">
        <v>44.8</v>
      </c>
      <c r="S173" t="s">
        <v>31</v>
      </c>
      <c r="T173" t="s">
        <v>29</v>
      </c>
      <c r="U173" t="s">
        <v>31</v>
      </c>
      <c r="V173" t="s">
        <v>29</v>
      </c>
      <c r="W173" t="s">
        <v>31</v>
      </c>
      <c r="X173" t="s">
        <v>52</v>
      </c>
      <c r="Y173" t="s">
        <v>94</v>
      </c>
      <c r="Z173">
        <v>50.473109999999998</v>
      </c>
      <c r="AA173">
        <v>-121.0218</v>
      </c>
      <c r="AB173">
        <v>0.46660000000000001</v>
      </c>
    </row>
    <row r="174" spans="1:28" x14ac:dyDescent="0.2">
      <c r="A174">
        <v>37</v>
      </c>
      <c r="B174">
        <v>9</v>
      </c>
      <c r="C174" t="s">
        <v>97</v>
      </c>
      <c r="D174">
        <v>2012</v>
      </c>
      <c r="E174">
        <v>200</v>
      </c>
      <c r="F174">
        <v>8</v>
      </c>
      <c r="G174" t="s">
        <v>49</v>
      </c>
      <c r="H174">
        <v>224.8</v>
      </c>
      <c r="I174">
        <v>149.4</v>
      </c>
      <c r="J174">
        <v>149.4</v>
      </c>
      <c r="K174">
        <v>8</v>
      </c>
      <c r="L174">
        <v>8.8000000000000007</v>
      </c>
      <c r="M174" s="2">
        <v>1.7536248169999999</v>
      </c>
      <c r="N174" s="2">
        <v>1.7536248169999999</v>
      </c>
      <c r="O174">
        <v>2</v>
      </c>
      <c r="P174">
        <v>3</v>
      </c>
      <c r="Q174">
        <v>2.2999999999999998</v>
      </c>
      <c r="R174">
        <v>44.8</v>
      </c>
      <c r="S174" t="s">
        <v>31</v>
      </c>
      <c r="T174" t="s">
        <v>29</v>
      </c>
      <c r="U174" t="s">
        <v>31</v>
      </c>
      <c r="V174" t="s">
        <v>29</v>
      </c>
      <c r="W174" t="s">
        <v>31</v>
      </c>
      <c r="X174" t="s">
        <v>52</v>
      </c>
      <c r="Y174" t="s">
        <v>94</v>
      </c>
      <c r="Z174">
        <v>50.473109999999998</v>
      </c>
      <c r="AA174">
        <v>-121.0218</v>
      </c>
      <c r="AB174">
        <v>0.46660000000000001</v>
      </c>
    </row>
    <row r="175" spans="1:28" x14ac:dyDescent="0.2">
      <c r="A175">
        <v>37</v>
      </c>
      <c r="B175">
        <v>10</v>
      </c>
      <c r="C175" t="s">
        <v>97</v>
      </c>
      <c r="D175">
        <v>2012</v>
      </c>
      <c r="E175">
        <v>250</v>
      </c>
      <c r="F175">
        <v>8</v>
      </c>
      <c r="G175" t="s">
        <v>49</v>
      </c>
      <c r="H175">
        <v>226.9</v>
      </c>
      <c r="I175">
        <v>129.54196229999999</v>
      </c>
      <c r="J175" s="2">
        <v>129.54196229999999</v>
      </c>
      <c r="K175">
        <v>8</v>
      </c>
      <c r="L175">
        <v>8.8000000000000007</v>
      </c>
      <c r="M175" s="2">
        <v>1.7536248169999999</v>
      </c>
      <c r="N175" s="2">
        <v>1.7536248169999999</v>
      </c>
      <c r="O175">
        <v>2</v>
      </c>
      <c r="P175">
        <v>3</v>
      </c>
      <c r="Q175">
        <v>2.2999999999999998</v>
      </c>
      <c r="R175">
        <v>44.8</v>
      </c>
      <c r="S175" t="s">
        <v>31</v>
      </c>
      <c r="T175" t="s">
        <v>29</v>
      </c>
      <c r="U175" t="s">
        <v>31</v>
      </c>
      <c r="V175" t="s">
        <v>29</v>
      </c>
      <c r="W175" t="s">
        <v>31</v>
      </c>
      <c r="X175" t="s">
        <v>52</v>
      </c>
      <c r="Y175" t="s">
        <v>94</v>
      </c>
      <c r="Z175">
        <v>50.473109999999998</v>
      </c>
      <c r="AA175">
        <v>-121.0218</v>
      </c>
      <c r="AB175">
        <v>0.46660000000000001</v>
      </c>
    </row>
    <row r="176" spans="1:28" x14ac:dyDescent="0.2">
      <c r="A176">
        <v>37</v>
      </c>
      <c r="B176">
        <v>11</v>
      </c>
      <c r="C176" t="s">
        <v>97</v>
      </c>
      <c r="D176">
        <v>2012</v>
      </c>
      <c r="E176">
        <v>50</v>
      </c>
      <c r="F176">
        <v>8</v>
      </c>
      <c r="G176" t="s">
        <v>49</v>
      </c>
      <c r="H176">
        <v>2.6</v>
      </c>
      <c r="I176">
        <v>1.81019336</v>
      </c>
      <c r="J176" s="2">
        <v>1.81019336</v>
      </c>
      <c r="K176">
        <v>8</v>
      </c>
      <c r="L176">
        <v>0</v>
      </c>
      <c r="M176">
        <v>0</v>
      </c>
      <c r="N176">
        <v>0</v>
      </c>
      <c r="O176">
        <v>1</v>
      </c>
      <c r="P176">
        <v>2</v>
      </c>
      <c r="Q176">
        <v>2.2999999999999998</v>
      </c>
      <c r="R176">
        <v>44.8</v>
      </c>
      <c r="S176" t="s">
        <v>31</v>
      </c>
      <c r="T176" t="s">
        <v>29</v>
      </c>
      <c r="U176" t="s">
        <v>31</v>
      </c>
      <c r="V176" t="s">
        <v>29</v>
      </c>
      <c r="W176" t="s">
        <v>31</v>
      </c>
      <c r="X176" t="s">
        <v>52</v>
      </c>
      <c r="Y176" t="s">
        <v>94</v>
      </c>
      <c r="Z176">
        <v>50.473109999999998</v>
      </c>
      <c r="AA176">
        <v>-121.0218</v>
      </c>
      <c r="AB176">
        <v>0.46660000000000001</v>
      </c>
    </row>
    <row r="177" spans="1:28" x14ac:dyDescent="0.2">
      <c r="A177">
        <v>37</v>
      </c>
      <c r="B177">
        <v>12</v>
      </c>
      <c r="C177" t="s">
        <v>97</v>
      </c>
      <c r="D177">
        <v>2012</v>
      </c>
      <c r="E177">
        <v>100</v>
      </c>
      <c r="F177">
        <v>8</v>
      </c>
      <c r="G177" t="s">
        <v>49</v>
      </c>
      <c r="H177">
        <v>2.9</v>
      </c>
      <c r="I177">
        <v>2.4041630559999998</v>
      </c>
      <c r="J177" s="2">
        <v>2.4041630559999998</v>
      </c>
      <c r="K177">
        <v>8</v>
      </c>
      <c r="L177">
        <v>0</v>
      </c>
      <c r="M177">
        <v>0</v>
      </c>
      <c r="N177">
        <v>0</v>
      </c>
      <c r="O177">
        <v>1</v>
      </c>
      <c r="P177">
        <v>2</v>
      </c>
      <c r="Q177">
        <v>2.2999999999999998</v>
      </c>
      <c r="R177">
        <v>44.8</v>
      </c>
      <c r="S177" t="s">
        <v>31</v>
      </c>
      <c r="T177" t="s">
        <v>29</v>
      </c>
      <c r="U177" t="s">
        <v>31</v>
      </c>
      <c r="V177" t="s">
        <v>29</v>
      </c>
      <c r="W177" t="s">
        <v>31</v>
      </c>
      <c r="X177" t="s">
        <v>52</v>
      </c>
      <c r="Y177" t="s">
        <v>94</v>
      </c>
      <c r="Z177">
        <v>50.473109999999998</v>
      </c>
      <c r="AA177">
        <v>-121.0218</v>
      </c>
      <c r="AB177">
        <v>0.46660000000000001</v>
      </c>
    </row>
    <row r="178" spans="1:28" x14ac:dyDescent="0.2">
      <c r="A178">
        <v>37</v>
      </c>
      <c r="B178">
        <v>13</v>
      </c>
      <c r="C178" t="s">
        <v>97</v>
      </c>
      <c r="D178">
        <v>2012</v>
      </c>
      <c r="E178">
        <v>150</v>
      </c>
      <c r="F178">
        <v>8</v>
      </c>
      <c r="G178" t="s">
        <v>49</v>
      </c>
      <c r="H178">
        <v>6.5</v>
      </c>
      <c r="I178">
        <v>2.8001428530000001</v>
      </c>
      <c r="J178" s="2">
        <v>2.8001428530000001</v>
      </c>
      <c r="K178">
        <v>8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2.2999999999999998</v>
      </c>
      <c r="R178">
        <v>44.8</v>
      </c>
      <c r="S178" t="s">
        <v>31</v>
      </c>
      <c r="T178" t="s">
        <v>29</v>
      </c>
      <c r="U178" t="s">
        <v>31</v>
      </c>
      <c r="V178" t="s">
        <v>29</v>
      </c>
      <c r="W178" t="s">
        <v>31</v>
      </c>
      <c r="X178" t="s">
        <v>52</v>
      </c>
      <c r="Y178" t="s">
        <v>94</v>
      </c>
      <c r="Z178">
        <v>50.473109999999998</v>
      </c>
      <c r="AA178">
        <v>-121.0218</v>
      </c>
      <c r="AB178">
        <v>0.46660000000000001</v>
      </c>
    </row>
    <row r="179" spans="1:28" x14ac:dyDescent="0.2">
      <c r="A179">
        <v>37</v>
      </c>
      <c r="B179">
        <v>14</v>
      </c>
      <c r="C179" t="s">
        <v>97</v>
      </c>
      <c r="D179">
        <v>2012</v>
      </c>
      <c r="E179">
        <v>200</v>
      </c>
      <c r="F179">
        <v>8</v>
      </c>
      <c r="G179" t="s">
        <v>49</v>
      </c>
      <c r="H179">
        <v>7.1</v>
      </c>
      <c r="I179">
        <v>0.42426406900000002</v>
      </c>
      <c r="J179" s="2">
        <v>0.42426406900000002</v>
      </c>
      <c r="K179">
        <v>8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2.2999999999999998</v>
      </c>
      <c r="R179">
        <v>44.8</v>
      </c>
      <c r="S179" t="s">
        <v>31</v>
      </c>
      <c r="T179" t="s">
        <v>29</v>
      </c>
      <c r="U179" t="s">
        <v>31</v>
      </c>
      <c r="V179" t="s">
        <v>29</v>
      </c>
      <c r="W179" t="s">
        <v>31</v>
      </c>
      <c r="X179" t="s">
        <v>52</v>
      </c>
      <c r="Y179" t="s">
        <v>94</v>
      </c>
      <c r="Z179">
        <v>50.473109999999998</v>
      </c>
      <c r="AA179">
        <v>-121.0218</v>
      </c>
      <c r="AB179">
        <v>0.46660000000000001</v>
      </c>
    </row>
    <row r="180" spans="1:28" x14ac:dyDescent="0.2">
      <c r="A180">
        <v>37</v>
      </c>
      <c r="B180">
        <v>15</v>
      </c>
      <c r="C180" t="s">
        <v>97</v>
      </c>
      <c r="D180">
        <v>2012</v>
      </c>
      <c r="E180">
        <v>250</v>
      </c>
      <c r="F180">
        <v>8</v>
      </c>
      <c r="G180" t="s">
        <v>49</v>
      </c>
      <c r="H180">
        <v>9.1</v>
      </c>
      <c r="I180">
        <v>0.50911688200000005</v>
      </c>
      <c r="J180" s="2">
        <v>0.50911688200000005</v>
      </c>
      <c r="K180">
        <v>8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2.2999999999999998</v>
      </c>
      <c r="R180">
        <v>44.8</v>
      </c>
      <c r="S180" t="s">
        <v>31</v>
      </c>
      <c r="T180" t="s">
        <v>29</v>
      </c>
      <c r="U180" t="s">
        <v>31</v>
      </c>
      <c r="V180" t="s">
        <v>29</v>
      </c>
      <c r="W180" t="s">
        <v>31</v>
      </c>
      <c r="X180" t="s">
        <v>52</v>
      </c>
      <c r="Y180" t="s">
        <v>94</v>
      </c>
      <c r="Z180">
        <v>50.473109999999998</v>
      </c>
      <c r="AA180">
        <v>-121.0218</v>
      </c>
      <c r="AB180">
        <v>0.46660000000000001</v>
      </c>
    </row>
    <row r="181" spans="1:28" x14ac:dyDescent="0.2">
      <c r="A181">
        <v>37</v>
      </c>
      <c r="B181">
        <v>16</v>
      </c>
      <c r="C181" t="s">
        <v>97</v>
      </c>
      <c r="D181">
        <v>2012</v>
      </c>
      <c r="E181">
        <v>50</v>
      </c>
      <c r="F181">
        <v>8</v>
      </c>
      <c r="G181" t="s">
        <v>49</v>
      </c>
      <c r="H181">
        <v>10.8</v>
      </c>
      <c r="I181">
        <v>10.74802307</v>
      </c>
      <c r="J181" s="2">
        <v>10.74802307</v>
      </c>
      <c r="K181">
        <v>8</v>
      </c>
      <c r="L181">
        <v>0</v>
      </c>
      <c r="M181">
        <v>0</v>
      </c>
      <c r="N181">
        <v>0</v>
      </c>
      <c r="O181">
        <v>2</v>
      </c>
      <c r="P181">
        <v>3</v>
      </c>
      <c r="Q181">
        <v>2.2999999999999998</v>
      </c>
      <c r="R181">
        <v>44.8</v>
      </c>
      <c r="S181" t="s">
        <v>31</v>
      </c>
      <c r="T181" t="s">
        <v>29</v>
      </c>
      <c r="U181" t="s">
        <v>31</v>
      </c>
      <c r="V181" t="s">
        <v>29</v>
      </c>
      <c r="W181" t="s">
        <v>31</v>
      </c>
      <c r="X181" t="s">
        <v>52</v>
      </c>
      <c r="Y181" t="s">
        <v>94</v>
      </c>
      <c r="Z181">
        <v>50.473109999999998</v>
      </c>
      <c r="AA181">
        <v>-121.0218</v>
      </c>
      <c r="AB181">
        <v>0.46660000000000001</v>
      </c>
    </row>
    <row r="182" spans="1:28" x14ac:dyDescent="0.2">
      <c r="A182">
        <v>37</v>
      </c>
      <c r="B182">
        <v>17</v>
      </c>
      <c r="C182" t="s">
        <v>97</v>
      </c>
      <c r="D182">
        <v>2012</v>
      </c>
      <c r="E182">
        <v>100</v>
      </c>
      <c r="F182">
        <v>8</v>
      </c>
      <c r="G182" t="s">
        <v>49</v>
      </c>
      <c r="H182">
        <v>19.2</v>
      </c>
      <c r="I182">
        <v>10.46518036</v>
      </c>
      <c r="J182" s="2">
        <v>10.46518036</v>
      </c>
      <c r="K182">
        <v>8</v>
      </c>
      <c r="L182">
        <v>0</v>
      </c>
      <c r="M182">
        <v>0</v>
      </c>
      <c r="N182">
        <v>0</v>
      </c>
      <c r="O182">
        <v>2</v>
      </c>
      <c r="P182">
        <v>3</v>
      </c>
      <c r="Q182">
        <v>2.2999999999999998</v>
      </c>
      <c r="R182">
        <v>44.8</v>
      </c>
      <c r="S182" t="s">
        <v>31</v>
      </c>
      <c r="T182" t="s">
        <v>29</v>
      </c>
      <c r="U182" t="s">
        <v>31</v>
      </c>
      <c r="V182" t="s">
        <v>29</v>
      </c>
      <c r="W182" t="s">
        <v>31</v>
      </c>
      <c r="X182" t="s">
        <v>52</v>
      </c>
      <c r="Y182" t="s">
        <v>94</v>
      </c>
      <c r="Z182">
        <v>50.473109999999998</v>
      </c>
      <c r="AA182">
        <v>-121.0218</v>
      </c>
      <c r="AB182">
        <v>0.46660000000000001</v>
      </c>
    </row>
    <row r="183" spans="1:28" x14ac:dyDescent="0.2">
      <c r="A183">
        <v>37</v>
      </c>
      <c r="B183">
        <v>18</v>
      </c>
      <c r="C183" t="s">
        <v>97</v>
      </c>
      <c r="D183">
        <v>2012</v>
      </c>
      <c r="E183">
        <v>150</v>
      </c>
      <c r="F183">
        <v>8</v>
      </c>
      <c r="G183" t="s">
        <v>49</v>
      </c>
      <c r="H183">
        <v>34</v>
      </c>
      <c r="I183">
        <v>16.970562749999999</v>
      </c>
      <c r="J183" s="2">
        <v>16.970562749999999</v>
      </c>
      <c r="K183">
        <v>8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2.2999999999999998</v>
      </c>
      <c r="R183">
        <v>44.8</v>
      </c>
      <c r="S183" t="s">
        <v>31</v>
      </c>
      <c r="T183" t="s">
        <v>29</v>
      </c>
      <c r="U183" t="s">
        <v>31</v>
      </c>
      <c r="V183" t="s">
        <v>29</v>
      </c>
      <c r="W183" t="s">
        <v>31</v>
      </c>
      <c r="X183" t="s">
        <v>52</v>
      </c>
      <c r="Y183" t="s">
        <v>94</v>
      </c>
      <c r="Z183">
        <v>50.473109999999998</v>
      </c>
      <c r="AA183">
        <v>-121.0218</v>
      </c>
      <c r="AB183">
        <v>0.46660000000000001</v>
      </c>
    </row>
    <row r="184" spans="1:28" x14ac:dyDescent="0.2">
      <c r="A184">
        <v>37</v>
      </c>
      <c r="B184">
        <v>19</v>
      </c>
      <c r="C184" t="s">
        <v>97</v>
      </c>
      <c r="D184">
        <v>2012</v>
      </c>
      <c r="E184">
        <v>200</v>
      </c>
      <c r="F184">
        <v>8</v>
      </c>
      <c r="G184" t="s">
        <v>49</v>
      </c>
      <c r="H184">
        <v>31</v>
      </c>
      <c r="I184">
        <v>16.687720039999999</v>
      </c>
      <c r="J184" s="2">
        <v>16.687720039999999</v>
      </c>
      <c r="K184">
        <v>8</v>
      </c>
      <c r="L184">
        <v>0</v>
      </c>
      <c r="M184">
        <v>0</v>
      </c>
      <c r="N184">
        <v>0</v>
      </c>
      <c r="O184">
        <v>2</v>
      </c>
      <c r="P184">
        <v>3</v>
      </c>
      <c r="Q184">
        <v>2.2999999999999998</v>
      </c>
      <c r="R184">
        <v>44.8</v>
      </c>
      <c r="S184" t="s">
        <v>31</v>
      </c>
      <c r="T184" t="s">
        <v>29</v>
      </c>
      <c r="U184" t="s">
        <v>31</v>
      </c>
      <c r="V184" t="s">
        <v>29</v>
      </c>
      <c r="W184" t="s">
        <v>31</v>
      </c>
      <c r="X184" t="s">
        <v>52</v>
      </c>
      <c r="Y184" t="s">
        <v>94</v>
      </c>
      <c r="Z184">
        <v>50.473109999999998</v>
      </c>
      <c r="AA184">
        <v>-121.0218</v>
      </c>
      <c r="AB184">
        <v>0.46660000000000001</v>
      </c>
    </row>
    <row r="185" spans="1:28" x14ac:dyDescent="0.2">
      <c r="A185">
        <v>37</v>
      </c>
      <c r="B185">
        <v>20</v>
      </c>
      <c r="C185" t="s">
        <v>97</v>
      </c>
      <c r="D185">
        <v>2012</v>
      </c>
      <c r="E185">
        <v>200</v>
      </c>
      <c r="F185">
        <v>8</v>
      </c>
      <c r="G185" t="s">
        <v>49</v>
      </c>
      <c r="H185">
        <v>45.3</v>
      </c>
      <c r="I185">
        <v>12.44507935</v>
      </c>
      <c r="J185" s="2">
        <v>12.44507935</v>
      </c>
      <c r="K185">
        <v>8</v>
      </c>
      <c r="L185">
        <v>0</v>
      </c>
      <c r="M185">
        <v>0</v>
      </c>
      <c r="N185">
        <v>0</v>
      </c>
      <c r="O185">
        <v>2</v>
      </c>
      <c r="P185">
        <v>3</v>
      </c>
      <c r="Q185">
        <v>2.2999999999999998</v>
      </c>
      <c r="R185">
        <v>44.8</v>
      </c>
      <c r="S185" t="s">
        <v>31</v>
      </c>
      <c r="T185" t="s">
        <v>29</v>
      </c>
      <c r="U185" t="s">
        <v>31</v>
      </c>
      <c r="V185" t="s">
        <v>29</v>
      </c>
      <c r="W185" t="s">
        <v>31</v>
      </c>
      <c r="X185" t="s">
        <v>52</v>
      </c>
      <c r="Y185" t="s">
        <v>94</v>
      </c>
      <c r="Z185">
        <v>50.473109999999998</v>
      </c>
      <c r="AA185">
        <v>-121.0218</v>
      </c>
      <c r="AB185">
        <v>0.46660000000000001</v>
      </c>
    </row>
    <row r="186" spans="1:28" x14ac:dyDescent="0.2">
      <c r="A186">
        <v>38</v>
      </c>
      <c r="B186">
        <v>1</v>
      </c>
      <c r="C186" t="s">
        <v>117</v>
      </c>
      <c r="D186">
        <v>2016</v>
      </c>
      <c r="E186">
        <v>50</v>
      </c>
      <c r="F186">
        <v>4</v>
      </c>
      <c r="G186" t="s">
        <v>118</v>
      </c>
      <c r="H186">
        <v>269.10000000000002</v>
      </c>
      <c r="I186">
        <v>77.94</v>
      </c>
      <c r="J186">
        <v>77.94</v>
      </c>
      <c r="K186">
        <v>4</v>
      </c>
      <c r="L186">
        <v>116.87</v>
      </c>
      <c r="M186">
        <v>47.98</v>
      </c>
      <c r="N186">
        <v>47.98</v>
      </c>
      <c r="O186">
        <v>2</v>
      </c>
      <c r="P186">
        <v>3</v>
      </c>
      <c r="Q186">
        <v>10.7</v>
      </c>
      <c r="R186">
        <v>95.3</v>
      </c>
      <c r="S186" t="s">
        <v>31</v>
      </c>
      <c r="T186" t="s">
        <v>31</v>
      </c>
      <c r="U186" t="s">
        <v>31</v>
      </c>
      <c r="V186" t="s">
        <v>31</v>
      </c>
      <c r="W186" t="s">
        <v>31</v>
      </c>
      <c r="X186" t="s">
        <v>119</v>
      </c>
      <c r="Y186" t="s">
        <v>93</v>
      </c>
      <c r="Z186">
        <v>42.716670000000001</v>
      </c>
      <c r="AA186">
        <v>-1.2166699999999999</v>
      </c>
      <c r="AB186">
        <v>0.65369999999999995</v>
      </c>
    </row>
    <row r="187" spans="1:28" x14ac:dyDescent="0.2">
      <c r="A187">
        <v>38</v>
      </c>
      <c r="B187">
        <v>2</v>
      </c>
      <c r="C187" t="s">
        <v>117</v>
      </c>
      <c r="D187">
        <v>2016</v>
      </c>
      <c r="E187">
        <v>50</v>
      </c>
      <c r="F187">
        <v>4</v>
      </c>
      <c r="G187" t="s">
        <v>118</v>
      </c>
      <c r="H187">
        <v>406.48</v>
      </c>
      <c r="I187">
        <v>171.31</v>
      </c>
      <c r="J187">
        <v>171.31</v>
      </c>
      <c r="K187">
        <v>4</v>
      </c>
      <c r="L187">
        <v>167.61</v>
      </c>
      <c r="M187">
        <v>70.38</v>
      </c>
      <c r="N187">
        <v>70.38</v>
      </c>
      <c r="O187">
        <v>4</v>
      </c>
      <c r="P187">
        <v>5</v>
      </c>
      <c r="Q187">
        <v>10.7</v>
      </c>
      <c r="R187">
        <v>95.3</v>
      </c>
      <c r="S187" t="s">
        <v>31</v>
      </c>
      <c r="T187" t="s">
        <v>31</v>
      </c>
      <c r="U187" t="s">
        <v>31</v>
      </c>
      <c r="V187" t="s">
        <v>31</v>
      </c>
      <c r="W187" t="s">
        <v>31</v>
      </c>
      <c r="X187" t="s">
        <v>119</v>
      </c>
      <c r="Y187" t="s">
        <v>93</v>
      </c>
      <c r="Z187">
        <v>42.716670000000001</v>
      </c>
      <c r="AA187">
        <v>-1.2166699999999999</v>
      </c>
      <c r="AB187">
        <v>0.65369999999999995</v>
      </c>
    </row>
    <row r="188" spans="1:28" x14ac:dyDescent="0.2">
      <c r="A188">
        <v>39</v>
      </c>
      <c r="B188">
        <v>1</v>
      </c>
      <c r="C188" t="s">
        <v>120</v>
      </c>
      <c r="D188">
        <v>2001</v>
      </c>
      <c r="E188">
        <v>0.4</v>
      </c>
      <c r="F188">
        <v>3</v>
      </c>
      <c r="G188" t="s">
        <v>28</v>
      </c>
      <c r="H188">
        <v>212.07</v>
      </c>
      <c r="I188">
        <v>22.17</v>
      </c>
      <c r="J188">
        <v>22.17</v>
      </c>
      <c r="K188">
        <v>3</v>
      </c>
      <c r="L188">
        <v>37.799999999999997</v>
      </c>
      <c r="M188">
        <v>19.5</v>
      </c>
      <c r="N188">
        <v>19.5</v>
      </c>
      <c r="O188">
        <v>9.2999999999999999E-2</v>
      </c>
      <c r="P188">
        <v>1</v>
      </c>
      <c r="Q188">
        <v>8.6</v>
      </c>
      <c r="R188">
        <v>116.5</v>
      </c>
      <c r="S188" t="s">
        <v>31</v>
      </c>
      <c r="T188" t="s">
        <v>31</v>
      </c>
      <c r="U188" t="s">
        <v>31</v>
      </c>
      <c r="V188" t="s">
        <v>29</v>
      </c>
      <c r="W188" t="s">
        <v>31</v>
      </c>
      <c r="X188" t="s">
        <v>121</v>
      </c>
      <c r="Y188" t="s">
        <v>156</v>
      </c>
      <c r="Z188">
        <v>54.010399999999997</v>
      </c>
      <c r="AA188">
        <v>-2.7877000000000001</v>
      </c>
      <c r="AB188">
        <v>1.7728999999999999</v>
      </c>
    </row>
    <row r="189" spans="1:28" x14ac:dyDescent="0.2">
      <c r="A189">
        <v>41</v>
      </c>
      <c r="B189">
        <v>1</v>
      </c>
      <c r="C189" t="s">
        <v>124</v>
      </c>
      <c r="D189">
        <v>2019</v>
      </c>
      <c r="E189">
        <v>1</v>
      </c>
      <c r="F189">
        <v>4</v>
      </c>
      <c r="G189" t="s">
        <v>49</v>
      </c>
      <c r="H189">
        <v>555.29999999999995</v>
      </c>
      <c r="I189">
        <v>116.5</v>
      </c>
      <c r="J189">
        <v>116.5</v>
      </c>
      <c r="K189">
        <v>4</v>
      </c>
      <c r="L189">
        <v>242.46</v>
      </c>
      <c r="M189">
        <v>90.62</v>
      </c>
      <c r="N189">
        <v>90.62</v>
      </c>
      <c r="O189">
        <v>1</v>
      </c>
      <c r="P189">
        <v>2</v>
      </c>
      <c r="Q189">
        <v>12.5</v>
      </c>
      <c r="R189">
        <v>104.6</v>
      </c>
      <c r="S189" t="s">
        <v>29</v>
      </c>
      <c r="T189" t="s">
        <v>31</v>
      </c>
      <c r="U189" t="s">
        <v>31</v>
      </c>
      <c r="V189" t="s">
        <v>29</v>
      </c>
      <c r="W189" t="s">
        <v>31</v>
      </c>
      <c r="X189" t="s">
        <v>125</v>
      </c>
      <c r="Y189" t="s">
        <v>93</v>
      </c>
      <c r="Z189">
        <v>43.011246</v>
      </c>
      <c r="AA189">
        <v>-7.5602799999999997</v>
      </c>
      <c r="AB189">
        <v>1.2936000000000001</v>
      </c>
    </row>
    <row r="190" spans="1:28" x14ac:dyDescent="0.2">
      <c r="A190">
        <v>41</v>
      </c>
      <c r="B190">
        <v>2</v>
      </c>
      <c r="C190" t="s">
        <v>124</v>
      </c>
      <c r="D190">
        <v>2019</v>
      </c>
      <c r="E190">
        <v>1</v>
      </c>
      <c r="F190">
        <v>4</v>
      </c>
      <c r="G190" t="s">
        <v>49</v>
      </c>
      <c r="H190">
        <v>607.1</v>
      </c>
      <c r="I190">
        <v>116.5</v>
      </c>
      <c r="J190">
        <v>116.5</v>
      </c>
      <c r="K190">
        <v>4</v>
      </c>
      <c r="L190">
        <v>242.46</v>
      </c>
      <c r="M190">
        <v>90.62</v>
      </c>
      <c r="N190">
        <v>90.62</v>
      </c>
      <c r="O190">
        <v>1</v>
      </c>
      <c r="P190">
        <v>2</v>
      </c>
      <c r="Q190">
        <v>12.5</v>
      </c>
      <c r="R190">
        <v>104.6</v>
      </c>
      <c r="S190" t="s">
        <v>29</v>
      </c>
      <c r="T190" t="s">
        <v>31</v>
      </c>
      <c r="U190" t="s">
        <v>31</v>
      </c>
      <c r="V190" t="s">
        <v>29</v>
      </c>
      <c r="W190" t="s">
        <v>31</v>
      </c>
      <c r="X190" t="s">
        <v>125</v>
      </c>
      <c r="Y190" t="s">
        <v>93</v>
      </c>
      <c r="Z190">
        <v>43.011246</v>
      </c>
      <c r="AA190">
        <v>-7.5602799999999997</v>
      </c>
      <c r="AB190">
        <v>1.2936000000000001</v>
      </c>
    </row>
    <row r="191" spans="1:28" x14ac:dyDescent="0.2">
      <c r="A191">
        <v>41</v>
      </c>
      <c r="B191">
        <v>3</v>
      </c>
      <c r="C191" t="s">
        <v>124</v>
      </c>
      <c r="D191">
        <v>2019</v>
      </c>
      <c r="E191">
        <v>2.5</v>
      </c>
      <c r="F191">
        <v>4</v>
      </c>
      <c r="G191" t="s">
        <v>49</v>
      </c>
      <c r="H191">
        <v>568.29999999999995</v>
      </c>
      <c r="I191">
        <v>49.2</v>
      </c>
      <c r="J191">
        <v>49.2</v>
      </c>
      <c r="K191">
        <v>4</v>
      </c>
      <c r="L191">
        <v>242.46</v>
      </c>
      <c r="M191">
        <v>90.62</v>
      </c>
      <c r="N191">
        <v>90.62</v>
      </c>
      <c r="O191">
        <v>1</v>
      </c>
      <c r="P191">
        <v>2</v>
      </c>
      <c r="Q191">
        <v>12.5</v>
      </c>
      <c r="R191">
        <v>104.6</v>
      </c>
      <c r="S191" t="s">
        <v>29</v>
      </c>
      <c r="T191" t="s">
        <v>31</v>
      </c>
      <c r="U191" t="s">
        <v>31</v>
      </c>
      <c r="V191" t="s">
        <v>29</v>
      </c>
      <c r="W191" t="s">
        <v>31</v>
      </c>
      <c r="X191" t="s">
        <v>125</v>
      </c>
      <c r="Y191" t="s">
        <v>93</v>
      </c>
      <c r="Z191">
        <v>43.011246</v>
      </c>
      <c r="AA191">
        <v>-7.5602799999999997</v>
      </c>
      <c r="AB191">
        <v>1.2936000000000001</v>
      </c>
    </row>
    <row r="192" spans="1:28" x14ac:dyDescent="0.2">
      <c r="A192">
        <v>41</v>
      </c>
      <c r="B192">
        <v>4</v>
      </c>
      <c r="C192" t="s">
        <v>124</v>
      </c>
      <c r="D192">
        <v>2019</v>
      </c>
      <c r="E192">
        <v>2.5</v>
      </c>
      <c r="F192">
        <v>4</v>
      </c>
      <c r="G192" t="s">
        <v>49</v>
      </c>
      <c r="H192">
        <v>543.70000000000005</v>
      </c>
      <c r="I192">
        <v>108.7</v>
      </c>
      <c r="J192">
        <v>108.7</v>
      </c>
      <c r="K192">
        <v>4</v>
      </c>
      <c r="L192">
        <v>242.46</v>
      </c>
      <c r="M192">
        <v>90.62</v>
      </c>
      <c r="N192">
        <v>90.62</v>
      </c>
      <c r="O192">
        <v>1</v>
      </c>
      <c r="P192">
        <v>2</v>
      </c>
      <c r="Q192">
        <v>12.5</v>
      </c>
      <c r="R192">
        <v>104.6</v>
      </c>
      <c r="S192" t="s">
        <v>29</v>
      </c>
      <c r="T192" t="s">
        <v>31</v>
      </c>
      <c r="U192" t="s">
        <v>31</v>
      </c>
      <c r="V192" t="s">
        <v>29</v>
      </c>
      <c r="W192" t="s">
        <v>31</v>
      </c>
      <c r="X192" t="s">
        <v>125</v>
      </c>
      <c r="Y192" t="s">
        <v>93</v>
      </c>
      <c r="Z192">
        <v>43.011246</v>
      </c>
      <c r="AA192">
        <v>-7.5602799999999997</v>
      </c>
      <c r="AB192">
        <v>1.2936000000000001</v>
      </c>
    </row>
    <row r="193" spans="1:28" x14ac:dyDescent="0.2">
      <c r="A193">
        <v>41</v>
      </c>
      <c r="B193">
        <v>5</v>
      </c>
      <c r="C193" t="s">
        <v>124</v>
      </c>
      <c r="D193">
        <v>2019</v>
      </c>
      <c r="E193">
        <v>5</v>
      </c>
      <c r="F193">
        <v>4</v>
      </c>
      <c r="G193" t="s">
        <v>49</v>
      </c>
      <c r="H193">
        <v>564.4</v>
      </c>
      <c r="I193">
        <v>145</v>
      </c>
      <c r="J193">
        <v>145</v>
      </c>
      <c r="K193">
        <v>4</v>
      </c>
      <c r="L193">
        <v>242.46</v>
      </c>
      <c r="M193">
        <v>90.62</v>
      </c>
      <c r="N193">
        <v>90.62</v>
      </c>
      <c r="O193">
        <v>1</v>
      </c>
      <c r="P193">
        <v>2</v>
      </c>
      <c r="Q193">
        <v>12.5</v>
      </c>
      <c r="R193">
        <v>104.6</v>
      </c>
      <c r="S193" t="s">
        <v>29</v>
      </c>
      <c r="T193" t="s">
        <v>31</v>
      </c>
      <c r="U193" t="s">
        <v>31</v>
      </c>
      <c r="V193" t="s">
        <v>29</v>
      </c>
      <c r="W193" t="s">
        <v>31</v>
      </c>
      <c r="X193" t="s">
        <v>125</v>
      </c>
      <c r="Y193" t="s">
        <v>93</v>
      </c>
      <c r="Z193">
        <v>43.011246</v>
      </c>
      <c r="AA193">
        <v>-7.5602799999999997</v>
      </c>
      <c r="AB193">
        <v>1.2936000000000001</v>
      </c>
    </row>
    <row r="194" spans="1:28" x14ac:dyDescent="0.2">
      <c r="A194">
        <v>41</v>
      </c>
      <c r="B194">
        <v>6</v>
      </c>
      <c r="C194" t="s">
        <v>124</v>
      </c>
      <c r="D194">
        <v>2019</v>
      </c>
      <c r="E194">
        <v>5</v>
      </c>
      <c r="F194">
        <v>4</v>
      </c>
      <c r="G194" t="s">
        <v>49</v>
      </c>
      <c r="H194">
        <v>585.1</v>
      </c>
      <c r="I194">
        <v>62.1</v>
      </c>
      <c r="J194">
        <v>62.1</v>
      </c>
      <c r="K194">
        <v>4</v>
      </c>
      <c r="L194">
        <v>242.46</v>
      </c>
      <c r="M194">
        <v>90.62</v>
      </c>
      <c r="N194">
        <v>90.62</v>
      </c>
      <c r="O194">
        <v>1</v>
      </c>
      <c r="P194">
        <v>2</v>
      </c>
      <c r="Q194">
        <v>12.5</v>
      </c>
      <c r="R194">
        <v>104.6</v>
      </c>
      <c r="S194" t="s">
        <v>29</v>
      </c>
      <c r="T194" t="s">
        <v>31</v>
      </c>
      <c r="U194" t="s">
        <v>31</v>
      </c>
      <c r="V194" t="s">
        <v>29</v>
      </c>
      <c r="W194" t="s">
        <v>31</v>
      </c>
      <c r="X194" t="s">
        <v>125</v>
      </c>
      <c r="Y194" t="s">
        <v>93</v>
      </c>
      <c r="Z194">
        <v>43.011246</v>
      </c>
      <c r="AA194">
        <v>-7.5602799999999997</v>
      </c>
      <c r="AB194">
        <v>1.2936000000000001</v>
      </c>
    </row>
    <row r="195" spans="1:28" x14ac:dyDescent="0.2">
      <c r="A195">
        <v>41</v>
      </c>
      <c r="B195">
        <v>7</v>
      </c>
      <c r="C195" t="s">
        <v>124</v>
      </c>
      <c r="D195">
        <v>2019</v>
      </c>
      <c r="E195">
        <v>10</v>
      </c>
      <c r="F195">
        <v>4</v>
      </c>
      <c r="G195" t="s">
        <v>49</v>
      </c>
      <c r="H195">
        <v>735.3</v>
      </c>
      <c r="I195">
        <v>80.3</v>
      </c>
      <c r="J195">
        <v>80.3</v>
      </c>
      <c r="K195">
        <v>4</v>
      </c>
      <c r="L195">
        <v>242.46</v>
      </c>
      <c r="M195">
        <v>90.62</v>
      </c>
      <c r="N195">
        <v>90.62</v>
      </c>
      <c r="O195">
        <v>1</v>
      </c>
      <c r="P195">
        <v>2</v>
      </c>
      <c r="Q195">
        <v>12.5</v>
      </c>
      <c r="R195">
        <v>104.6</v>
      </c>
      <c r="S195" t="s">
        <v>29</v>
      </c>
      <c r="T195" t="s">
        <v>31</v>
      </c>
      <c r="U195" t="s">
        <v>31</v>
      </c>
      <c r="V195" t="s">
        <v>29</v>
      </c>
      <c r="W195" t="s">
        <v>31</v>
      </c>
      <c r="X195" t="s">
        <v>125</v>
      </c>
      <c r="Y195" t="s">
        <v>93</v>
      </c>
      <c r="Z195">
        <v>43.011246</v>
      </c>
      <c r="AA195">
        <v>-7.5602799999999997</v>
      </c>
      <c r="AB195">
        <v>1.2936000000000001</v>
      </c>
    </row>
    <row r="196" spans="1:28" x14ac:dyDescent="0.2">
      <c r="A196">
        <v>41</v>
      </c>
      <c r="B196">
        <v>8</v>
      </c>
      <c r="C196" t="s">
        <v>124</v>
      </c>
      <c r="D196">
        <v>2019</v>
      </c>
      <c r="E196">
        <v>10</v>
      </c>
      <c r="F196">
        <v>4</v>
      </c>
      <c r="G196" t="s">
        <v>49</v>
      </c>
      <c r="H196">
        <v>687.4</v>
      </c>
      <c r="I196">
        <v>178.6</v>
      </c>
      <c r="J196">
        <v>178.6</v>
      </c>
      <c r="K196">
        <v>4</v>
      </c>
      <c r="L196">
        <v>242.46</v>
      </c>
      <c r="M196">
        <v>90.62</v>
      </c>
      <c r="N196">
        <v>90.62</v>
      </c>
      <c r="O196">
        <v>1</v>
      </c>
      <c r="P196">
        <v>2</v>
      </c>
      <c r="Q196">
        <v>12.5</v>
      </c>
      <c r="R196">
        <v>104.6</v>
      </c>
      <c r="S196" t="s">
        <v>29</v>
      </c>
      <c r="T196" t="s">
        <v>31</v>
      </c>
      <c r="U196" t="s">
        <v>31</v>
      </c>
      <c r="V196" t="s">
        <v>29</v>
      </c>
      <c r="W196" t="s">
        <v>31</v>
      </c>
      <c r="X196" t="s">
        <v>125</v>
      </c>
      <c r="Y196" t="s">
        <v>93</v>
      </c>
      <c r="Z196">
        <v>43.011246</v>
      </c>
      <c r="AA196">
        <v>-7.5602799999999997</v>
      </c>
      <c r="AB196">
        <v>1.2936000000000001</v>
      </c>
    </row>
    <row r="197" spans="1:28" x14ac:dyDescent="0.2">
      <c r="A197">
        <v>41</v>
      </c>
      <c r="B197">
        <v>9</v>
      </c>
      <c r="C197" t="s">
        <v>124</v>
      </c>
      <c r="D197">
        <v>2019</v>
      </c>
      <c r="E197">
        <v>1</v>
      </c>
      <c r="F197">
        <v>4</v>
      </c>
      <c r="G197" t="s">
        <v>49</v>
      </c>
      <c r="H197">
        <v>397.4</v>
      </c>
      <c r="I197">
        <v>44</v>
      </c>
      <c r="J197">
        <v>44</v>
      </c>
      <c r="K197">
        <v>4</v>
      </c>
      <c r="L197">
        <v>138.74</v>
      </c>
      <c r="M197">
        <v>51.78</v>
      </c>
      <c r="N197">
        <v>51.78</v>
      </c>
      <c r="O197">
        <v>2</v>
      </c>
      <c r="P197">
        <v>3</v>
      </c>
      <c r="Q197">
        <v>12.5</v>
      </c>
      <c r="R197">
        <v>104.6</v>
      </c>
      <c r="S197" t="s">
        <v>29</v>
      </c>
      <c r="T197" t="s">
        <v>31</v>
      </c>
      <c r="U197" t="s">
        <v>31</v>
      </c>
      <c r="V197" t="s">
        <v>29</v>
      </c>
      <c r="W197" t="s">
        <v>31</v>
      </c>
      <c r="X197" t="s">
        <v>125</v>
      </c>
      <c r="Y197" t="s">
        <v>93</v>
      </c>
      <c r="Z197">
        <v>43.011246</v>
      </c>
      <c r="AA197">
        <v>-7.5602799999999997</v>
      </c>
      <c r="AB197">
        <v>1.2936000000000001</v>
      </c>
    </row>
    <row r="198" spans="1:28" x14ac:dyDescent="0.2">
      <c r="A198">
        <v>41</v>
      </c>
      <c r="B198">
        <v>10</v>
      </c>
      <c r="C198" t="s">
        <v>124</v>
      </c>
      <c r="D198">
        <v>2019</v>
      </c>
      <c r="E198">
        <v>1</v>
      </c>
      <c r="F198">
        <v>4</v>
      </c>
      <c r="G198" t="s">
        <v>49</v>
      </c>
      <c r="H198">
        <v>407.8</v>
      </c>
      <c r="I198">
        <v>98.4</v>
      </c>
      <c r="J198">
        <v>98.4</v>
      </c>
      <c r="K198">
        <v>4</v>
      </c>
      <c r="L198">
        <v>138.74</v>
      </c>
      <c r="M198">
        <v>51.78</v>
      </c>
      <c r="N198">
        <v>51.78</v>
      </c>
      <c r="O198">
        <v>2</v>
      </c>
      <c r="P198">
        <v>3</v>
      </c>
      <c r="Q198">
        <v>12.5</v>
      </c>
      <c r="R198">
        <v>104.6</v>
      </c>
      <c r="S198" t="s">
        <v>29</v>
      </c>
      <c r="T198" t="s">
        <v>31</v>
      </c>
      <c r="U198" t="s">
        <v>31</v>
      </c>
      <c r="V198" t="s">
        <v>29</v>
      </c>
      <c r="W198" t="s">
        <v>31</v>
      </c>
      <c r="X198" t="s">
        <v>125</v>
      </c>
      <c r="Y198" t="s">
        <v>93</v>
      </c>
      <c r="Z198">
        <v>43.011246</v>
      </c>
      <c r="AA198">
        <v>-7.5602799999999997</v>
      </c>
      <c r="AB198">
        <v>1.2936000000000001</v>
      </c>
    </row>
    <row r="199" spans="1:28" x14ac:dyDescent="0.2">
      <c r="A199">
        <v>41</v>
      </c>
      <c r="B199">
        <v>11</v>
      </c>
      <c r="C199" t="s">
        <v>124</v>
      </c>
      <c r="D199">
        <v>2019</v>
      </c>
      <c r="E199">
        <v>2.5</v>
      </c>
      <c r="F199">
        <v>4</v>
      </c>
      <c r="G199" t="s">
        <v>49</v>
      </c>
      <c r="H199">
        <v>363.8</v>
      </c>
      <c r="I199">
        <v>75.099999999999994</v>
      </c>
      <c r="J199">
        <v>75.099999999999994</v>
      </c>
      <c r="K199">
        <v>4</v>
      </c>
      <c r="L199">
        <v>138.74</v>
      </c>
      <c r="M199">
        <v>51.78</v>
      </c>
      <c r="N199">
        <v>51.78</v>
      </c>
      <c r="O199">
        <v>2</v>
      </c>
      <c r="P199">
        <v>3</v>
      </c>
      <c r="Q199">
        <v>12.5</v>
      </c>
      <c r="R199">
        <v>104.6</v>
      </c>
      <c r="S199" t="s">
        <v>29</v>
      </c>
      <c r="T199" t="s">
        <v>31</v>
      </c>
      <c r="U199" t="s">
        <v>31</v>
      </c>
      <c r="V199" t="s">
        <v>29</v>
      </c>
      <c r="W199" t="s">
        <v>31</v>
      </c>
      <c r="X199" t="s">
        <v>125</v>
      </c>
      <c r="Y199" t="s">
        <v>93</v>
      </c>
      <c r="Z199">
        <v>43.011246</v>
      </c>
      <c r="AA199">
        <v>-7.5602799999999997</v>
      </c>
      <c r="AB199">
        <v>1.2936000000000001</v>
      </c>
    </row>
    <row r="200" spans="1:28" x14ac:dyDescent="0.2">
      <c r="A200">
        <v>41</v>
      </c>
      <c r="B200">
        <v>12</v>
      </c>
      <c r="C200" t="s">
        <v>124</v>
      </c>
      <c r="D200">
        <v>2019</v>
      </c>
      <c r="E200">
        <v>2.5</v>
      </c>
      <c r="F200">
        <v>4</v>
      </c>
      <c r="G200" t="s">
        <v>49</v>
      </c>
      <c r="H200">
        <v>401.3</v>
      </c>
      <c r="I200">
        <v>82.8</v>
      </c>
      <c r="J200">
        <v>82.8</v>
      </c>
      <c r="K200">
        <v>4</v>
      </c>
      <c r="L200">
        <v>138.74</v>
      </c>
      <c r="M200">
        <v>51.78</v>
      </c>
      <c r="N200">
        <v>51.78</v>
      </c>
      <c r="O200">
        <v>2</v>
      </c>
      <c r="P200">
        <v>3</v>
      </c>
      <c r="Q200">
        <v>12.5</v>
      </c>
      <c r="R200">
        <v>104.6</v>
      </c>
      <c r="S200" t="s">
        <v>29</v>
      </c>
      <c r="T200" t="s">
        <v>31</v>
      </c>
      <c r="U200" t="s">
        <v>31</v>
      </c>
      <c r="V200" t="s">
        <v>29</v>
      </c>
      <c r="W200" t="s">
        <v>31</v>
      </c>
      <c r="X200" t="s">
        <v>125</v>
      </c>
      <c r="Y200" t="s">
        <v>93</v>
      </c>
      <c r="Z200">
        <v>43.011246</v>
      </c>
      <c r="AA200">
        <v>-7.5602799999999997</v>
      </c>
      <c r="AB200">
        <v>1.2936000000000001</v>
      </c>
    </row>
    <row r="201" spans="1:28" x14ac:dyDescent="0.2">
      <c r="A201">
        <v>41</v>
      </c>
      <c r="B201">
        <v>13</v>
      </c>
      <c r="C201" t="s">
        <v>124</v>
      </c>
      <c r="D201">
        <v>2019</v>
      </c>
      <c r="E201">
        <v>5</v>
      </c>
      <c r="F201">
        <v>4</v>
      </c>
      <c r="G201" t="s">
        <v>49</v>
      </c>
      <c r="H201">
        <v>357.3</v>
      </c>
      <c r="I201">
        <v>101</v>
      </c>
      <c r="J201">
        <v>101</v>
      </c>
      <c r="K201">
        <v>4</v>
      </c>
      <c r="L201">
        <v>138.74</v>
      </c>
      <c r="M201">
        <v>51.78</v>
      </c>
      <c r="N201">
        <v>51.78</v>
      </c>
      <c r="O201">
        <v>2</v>
      </c>
      <c r="P201">
        <v>3</v>
      </c>
      <c r="Q201">
        <v>12.5</v>
      </c>
      <c r="R201">
        <v>104.6</v>
      </c>
      <c r="S201" t="s">
        <v>29</v>
      </c>
      <c r="T201" t="s">
        <v>31</v>
      </c>
      <c r="U201" t="s">
        <v>31</v>
      </c>
      <c r="V201" t="s">
        <v>29</v>
      </c>
      <c r="W201" t="s">
        <v>31</v>
      </c>
      <c r="X201" t="s">
        <v>125</v>
      </c>
      <c r="Y201" t="s">
        <v>93</v>
      </c>
      <c r="Z201">
        <v>43.011246</v>
      </c>
      <c r="AA201">
        <v>-7.5602799999999997</v>
      </c>
      <c r="AB201">
        <v>1.2936000000000001</v>
      </c>
    </row>
    <row r="202" spans="1:28" x14ac:dyDescent="0.2">
      <c r="A202">
        <v>41</v>
      </c>
      <c r="B202">
        <v>14</v>
      </c>
      <c r="C202" t="s">
        <v>124</v>
      </c>
      <c r="D202">
        <v>2019</v>
      </c>
      <c r="E202">
        <v>5</v>
      </c>
      <c r="F202">
        <v>4</v>
      </c>
      <c r="G202" t="s">
        <v>49</v>
      </c>
      <c r="H202">
        <v>331.4</v>
      </c>
      <c r="I202">
        <v>57</v>
      </c>
      <c r="J202">
        <v>57</v>
      </c>
      <c r="K202">
        <v>4</v>
      </c>
      <c r="L202">
        <v>138.74</v>
      </c>
      <c r="M202">
        <v>51.78</v>
      </c>
      <c r="N202">
        <v>51.78</v>
      </c>
      <c r="O202">
        <v>2</v>
      </c>
      <c r="P202">
        <v>3</v>
      </c>
      <c r="Q202">
        <v>12.5</v>
      </c>
      <c r="R202">
        <v>104.6</v>
      </c>
      <c r="S202" t="s">
        <v>29</v>
      </c>
      <c r="T202" t="s">
        <v>31</v>
      </c>
      <c r="U202" t="s">
        <v>31</v>
      </c>
      <c r="V202" t="s">
        <v>29</v>
      </c>
      <c r="W202" t="s">
        <v>31</v>
      </c>
      <c r="X202" t="s">
        <v>125</v>
      </c>
      <c r="Y202" t="s">
        <v>93</v>
      </c>
      <c r="Z202">
        <v>43.011246</v>
      </c>
      <c r="AA202">
        <v>-7.5602799999999997</v>
      </c>
      <c r="AB202">
        <v>1.2936000000000001</v>
      </c>
    </row>
    <row r="203" spans="1:28" x14ac:dyDescent="0.2">
      <c r="A203">
        <v>41</v>
      </c>
      <c r="B203">
        <v>15</v>
      </c>
      <c r="C203" t="s">
        <v>124</v>
      </c>
      <c r="D203">
        <v>2019</v>
      </c>
      <c r="E203">
        <v>10</v>
      </c>
      <c r="F203">
        <v>4</v>
      </c>
      <c r="G203" t="s">
        <v>49</v>
      </c>
      <c r="H203">
        <v>313.3</v>
      </c>
      <c r="I203">
        <v>82.8</v>
      </c>
      <c r="J203">
        <v>82.8</v>
      </c>
      <c r="K203">
        <v>4</v>
      </c>
      <c r="L203">
        <v>138.74</v>
      </c>
      <c r="M203">
        <v>51.78</v>
      </c>
      <c r="N203">
        <v>51.78</v>
      </c>
      <c r="O203">
        <v>2</v>
      </c>
      <c r="P203">
        <v>3</v>
      </c>
      <c r="Q203">
        <v>12.5</v>
      </c>
      <c r="R203">
        <v>104.6</v>
      </c>
      <c r="S203" t="s">
        <v>29</v>
      </c>
      <c r="T203" t="s">
        <v>31</v>
      </c>
      <c r="U203" t="s">
        <v>31</v>
      </c>
      <c r="V203" t="s">
        <v>29</v>
      </c>
      <c r="W203" t="s">
        <v>31</v>
      </c>
      <c r="X203" t="s">
        <v>125</v>
      </c>
      <c r="Y203" t="s">
        <v>93</v>
      </c>
      <c r="Z203">
        <v>43.011246</v>
      </c>
      <c r="AA203">
        <v>-7.5602799999999997</v>
      </c>
      <c r="AB203">
        <v>1.2936000000000001</v>
      </c>
    </row>
    <row r="204" spans="1:28" x14ac:dyDescent="0.2">
      <c r="A204">
        <v>41</v>
      </c>
      <c r="B204">
        <v>16</v>
      </c>
      <c r="C204" t="s">
        <v>124</v>
      </c>
      <c r="D204">
        <v>2019</v>
      </c>
      <c r="E204">
        <v>10</v>
      </c>
      <c r="F204">
        <v>4</v>
      </c>
      <c r="G204" t="s">
        <v>49</v>
      </c>
      <c r="H204">
        <v>319.7</v>
      </c>
      <c r="I204">
        <v>113.9</v>
      </c>
      <c r="J204">
        <v>113.9</v>
      </c>
      <c r="K204">
        <v>4</v>
      </c>
      <c r="L204">
        <v>138.74</v>
      </c>
      <c r="M204">
        <v>51.78</v>
      </c>
      <c r="N204">
        <v>51.78</v>
      </c>
      <c r="O204">
        <v>2</v>
      </c>
      <c r="P204">
        <v>3</v>
      </c>
      <c r="Q204">
        <v>12.5</v>
      </c>
      <c r="R204">
        <v>104.6</v>
      </c>
      <c r="S204" t="s">
        <v>29</v>
      </c>
      <c r="T204" t="s">
        <v>31</v>
      </c>
      <c r="U204" t="s">
        <v>31</v>
      </c>
      <c r="V204" t="s">
        <v>29</v>
      </c>
      <c r="W204" t="s">
        <v>31</v>
      </c>
      <c r="X204" t="s">
        <v>125</v>
      </c>
      <c r="Y204" t="s">
        <v>93</v>
      </c>
      <c r="Z204">
        <v>43.011246</v>
      </c>
      <c r="AA204">
        <v>-7.5602799999999997</v>
      </c>
      <c r="AB204">
        <v>1.2936000000000001</v>
      </c>
    </row>
    <row r="205" spans="1:28" x14ac:dyDescent="0.2">
      <c r="A205">
        <v>42</v>
      </c>
      <c r="B205">
        <v>1</v>
      </c>
      <c r="C205" t="s">
        <v>126</v>
      </c>
      <c r="D205">
        <v>2005</v>
      </c>
      <c r="E205">
        <v>56</v>
      </c>
      <c r="F205">
        <v>3</v>
      </c>
      <c r="G205" t="s">
        <v>31</v>
      </c>
      <c r="H205">
        <v>124.19</v>
      </c>
      <c r="J205" s="2">
        <f t="shared" ref="J205:J228" si="10">0.400619702*H205</f>
        <v>49.752960791380005</v>
      </c>
      <c r="K205">
        <v>3</v>
      </c>
      <c r="L205">
        <v>125.1</v>
      </c>
      <c r="N205" s="2">
        <f t="shared" ref="N205:N228" si="11">0.478752551*L205</f>
        <v>59.891944130100001</v>
      </c>
      <c r="O205">
        <v>24</v>
      </c>
      <c r="P205">
        <v>25</v>
      </c>
      <c r="Q205">
        <v>5.6</v>
      </c>
      <c r="R205">
        <v>39.200000000000003</v>
      </c>
      <c r="S205" t="s">
        <v>31</v>
      </c>
      <c r="T205" t="s">
        <v>29</v>
      </c>
      <c r="U205" t="s">
        <v>31</v>
      </c>
      <c r="V205" t="s">
        <v>29</v>
      </c>
      <c r="W205" t="s">
        <v>31</v>
      </c>
      <c r="X205" t="s">
        <v>127</v>
      </c>
      <c r="Y205" t="s">
        <v>91</v>
      </c>
      <c r="Z205">
        <v>39.861800000000002</v>
      </c>
      <c r="AA205">
        <v>-108.3322</v>
      </c>
      <c r="AB205">
        <v>0.23780000000000001</v>
      </c>
    </row>
    <row r="206" spans="1:28" x14ac:dyDescent="0.2">
      <c r="A206">
        <v>42</v>
      </c>
      <c r="B206">
        <v>2</v>
      </c>
      <c r="C206" t="s">
        <v>126</v>
      </c>
      <c r="D206">
        <v>2005</v>
      </c>
      <c r="E206">
        <v>56</v>
      </c>
      <c r="F206">
        <v>3</v>
      </c>
      <c r="G206" t="s">
        <v>31</v>
      </c>
      <c r="H206">
        <v>184.42</v>
      </c>
      <c r="J206" s="2">
        <f t="shared" si="10"/>
        <v>73.882285442840001</v>
      </c>
      <c r="K206">
        <v>3</v>
      </c>
      <c r="L206">
        <v>116.97</v>
      </c>
      <c r="N206" s="2">
        <f t="shared" si="11"/>
        <v>55.999685890470005</v>
      </c>
      <c r="O206">
        <v>24</v>
      </c>
      <c r="P206">
        <v>25</v>
      </c>
      <c r="Q206">
        <v>5.6</v>
      </c>
      <c r="R206">
        <v>39.200000000000003</v>
      </c>
      <c r="S206" t="s">
        <v>31</v>
      </c>
      <c r="T206" t="s">
        <v>29</v>
      </c>
      <c r="U206" t="s">
        <v>31</v>
      </c>
      <c r="V206" t="s">
        <v>29</v>
      </c>
      <c r="W206" t="s">
        <v>31</v>
      </c>
      <c r="X206" t="s">
        <v>127</v>
      </c>
      <c r="Y206" t="s">
        <v>91</v>
      </c>
      <c r="Z206">
        <v>39.861800000000002</v>
      </c>
      <c r="AA206">
        <v>-108.3322</v>
      </c>
      <c r="AB206">
        <v>0.23780000000000001</v>
      </c>
    </row>
    <row r="207" spans="1:28" x14ac:dyDescent="0.2">
      <c r="A207">
        <v>42</v>
      </c>
      <c r="B207">
        <v>3</v>
      </c>
      <c r="C207" t="s">
        <v>126</v>
      </c>
      <c r="D207">
        <v>2005</v>
      </c>
      <c r="E207">
        <v>112</v>
      </c>
      <c r="F207">
        <v>3</v>
      </c>
      <c r="G207" t="s">
        <v>31</v>
      </c>
      <c r="H207">
        <v>123.85</v>
      </c>
      <c r="J207" s="2">
        <f t="shared" si="10"/>
        <v>49.616750092700002</v>
      </c>
      <c r="K207">
        <v>3</v>
      </c>
      <c r="L207">
        <v>125.1</v>
      </c>
      <c r="N207" s="2">
        <f t="shared" si="11"/>
        <v>59.891944130100001</v>
      </c>
      <c r="O207">
        <v>24</v>
      </c>
      <c r="P207">
        <v>25</v>
      </c>
      <c r="Q207">
        <v>5.6</v>
      </c>
      <c r="R207">
        <v>39.200000000000003</v>
      </c>
      <c r="S207" t="s">
        <v>29</v>
      </c>
      <c r="T207" t="s">
        <v>29</v>
      </c>
      <c r="U207" t="s">
        <v>31</v>
      </c>
      <c r="V207" t="s">
        <v>29</v>
      </c>
      <c r="W207" t="s">
        <v>31</v>
      </c>
      <c r="X207" t="s">
        <v>127</v>
      </c>
      <c r="Y207" t="s">
        <v>91</v>
      </c>
      <c r="Z207">
        <v>39.861800000000002</v>
      </c>
      <c r="AA207">
        <v>-108.3322</v>
      </c>
      <c r="AB207">
        <v>0.23780000000000001</v>
      </c>
    </row>
    <row r="208" spans="1:28" x14ac:dyDescent="0.2">
      <c r="A208">
        <v>42</v>
      </c>
      <c r="B208">
        <v>4</v>
      </c>
      <c r="C208" t="s">
        <v>126</v>
      </c>
      <c r="D208">
        <v>2005</v>
      </c>
      <c r="E208">
        <v>112</v>
      </c>
      <c r="F208">
        <v>3</v>
      </c>
      <c r="G208" t="s">
        <v>31</v>
      </c>
      <c r="H208">
        <v>173.77</v>
      </c>
      <c r="J208" s="2">
        <f t="shared" si="10"/>
        <v>69.615685616540006</v>
      </c>
      <c r="K208">
        <v>3</v>
      </c>
      <c r="L208">
        <v>116.97</v>
      </c>
      <c r="N208" s="2">
        <f t="shared" si="11"/>
        <v>55.999685890470005</v>
      </c>
      <c r="O208">
        <v>24</v>
      </c>
      <c r="P208">
        <v>25</v>
      </c>
      <c r="Q208">
        <v>5.6</v>
      </c>
      <c r="R208">
        <v>39.200000000000003</v>
      </c>
      <c r="S208" t="s">
        <v>29</v>
      </c>
      <c r="T208" t="s">
        <v>29</v>
      </c>
      <c r="U208" t="s">
        <v>31</v>
      </c>
      <c r="V208" t="s">
        <v>29</v>
      </c>
      <c r="W208" t="s">
        <v>31</v>
      </c>
      <c r="X208" t="s">
        <v>127</v>
      </c>
      <c r="Y208" t="s">
        <v>91</v>
      </c>
      <c r="Z208">
        <v>39.861800000000002</v>
      </c>
      <c r="AA208">
        <v>-108.3322</v>
      </c>
      <c r="AB208">
        <v>0.23780000000000001</v>
      </c>
    </row>
    <row r="209" spans="1:28" x14ac:dyDescent="0.2">
      <c r="A209">
        <v>42</v>
      </c>
      <c r="B209">
        <v>5</v>
      </c>
      <c r="C209" t="s">
        <v>126</v>
      </c>
      <c r="D209">
        <v>2005</v>
      </c>
      <c r="E209">
        <v>224</v>
      </c>
      <c r="F209">
        <v>3</v>
      </c>
      <c r="G209" t="s">
        <v>31</v>
      </c>
      <c r="H209">
        <v>177.24</v>
      </c>
      <c r="J209" s="2">
        <f t="shared" si="10"/>
        <v>71.005835982480008</v>
      </c>
      <c r="K209">
        <v>3</v>
      </c>
      <c r="L209">
        <v>125.1</v>
      </c>
      <c r="N209" s="2">
        <f t="shared" si="11"/>
        <v>59.891944130100001</v>
      </c>
      <c r="O209">
        <v>24</v>
      </c>
      <c r="P209">
        <v>25</v>
      </c>
      <c r="Q209">
        <v>5.6</v>
      </c>
      <c r="R209">
        <v>39.200000000000003</v>
      </c>
      <c r="S209" t="s">
        <v>29</v>
      </c>
      <c r="T209" t="s">
        <v>29</v>
      </c>
      <c r="U209" t="s">
        <v>31</v>
      </c>
      <c r="V209" t="s">
        <v>29</v>
      </c>
      <c r="W209" t="s">
        <v>31</v>
      </c>
      <c r="X209" t="s">
        <v>127</v>
      </c>
      <c r="Y209" t="s">
        <v>91</v>
      </c>
      <c r="Z209">
        <v>39.861800000000002</v>
      </c>
      <c r="AA209">
        <v>-108.3322</v>
      </c>
      <c r="AB209">
        <v>0.23780000000000001</v>
      </c>
    </row>
    <row r="210" spans="1:28" x14ac:dyDescent="0.2">
      <c r="A210">
        <v>42</v>
      </c>
      <c r="B210">
        <v>6</v>
      </c>
      <c r="C210" t="s">
        <v>126</v>
      </c>
      <c r="D210">
        <v>2005</v>
      </c>
      <c r="E210">
        <v>224</v>
      </c>
      <c r="F210">
        <v>3</v>
      </c>
      <c r="G210" t="s">
        <v>31</v>
      </c>
      <c r="H210">
        <v>141.41999999999999</v>
      </c>
      <c r="J210" s="2">
        <f t="shared" si="10"/>
        <v>56.65563825684</v>
      </c>
      <c r="K210">
        <v>3</v>
      </c>
      <c r="L210">
        <v>116.97</v>
      </c>
      <c r="N210" s="2">
        <f t="shared" si="11"/>
        <v>55.999685890470005</v>
      </c>
      <c r="O210">
        <v>24</v>
      </c>
      <c r="P210">
        <v>25</v>
      </c>
      <c r="Q210">
        <v>5.6</v>
      </c>
      <c r="R210">
        <v>39.200000000000003</v>
      </c>
      <c r="S210" t="s">
        <v>29</v>
      </c>
      <c r="T210" t="s">
        <v>29</v>
      </c>
      <c r="U210" t="s">
        <v>31</v>
      </c>
      <c r="V210" t="s">
        <v>29</v>
      </c>
      <c r="W210" t="s">
        <v>31</v>
      </c>
      <c r="X210" t="s">
        <v>127</v>
      </c>
      <c r="Y210" t="s">
        <v>91</v>
      </c>
      <c r="Z210">
        <v>39.861800000000002</v>
      </c>
      <c r="AA210">
        <v>-108.3322</v>
      </c>
      <c r="AB210">
        <v>0.23780000000000001</v>
      </c>
    </row>
    <row r="211" spans="1:28" x14ac:dyDescent="0.2">
      <c r="A211">
        <v>43</v>
      </c>
      <c r="B211">
        <v>1</v>
      </c>
      <c r="C211" t="s">
        <v>128</v>
      </c>
      <c r="D211">
        <v>1998</v>
      </c>
      <c r="E211">
        <v>5</v>
      </c>
      <c r="F211">
        <v>4</v>
      </c>
      <c r="G211" t="s">
        <v>31</v>
      </c>
      <c r="H211">
        <v>72.92</v>
      </c>
      <c r="J211" s="2">
        <f t="shared" si="10"/>
        <v>29.213188669840001</v>
      </c>
      <c r="K211">
        <v>4</v>
      </c>
      <c r="L211">
        <v>40.86</v>
      </c>
      <c r="N211" s="2">
        <f t="shared" si="11"/>
        <v>19.561829233859999</v>
      </c>
      <c r="O211">
        <v>2</v>
      </c>
      <c r="P211">
        <v>3</v>
      </c>
      <c r="Q211">
        <v>7.8</v>
      </c>
      <c r="R211">
        <v>37.4</v>
      </c>
      <c r="S211" t="s">
        <v>31</v>
      </c>
      <c r="T211" t="s">
        <v>31</v>
      </c>
      <c r="U211" t="s">
        <v>31</v>
      </c>
      <c r="V211" t="s">
        <v>31</v>
      </c>
      <c r="W211" t="s">
        <v>31</v>
      </c>
      <c r="X211" t="s">
        <v>129</v>
      </c>
      <c r="Y211" t="s">
        <v>91</v>
      </c>
      <c r="Z211">
        <v>40.89611</v>
      </c>
      <c r="AA211">
        <v>-104.87444000000001</v>
      </c>
      <c r="AB211">
        <v>0.22450000000000001</v>
      </c>
    </row>
    <row r="212" spans="1:28" x14ac:dyDescent="0.2">
      <c r="A212">
        <v>43</v>
      </c>
      <c r="B212">
        <v>2</v>
      </c>
      <c r="C212" t="s">
        <v>128</v>
      </c>
      <c r="D212">
        <v>1998</v>
      </c>
      <c r="E212">
        <v>10</v>
      </c>
      <c r="F212">
        <v>4</v>
      </c>
      <c r="G212" t="s">
        <v>31</v>
      </c>
      <c r="H212">
        <v>78.510000000000005</v>
      </c>
      <c r="J212" s="2">
        <f t="shared" si="10"/>
        <v>31.452652804020005</v>
      </c>
      <c r="K212">
        <v>4</v>
      </c>
      <c r="L212">
        <v>40.86</v>
      </c>
      <c r="N212" s="2">
        <f t="shared" si="11"/>
        <v>19.561829233859999</v>
      </c>
      <c r="O212">
        <v>2</v>
      </c>
      <c r="P212">
        <v>3</v>
      </c>
      <c r="Q212">
        <v>7.8</v>
      </c>
      <c r="R212">
        <v>37.4</v>
      </c>
      <c r="S212" t="s">
        <v>31</v>
      </c>
      <c r="T212" t="s">
        <v>31</v>
      </c>
      <c r="U212" t="s">
        <v>31</v>
      </c>
      <c r="V212" t="s">
        <v>31</v>
      </c>
      <c r="W212" t="s">
        <v>31</v>
      </c>
      <c r="X212" t="s">
        <v>129</v>
      </c>
      <c r="Y212" t="s">
        <v>91</v>
      </c>
      <c r="Z212">
        <v>40.89611</v>
      </c>
      <c r="AA212">
        <v>-104.87444000000001</v>
      </c>
      <c r="AB212">
        <v>0.22450000000000001</v>
      </c>
    </row>
    <row r="213" spans="1:28" x14ac:dyDescent="0.2">
      <c r="A213">
        <v>43</v>
      </c>
      <c r="B213">
        <v>3</v>
      </c>
      <c r="C213" t="s">
        <v>128</v>
      </c>
      <c r="D213">
        <v>1998</v>
      </c>
      <c r="E213">
        <v>15</v>
      </c>
      <c r="F213">
        <v>4</v>
      </c>
      <c r="G213" t="s">
        <v>31</v>
      </c>
      <c r="H213">
        <v>72.31</v>
      </c>
      <c r="J213" s="2">
        <f t="shared" si="10"/>
        <v>28.968810651620004</v>
      </c>
      <c r="K213">
        <v>4</v>
      </c>
      <c r="L213">
        <v>40.86</v>
      </c>
      <c r="N213" s="2">
        <f t="shared" si="11"/>
        <v>19.561829233859999</v>
      </c>
      <c r="O213">
        <v>2</v>
      </c>
      <c r="P213">
        <v>3</v>
      </c>
      <c r="Q213">
        <v>7.8</v>
      </c>
      <c r="R213">
        <v>37.4</v>
      </c>
      <c r="S213" t="s">
        <v>31</v>
      </c>
      <c r="T213" t="s">
        <v>31</v>
      </c>
      <c r="U213" t="s">
        <v>31</v>
      </c>
      <c r="V213" t="s">
        <v>31</v>
      </c>
      <c r="W213" t="s">
        <v>31</v>
      </c>
      <c r="X213" t="s">
        <v>129</v>
      </c>
      <c r="Y213" t="s">
        <v>91</v>
      </c>
      <c r="Z213">
        <v>40.89611</v>
      </c>
      <c r="AA213">
        <v>-104.87444000000001</v>
      </c>
      <c r="AB213">
        <v>0.22450000000000001</v>
      </c>
    </row>
    <row r="214" spans="1:28" x14ac:dyDescent="0.2">
      <c r="A214">
        <v>43</v>
      </c>
      <c r="B214">
        <v>4</v>
      </c>
      <c r="C214" t="s">
        <v>128</v>
      </c>
      <c r="D214">
        <v>1998</v>
      </c>
      <c r="E214">
        <v>20</v>
      </c>
      <c r="F214">
        <v>4</v>
      </c>
      <c r="G214" t="s">
        <v>31</v>
      </c>
      <c r="H214">
        <v>112.53</v>
      </c>
      <c r="J214" s="2">
        <f t="shared" si="10"/>
        <v>45.081735066060006</v>
      </c>
      <c r="K214">
        <v>4</v>
      </c>
      <c r="L214">
        <v>40.86</v>
      </c>
      <c r="N214" s="2">
        <f t="shared" si="11"/>
        <v>19.561829233859999</v>
      </c>
      <c r="O214">
        <v>2</v>
      </c>
      <c r="P214">
        <v>3</v>
      </c>
      <c r="Q214">
        <v>7.8</v>
      </c>
      <c r="R214">
        <v>37.4</v>
      </c>
      <c r="S214" t="s">
        <v>31</v>
      </c>
      <c r="T214" t="s">
        <v>31</v>
      </c>
      <c r="U214" t="s">
        <v>31</v>
      </c>
      <c r="V214" t="s">
        <v>31</v>
      </c>
      <c r="W214" t="s">
        <v>31</v>
      </c>
      <c r="X214" t="s">
        <v>129</v>
      </c>
      <c r="Y214" t="s">
        <v>91</v>
      </c>
      <c r="Z214">
        <v>40.89611</v>
      </c>
      <c r="AA214">
        <v>-104.87444000000001</v>
      </c>
      <c r="AB214">
        <v>0.22450000000000001</v>
      </c>
    </row>
    <row r="215" spans="1:28" x14ac:dyDescent="0.2">
      <c r="A215">
        <v>43</v>
      </c>
      <c r="B215">
        <v>5</v>
      </c>
      <c r="C215" t="s">
        <v>128</v>
      </c>
      <c r="D215">
        <v>1998</v>
      </c>
      <c r="E215">
        <v>25</v>
      </c>
      <c r="F215">
        <v>4</v>
      </c>
      <c r="G215" t="s">
        <v>31</v>
      </c>
      <c r="H215">
        <v>128.4</v>
      </c>
      <c r="J215" s="2">
        <f t="shared" si="10"/>
        <v>51.439569736800003</v>
      </c>
      <c r="K215">
        <v>4</v>
      </c>
      <c r="L215">
        <v>40.86</v>
      </c>
      <c r="N215" s="2">
        <f t="shared" si="11"/>
        <v>19.561829233859999</v>
      </c>
      <c r="O215">
        <v>2</v>
      </c>
      <c r="P215">
        <v>3</v>
      </c>
      <c r="Q215">
        <v>7.8</v>
      </c>
      <c r="R215">
        <v>37.4</v>
      </c>
      <c r="S215" t="s">
        <v>31</v>
      </c>
      <c r="T215" t="s">
        <v>31</v>
      </c>
      <c r="U215" t="s">
        <v>31</v>
      </c>
      <c r="V215" t="s">
        <v>31</v>
      </c>
      <c r="W215" t="s">
        <v>31</v>
      </c>
      <c r="X215" t="s">
        <v>129</v>
      </c>
      <c r="Y215" t="s">
        <v>91</v>
      </c>
      <c r="Z215">
        <v>40.89611</v>
      </c>
      <c r="AA215">
        <v>-104.87444000000001</v>
      </c>
      <c r="AB215">
        <v>0.22450000000000001</v>
      </c>
    </row>
    <row r="216" spans="1:28" x14ac:dyDescent="0.2">
      <c r="A216">
        <v>43</v>
      </c>
      <c r="B216">
        <v>6</v>
      </c>
      <c r="C216" t="s">
        <v>128</v>
      </c>
      <c r="D216">
        <v>1998</v>
      </c>
      <c r="E216">
        <v>30</v>
      </c>
      <c r="F216">
        <v>4</v>
      </c>
      <c r="G216" t="s">
        <v>31</v>
      </c>
      <c r="H216">
        <v>146.24</v>
      </c>
      <c r="J216" s="2">
        <f t="shared" si="10"/>
        <v>58.586625220480009</v>
      </c>
      <c r="K216">
        <v>4</v>
      </c>
      <c r="L216">
        <v>40.86</v>
      </c>
      <c r="N216" s="2">
        <f t="shared" si="11"/>
        <v>19.561829233859999</v>
      </c>
      <c r="O216">
        <v>2</v>
      </c>
      <c r="P216">
        <v>3</v>
      </c>
      <c r="Q216">
        <v>7.8</v>
      </c>
      <c r="R216">
        <v>37.4</v>
      </c>
      <c r="S216" t="s">
        <v>31</v>
      </c>
      <c r="T216" t="s">
        <v>31</v>
      </c>
      <c r="U216" t="s">
        <v>31</v>
      </c>
      <c r="V216" t="s">
        <v>31</v>
      </c>
      <c r="W216" t="s">
        <v>31</v>
      </c>
      <c r="X216" t="s">
        <v>129</v>
      </c>
      <c r="Y216" t="s">
        <v>91</v>
      </c>
      <c r="Z216">
        <v>40.89611</v>
      </c>
      <c r="AA216">
        <v>-104.87444000000001</v>
      </c>
      <c r="AB216">
        <v>0.22450000000000001</v>
      </c>
    </row>
    <row r="217" spans="1:28" x14ac:dyDescent="0.2">
      <c r="A217">
        <v>43</v>
      </c>
      <c r="B217">
        <v>7</v>
      </c>
      <c r="C217" t="s">
        <v>128</v>
      </c>
      <c r="D217">
        <v>1998</v>
      </c>
      <c r="E217">
        <v>35</v>
      </c>
      <c r="F217">
        <v>4</v>
      </c>
      <c r="G217" t="s">
        <v>31</v>
      </c>
      <c r="H217">
        <v>85.77</v>
      </c>
      <c r="J217" s="2">
        <f t="shared" si="10"/>
        <v>34.361151840540003</v>
      </c>
      <c r="K217">
        <v>4</v>
      </c>
      <c r="L217">
        <v>40.86</v>
      </c>
      <c r="N217" s="2">
        <f t="shared" si="11"/>
        <v>19.561829233859999</v>
      </c>
      <c r="O217">
        <v>2</v>
      </c>
      <c r="P217">
        <v>3</v>
      </c>
      <c r="Q217">
        <v>7.8</v>
      </c>
      <c r="R217">
        <v>37.4</v>
      </c>
      <c r="S217" t="s">
        <v>31</v>
      </c>
      <c r="T217" t="s">
        <v>31</v>
      </c>
      <c r="U217" t="s">
        <v>31</v>
      </c>
      <c r="V217" t="s">
        <v>31</v>
      </c>
      <c r="W217" t="s">
        <v>31</v>
      </c>
      <c r="X217" t="s">
        <v>129</v>
      </c>
      <c r="Y217" t="s">
        <v>91</v>
      </c>
      <c r="Z217">
        <v>40.89611</v>
      </c>
      <c r="AA217">
        <v>-104.87444000000001</v>
      </c>
      <c r="AB217">
        <v>0.22450000000000001</v>
      </c>
    </row>
    <row r="218" spans="1:28" x14ac:dyDescent="0.2">
      <c r="A218">
        <v>43</v>
      </c>
      <c r="B218">
        <v>8</v>
      </c>
      <c r="C218" t="s">
        <v>128</v>
      </c>
      <c r="D218">
        <v>1998</v>
      </c>
      <c r="E218">
        <v>40</v>
      </c>
      <c r="F218">
        <v>4</v>
      </c>
      <c r="G218" t="s">
        <v>31</v>
      </c>
      <c r="H218">
        <v>116.16</v>
      </c>
      <c r="J218" s="2">
        <f t="shared" si="10"/>
        <v>46.535984584319998</v>
      </c>
      <c r="K218">
        <v>4</v>
      </c>
      <c r="L218">
        <v>40.86</v>
      </c>
      <c r="N218" s="2">
        <f t="shared" si="11"/>
        <v>19.561829233859999</v>
      </c>
      <c r="O218">
        <v>2</v>
      </c>
      <c r="P218">
        <v>3</v>
      </c>
      <c r="Q218">
        <v>7.8</v>
      </c>
      <c r="R218">
        <v>37.4</v>
      </c>
      <c r="S218" t="s">
        <v>31</v>
      </c>
      <c r="T218" t="s">
        <v>31</v>
      </c>
      <c r="U218" t="s">
        <v>31</v>
      </c>
      <c r="V218" t="s">
        <v>31</v>
      </c>
      <c r="W218" t="s">
        <v>31</v>
      </c>
      <c r="X218" t="s">
        <v>129</v>
      </c>
      <c r="Y218" t="s">
        <v>91</v>
      </c>
      <c r="Z218">
        <v>40.89611</v>
      </c>
      <c r="AA218">
        <v>-104.87444000000001</v>
      </c>
      <c r="AB218">
        <v>0.22450000000000001</v>
      </c>
    </row>
    <row r="219" spans="1:28" x14ac:dyDescent="0.2">
      <c r="A219">
        <v>44</v>
      </c>
      <c r="B219">
        <v>1</v>
      </c>
      <c r="C219" t="s">
        <v>130</v>
      </c>
      <c r="D219">
        <v>2006</v>
      </c>
      <c r="E219">
        <v>2.5</v>
      </c>
      <c r="F219">
        <v>4</v>
      </c>
      <c r="G219" t="s">
        <v>31</v>
      </c>
      <c r="H219">
        <v>197</v>
      </c>
      <c r="J219" s="2">
        <f t="shared" si="10"/>
        <v>78.922081294000009</v>
      </c>
      <c r="K219">
        <v>4</v>
      </c>
      <c r="L219">
        <v>163</v>
      </c>
      <c r="N219" s="2">
        <f t="shared" si="11"/>
        <v>78.036665812999999</v>
      </c>
      <c r="O219">
        <v>12</v>
      </c>
      <c r="P219">
        <v>13</v>
      </c>
      <c r="Q219">
        <v>7.8</v>
      </c>
      <c r="R219">
        <v>37.4</v>
      </c>
      <c r="S219" t="s">
        <v>31</v>
      </c>
      <c r="T219" t="s">
        <v>31</v>
      </c>
      <c r="U219" t="s">
        <v>31</v>
      </c>
      <c r="V219" t="s">
        <v>31</v>
      </c>
      <c r="W219" t="s">
        <v>29</v>
      </c>
      <c r="X219" t="s">
        <v>129</v>
      </c>
      <c r="Y219" t="s">
        <v>91</v>
      </c>
      <c r="Z219">
        <v>40.89611</v>
      </c>
      <c r="AA219">
        <v>-104.87444000000001</v>
      </c>
      <c r="AB219">
        <v>0.22450000000000001</v>
      </c>
    </row>
    <row r="220" spans="1:28" x14ac:dyDescent="0.2">
      <c r="A220">
        <v>44</v>
      </c>
      <c r="B220">
        <v>2</v>
      </c>
      <c r="C220" t="s">
        <v>130</v>
      </c>
      <c r="D220">
        <v>2006</v>
      </c>
      <c r="E220">
        <v>5</v>
      </c>
      <c r="F220">
        <v>4</v>
      </c>
      <c r="G220" t="s">
        <v>31</v>
      </c>
      <c r="H220">
        <v>206</v>
      </c>
      <c r="J220" s="2">
        <f t="shared" si="10"/>
        <v>82.52765861200001</v>
      </c>
      <c r="K220">
        <v>4</v>
      </c>
      <c r="L220">
        <v>163</v>
      </c>
      <c r="N220" s="2">
        <f t="shared" si="11"/>
        <v>78.036665812999999</v>
      </c>
      <c r="O220">
        <v>12</v>
      </c>
      <c r="P220">
        <v>13</v>
      </c>
      <c r="Q220">
        <v>7.8</v>
      </c>
      <c r="R220">
        <v>37.4</v>
      </c>
      <c r="S220" t="s">
        <v>31</v>
      </c>
      <c r="T220" t="s">
        <v>31</v>
      </c>
      <c r="U220" t="s">
        <v>31</v>
      </c>
      <c r="V220" t="s">
        <v>31</v>
      </c>
      <c r="W220" t="s">
        <v>29</v>
      </c>
      <c r="X220" t="s">
        <v>129</v>
      </c>
      <c r="Y220" t="s">
        <v>91</v>
      </c>
      <c r="Z220">
        <v>40.89611</v>
      </c>
      <c r="AA220">
        <v>-104.87444000000001</v>
      </c>
      <c r="AB220">
        <v>0.22450000000000001</v>
      </c>
    </row>
    <row r="221" spans="1:28" x14ac:dyDescent="0.2">
      <c r="A221">
        <v>44</v>
      </c>
      <c r="B221">
        <v>3</v>
      </c>
      <c r="C221" t="s">
        <v>130</v>
      </c>
      <c r="D221">
        <v>2006</v>
      </c>
      <c r="E221">
        <v>10</v>
      </c>
      <c r="F221">
        <v>4</v>
      </c>
      <c r="G221" t="s">
        <v>31</v>
      </c>
      <c r="H221">
        <v>241</v>
      </c>
      <c r="J221" s="2">
        <f t="shared" si="10"/>
        <v>96.549348182000003</v>
      </c>
      <c r="K221">
        <v>4</v>
      </c>
      <c r="L221">
        <v>163</v>
      </c>
      <c r="N221" s="2">
        <f t="shared" si="11"/>
        <v>78.036665812999999</v>
      </c>
      <c r="O221">
        <v>12</v>
      </c>
      <c r="P221">
        <v>13</v>
      </c>
      <c r="Q221">
        <v>7.8</v>
      </c>
      <c r="R221">
        <v>37.4</v>
      </c>
      <c r="S221" t="s">
        <v>31</v>
      </c>
      <c r="T221" t="s">
        <v>31</v>
      </c>
      <c r="U221" t="s">
        <v>31</v>
      </c>
      <c r="V221" t="s">
        <v>31</v>
      </c>
      <c r="W221" t="s">
        <v>29</v>
      </c>
      <c r="X221" t="s">
        <v>129</v>
      </c>
      <c r="Y221" t="s">
        <v>91</v>
      </c>
      <c r="Z221">
        <v>40.89611</v>
      </c>
      <c r="AA221">
        <v>-104.87444000000001</v>
      </c>
      <c r="AB221">
        <v>0.22450000000000001</v>
      </c>
    </row>
    <row r="222" spans="1:28" x14ac:dyDescent="0.2">
      <c r="A222">
        <v>44</v>
      </c>
      <c r="B222">
        <v>4</v>
      </c>
      <c r="C222" t="s">
        <v>130</v>
      </c>
      <c r="D222">
        <v>2006</v>
      </c>
      <c r="E222">
        <v>21</v>
      </c>
      <c r="F222">
        <v>4</v>
      </c>
      <c r="G222" t="s">
        <v>31</v>
      </c>
      <c r="H222">
        <v>268</v>
      </c>
      <c r="J222" s="2">
        <f t="shared" si="10"/>
        <v>107.36608013600001</v>
      </c>
      <c r="K222">
        <v>4</v>
      </c>
      <c r="L222">
        <v>163</v>
      </c>
      <c r="N222" s="2">
        <f t="shared" si="11"/>
        <v>78.036665812999999</v>
      </c>
      <c r="O222">
        <v>12</v>
      </c>
      <c r="P222">
        <v>13</v>
      </c>
      <c r="Q222">
        <v>7.8</v>
      </c>
      <c r="R222">
        <v>37.4</v>
      </c>
      <c r="S222" t="s">
        <v>31</v>
      </c>
      <c r="T222" t="s">
        <v>31</v>
      </c>
      <c r="U222" t="s">
        <v>31</v>
      </c>
      <c r="V222" t="s">
        <v>31</v>
      </c>
      <c r="W222" t="s">
        <v>29</v>
      </c>
      <c r="X222" t="s">
        <v>129</v>
      </c>
      <c r="Y222" t="s">
        <v>91</v>
      </c>
      <c r="Z222">
        <v>40.89611</v>
      </c>
      <c r="AA222">
        <v>-104.87444000000001</v>
      </c>
      <c r="AB222">
        <v>0.22450000000000001</v>
      </c>
    </row>
    <row r="223" spans="1:28" x14ac:dyDescent="0.2">
      <c r="A223">
        <v>44</v>
      </c>
      <c r="B223">
        <v>5</v>
      </c>
      <c r="C223" t="s">
        <v>130</v>
      </c>
      <c r="D223">
        <v>2006</v>
      </c>
      <c r="E223">
        <v>30</v>
      </c>
      <c r="F223">
        <v>4</v>
      </c>
      <c r="G223" t="s">
        <v>31</v>
      </c>
      <c r="H223">
        <v>245</v>
      </c>
      <c r="J223" s="2">
        <f t="shared" si="10"/>
        <v>98.151826990000004</v>
      </c>
      <c r="K223">
        <v>4</v>
      </c>
      <c r="L223">
        <v>163</v>
      </c>
      <c r="N223" s="2">
        <f t="shared" si="11"/>
        <v>78.036665812999999</v>
      </c>
      <c r="O223">
        <v>12</v>
      </c>
      <c r="P223">
        <v>13</v>
      </c>
      <c r="Q223">
        <v>7.8</v>
      </c>
      <c r="R223">
        <v>37.4</v>
      </c>
      <c r="S223" t="s">
        <v>31</v>
      </c>
      <c r="T223" t="s">
        <v>31</v>
      </c>
      <c r="U223" t="s">
        <v>31</v>
      </c>
      <c r="V223" t="s">
        <v>31</v>
      </c>
      <c r="W223" t="s">
        <v>29</v>
      </c>
      <c r="X223" t="s">
        <v>129</v>
      </c>
      <c r="Y223" t="s">
        <v>91</v>
      </c>
      <c r="Z223">
        <v>40.89611</v>
      </c>
      <c r="AA223">
        <v>-104.87444000000001</v>
      </c>
      <c r="AB223">
        <v>0.22450000000000001</v>
      </c>
    </row>
    <row r="224" spans="1:28" x14ac:dyDescent="0.2">
      <c r="A224">
        <v>44</v>
      </c>
      <c r="B224">
        <v>6</v>
      </c>
      <c r="C224" t="s">
        <v>130</v>
      </c>
      <c r="D224">
        <v>2006</v>
      </c>
      <c r="E224">
        <v>2.5</v>
      </c>
      <c r="F224">
        <v>4</v>
      </c>
      <c r="G224" t="s">
        <v>31</v>
      </c>
      <c r="H224">
        <v>44.8</v>
      </c>
      <c r="J224" s="2">
        <f t="shared" si="10"/>
        <v>17.947762649600001</v>
      </c>
      <c r="K224">
        <v>4</v>
      </c>
      <c r="L224">
        <v>43.2</v>
      </c>
      <c r="N224" s="2">
        <f t="shared" si="11"/>
        <v>20.682110203200004</v>
      </c>
      <c r="O224">
        <v>13</v>
      </c>
      <c r="P224">
        <v>14</v>
      </c>
      <c r="Q224">
        <v>7.8</v>
      </c>
      <c r="R224">
        <v>37.4</v>
      </c>
      <c r="S224" t="s">
        <v>31</v>
      </c>
      <c r="T224" t="s">
        <v>31</v>
      </c>
      <c r="U224" t="s">
        <v>31</v>
      </c>
      <c r="V224" t="s">
        <v>31</v>
      </c>
      <c r="W224" t="s">
        <v>31</v>
      </c>
      <c r="X224" t="s">
        <v>129</v>
      </c>
      <c r="Y224" t="s">
        <v>91</v>
      </c>
      <c r="Z224">
        <v>40.89611</v>
      </c>
      <c r="AA224">
        <v>-104.87444000000001</v>
      </c>
      <c r="AB224">
        <v>0.22450000000000001</v>
      </c>
    </row>
    <row r="225" spans="1:28" x14ac:dyDescent="0.2">
      <c r="A225">
        <v>44</v>
      </c>
      <c r="B225">
        <v>7</v>
      </c>
      <c r="C225" t="s">
        <v>130</v>
      </c>
      <c r="D225">
        <v>2006</v>
      </c>
      <c r="E225">
        <v>5</v>
      </c>
      <c r="F225">
        <v>4</v>
      </c>
      <c r="G225" t="s">
        <v>31</v>
      </c>
      <c r="H225">
        <v>37</v>
      </c>
      <c r="J225" s="2">
        <f t="shared" si="10"/>
        <v>14.822928974000002</v>
      </c>
      <c r="K225">
        <v>4</v>
      </c>
      <c r="L225">
        <v>43.2</v>
      </c>
      <c r="N225" s="2">
        <f t="shared" si="11"/>
        <v>20.682110203200004</v>
      </c>
      <c r="O225">
        <v>13</v>
      </c>
      <c r="P225">
        <v>14</v>
      </c>
      <c r="Q225">
        <v>7.8</v>
      </c>
      <c r="R225">
        <v>37.4</v>
      </c>
      <c r="S225" t="s">
        <v>31</v>
      </c>
      <c r="T225" t="s">
        <v>31</v>
      </c>
      <c r="U225" t="s">
        <v>31</v>
      </c>
      <c r="V225" t="s">
        <v>31</v>
      </c>
      <c r="W225" t="s">
        <v>31</v>
      </c>
      <c r="X225" t="s">
        <v>129</v>
      </c>
      <c r="Y225" t="s">
        <v>91</v>
      </c>
      <c r="Z225">
        <v>40.89611</v>
      </c>
      <c r="AA225">
        <v>-104.87444000000001</v>
      </c>
      <c r="AB225">
        <v>0.22450000000000001</v>
      </c>
    </row>
    <row r="226" spans="1:28" x14ac:dyDescent="0.2">
      <c r="A226">
        <v>44</v>
      </c>
      <c r="B226">
        <v>8</v>
      </c>
      <c r="C226" t="s">
        <v>130</v>
      </c>
      <c r="D226">
        <v>2006</v>
      </c>
      <c r="E226">
        <v>10</v>
      </c>
      <c r="F226">
        <v>4</v>
      </c>
      <c r="G226" t="s">
        <v>31</v>
      </c>
      <c r="H226">
        <v>38.799999999999997</v>
      </c>
      <c r="J226" s="2">
        <f t="shared" si="10"/>
        <v>15.5440444376</v>
      </c>
      <c r="K226">
        <v>4</v>
      </c>
      <c r="L226">
        <v>43.2</v>
      </c>
      <c r="N226" s="2">
        <f t="shared" si="11"/>
        <v>20.682110203200004</v>
      </c>
      <c r="O226">
        <v>13</v>
      </c>
      <c r="P226">
        <v>14</v>
      </c>
      <c r="Q226">
        <v>7.8</v>
      </c>
      <c r="R226">
        <v>37.4</v>
      </c>
      <c r="S226" t="s">
        <v>31</v>
      </c>
      <c r="T226" t="s">
        <v>31</v>
      </c>
      <c r="U226" t="s">
        <v>31</v>
      </c>
      <c r="V226" t="s">
        <v>31</v>
      </c>
      <c r="W226" t="s">
        <v>31</v>
      </c>
      <c r="X226" t="s">
        <v>129</v>
      </c>
      <c r="Y226" t="s">
        <v>91</v>
      </c>
      <c r="Z226">
        <v>40.89611</v>
      </c>
      <c r="AA226">
        <v>-104.87444000000001</v>
      </c>
      <c r="AB226">
        <v>0.22450000000000001</v>
      </c>
    </row>
    <row r="227" spans="1:28" x14ac:dyDescent="0.2">
      <c r="A227">
        <v>44</v>
      </c>
      <c r="B227">
        <v>9</v>
      </c>
      <c r="C227" t="s">
        <v>130</v>
      </c>
      <c r="D227">
        <v>2006</v>
      </c>
      <c r="E227">
        <v>21</v>
      </c>
      <c r="F227">
        <v>4</v>
      </c>
      <c r="G227" t="s">
        <v>31</v>
      </c>
      <c r="H227">
        <v>45</v>
      </c>
      <c r="J227" s="2">
        <f t="shared" si="10"/>
        <v>18.027886590000001</v>
      </c>
      <c r="K227">
        <v>4</v>
      </c>
      <c r="L227">
        <v>43.2</v>
      </c>
      <c r="N227" s="2">
        <f t="shared" si="11"/>
        <v>20.682110203200004</v>
      </c>
      <c r="O227">
        <v>13</v>
      </c>
      <c r="P227">
        <v>14</v>
      </c>
      <c r="Q227">
        <v>7.8</v>
      </c>
      <c r="R227">
        <v>37.4</v>
      </c>
      <c r="S227" t="s">
        <v>31</v>
      </c>
      <c r="T227" t="s">
        <v>31</v>
      </c>
      <c r="U227" t="s">
        <v>31</v>
      </c>
      <c r="V227" t="s">
        <v>31</v>
      </c>
      <c r="W227" t="s">
        <v>31</v>
      </c>
      <c r="X227" t="s">
        <v>129</v>
      </c>
      <c r="Y227" t="s">
        <v>91</v>
      </c>
      <c r="Z227">
        <v>40.89611</v>
      </c>
      <c r="AA227">
        <v>-104.87444000000001</v>
      </c>
      <c r="AB227">
        <v>0.22450000000000001</v>
      </c>
    </row>
    <row r="228" spans="1:28" x14ac:dyDescent="0.2">
      <c r="A228">
        <v>44</v>
      </c>
      <c r="B228">
        <v>10</v>
      </c>
      <c r="C228" t="s">
        <v>130</v>
      </c>
      <c r="D228">
        <v>2006</v>
      </c>
      <c r="E228">
        <v>30</v>
      </c>
      <c r="F228">
        <v>4</v>
      </c>
      <c r="G228" t="s">
        <v>31</v>
      </c>
      <c r="H228">
        <v>43.2</v>
      </c>
      <c r="J228" s="2">
        <f t="shared" si="10"/>
        <v>17.306771126400001</v>
      </c>
      <c r="K228">
        <v>4</v>
      </c>
      <c r="L228">
        <v>43.2</v>
      </c>
      <c r="N228" s="2">
        <f t="shared" si="11"/>
        <v>20.682110203200004</v>
      </c>
      <c r="O228">
        <v>13</v>
      </c>
      <c r="P228">
        <v>14</v>
      </c>
      <c r="Q228">
        <v>7.8</v>
      </c>
      <c r="R228">
        <v>37.4</v>
      </c>
      <c r="S228" t="s">
        <v>31</v>
      </c>
      <c r="T228" t="s">
        <v>31</v>
      </c>
      <c r="U228" t="s">
        <v>31</v>
      </c>
      <c r="V228" t="s">
        <v>31</v>
      </c>
      <c r="W228" t="s">
        <v>31</v>
      </c>
      <c r="X228" t="s">
        <v>129</v>
      </c>
      <c r="Y228" t="s">
        <v>91</v>
      </c>
      <c r="Z228">
        <v>40.89611</v>
      </c>
      <c r="AA228">
        <v>-104.87444000000001</v>
      </c>
      <c r="AB228">
        <v>0.22450000000000001</v>
      </c>
    </row>
    <row r="229" spans="1:28" x14ac:dyDescent="0.2">
      <c r="A229">
        <v>45</v>
      </c>
      <c r="B229">
        <v>1</v>
      </c>
      <c r="C229" t="s">
        <v>131</v>
      </c>
      <c r="D229">
        <v>2008</v>
      </c>
      <c r="E229">
        <v>2.9</v>
      </c>
      <c r="F229">
        <v>6</v>
      </c>
      <c r="G229" t="s">
        <v>49</v>
      </c>
      <c r="H229">
        <v>69.3</v>
      </c>
      <c r="I229">
        <v>72.5</v>
      </c>
      <c r="J229">
        <v>72.5</v>
      </c>
      <c r="K229">
        <v>6</v>
      </c>
      <c r="L229">
        <v>9.5</v>
      </c>
      <c r="M229">
        <v>12</v>
      </c>
      <c r="N229">
        <v>12</v>
      </c>
      <c r="O229">
        <v>2</v>
      </c>
      <c r="P229">
        <v>3</v>
      </c>
      <c r="Q229">
        <v>10.1</v>
      </c>
      <c r="R229">
        <v>27.8</v>
      </c>
      <c r="S229" t="s">
        <v>31</v>
      </c>
      <c r="T229" t="s">
        <v>31</v>
      </c>
      <c r="U229" t="s">
        <v>31</v>
      </c>
      <c r="V229" t="s">
        <v>31</v>
      </c>
      <c r="W229" t="s">
        <v>31</v>
      </c>
      <c r="X229" t="s">
        <v>132</v>
      </c>
      <c r="Y229" t="s">
        <v>91</v>
      </c>
      <c r="Z229">
        <v>40.451659999999997</v>
      </c>
      <c r="AA229">
        <v>-112.745</v>
      </c>
      <c r="AB229">
        <v>0.13569999999999999</v>
      </c>
    </row>
    <row r="230" spans="1:28" x14ac:dyDescent="0.2">
      <c r="A230">
        <v>45</v>
      </c>
      <c r="B230">
        <v>2</v>
      </c>
      <c r="C230" t="s">
        <v>131</v>
      </c>
      <c r="D230">
        <v>2008</v>
      </c>
      <c r="E230">
        <v>14.3</v>
      </c>
      <c r="F230">
        <v>6</v>
      </c>
      <c r="G230" t="s">
        <v>49</v>
      </c>
      <c r="H230">
        <v>63.1</v>
      </c>
      <c r="I230">
        <v>44</v>
      </c>
      <c r="J230">
        <v>44</v>
      </c>
      <c r="K230">
        <v>6</v>
      </c>
      <c r="L230">
        <v>9.5</v>
      </c>
      <c r="M230">
        <v>72.5</v>
      </c>
      <c r="N230">
        <v>72.5</v>
      </c>
      <c r="O230">
        <v>2</v>
      </c>
      <c r="P230">
        <v>3</v>
      </c>
      <c r="Q230">
        <v>10.1</v>
      </c>
      <c r="R230">
        <v>27.8</v>
      </c>
      <c r="S230" t="s">
        <v>31</v>
      </c>
      <c r="T230" t="s">
        <v>31</v>
      </c>
      <c r="U230" t="s">
        <v>31</v>
      </c>
      <c r="V230" t="s">
        <v>31</v>
      </c>
      <c r="W230" t="s">
        <v>31</v>
      </c>
      <c r="X230" t="s">
        <v>132</v>
      </c>
      <c r="Y230" t="s">
        <v>91</v>
      </c>
      <c r="Z230">
        <v>40.451659999999997</v>
      </c>
      <c r="AA230">
        <v>-112.745</v>
      </c>
      <c r="AB230">
        <v>0.13569999999999999</v>
      </c>
    </row>
    <row r="231" spans="1:28" x14ac:dyDescent="0.2">
      <c r="A231">
        <v>45</v>
      </c>
      <c r="B231">
        <v>3</v>
      </c>
      <c r="C231" t="s">
        <v>131</v>
      </c>
      <c r="D231">
        <v>2008</v>
      </c>
      <c r="E231">
        <v>28.6</v>
      </c>
      <c r="F231">
        <v>6</v>
      </c>
      <c r="G231" t="s">
        <v>49</v>
      </c>
      <c r="H231">
        <v>42.3</v>
      </c>
      <c r="I231">
        <v>43.6</v>
      </c>
      <c r="J231">
        <v>43.6</v>
      </c>
      <c r="K231">
        <v>6</v>
      </c>
      <c r="L231">
        <v>9.5</v>
      </c>
      <c r="M231">
        <v>44</v>
      </c>
      <c r="N231">
        <v>44</v>
      </c>
      <c r="O231">
        <v>2</v>
      </c>
      <c r="P231">
        <v>3</v>
      </c>
      <c r="Q231">
        <v>10.1</v>
      </c>
      <c r="R231">
        <v>27.8</v>
      </c>
      <c r="S231" t="s">
        <v>31</v>
      </c>
      <c r="T231" t="s">
        <v>31</v>
      </c>
      <c r="U231" t="s">
        <v>31</v>
      </c>
      <c r="V231" t="s">
        <v>31</v>
      </c>
      <c r="W231" t="s">
        <v>31</v>
      </c>
      <c r="X231" t="s">
        <v>132</v>
      </c>
      <c r="Y231" t="s">
        <v>91</v>
      </c>
      <c r="Z231">
        <v>40.451659999999997</v>
      </c>
      <c r="AA231">
        <v>-112.745</v>
      </c>
      <c r="AB231">
        <v>0.13569999999999999</v>
      </c>
    </row>
    <row r="232" spans="1:28" x14ac:dyDescent="0.2">
      <c r="A232">
        <v>45</v>
      </c>
      <c r="B232">
        <v>4</v>
      </c>
      <c r="C232" t="s">
        <v>131</v>
      </c>
      <c r="D232">
        <v>2008</v>
      </c>
      <c r="E232">
        <v>57.1</v>
      </c>
      <c r="F232">
        <v>6</v>
      </c>
      <c r="G232" t="s">
        <v>49</v>
      </c>
      <c r="H232">
        <v>53.8</v>
      </c>
      <c r="I232">
        <v>57.7</v>
      </c>
      <c r="J232">
        <v>57.7</v>
      </c>
      <c r="K232">
        <v>6</v>
      </c>
      <c r="L232">
        <v>9.5</v>
      </c>
      <c r="M232">
        <v>43.6</v>
      </c>
      <c r="N232">
        <v>43.6</v>
      </c>
      <c r="O232">
        <v>2</v>
      </c>
      <c r="P232">
        <v>3</v>
      </c>
      <c r="Q232">
        <v>10.1</v>
      </c>
      <c r="R232">
        <v>27.8</v>
      </c>
      <c r="S232" t="s">
        <v>31</v>
      </c>
      <c r="T232" t="s">
        <v>31</v>
      </c>
      <c r="U232" t="s">
        <v>31</v>
      </c>
      <c r="V232" t="s">
        <v>31</v>
      </c>
      <c r="W232" t="s">
        <v>31</v>
      </c>
      <c r="X232" t="s">
        <v>132</v>
      </c>
      <c r="Y232" t="s">
        <v>91</v>
      </c>
      <c r="Z232">
        <v>40.451659999999997</v>
      </c>
      <c r="AA232">
        <v>-112.745</v>
      </c>
      <c r="AB232">
        <v>0.13569999999999999</v>
      </c>
    </row>
    <row r="233" spans="1:28" x14ac:dyDescent="0.2">
      <c r="A233">
        <v>45</v>
      </c>
      <c r="B233">
        <v>5</v>
      </c>
      <c r="C233" t="s">
        <v>131</v>
      </c>
      <c r="D233">
        <v>2008</v>
      </c>
      <c r="E233">
        <v>3.4</v>
      </c>
      <c r="F233">
        <v>6</v>
      </c>
      <c r="G233" t="s">
        <v>49</v>
      </c>
      <c r="H233">
        <v>47.7</v>
      </c>
      <c r="I233">
        <v>65.2</v>
      </c>
      <c r="J233">
        <v>65.2</v>
      </c>
      <c r="K233">
        <v>6</v>
      </c>
      <c r="L233">
        <v>9.5</v>
      </c>
      <c r="M233">
        <v>57.7</v>
      </c>
      <c r="N233">
        <v>57.7</v>
      </c>
      <c r="O233">
        <v>2</v>
      </c>
      <c r="P233">
        <v>3</v>
      </c>
      <c r="Q233">
        <v>10.1</v>
      </c>
      <c r="R233">
        <v>27.8</v>
      </c>
      <c r="S233" t="s">
        <v>31</v>
      </c>
      <c r="T233" t="s">
        <v>31</v>
      </c>
      <c r="U233" t="s">
        <v>31</v>
      </c>
      <c r="V233" t="s">
        <v>31</v>
      </c>
      <c r="W233" t="s">
        <v>31</v>
      </c>
      <c r="X233" t="s">
        <v>132</v>
      </c>
      <c r="Y233" t="s">
        <v>91</v>
      </c>
      <c r="Z233">
        <v>40.451659999999997</v>
      </c>
      <c r="AA233">
        <v>-112.745</v>
      </c>
      <c r="AB233">
        <v>0.13569999999999999</v>
      </c>
    </row>
    <row r="234" spans="1:28" x14ac:dyDescent="0.2">
      <c r="A234">
        <v>45</v>
      </c>
      <c r="B234">
        <v>6</v>
      </c>
      <c r="C234" t="s">
        <v>131</v>
      </c>
      <c r="D234">
        <v>2008</v>
      </c>
      <c r="E234">
        <v>17.2</v>
      </c>
      <c r="F234">
        <v>6</v>
      </c>
      <c r="G234" t="s">
        <v>49</v>
      </c>
      <c r="H234">
        <v>39.799999999999997</v>
      </c>
      <c r="I234">
        <v>61.8</v>
      </c>
      <c r="J234">
        <v>61.8</v>
      </c>
      <c r="K234">
        <v>6</v>
      </c>
      <c r="L234">
        <v>9.5</v>
      </c>
      <c r="M234">
        <v>65.2</v>
      </c>
      <c r="N234">
        <v>65.2</v>
      </c>
      <c r="O234">
        <v>2</v>
      </c>
      <c r="P234">
        <v>3</v>
      </c>
      <c r="Q234">
        <v>10.1</v>
      </c>
      <c r="R234">
        <v>27.8</v>
      </c>
      <c r="S234" t="s">
        <v>31</v>
      </c>
      <c r="T234" t="s">
        <v>31</v>
      </c>
      <c r="U234" t="s">
        <v>31</v>
      </c>
      <c r="V234" t="s">
        <v>31</v>
      </c>
      <c r="W234" t="s">
        <v>31</v>
      </c>
      <c r="X234" t="s">
        <v>132</v>
      </c>
      <c r="Y234" t="s">
        <v>91</v>
      </c>
      <c r="Z234">
        <v>40.451659999999997</v>
      </c>
      <c r="AA234">
        <v>-112.745</v>
      </c>
      <c r="AB234">
        <v>0.13569999999999999</v>
      </c>
    </row>
    <row r="235" spans="1:28" x14ac:dyDescent="0.2">
      <c r="A235">
        <v>45</v>
      </c>
      <c r="B235">
        <v>7</v>
      </c>
      <c r="C235" t="s">
        <v>131</v>
      </c>
      <c r="D235">
        <v>2008</v>
      </c>
      <c r="E235">
        <v>34.4</v>
      </c>
      <c r="F235">
        <v>6</v>
      </c>
      <c r="G235" t="s">
        <v>49</v>
      </c>
      <c r="H235">
        <v>55</v>
      </c>
      <c r="I235">
        <v>48.8</v>
      </c>
      <c r="J235">
        <v>48.8</v>
      </c>
      <c r="K235">
        <v>6</v>
      </c>
      <c r="L235">
        <v>9.5</v>
      </c>
      <c r="M235">
        <v>61.8</v>
      </c>
      <c r="N235">
        <v>61.8</v>
      </c>
      <c r="O235">
        <v>2</v>
      </c>
      <c r="P235">
        <v>3</v>
      </c>
      <c r="Q235">
        <v>10.1</v>
      </c>
      <c r="R235">
        <v>27.8</v>
      </c>
      <c r="S235" t="s">
        <v>31</v>
      </c>
      <c r="T235" t="s">
        <v>31</v>
      </c>
      <c r="U235" t="s">
        <v>31</v>
      </c>
      <c r="V235" t="s">
        <v>31</v>
      </c>
      <c r="W235" t="s">
        <v>31</v>
      </c>
      <c r="X235" t="s">
        <v>132</v>
      </c>
      <c r="Y235" t="s">
        <v>91</v>
      </c>
      <c r="Z235">
        <v>40.451659999999997</v>
      </c>
      <c r="AA235">
        <v>-112.745</v>
      </c>
      <c r="AB235">
        <v>0.13569999999999999</v>
      </c>
    </row>
    <row r="236" spans="1:28" x14ac:dyDescent="0.2">
      <c r="A236">
        <v>45</v>
      </c>
      <c r="B236">
        <v>8</v>
      </c>
      <c r="C236" t="s">
        <v>131</v>
      </c>
      <c r="D236">
        <v>2008</v>
      </c>
      <c r="E236">
        <v>68.8</v>
      </c>
      <c r="F236">
        <v>6</v>
      </c>
      <c r="G236" t="s">
        <v>49</v>
      </c>
      <c r="H236">
        <v>74.900000000000006</v>
      </c>
      <c r="I236">
        <v>64.599999999999994</v>
      </c>
      <c r="J236">
        <v>64.599999999999994</v>
      </c>
      <c r="K236">
        <v>6</v>
      </c>
      <c r="L236">
        <v>9.5</v>
      </c>
      <c r="M236">
        <v>48.8</v>
      </c>
      <c r="N236">
        <v>48.8</v>
      </c>
      <c r="O236">
        <v>2</v>
      </c>
      <c r="P236">
        <v>3</v>
      </c>
      <c r="Q236">
        <v>10.1</v>
      </c>
      <c r="R236">
        <v>27.8</v>
      </c>
      <c r="S236" t="s">
        <v>31</v>
      </c>
      <c r="T236" t="s">
        <v>31</v>
      </c>
      <c r="U236" t="s">
        <v>31</v>
      </c>
      <c r="V236" t="s">
        <v>31</v>
      </c>
      <c r="W236" t="s">
        <v>31</v>
      </c>
      <c r="X236" t="s">
        <v>132</v>
      </c>
      <c r="Y236" t="s">
        <v>91</v>
      </c>
      <c r="Z236">
        <v>40.451659999999997</v>
      </c>
      <c r="AA236">
        <v>-112.745</v>
      </c>
      <c r="AB236">
        <v>0.13569999999999999</v>
      </c>
    </row>
    <row r="237" spans="1:28" x14ac:dyDescent="0.2">
      <c r="A237">
        <v>45</v>
      </c>
      <c r="B237">
        <v>9</v>
      </c>
      <c r="C237" t="s">
        <v>131</v>
      </c>
      <c r="D237">
        <v>2008</v>
      </c>
      <c r="E237">
        <v>19.7</v>
      </c>
      <c r="F237">
        <v>6</v>
      </c>
      <c r="G237" t="s">
        <v>49</v>
      </c>
      <c r="H237">
        <v>44.6</v>
      </c>
      <c r="I237">
        <v>19.2</v>
      </c>
      <c r="J237">
        <v>19.2</v>
      </c>
      <c r="K237">
        <v>6</v>
      </c>
      <c r="L237">
        <v>9.5</v>
      </c>
      <c r="M237">
        <v>64.599999999999994</v>
      </c>
      <c r="N237">
        <v>64.599999999999994</v>
      </c>
      <c r="O237">
        <v>2</v>
      </c>
      <c r="P237">
        <v>3</v>
      </c>
      <c r="Q237">
        <v>10.1</v>
      </c>
      <c r="R237">
        <v>27.8</v>
      </c>
      <c r="S237" t="s">
        <v>29</v>
      </c>
      <c r="T237" t="s">
        <v>31</v>
      </c>
      <c r="U237" t="s">
        <v>31</v>
      </c>
      <c r="V237" t="s">
        <v>31</v>
      </c>
      <c r="W237" t="s">
        <v>31</v>
      </c>
      <c r="X237" t="s">
        <v>132</v>
      </c>
      <c r="Y237" t="s">
        <v>91</v>
      </c>
      <c r="Z237">
        <v>40.451659999999997</v>
      </c>
      <c r="AA237">
        <v>-112.745</v>
      </c>
      <c r="AB237">
        <v>0.13569999999999999</v>
      </c>
    </row>
    <row r="238" spans="1:28" x14ac:dyDescent="0.2">
      <c r="A238">
        <v>45</v>
      </c>
      <c r="B238">
        <v>10</v>
      </c>
      <c r="C238" t="s">
        <v>131</v>
      </c>
      <c r="D238">
        <v>2008</v>
      </c>
      <c r="E238">
        <v>98.6</v>
      </c>
      <c r="F238">
        <v>6</v>
      </c>
      <c r="G238" t="s">
        <v>49</v>
      </c>
      <c r="H238">
        <v>20.7</v>
      </c>
      <c r="I238">
        <v>22.7</v>
      </c>
      <c r="J238">
        <v>22.7</v>
      </c>
      <c r="K238">
        <v>6</v>
      </c>
      <c r="L238">
        <v>9.5</v>
      </c>
      <c r="M238">
        <v>19.2</v>
      </c>
      <c r="N238">
        <v>19.2</v>
      </c>
      <c r="O238">
        <v>2</v>
      </c>
      <c r="P238">
        <v>3</v>
      </c>
      <c r="Q238">
        <v>10.1</v>
      </c>
      <c r="R238">
        <v>27.8</v>
      </c>
      <c r="S238" t="s">
        <v>29</v>
      </c>
      <c r="T238" t="s">
        <v>31</v>
      </c>
      <c r="U238" t="s">
        <v>31</v>
      </c>
      <c r="V238" t="s">
        <v>31</v>
      </c>
      <c r="W238" t="s">
        <v>31</v>
      </c>
      <c r="X238" t="s">
        <v>132</v>
      </c>
      <c r="Y238" t="s">
        <v>91</v>
      </c>
      <c r="Z238">
        <v>40.451659999999997</v>
      </c>
      <c r="AA238">
        <v>-112.745</v>
      </c>
      <c r="AB238">
        <v>0.13569999999999999</v>
      </c>
    </row>
    <row r="239" spans="1:28" x14ac:dyDescent="0.2">
      <c r="A239">
        <v>45</v>
      </c>
      <c r="B239">
        <v>11</v>
      </c>
      <c r="C239" t="s">
        <v>131</v>
      </c>
      <c r="D239">
        <v>2008</v>
      </c>
      <c r="E239">
        <v>297.3</v>
      </c>
      <c r="F239">
        <v>6</v>
      </c>
      <c r="G239" t="s">
        <v>49</v>
      </c>
      <c r="H239">
        <v>14.9</v>
      </c>
      <c r="I239">
        <v>15.1</v>
      </c>
      <c r="J239">
        <v>15.1</v>
      </c>
      <c r="K239">
        <v>6</v>
      </c>
      <c r="L239">
        <v>9.5</v>
      </c>
      <c r="M239">
        <v>22.7</v>
      </c>
      <c r="N239">
        <v>22.7</v>
      </c>
      <c r="O239">
        <v>2</v>
      </c>
      <c r="P239">
        <v>3</v>
      </c>
      <c r="Q239">
        <v>10.1</v>
      </c>
      <c r="R239">
        <v>27.8</v>
      </c>
      <c r="S239" t="s">
        <v>29</v>
      </c>
      <c r="T239" t="s">
        <v>31</v>
      </c>
      <c r="U239" t="s">
        <v>31</v>
      </c>
      <c r="V239" t="s">
        <v>31</v>
      </c>
      <c r="W239" t="s">
        <v>31</v>
      </c>
      <c r="X239" t="s">
        <v>132</v>
      </c>
      <c r="Y239" t="s">
        <v>91</v>
      </c>
      <c r="Z239">
        <v>40.451659999999997</v>
      </c>
      <c r="AA239">
        <v>-112.745</v>
      </c>
      <c r="AB239">
        <v>0.13569999999999999</v>
      </c>
    </row>
    <row r="240" spans="1:28" x14ac:dyDescent="0.2">
      <c r="A240">
        <v>45</v>
      </c>
      <c r="B240">
        <v>12</v>
      </c>
      <c r="C240" t="s">
        <v>131</v>
      </c>
      <c r="D240">
        <v>2008</v>
      </c>
      <c r="E240">
        <v>2.9</v>
      </c>
      <c r="F240">
        <v>6</v>
      </c>
      <c r="G240" t="s">
        <v>49</v>
      </c>
      <c r="H240">
        <v>69</v>
      </c>
      <c r="I240">
        <v>95.5</v>
      </c>
      <c r="J240">
        <v>95.5</v>
      </c>
      <c r="K240">
        <v>6</v>
      </c>
      <c r="L240">
        <v>9.5</v>
      </c>
      <c r="M240">
        <v>12.4</v>
      </c>
      <c r="N240">
        <v>12.4</v>
      </c>
      <c r="O240">
        <v>3</v>
      </c>
      <c r="P240">
        <v>4</v>
      </c>
      <c r="Q240">
        <v>10.1</v>
      </c>
      <c r="R240">
        <v>27.8</v>
      </c>
      <c r="S240" t="s">
        <v>31</v>
      </c>
      <c r="T240" t="s">
        <v>31</v>
      </c>
      <c r="U240" t="s">
        <v>31</v>
      </c>
      <c r="V240" t="s">
        <v>31</v>
      </c>
      <c r="W240" t="s">
        <v>31</v>
      </c>
      <c r="X240" t="s">
        <v>132</v>
      </c>
      <c r="Y240" t="s">
        <v>91</v>
      </c>
      <c r="Z240">
        <v>40.451659999999997</v>
      </c>
      <c r="AA240">
        <v>-112.745</v>
      </c>
      <c r="AB240">
        <v>0.13569999999999999</v>
      </c>
    </row>
    <row r="241" spans="1:28" x14ac:dyDescent="0.2">
      <c r="A241">
        <v>45</v>
      </c>
      <c r="B241">
        <v>13</v>
      </c>
      <c r="C241" t="s">
        <v>131</v>
      </c>
      <c r="D241">
        <v>2008</v>
      </c>
      <c r="E241">
        <v>14.3</v>
      </c>
      <c r="F241">
        <v>6</v>
      </c>
      <c r="G241" t="s">
        <v>49</v>
      </c>
      <c r="H241">
        <v>63.1</v>
      </c>
      <c r="I241">
        <v>109.5</v>
      </c>
      <c r="J241">
        <v>109.5</v>
      </c>
      <c r="K241">
        <v>6</v>
      </c>
      <c r="L241">
        <v>9.5</v>
      </c>
      <c r="M241">
        <v>12.4</v>
      </c>
      <c r="N241">
        <v>12.4</v>
      </c>
      <c r="O241">
        <v>3</v>
      </c>
      <c r="P241">
        <v>4</v>
      </c>
      <c r="Q241">
        <v>10.1</v>
      </c>
      <c r="R241">
        <v>27.8</v>
      </c>
      <c r="S241" t="s">
        <v>31</v>
      </c>
      <c r="T241" t="s">
        <v>31</v>
      </c>
      <c r="U241" t="s">
        <v>31</v>
      </c>
      <c r="V241" t="s">
        <v>31</v>
      </c>
      <c r="W241" t="s">
        <v>31</v>
      </c>
      <c r="X241" t="s">
        <v>132</v>
      </c>
      <c r="Y241" t="s">
        <v>91</v>
      </c>
      <c r="Z241">
        <v>40.451659999999997</v>
      </c>
      <c r="AA241">
        <v>-112.745</v>
      </c>
      <c r="AB241">
        <v>0.13569999999999999</v>
      </c>
    </row>
    <row r="242" spans="1:28" x14ac:dyDescent="0.2">
      <c r="A242">
        <v>45</v>
      </c>
      <c r="B242">
        <v>14</v>
      </c>
      <c r="C242" t="s">
        <v>131</v>
      </c>
      <c r="D242">
        <v>2008</v>
      </c>
      <c r="E242">
        <v>28.6</v>
      </c>
      <c r="F242">
        <v>6</v>
      </c>
      <c r="G242" t="s">
        <v>49</v>
      </c>
      <c r="H242">
        <v>42.3</v>
      </c>
      <c r="I242">
        <v>59.1</v>
      </c>
      <c r="J242">
        <v>59.1</v>
      </c>
      <c r="K242">
        <v>6</v>
      </c>
      <c r="L242">
        <v>9.5</v>
      </c>
      <c r="M242">
        <v>12.4</v>
      </c>
      <c r="N242">
        <v>12.4</v>
      </c>
      <c r="O242">
        <v>3</v>
      </c>
      <c r="P242">
        <v>4</v>
      </c>
      <c r="Q242">
        <v>10.1</v>
      </c>
      <c r="R242">
        <v>27.8</v>
      </c>
      <c r="S242" t="s">
        <v>31</v>
      </c>
      <c r="T242" t="s">
        <v>31</v>
      </c>
      <c r="U242" t="s">
        <v>31</v>
      </c>
      <c r="V242" t="s">
        <v>31</v>
      </c>
      <c r="W242" t="s">
        <v>31</v>
      </c>
      <c r="X242" t="s">
        <v>132</v>
      </c>
      <c r="Y242" t="s">
        <v>91</v>
      </c>
      <c r="Z242">
        <v>40.451659999999997</v>
      </c>
      <c r="AA242">
        <v>-112.745</v>
      </c>
      <c r="AB242">
        <v>0.13569999999999999</v>
      </c>
    </row>
    <row r="243" spans="1:28" x14ac:dyDescent="0.2">
      <c r="A243">
        <v>45</v>
      </c>
      <c r="B243">
        <v>15</v>
      </c>
      <c r="C243" t="s">
        <v>131</v>
      </c>
      <c r="D243">
        <v>2008</v>
      </c>
      <c r="E243">
        <v>57.1</v>
      </c>
      <c r="F243">
        <v>6</v>
      </c>
      <c r="G243" t="s">
        <v>49</v>
      </c>
      <c r="H243">
        <v>53.8</v>
      </c>
      <c r="I243">
        <v>73.5</v>
      </c>
      <c r="J243">
        <v>73.5</v>
      </c>
      <c r="K243">
        <v>6</v>
      </c>
      <c r="L243">
        <v>9.5</v>
      </c>
      <c r="M243">
        <v>12.4</v>
      </c>
      <c r="N243">
        <v>12.4</v>
      </c>
      <c r="O243">
        <v>3</v>
      </c>
      <c r="P243">
        <v>4</v>
      </c>
      <c r="Q243">
        <v>10.1</v>
      </c>
      <c r="R243">
        <v>27.8</v>
      </c>
      <c r="S243" t="s">
        <v>31</v>
      </c>
      <c r="T243" t="s">
        <v>31</v>
      </c>
      <c r="U243" t="s">
        <v>31</v>
      </c>
      <c r="V243" t="s">
        <v>31</v>
      </c>
      <c r="W243" t="s">
        <v>31</v>
      </c>
      <c r="X243" t="s">
        <v>132</v>
      </c>
      <c r="Y243" t="s">
        <v>91</v>
      </c>
      <c r="Z243">
        <v>40.451659999999997</v>
      </c>
      <c r="AA243">
        <v>-112.745</v>
      </c>
      <c r="AB243">
        <v>0.13569999999999999</v>
      </c>
    </row>
    <row r="244" spans="1:28" x14ac:dyDescent="0.2">
      <c r="A244">
        <v>45</v>
      </c>
      <c r="B244">
        <v>16</v>
      </c>
      <c r="C244" t="s">
        <v>131</v>
      </c>
      <c r="D244">
        <v>2008</v>
      </c>
      <c r="E244">
        <v>3.4</v>
      </c>
      <c r="F244">
        <v>6</v>
      </c>
      <c r="G244" t="s">
        <v>49</v>
      </c>
      <c r="H244">
        <v>47.7</v>
      </c>
      <c r="I244">
        <v>50.8</v>
      </c>
      <c r="J244">
        <v>50.8</v>
      </c>
      <c r="K244">
        <v>6</v>
      </c>
      <c r="L244">
        <v>9.5</v>
      </c>
      <c r="M244">
        <v>12.4</v>
      </c>
      <c r="N244">
        <v>12.4</v>
      </c>
      <c r="O244">
        <v>3</v>
      </c>
      <c r="P244">
        <v>4</v>
      </c>
      <c r="Q244">
        <v>10.1</v>
      </c>
      <c r="R244">
        <v>27.8</v>
      </c>
      <c r="S244" t="s">
        <v>31</v>
      </c>
      <c r="T244" t="s">
        <v>31</v>
      </c>
      <c r="U244" t="s">
        <v>31</v>
      </c>
      <c r="V244" t="s">
        <v>31</v>
      </c>
      <c r="W244" t="s">
        <v>31</v>
      </c>
      <c r="X244" t="s">
        <v>132</v>
      </c>
      <c r="Y244" t="s">
        <v>91</v>
      </c>
      <c r="Z244">
        <v>40.451659999999997</v>
      </c>
      <c r="AA244">
        <v>-112.745</v>
      </c>
      <c r="AB244">
        <v>0.13569999999999999</v>
      </c>
    </row>
    <row r="245" spans="1:28" x14ac:dyDescent="0.2">
      <c r="A245">
        <v>45</v>
      </c>
      <c r="B245">
        <v>17</v>
      </c>
      <c r="C245" t="s">
        <v>131</v>
      </c>
      <c r="D245">
        <v>2008</v>
      </c>
      <c r="E245">
        <v>17.2</v>
      </c>
      <c r="F245">
        <v>6</v>
      </c>
      <c r="G245" t="s">
        <v>49</v>
      </c>
      <c r="H245">
        <v>39.5</v>
      </c>
      <c r="I245">
        <v>35</v>
      </c>
      <c r="J245">
        <v>35</v>
      </c>
      <c r="K245">
        <v>6</v>
      </c>
      <c r="L245">
        <v>9.5</v>
      </c>
      <c r="M245">
        <v>12.4</v>
      </c>
      <c r="N245">
        <v>12.4</v>
      </c>
      <c r="O245">
        <v>3</v>
      </c>
      <c r="P245">
        <v>4</v>
      </c>
      <c r="Q245">
        <v>10.1</v>
      </c>
      <c r="R245">
        <v>27.8</v>
      </c>
      <c r="S245" t="s">
        <v>31</v>
      </c>
      <c r="T245" t="s">
        <v>31</v>
      </c>
      <c r="U245" t="s">
        <v>31</v>
      </c>
      <c r="V245" t="s">
        <v>31</v>
      </c>
      <c r="W245" t="s">
        <v>31</v>
      </c>
      <c r="X245" t="s">
        <v>132</v>
      </c>
      <c r="Y245" t="s">
        <v>91</v>
      </c>
      <c r="Z245">
        <v>40.451659999999997</v>
      </c>
      <c r="AA245">
        <v>-112.745</v>
      </c>
      <c r="AB245">
        <v>0.13569999999999999</v>
      </c>
    </row>
    <row r="246" spans="1:28" x14ac:dyDescent="0.2">
      <c r="A246">
        <v>45</v>
      </c>
      <c r="B246">
        <v>18</v>
      </c>
      <c r="C246" t="s">
        <v>131</v>
      </c>
      <c r="D246">
        <v>2008</v>
      </c>
      <c r="E246">
        <v>34.4</v>
      </c>
      <c r="F246">
        <v>6</v>
      </c>
      <c r="G246" t="s">
        <v>49</v>
      </c>
      <c r="H246">
        <v>55</v>
      </c>
      <c r="I246">
        <v>87.6</v>
      </c>
      <c r="J246">
        <v>87.6</v>
      </c>
      <c r="K246">
        <v>6</v>
      </c>
      <c r="L246">
        <v>9.5</v>
      </c>
      <c r="M246">
        <v>12.4</v>
      </c>
      <c r="N246">
        <v>12.4</v>
      </c>
      <c r="O246">
        <v>3</v>
      </c>
      <c r="P246">
        <v>4</v>
      </c>
      <c r="Q246">
        <v>10.1</v>
      </c>
      <c r="R246">
        <v>27.8</v>
      </c>
      <c r="S246" t="s">
        <v>31</v>
      </c>
      <c r="T246" t="s">
        <v>31</v>
      </c>
      <c r="U246" t="s">
        <v>31</v>
      </c>
      <c r="V246" t="s">
        <v>31</v>
      </c>
      <c r="W246" t="s">
        <v>31</v>
      </c>
      <c r="X246" t="s">
        <v>132</v>
      </c>
      <c r="Y246" t="s">
        <v>91</v>
      </c>
      <c r="Z246">
        <v>40.451659999999997</v>
      </c>
      <c r="AA246">
        <v>-112.745</v>
      </c>
      <c r="AB246">
        <v>0.13569999999999999</v>
      </c>
    </row>
    <row r="247" spans="1:28" x14ac:dyDescent="0.2">
      <c r="A247">
        <v>45</v>
      </c>
      <c r="B247">
        <v>19</v>
      </c>
      <c r="C247" t="s">
        <v>131</v>
      </c>
      <c r="D247">
        <v>2008</v>
      </c>
      <c r="E247">
        <v>68.8</v>
      </c>
      <c r="F247">
        <v>6</v>
      </c>
      <c r="G247" t="s">
        <v>49</v>
      </c>
      <c r="H247">
        <v>74.599999999999994</v>
      </c>
      <c r="I247">
        <v>118.1</v>
      </c>
      <c r="J247">
        <v>118.1</v>
      </c>
      <c r="K247">
        <v>6</v>
      </c>
      <c r="L247">
        <v>9.5</v>
      </c>
      <c r="M247">
        <v>12.4</v>
      </c>
      <c r="N247">
        <v>12.4</v>
      </c>
      <c r="O247">
        <v>3</v>
      </c>
      <c r="P247">
        <v>4</v>
      </c>
      <c r="Q247">
        <v>10.1</v>
      </c>
      <c r="R247">
        <v>27.8</v>
      </c>
      <c r="S247" t="s">
        <v>31</v>
      </c>
      <c r="T247" t="s">
        <v>31</v>
      </c>
      <c r="U247" t="s">
        <v>31</v>
      </c>
      <c r="V247" t="s">
        <v>31</v>
      </c>
      <c r="W247" t="s">
        <v>31</v>
      </c>
      <c r="X247" t="s">
        <v>132</v>
      </c>
      <c r="Y247" t="s">
        <v>91</v>
      </c>
      <c r="Z247">
        <v>40.451659999999997</v>
      </c>
      <c r="AA247">
        <v>-112.745</v>
      </c>
      <c r="AB247">
        <v>0.13569999999999999</v>
      </c>
    </row>
    <row r="248" spans="1:28" x14ac:dyDescent="0.2">
      <c r="A248">
        <v>45</v>
      </c>
      <c r="B248">
        <v>20</v>
      </c>
      <c r="C248" t="s">
        <v>131</v>
      </c>
      <c r="D248">
        <v>2008</v>
      </c>
      <c r="E248">
        <v>19.7</v>
      </c>
      <c r="F248">
        <v>6</v>
      </c>
      <c r="G248" t="s">
        <v>49</v>
      </c>
      <c r="H248">
        <v>44.6</v>
      </c>
      <c r="I248">
        <v>90</v>
      </c>
      <c r="J248">
        <v>90</v>
      </c>
      <c r="K248">
        <v>6</v>
      </c>
      <c r="L248">
        <v>9.5</v>
      </c>
      <c r="M248">
        <v>12.4</v>
      </c>
      <c r="N248">
        <v>12.4</v>
      </c>
      <c r="O248">
        <v>3</v>
      </c>
      <c r="P248">
        <v>4</v>
      </c>
      <c r="Q248">
        <v>10.1</v>
      </c>
      <c r="R248">
        <v>27.8</v>
      </c>
      <c r="S248" t="s">
        <v>29</v>
      </c>
      <c r="T248" t="s">
        <v>31</v>
      </c>
      <c r="U248" t="s">
        <v>31</v>
      </c>
      <c r="V248" t="s">
        <v>31</v>
      </c>
      <c r="W248" t="s">
        <v>31</v>
      </c>
      <c r="X248" t="s">
        <v>132</v>
      </c>
      <c r="Y248" t="s">
        <v>91</v>
      </c>
      <c r="Z248">
        <v>40.451659999999997</v>
      </c>
      <c r="AA248">
        <v>-112.745</v>
      </c>
      <c r="AB248">
        <v>0.13569999999999999</v>
      </c>
    </row>
    <row r="249" spans="1:28" x14ac:dyDescent="0.2">
      <c r="A249">
        <v>45</v>
      </c>
      <c r="B249">
        <v>21</v>
      </c>
      <c r="C249" t="s">
        <v>131</v>
      </c>
      <c r="D249">
        <v>2008</v>
      </c>
      <c r="E249">
        <v>98.6</v>
      </c>
      <c r="F249">
        <v>6</v>
      </c>
      <c r="G249" t="s">
        <v>49</v>
      </c>
      <c r="H249">
        <v>20.5</v>
      </c>
      <c r="I249">
        <v>26.8</v>
      </c>
      <c r="J249">
        <v>26.8</v>
      </c>
      <c r="K249">
        <v>6</v>
      </c>
      <c r="L249">
        <v>9.5</v>
      </c>
      <c r="M249">
        <v>12.4</v>
      </c>
      <c r="N249">
        <v>12.4</v>
      </c>
      <c r="O249">
        <v>3</v>
      </c>
      <c r="P249">
        <v>4</v>
      </c>
      <c r="Q249">
        <v>10.1</v>
      </c>
      <c r="R249">
        <v>27.8</v>
      </c>
      <c r="S249" t="s">
        <v>29</v>
      </c>
      <c r="T249" t="s">
        <v>31</v>
      </c>
      <c r="U249" t="s">
        <v>31</v>
      </c>
      <c r="V249" t="s">
        <v>31</v>
      </c>
      <c r="W249" t="s">
        <v>31</v>
      </c>
      <c r="X249" t="s">
        <v>132</v>
      </c>
      <c r="Y249" t="s">
        <v>91</v>
      </c>
      <c r="Z249">
        <v>40.451659999999997</v>
      </c>
      <c r="AA249">
        <v>-112.745</v>
      </c>
      <c r="AB249">
        <v>0.13569999999999999</v>
      </c>
    </row>
    <row r="250" spans="1:28" x14ac:dyDescent="0.2">
      <c r="A250">
        <v>45</v>
      </c>
      <c r="B250">
        <v>22</v>
      </c>
      <c r="C250" t="s">
        <v>131</v>
      </c>
      <c r="D250">
        <v>2008</v>
      </c>
      <c r="E250">
        <v>297.3</v>
      </c>
      <c r="F250">
        <v>6</v>
      </c>
      <c r="G250" t="s">
        <v>49</v>
      </c>
      <c r="H250">
        <v>14.9</v>
      </c>
      <c r="I250">
        <v>20.6</v>
      </c>
      <c r="J250">
        <v>20.6</v>
      </c>
      <c r="K250">
        <v>6</v>
      </c>
      <c r="L250">
        <v>9.5</v>
      </c>
      <c r="M250">
        <v>12.4</v>
      </c>
      <c r="N250">
        <v>12.4</v>
      </c>
      <c r="O250">
        <v>3</v>
      </c>
      <c r="P250">
        <v>4</v>
      </c>
      <c r="Q250">
        <v>10.1</v>
      </c>
      <c r="R250">
        <v>27.8</v>
      </c>
      <c r="S250" t="s">
        <v>29</v>
      </c>
      <c r="T250" t="s">
        <v>31</v>
      </c>
      <c r="U250" t="s">
        <v>31</v>
      </c>
      <c r="V250" t="s">
        <v>31</v>
      </c>
      <c r="W250" t="s">
        <v>31</v>
      </c>
      <c r="X250" t="s">
        <v>132</v>
      </c>
      <c r="Y250" t="s">
        <v>91</v>
      </c>
      <c r="Z250">
        <v>40.451659999999997</v>
      </c>
      <c r="AA250">
        <v>-112.745</v>
      </c>
      <c r="AB250">
        <v>0.13569999999999999</v>
      </c>
    </row>
    <row r="251" spans="1:28" x14ac:dyDescent="0.2">
      <c r="A251">
        <v>46</v>
      </c>
      <c r="B251">
        <v>1</v>
      </c>
      <c r="C251" t="s">
        <v>60</v>
      </c>
      <c r="D251">
        <v>2016</v>
      </c>
      <c r="E251">
        <v>20</v>
      </c>
      <c r="F251">
        <v>4</v>
      </c>
      <c r="G251" t="s">
        <v>49</v>
      </c>
      <c r="H251">
        <v>28.2</v>
      </c>
      <c r="I251">
        <v>27.8</v>
      </c>
      <c r="J251">
        <v>27.8</v>
      </c>
      <c r="K251">
        <v>4</v>
      </c>
      <c r="L251">
        <v>20.7</v>
      </c>
      <c r="M251">
        <v>17</v>
      </c>
      <c r="N251">
        <v>17</v>
      </c>
      <c r="O251">
        <v>8</v>
      </c>
      <c r="P251">
        <v>9</v>
      </c>
      <c r="Q251">
        <v>4.0999999999999996</v>
      </c>
      <c r="R251">
        <v>40.700000000000003</v>
      </c>
      <c r="S251" t="s">
        <v>31</v>
      </c>
      <c r="T251" t="s">
        <v>31</v>
      </c>
      <c r="U251" t="s">
        <v>31</v>
      </c>
      <c r="V251" t="s">
        <v>31</v>
      </c>
      <c r="W251" t="s">
        <v>31</v>
      </c>
      <c r="X251" t="s">
        <v>62</v>
      </c>
      <c r="Y251" t="s">
        <v>94</v>
      </c>
      <c r="Z251">
        <v>50.68777</v>
      </c>
      <c r="AA251">
        <v>-121.34083</v>
      </c>
      <c r="AB251">
        <v>0.26579999999999998</v>
      </c>
    </row>
    <row r="252" spans="1:28" x14ac:dyDescent="0.2">
      <c r="A252">
        <v>46</v>
      </c>
      <c r="B252">
        <v>2</v>
      </c>
      <c r="C252" t="s">
        <v>60</v>
      </c>
      <c r="D252">
        <v>2016</v>
      </c>
      <c r="E252">
        <v>60</v>
      </c>
      <c r="F252">
        <v>4</v>
      </c>
      <c r="G252" t="s">
        <v>49</v>
      </c>
      <c r="H252">
        <v>31.6</v>
      </c>
      <c r="I252">
        <v>24.2</v>
      </c>
      <c r="J252">
        <v>24.2</v>
      </c>
      <c r="K252">
        <v>4</v>
      </c>
      <c r="L252">
        <v>20.7</v>
      </c>
      <c r="M252">
        <v>17</v>
      </c>
      <c r="N252">
        <v>17</v>
      </c>
      <c r="O252">
        <v>8</v>
      </c>
      <c r="P252">
        <v>9</v>
      </c>
      <c r="Q252">
        <v>4.0999999999999996</v>
      </c>
      <c r="R252">
        <v>40.700000000000003</v>
      </c>
      <c r="S252" t="s">
        <v>31</v>
      </c>
      <c r="T252" t="s">
        <v>31</v>
      </c>
      <c r="U252" t="s">
        <v>31</v>
      </c>
      <c r="V252" t="s">
        <v>31</v>
      </c>
      <c r="W252" t="s">
        <v>31</v>
      </c>
      <c r="X252" t="s">
        <v>62</v>
      </c>
      <c r="Y252" t="s">
        <v>94</v>
      </c>
      <c r="Z252">
        <v>50.68777</v>
      </c>
      <c r="AA252">
        <v>-121.34083</v>
      </c>
      <c r="AB252">
        <v>0.26579999999999998</v>
      </c>
    </row>
    <row r="253" spans="1:28" x14ac:dyDescent="0.2">
      <c r="A253">
        <v>47</v>
      </c>
      <c r="B253">
        <v>1</v>
      </c>
      <c r="C253" t="s">
        <v>77</v>
      </c>
      <c r="D253">
        <v>2000</v>
      </c>
      <c r="E253">
        <v>40</v>
      </c>
      <c r="F253">
        <v>4</v>
      </c>
      <c r="G253" t="s">
        <v>31</v>
      </c>
      <c r="H253">
        <v>268.38</v>
      </c>
      <c r="J253" s="2">
        <f t="shared" ref="J253:J269" si="12">0.400619702*H253</f>
        <v>107.51831562276</v>
      </c>
      <c r="K253">
        <v>4</v>
      </c>
      <c r="L253">
        <v>107.69</v>
      </c>
      <c r="N253" s="2">
        <f t="shared" ref="N253:N269" si="13">0.478752551*L253</f>
        <v>51.556862217190002</v>
      </c>
      <c r="O253">
        <v>1.08</v>
      </c>
      <c r="P253">
        <v>2</v>
      </c>
      <c r="Q253">
        <v>14.3</v>
      </c>
      <c r="R253">
        <v>42.8</v>
      </c>
      <c r="S253" t="s">
        <v>31</v>
      </c>
      <c r="T253" t="s">
        <v>31</v>
      </c>
      <c r="U253" t="s">
        <v>31</v>
      </c>
      <c r="V253" t="s">
        <v>31</v>
      </c>
      <c r="W253" t="s">
        <v>31</v>
      </c>
      <c r="X253" t="s">
        <v>76</v>
      </c>
      <c r="Y253" t="s">
        <v>93</v>
      </c>
      <c r="Z253">
        <v>40.208889999999997</v>
      </c>
      <c r="AA253">
        <v>-3.5686100000000001</v>
      </c>
      <c r="AB253">
        <v>0.25140000000000001</v>
      </c>
    </row>
    <row r="254" spans="1:28" x14ac:dyDescent="0.2">
      <c r="A254">
        <v>47</v>
      </c>
      <c r="B254">
        <v>2</v>
      </c>
      <c r="C254" t="s">
        <v>77</v>
      </c>
      <c r="D254">
        <v>2000</v>
      </c>
      <c r="E254">
        <v>80</v>
      </c>
      <c r="F254">
        <v>4</v>
      </c>
      <c r="G254" t="s">
        <v>31</v>
      </c>
      <c r="H254">
        <v>162.38999999999999</v>
      </c>
      <c r="J254" s="2">
        <f t="shared" si="12"/>
        <v>65.056633407779998</v>
      </c>
      <c r="K254">
        <v>4</v>
      </c>
      <c r="L254">
        <v>107.69</v>
      </c>
      <c r="N254" s="2">
        <f t="shared" si="13"/>
        <v>51.556862217190002</v>
      </c>
      <c r="O254">
        <v>1.08</v>
      </c>
      <c r="P254">
        <v>2</v>
      </c>
      <c r="Q254">
        <v>14.3</v>
      </c>
      <c r="R254">
        <v>42.8</v>
      </c>
      <c r="S254" t="s">
        <v>31</v>
      </c>
      <c r="T254" t="s">
        <v>31</v>
      </c>
      <c r="U254" t="s">
        <v>31</v>
      </c>
      <c r="V254" t="s">
        <v>31</v>
      </c>
      <c r="W254" t="s">
        <v>31</v>
      </c>
      <c r="X254" t="s">
        <v>76</v>
      </c>
      <c r="Y254" t="s">
        <v>93</v>
      </c>
      <c r="Z254">
        <v>40.208889999999997</v>
      </c>
      <c r="AA254">
        <v>-3.5686100000000001</v>
      </c>
      <c r="AB254">
        <v>0.25140000000000001</v>
      </c>
    </row>
    <row r="255" spans="1:28" x14ac:dyDescent="0.2">
      <c r="A255">
        <v>47</v>
      </c>
      <c r="B255">
        <v>3</v>
      </c>
      <c r="C255" t="s">
        <v>77</v>
      </c>
      <c r="D255">
        <v>2000</v>
      </c>
      <c r="E255">
        <v>120</v>
      </c>
      <c r="F255">
        <v>4</v>
      </c>
      <c r="G255" t="s">
        <v>31</v>
      </c>
      <c r="H255">
        <v>99.15</v>
      </c>
      <c r="J255" s="2">
        <f t="shared" si="12"/>
        <v>39.721443453300004</v>
      </c>
      <c r="K255">
        <v>4</v>
      </c>
      <c r="L255">
        <v>107.69</v>
      </c>
      <c r="N255" s="2">
        <f t="shared" si="13"/>
        <v>51.556862217190002</v>
      </c>
      <c r="O255">
        <v>1.08</v>
      </c>
      <c r="P255">
        <v>2</v>
      </c>
      <c r="Q255">
        <v>14.3</v>
      </c>
      <c r="R255">
        <v>42.8</v>
      </c>
      <c r="S255" t="s">
        <v>31</v>
      </c>
      <c r="T255" t="s">
        <v>31</v>
      </c>
      <c r="U255" t="s">
        <v>31</v>
      </c>
      <c r="V255" t="s">
        <v>31</v>
      </c>
      <c r="W255" t="s">
        <v>31</v>
      </c>
      <c r="X255" t="s">
        <v>76</v>
      </c>
      <c r="Y255" t="s">
        <v>93</v>
      </c>
      <c r="Z255">
        <v>40.208889999999997</v>
      </c>
      <c r="AA255">
        <v>-3.5686100000000001</v>
      </c>
      <c r="AB255">
        <v>0.25140000000000001</v>
      </c>
    </row>
    <row r="256" spans="1:28" x14ac:dyDescent="0.2">
      <c r="A256">
        <v>47</v>
      </c>
      <c r="B256">
        <v>4</v>
      </c>
      <c r="C256" t="s">
        <v>77</v>
      </c>
      <c r="D256">
        <v>2000</v>
      </c>
      <c r="E256">
        <v>40</v>
      </c>
      <c r="F256">
        <v>4</v>
      </c>
      <c r="G256" t="s">
        <v>31</v>
      </c>
      <c r="H256">
        <v>982.91</v>
      </c>
      <c r="J256" s="2">
        <f t="shared" si="12"/>
        <v>393.77311129282003</v>
      </c>
      <c r="K256">
        <v>4</v>
      </c>
      <c r="L256">
        <v>157.26</v>
      </c>
      <c r="N256" s="2">
        <f t="shared" si="13"/>
        <v>75.288626170260002</v>
      </c>
      <c r="O256">
        <v>1.25</v>
      </c>
      <c r="P256">
        <v>2</v>
      </c>
      <c r="Q256">
        <v>14.3</v>
      </c>
      <c r="R256">
        <v>42.8</v>
      </c>
      <c r="S256" t="s">
        <v>31</v>
      </c>
      <c r="T256" t="s">
        <v>31</v>
      </c>
      <c r="U256" t="s">
        <v>31</v>
      </c>
      <c r="V256" t="s">
        <v>31</v>
      </c>
      <c r="W256" t="s">
        <v>31</v>
      </c>
      <c r="X256" t="s">
        <v>76</v>
      </c>
      <c r="Y256" t="s">
        <v>93</v>
      </c>
      <c r="Z256">
        <v>40.208889999999997</v>
      </c>
      <c r="AA256">
        <v>-3.5686100000000001</v>
      </c>
      <c r="AB256">
        <v>0.25140000000000001</v>
      </c>
    </row>
    <row r="257" spans="1:28" x14ac:dyDescent="0.2">
      <c r="A257">
        <v>47</v>
      </c>
      <c r="B257">
        <v>5</v>
      </c>
      <c r="C257" t="s">
        <v>77</v>
      </c>
      <c r="D257">
        <v>2000</v>
      </c>
      <c r="E257">
        <v>80</v>
      </c>
      <c r="F257">
        <v>4</v>
      </c>
      <c r="G257" t="s">
        <v>31</v>
      </c>
      <c r="H257">
        <v>928.21</v>
      </c>
      <c r="J257" s="2">
        <f t="shared" si="12"/>
        <v>371.85921359342001</v>
      </c>
      <c r="K257">
        <v>4</v>
      </c>
      <c r="L257">
        <v>157.26</v>
      </c>
      <c r="N257" s="2">
        <f t="shared" si="13"/>
        <v>75.288626170260002</v>
      </c>
      <c r="O257">
        <v>1.25</v>
      </c>
      <c r="P257">
        <v>2</v>
      </c>
      <c r="Q257">
        <v>14.3</v>
      </c>
      <c r="R257">
        <v>42.8</v>
      </c>
      <c r="S257" t="s">
        <v>31</v>
      </c>
      <c r="T257" t="s">
        <v>31</v>
      </c>
      <c r="U257" t="s">
        <v>31</v>
      </c>
      <c r="V257" t="s">
        <v>31</v>
      </c>
      <c r="W257" t="s">
        <v>31</v>
      </c>
      <c r="X257" t="s">
        <v>76</v>
      </c>
      <c r="Y257" t="s">
        <v>93</v>
      </c>
      <c r="Z257">
        <v>40.208889999999997</v>
      </c>
      <c r="AA257">
        <v>-3.5686100000000001</v>
      </c>
      <c r="AB257">
        <v>0.25140000000000001</v>
      </c>
    </row>
    <row r="258" spans="1:28" x14ac:dyDescent="0.2">
      <c r="A258">
        <v>47</v>
      </c>
      <c r="B258">
        <v>6</v>
      </c>
      <c r="C258" t="s">
        <v>77</v>
      </c>
      <c r="D258">
        <v>2000</v>
      </c>
      <c r="E258">
        <v>120</v>
      </c>
      <c r="F258">
        <v>4</v>
      </c>
      <c r="G258" t="s">
        <v>31</v>
      </c>
      <c r="H258">
        <v>702.56</v>
      </c>
      <c r="J258" s="2">
        <f t="shared" si="12"/>
        <v>281.45937783711997</v>
      </c>
      <c r="K258">
        <v>4</v>
      </c>
      <c r="L258">
        <v>157.26</v>
      </c>
      <c r="N258" s="2">
        <f t="shared" si="13"/>
        <v>75.288626170260002</v>
      </c>
      <c r="O258">
        <v>1.25</v>
      </c>
      <c r="P258">
        <v>2</v>
      </c>
      <c r="Q258">
        <v>14.3</v>
      </c>
      <c r="R258">
        <v>42.8</v>
      </c>
      <c r="S258" t="s">
        <v>31</v>
      </c>
      <c r="T258" t="s">
        <v>31</v>
      </c>
      <c r="U258" t="s">
        <v>31</v>
      </c>
      <c r="V258" t="s">
        <v>31</v>
      </c>
      <c r="W258" t="s">
        <v>31</v>
      </c>
      <c r="X258" t="s">
        <v>76</v>
      </c>
      <c r="Y258" t="s">
        <v>93</v>
      </c>
      <c r="Z258">
        <v>40.208889999999997</v>
      </c>
      <c r="AA258">
        <v>-3.5686100000000001</v>
      </c>
      <c r="AB258">
        <v>0.25140000000000001</v>
      </c>
    </row>
    <row r="259" spans="1:28" x14ac:dyDescent="0.2">
      <c r="A259">
        <v>47</v>
      </c>
      <c r="B259">
        <v>7</v>
      </c>
      <c r="C259" t="s">
        <v>77</v>
      </c>
      <c r="D259">
        <v>2000</v>
      </c>
      <c r="E259">
        <v>40</v>
      </c>
      <c r="F259">
        <v>4</v>
      </c>
      <c r="G259" t="s">
        <v>31</v>
      </c>
      <c r="H259">
        <v>605.13</v>
      </c>
      <c r="J259" s="2">
        <f t="shared" si="12"/>
        <v>242.42700027126</v>
      </c>
      <c r="K259">
        <v>4</v>
      </c>
      <c r="L259">
        <v>201.71</v>
      </c>
      <c r="N259" s="2">
        <f t="shared" si="13"/>
        <v>96.569177062210002</v>
      </c>
      <c r="O259">
        <v>1.58</v>
      </c>
      <c r="P259">
        <v>2</v>
      </c>
      <c r="Q259">
        <v>14.3</v>
      </c>
      <c r="R259">
        <v>42.8</v>
      </c>
      <c r="S259" t="s">
        <v>31</v>
      </c>
      <c r="T259" t="s">
        <v>31</v>
      </c>
      <c r="U259" t="s">
        <v>31</v>
      </c>
      <c r="V259" t="s">
        <v>31</v>
      </c>
      <c r="W259" t="s">
        <v>31</v>
      </c>
      <c r="X259" t="s">
        <v>76</v>
      </c>
      <c r="Y259" t="s">
        <v>93</v>
      </c>
      <c r="Z259">
        <v>40.208889999999997</v>
      </c>
      <c r="AA259">
        <v>-3.5686100000000001</v>
      </c>
      <c r="AB259">
        <v>0.25140000000000001</v>
      </c>
    </row>
    <row r="260" spans="1:28" x14ac:dyDescent="0.2">
      <c r="A260">
        <v>47</v>
      </c>
      <c r="B260">
        <v>8</v>
      </c>
      <c r="C260" t="s">
        <v>77</v>
      </c>
      <c r="D260">
        <v>2000</v>
      </c>
      <c r="E260">
        <v>80</v>
      </c>
      <c r="F260">
        <v>4</v>
      </c>
      <c r="G260" t="s">
        <v>31</v>
      </c>
      <c r="H260">
        <v>965.81</v>
      </c>
      <c r="J260" s="2">
        <f t="shared" si="12"/>
        <v>386.92251438862002</v>
      </c>
      <c r="K260">
        <v>4</v>
      </c>
      <c r="L260">
        <v>201.71</v>
      </c>
      <c r="N260" s="2">
        <f t="shared" si="13"/>
        <v>96.569177062210002</v>
      </c>
      <c r="O260">
        <v>1.58</v>
      </c>
      <c r="P260">
        <v>2</v>
      </c>
      <c r="Q260">
        <v>14.3</v>
      </c>
      <c r="R260">
        <v>42.8</v>
      </c>
      <c r="S260" t="s">
        <v>31</v>
      </c>
      <c r="T260" t="s">
        <v>31</v>
      </c>
      <c r="U260" t="s">
        <v>31</v>
      </c>
      <c r="V260" t="s">
        <v>31</v>
      </c>
      <c r="W260" t="s">
        <v>31</v>
      </c>
      <c r="X260" t="s">
        <v>76</v>
      </c>
      <c r="Y260" t="s">
        <v>93</v>
      </c>
      <c r="Z260">
        <v>40.208889999999997</v>
      </c>
      <c r="AA260">
        <v>-3.5686100000000001</v>
      </c>
      <c r="AB260">
        <v>0.25140000000000001</v>
      </c>
    </row>
    <row r="261" spans="1:28" x14ac:dyDescent="0.2">
      <c r="A261">
        <v>47</v>
      </c>
      <c r="B261">
        <v>9</v>
      </c>
      <c r="C261" t="s">
        <v>77</v>
      </c>
      <c r="D261">
        <v>2000</v>
      </c>
      <c r="E261">
        <v>120</v>
      </c>
      <c r="F261">
        <v>4</v>
      </c>
      <c r="G261" t="s">
        <v>31</v>
      </c>
      <c r="H261">
        <v>552.14</v>
      </c>
      <c r="J261" s="2">
        <f t="shared" si="12"/>
        <v>221.19816226227999</v>
      </c>
      <c r="K261">
        <v>4</v>
      </c>
      <c r="L261">
        <v>201.71</v>
      </c>
      <c r="N261" s="2">
        <f t="shared" si="13"/>
        <v>96.569177062210002</v>
      </c>
      <c r="O261">
        <v>1.58</v>
      </c>
      <c r="P261">
        <v>2</v>
      </c>
      <c r="Q261">
        <v>14.3</v>
      </c>
      <c r="R261">
        <v>42.8</v>
      </c>
      <c r="S261" t="s">
        <v>31</v>
      </c>
      <c r="T261" t="s">
        <v>31</v>
      </c>
      <c r="U261" t="s">
        <v>31</v>
      </c>
      <c r="V261" t="s">
        <v>31</v>
      </c>
      <c r="W261" t="s">
        <v>31</v>
      </c>
      <c r="X261" t="s">
        <v>76</v>
      </c>
      <c r="Y261" t="s">
        <v>93</v>
      </c>
      <c r="Z261">
        <v>40.208889999999997</v>
      </c>
      <c r="AA261">
        <v>-3.5686100000000001</v>
      </c>
      <c r="AB261">
        <v>0.25140000000000001</v>
      </c>
    </row>
    <row r="262" spans="1:28" x14ac:dyDescent="0.2">
      <c r="A262">
        <v>47</v>
      </c>
      <c r="B262">
        <v>1</v>
      </c>
      <c r="C262" t="s">
        <v>77</v>
      </c>
      <c r="D262">
        <v>2009</v>
      </c>
      <c r="E262">
        <v>40</v>
      </c>
      <c r="F262">
        <v>4</v>
      </c>
      <c r="G262" t="s">
        <v>31</v>
      </c>
      <c r="H262">
        <v>298.60000000000002</v>
      </c>
      <c r="J262" s="2">
        <f t="shared" si="12"/>
        <v>119.62504301720001</v>
      </c>
      <c r="K262">
        <v>4</v>
      </c>
      <c r="L262">
        <v>167.44</v>
      </c>
      <c r="N262" s="2">
        <f t="shared" si="13"/>
        <v>80.162327139440009</v>
      </c>
      <c r="O262">
        <v>4</v>
      </c>
      <c r="P262">
        <v>5</v>
      </c>
      <c r="Q262">
        <v>14.3</v>
      </c>
      <c r="R262">
        <v>42.8</v>
      </c>
      <c r="S262" t="s">
        <v>31</v>
      </c>
      <c r="T262" t="s">
        <v>31</v>
      </c>
      <c r="U262" t="s">
        <v>31</v>
      </c>
      <c r="V262" t="s">
        <v>31</v>
      </c>
      <c r="W262" t="s">
        <v>31</v>
      </c>
      <c r="X262" t="s">
        <v>76</v>
      </c>
      <c r="Y262" t="s">
        <v>93</v>
      </c>
      <c r="Z262">
        <v>40.208889999999997</v>
      </c>
      <c r="AA262">
        <v>-3.5686100000000001</v>
      </c>
      <c r="AB262">
        <v>0.25140000000000001</v>
      </c>
    </row>
    <row r="263" spans="1:28" x14ac:dyDescent="0.2">
      <c r="A263">
        <v>47</v>
      </c>
      <c r="B263">
        <v>2</v>
      </c>
      <c r="C263" t="s">
        <v>77</v>
      </c>
      <c r="D263">
        <v>2009</v>
      </c>
      <c r="E263">
        <v>80</v>
      </c>
      <c r="F263">
        <v>4</v>
      </c>
      <c r="G263" t="s">
        <v>31</v>
      </c>
      <c r="H263">
        <v>413.02</v>
      </c>
      <c r="J263" s="2">
        <f t="shared" si="12"/>
        <v>165.46394932004</v>
      </c>
      <c r="K263">
        <v>4</v>
      </c>
      <c r="L263">
        <v>167.44</v>
      </c>
      <c r="N263" s="2">
        <f t="shared" si="13"/>
        <v>80.162327139440009</v>
      </c>
      <c r="O263">
        <v>4</v>
      </c>
      <c r="P263">
        <v>5</v>
      </c>
      <c r="Q263">
        <v>14.3</v>
      </c>
      <c r="R263">
        <v>42.8</v>
      </c>
      <c r="S263" t="s">
        <v>31</v>
      </c>
      <c r="T263" t="s">
        <v>31</v>
      </c>
      <c r="U263" t="s">
        <v>31</v>
      </c>
      <c r="V263" t="s">
        <v>31</v>
      </c>
      <c r="W263" t="s">
        <v>31</v>
      </c>
      <c r="X263" t="s">
        <v>76</v>
      </c>
      <c r="Y263" t="s">
        <v>93</v>
      </c>
      <c r="Z263">
        <v>40.208889999999997</v>
      </c>
      <c r="AA263">
        <v>-3.5686100000000001</v>
      </c>
      <c r="AB263">
        <v>0.25140000000000001</v>
      </c>
    </row>
    <row r="264" spans="1:28" x14ac:dyDescent="0.2">
      <c r="A264">
        <v>47</v>
      </c>
      <c r="B264">
        <v>3</v>
      </c>
      <c r="C264" t="s">
        <v>77</v>
      </c>
      <c r="D264">
        <v>2009</v>
      </c>
      <c r="E264">
        <v>120</v>
      </c>
      <c r="F264">
        <v>4</v>
      </c>
      <c r="G264" t="s">
        <v>31</v>
      </c>
      <c r="H264">
        <v>313.49</v>
      </c>
      <c r="J264" s="2">
        <f t="shared" si="12"/>
        <v>125.59027037998001</v>
      </c>
      <c r="K264">
        <v>4</v>
      </c>
      <c r="L264">
        <v>167.44</v>
      </c>
      <c r="N264" s="2">
        <f t="shared" si="13"/>
        <v>80.162327139440009</v>
      </c>
      <c r="O264">
        <v>4</v>
      </c>
      <c r="P264">
        <v>5</v>
      </c>
      <c r="Q264">
        <v>14.3</v>
      </c>
      <c r="R264">
        <v>42.8</v>
      </c>
      <c r="S264" t="s">
        <v>31</v>
      </c>
      <c r="T264" t="s">
        <v>31</v>
      </c>
      <c r="U264" t="s">
        <v>31</v>
      </c>
      <c r="V264" t="s">
        <v>31</v>
      </c>
      <c r="W264" t="s">
        <v>31</v>
      </c>
      <c r="X264" t="s">
        <v>76</v>
      </c>
      <c r="Y264" t="s">
        <v>93</v>
      </c>
      <c r="Z264">
        <v>40.208889999999997</v>
      </c>
      <c r="AA264">
        <v>-3.5686100000000001</v>
      </c>
      <c r="AB264">
        <v>0.25140000000000001</v>
      </c>
    </row>
    <row r="265" spans="1:28" x14ac:dyDescent="0.2">
      <c r="A265">
        <v>47</v>
      </c>
      <c r="B265">
        <v>4</v>
      </c>
      <c r="C265" t="s">
        <v>77</v>
      </c>
      <c r="D265">
        <v>2009</v>
      </c>
      <c r="E265">
        <v>40</v>
      </c>
      <c r="F265">
        <v>4</v>
      </c>
      <c r="G265" t="s">
        <v>31</v>
      </c>
      <c r="H265">
        <v>218.6</v>
      </c>
      <c r="J265" s="2">
        <f t="shared" si="12"/>
        <v>87.575466857199999</v>
      </c>
      <c r="K265">
        <v>4</v>
      </c>
      <c r="L265">
        <v>162.79</v>
      </c>
      <c r="N265" s="2">
        <f t="shared" si="13"/>
        <v>77.936127777289997</v>
      </c>
      <c r="O265">
        <v>5</v>
      </c>
      <c r="P265">
        <v>6</v>
      </c>
      <c r="Q265">
        <v>14.3</v>
      </c>
      <c r="R265">
        <v>42.8</v>
      </c>
      <c r="S265" t="s">
        <v>31</v>
      </c>
      <c r="T265" t="s">
        <v>31</v>
      </c>
      <c r="U265" t="s">
        <v>31</v>
      </c>
      <c r="V265" t="s">
        <v>31</v>
      </c>
      <c r="W265" t="s">
        <v>31</v>
      </c>
      <c r="X265" t="s">
        <v>76</v>
      </c>
      <c r="Y265" t="s">
        <v>93</v>
      </c>
      <c r="Z265">
        <v>40.208889999999997</v>
      </c>
      <c r="AA265">
        <v>-3.5686100000000001</v>
      </c>
      <c r="AB265">
        <v>0.25140000000000001</v>
      </c>
    </row>
    <row r="266" spans="1:28" x14ac:dyDescent="0.2">
      <c r="A266">
        <v>47</v>
      </c>
      <c r="B266">
        <v>5</v>
      </c>
      <c r="C266" t="s">
        <v>77</v>
      </c>
      <c r="D266">
        <v>2009</v>
      </c>
      <c r="E266">
        <v>80</v>
      </c>
      <c r="F266">
        <v>4</v>
      </c>
      <c r="G266" t="s">
        <v>31</v>
      </c>
      <c r="H266">
        <v>239.07</v>
      </c>
      <c r="J266" s="2">
        <f t="shared" si="12"/>
        <v>95.776152157140004</v>
      </c>
      <c r="K266">
        <v>4</v>
      </c>
      <c r="L266">
        <v>162.79</v>
      </c>
      <c r="N266" s="2">
        <f t="shared" si="13"/>
        <v>77.936127777289997</v>
      </c>
      <c r="O266">
        <v>5</v>
      </c>
      <c r="P266">
        <v>6</v>
      </c>
      <c r="Q266">
        <v>14.3</v>
      </c>
      <c r="R266">
        <v>42.8</v>
      </c>
      <c r="S266" t="s">
        <v>31</v>
      </c>
      <c r="T266" t="s">
        <v>31</v>
      </c>
      <c r="U266" t="s">
        <v>31</v>
      </c>
      <c r="V266" t="s">
        <v>31</v>
      </c>
      <c r="W266" t="s">
        <v>31</v>
      </c>
      <c r="X266" t="s">
        <v>76</v>
      </c>
      <c r="Y266" t="s">
        <v>93</v>
      </c>
      <c r="Z266">
        <v>40.208889999999997</v>
      </c>
      <c r="AA266">
        <v>-3.5686100000000001</v>
      </c>
      <c r="AB266">
        <v>0.25140000000000001</v>
      </c>
    </row>
    <row r="267" spans="1:28" x14ac:dyDescent="0.2">
      <c r="A267">
        <v>47</v>
      </c>
      <c r="B267">
        <v>6</v>
      </c>
      <c r="C267" t="s">
        <v>77</v>
      </c>
      <c r="D267">
        <v>2009</v>
      </c>
      <c r="E267">
        <v>120</v>
      </c>
      <c r="F267">
        <v>4</v>
      </c>
      <c r="G267" t="s">
        <v>31</v>
      </c>
      <c r="H267">
        <v>236.28</v>
      </c>
      <c r="J267" s="2">
        <f t="shared" si="12"/>
        <v>94.658423188560008</v>
      </c>
      <c r="K267">
        <v>4</v>
      </c>
      <c r="L267">
        <v>162.79</v>
      </c>
      <c r="N267" s="2">
        <f t="shared" si="13"/>
        <v>77.936127777289997</v>
      </c>
      <c r="O267">
        <v>5</v>
      </c>
      <c r="P267">
        <v>6</v>
      </c>
      <c r="Q267">
        <v>14.3</v>
      </c>
      <c r="R267">
        <v>42.8</v>
      </c>
      <c r="S267" t="s">
        <v>31</v>
      </c>
      <c r="T267" t="s">
        <v>31</v>
      </c>
      <c r="U267" t="s">
        <v>31</v>
      </c>
      <c r="V267" t="s">
        <v>31</v>
      </c>
      <c r="W267" t="s">
        <v>31</v>
      </c>
      <c r="X267" t="s">
        <v>76</v>
      </c>
      <c r="Y267" t="s">
        <v>93</v>
      </c>
      <c r="Z267">
        <v>40.208889999999997</v>
      </c>
      <c r="AA267">
        <v>-3.5686100000000001</v>
      </c>
      <c r="AB267">
        <v>0.25140000000000001</v>
      </c>
    </row>
    <row r="268" spans="1:28" x14ac:dyDescent="0.2">
      <c r="A268">
        <v>48</v>
      </c>
      <c r="B268">
        <v>1</v>
      </c>
      <c r="C268" t="s">
        <v>175</v>
      </c>
      <c r="D268">
        <v>1994</v>
      </c>
      <c r="E268">
        <v>224</v>
      </c>
      <c r="F268">
        <v>3</v>
      </c>
      <c r="G268" t="s">
        <v>31</v>
      </c>
      <c r="H268">
        <v>91.3</v>
      </c>
      <c r="J268" s="2">
        <f t="shared" si="12"/>
        <v>36.576578792600003</v>
      </c>
      <c r="K268">
        <v>3</v>
      </c>
      <c r="L268">
        <v>19.5</v>
      </c>
      <c r="N268" s="2">
        <f t="shared" si="13"/>
        <v>9.3356747445000003</v>
      </c>
      <c r="O268">
        <v>5</v>
      </c>
      <c r="P268">
        <v>6</v>
      </c>
      <c r="Q268">
        <v>10.3</v>
      </c>
      <c r="R268">
        <v>106.4</v>
      </c>
      <c r="S268" t="s">
        <v>31</v>
      </c>
      <c r="T268" t="s">
        <v>29</v>
      </c>
      <c r="U268" t="s">
        <v>31</v>
      </c>
      <c r="V268" t="s">
        <v>29</v>
      </c>
      <c r="W268" t="s">
        <v>31</v>
      </c>
      <c r="X268" t="s">
        <v>134</v>
      </c>
      <c r="Y268" t="s">
        <v>91</v>
      </c>
      <c r="Z268">
        <v>39.700000000000003</v>
      </c>
      <c r="AA268">
        <v>-81.11</v>
      </c>
      <c r="AB268">
        <v>9.5600000000000004E-2</v>
      </c>
    </row>
    <row r="269" spans="1:28" x14ac:dyDescent="0.2">
      <c r="A269">
        <v>48</v>
      </c>
      <c r="B269">
        <v>2</v>
      </c>
      <c r="C269" t="s">
        <v>175</v>
      </c>
      <c r="D269">
        <v>1994</v>
      </c>
      <c r="E269">
        <v>224</v>
      </c>
      <c r="F269">
        <v>3</v>
      </c>
      <c r="G269" t="s">
        <v>31</v>
      </c>
      <c r="H269">
        <v>95.6</v>
      </c>
      <c r="J269" s="2">
        <f t="shared" si="12"/>
        <v>38.299243511199997</v>
      </c>
      <c r="K269">
        <v>3</v>
      </c>
      <c r="L269">
        <v>14.7</v>
      </c>
      <c r="N269" s="2">
        <f t="shared" si="13"/>
        <v>7.0376624996999997</v>
      </c>
      <c r="O269">
        <v>9</v>
      </c>
      <c r="P269">
        <v>10</v>
      </c>
      <c r="Q269">
        <v>10.3</v>
      </c>
      <c r="R269">
        <v>106.4</v>
      </c>
      <c r="S269" t="s">
        <v>31</v>
      </c>
      <c r="T269" t="s">
        <v>29</v>
      </c>
      <c r="U269" t="s">
        <v>31</v>
      </c>
      <c r="V269" t="s">
        <v>29</v>
      </c>
      <c r="W269" t="s">
        <v>31</v>
      </c>
      <c r="X269" t="s">
        <v>134</v>
      </c>
      <c r="Y269" t="s">
        <v>91</v>
      </c>
      <c r="Z269">
        <v>39.700000000000003</v>
      </c>
      <c r="AA269">
        <v>-81.11</v>
      </c>
      <c r="AB269">
        <v>9.5600000000000004E-2</v>
      </c>
    </row>
    <row r="270" spans="1:28" x14ac:dyDescent="0.2">
      <c r="A270">
        <v>56</v>
      </c>
      <c r="B270">
        <v>1</v>
      </c>
      <c r="C270" t="s">
        <v>192</v>
      </c>
      <c r="D270">
        <v>2019</v>
      </c>
      <c r="E270">
        <v>60</v>
      </c>
      <c r="F270">
        <v>2</v>
      </c>
      <c r="G270" t="s">
        <v>28</v>
      </c>
      <c r="H270">
        <v>367</v>
      </c>
      <c r="I270" s="2">
        <v>327.1075969768969</v>
      </c>
      <c r="J270" s="2">
        <v>327.1075969768969</v>
      </c>
      <c r="K270">
        <v>2</v>
      </c>
      <c r="L270">
        <v>12.4</v>
      </c>
      <c r="M270">
        <v>21.9</v>
      </c>
      <c r="N270">
        <v>21.9</v>
      </c>
      <c r="O270">
        <v>1</v>
      </c>
      <c r="P270">
        <v>2</v>
      </c>
      <c r="Q270">
        <v>6.4</v>
      </c>
      <c r="R270">
        <v>96</v>
      </c>
      <c r="S270" t="s">
        <v>29</v>
      </c>
      <c r="T270" t="s">
        <v>31</v>
      </c>
      <c r="U270" t="s">
        <v>31</v>
      </c>
      <c r="V270" t="s">
        <v>29</v>
      </c>
      <c r="W270" t="s">
        <v>31</v>
      </c>
      <c r="X270" t="s">
        <v>168</v>
      </c>
      <c r="Y270" t="s">
        <v>92</v>
      </c>
      <c r="Z270" s="4">
        <v>-40.994753000000003</v>
      </c>
      <c r="AA270">
        <v>-71.496300000000005</v>
      </c>
      <c r="AB270" s="4">
        <v>0.97350000000000003</v>
      </c>
    </row>
  </sheetData>
  <sortState xmlns:xlrd2="http://schemas.microsoft.com/office/spreadsheetml/2017/richdata2" ref="A2:AB27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B16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1" sqref="I1:I1048576"/>
    </sheetView>
  </sheetViews>
  <sheetFormatPr baseColWidth="10" defaultRowHeight="16" x14ac:dyDescent="0.2"/>
  <cols>
    <col min="19" max="20" width="12.83203125" style="12" bestFit="1" customWidth="1"/>
  </cols>
  <sheetData>
    <row r="1" spans="1:28" x14ac:dyDescent="0.2">
      <c r="A1" t="s">
        <v>169</v>
      </c>
      <c r="B1" t="s">
        <v>0</v>
      </c>
      <c r="C1" t="s">
        <v>1</v>
      </c>
      <c r="D1" t="s">
        <v>2</v>
      </c>
      <c r="E1" t="s">
        <v>135</v>
      </c>
      <c r="F1" t="s">
        <v>4</v>
      </c>
      <c r="G1" t="s">
        <v>136</v>
      </c>
      <c r="H1" t="s">
        <v>6</v>
      </c>
      <c r="I1" t="s">
        <v>7</v>
      </c>
      <c r="J1" t="s">
        <v>137</v>
      </c>
      <c r="K1" t="s">
        <v>9</v>
      </c>
      <c r="L1" t="s">
        <v>138</v>
      </c>
      <c r="M1" t="s">
        <v>139</v>
      </c>
      <c r="N1" t="s">
        <v>140</v>
      </c>
      <c r="O1" t="s">
        <v>13</v>
      </c>
      <c r="P1" t="s">
        <v>14</v>
      </c>
      <c r="Q1" t="s">
        <v>22</v>
      </c>
      <c r="R1" t="s">
        <v>90</v>
      </c>
      <c r="S1" s="12" t="s">
        <v>141</v>
      </c>
      <c r="T1" s="12" t="s">
        <v>142</v>
      </c>
      <c r="U1" t="s">
        <v>20</v>
      </c>
      <c r="V1" t="s">
        <v>143</v>
      </c>
      <c r="W1" t="s">
        <v>144</v>
      </c>
      <c r="X1" t="s">
        <v>145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195</v>
      </c>
      <c r="D2">
        <v>2004</v>
      </c>
      <c r="E2">
        <v>350</v>
      </c>
      <c r="F2">
        <v>12</v>
      </c>
      <c r="G2" t="s">
        <v>28</v>
      </c>
      <c r="H2">
        <v>30.8</v>
      </c>
      <c r="I2">
        <v>9.5</v>
      </c>
      <c r="J2">
        <v>9.5</v>
      </c>
      <c r="K2">
        <v>12</v>
      </c>
      <c r="L2">
        <v>41.5</v>
      </c>
      <c r="M2">
        <v>14.2</v>
      </c>
      <c r="N2">
        <v>14.2</v>
      </c>
      <c r="O2">
        <v>2.58</v>
      </c>
      <c r="P2">
        <v>3</v>
      </c>
      <c r="Q2" t="s">
        <v>40</v>
      </c>
      <c r="R2" t="s">
        <v>93</v>
      </c>
      <c r="S2" s="12">
        <v>42.036110000000001</v>
      </c>
      <c r="T2" s="12">
        <v>2.8172199999999998</v>
      </c>
      <c r="U2" t="s">
        <v>31</v>
      </c>
      <c r="V2" t="s">
        <v>29</v>
      </c>
      <c r="W2" t="s">
        <v>29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7</v>
      </c>
      <c r="B3">
        <v>1</v>
      </c>
      <c r="C3" t="s">
        <v>43</v>
      </c>
      <c r="D3">
        <v>2014</v>
      </c>
      <c r="E3">
        <v>10</v>
      </c>
      <c r="F3">
        <v>5</v>
      </c>
      <c r="H3">
        <v>38</v>
      </c>
      <c r="J3" s="2">
        <f t="shared" ref="J3:J8" si="0">0.215304722*H3</f>
        <v>8.1815794359999998</v>
      </c>
      <c r="K3">
        <v>5</v>
      </c>
      <c r="L3">
        <v>31</v>
      </c>
      <c r="N3" s="2">
        <f t="shared" ref="N3:N8" si="1">0.16219089*L3</f>
        <v>5.0279175900000004</v>
      </c>
      <c r="O3">
        <v>0.08</v>
      </c>
      <c r="P3">
        <v>1</v>
      </c>
      <c r="Q3" t="s">
        <v>40</v>
      </c>
      <c r="R3" t="s">
        <v>93</v>
      </c>
      <c r="S3" s="12">
        <v>41.434519000000002</v>
      </c>
      <c r="T3" s="12">
        <v>2.1908799999999999</v>
      </c>
      <c r="U3" t="s">
        <v>29</v>
      </c>
      <c r="V3" t="s">
        <v>31</v>
      </c>
      <c r="W3" t="s">
        <v>29</v>
      </c>
      <c r="X3" t="s">
        <v>31</v>
      </c>
      <c r="Y3">
        <v>16.100000000000001</v>
      </c>
      <c r="Z3">
        <v>61.8</v>
      </c>
      <c r="AA3" t="s">
        <v>31</v>
      </c>
      <c r="AB3">
        <v>0.4587</v>
      </c>
    </row>
    <row r="4" spans="1:28" x14ac:dyDescent="0.2">
      <c r="A4">
        <v>7</v>
      </c>
      <c r="B4">
        <v>2</v>
      </c>
      <c r="C4" t="s">
        <v>43</v>
      </c>
      <c r="D4">
        <v>2014</v>
      </c>
      <c r="E4">
        <v>10</v>
      </c>
      <c r="F4">
        <v>5</v>
      </c>
      <c r="H4">
        <v>34</v>
      </c>
      <c r="J4" s="2">
        <f t="shared" si="0"/>
        <v>7.320360548</v>
      </c>
      <c r="K4">
        <v>5</v>
      </c>
      <c r="L4">
        <v>31</v>
      </c>
      <c r="N4" s="2">
        <f t="shared" si="1"/>
        <v>5.0279175900000004</v>
      </c>
      <c r="O4">
        <v>1.08</v>
      </c>
      <c r="P4">
        <v>2</v>
      </c>
      <c r="Q4" t="s">
        <v>40</v>
      </c>
      <c r="R4" t="s">
        <v>93</v>
      </c>
      <c r="S4" s="12">
        <v>41.434519000000002</v>
      </c>
      <c r="T4" s="12">
        <v>2.1908799999999999</v>
      </c>
      <c r="U4" t="s">
        <v>29</v>
      </c>
      <c r="V4" t="s">
        <v>31</v>
      </c>
      <c r="W4" t="s">
        <v>29</v>
      </c>
      <c r="X4" t="s">
        <v>31</v>
      </c>
      <c r="Y4">
        <v>16.100000000000001</v>
      </c>
      <c r="Z4">
        <v>61.8</v>
      </c>
      <c r="AA4" t="s">
        <v>31</v>
      </c>
      <c r="AB4">
        <v>0.4587</v>
      </c>
    </row>
    <row r="5" spans="1:28" x14ac:dyDescent="0.2">
      <c r="A5">
        <v>7</v>
      </c>
      <c r="B5">
        <v>3</v>
      </c>
      <c r="C5" t="s">
        <v>43</v>
      </c>
      <c r="D5">
        <v>2014</v>
      </c>
      <c r="E5">
        <v>10</v>
      </c>
      <c r="F5">
        <v>5</v>
      </c>
      <c r="H5">
        <v>43</v>
      </c>
      <c r="J5" s="2">
        <f t="shared" si="0"/>
        <v>9.2581030460000004</v>
      </c>
      <c r="K5">
        <v>5</v>
      </c>
      <c r="L5">
        <v>31</v>
      </c>
      <c r="N5" s="2">
        <f t="shared" si="1"/>
        <v>5.0279175900000004</v>
      </c>
      <c r="O5">
        <v>0.08</v>
      </c>
      <c r="P5">
        <v>1</v>
      </c>
      <c r="Q5" t="s">
        <v>40</v>
      </c>
      <c r="R5" t="s">
        <v>93</v>
      </c>
      <c r="S5" s="12">
        <v>41.434519000000002</v>
      </c>
      <c r="T5" s="12">
        <v>2.1908799999999999</v>
      </c>
      <c r="U5" t="s">
        <v>29</v>
      </c>
      <c r="V5" t="s">
        <v>31</v>
      </c>
      <c r="W5" t="s">
        <v>29</v>
      </c>
      <c r="X5" t="s">
        <v>31</v>
      </c>
      <c r="Y5">
        <v>16.100000000000001</v>
      </c>
      <c r="Z5">
        <v>61.8</v>
      </c>
      <c r="AA5" t="s">
        <v>31</v>
      </c>
      <c r="AB5">
        <v>0.4587</v>
      </c>
    </row>
    <row r="6" spans="1:28" x14ac:dyDescent="0.2">
      <c r="A6">
        <v>7</v>
      </c>
      <c r="B6">
        <v>4</v>
      </c>
      <c r="C6" t="s">
        <v>43</v>
      </c>
      <c r="D6">
        <v>2014</v>
      </c>
      <c r="E6">
        <v>10</v>
      </c>
      <c r="F6">
        <v>5</v>
      </c>
      <c r="H6">
        <v>34</v>
      </c>
      <c r="J6" s="2">
        <f t="shared" si="0"/>
        <v>7.320360548</v>
      </c>
      <c r="K6">
        <v>5</v>
      </c>
      <c r="L6">
        <v>31</v>
      </c>
      <c r="N6" s="2">
        <f t="shared" si="1"/>
        <v>5.0279175900000004</v>
      </c>
      <c r="O6">
        <v>1.08</v>
      </c>
      <c r="P6">
        <v>2</v>
      </c>
      <c r="Q6" t="s">
        <v>40</v>
      </c>
      <c r="R6" t="s">
        <v>93</v>
      </c>
      <c r="S6" s="12">
        <v>41.434519000000002</v>
      </c>
      <c r="T6" s="12">
        <v>2.1908799999999999</v>
      </c>
      <c r="U6" t="s">
        <v>29</v>
      </c>
      <c r="V6" t="s">
        <v>31</v>
      </c>
      <c r="W6" t="s">
        <v>29</v>
      </c>
      <c r="X6" t="s">
        <v>31</v>
      </c>
      <c r="Y6">
        <v>16.100000000000001</v>
      </c>
      <c r="Z6">
        <v>61.8</v>
      </c>
      <c r="AA6" t="s">
        <v>31</v>
      </c>
      <c r="AB6">
        <v>0.4587</v>
      </c>
    </row>
    <row r="7" spans="1:28" x14ac:dyDescent="0.2">
      <c r="A7">
        <v>7</v>
      </c>
      <c r="B7">
        <v>5</v>
      </c>
      <c r="C7" t="s">
        <v>43</v>
      </c>
      <c r="D7">
        <v>2014</v>
      </c>
      <c r="E7">
        <v>10</v>
      </c>
      <c r="F7">
        <v>5</v>
      </c>
      <c r="H7">
        <v>40</v>
      </c>
      <c r="J7" s="2">
        <f t="shared" si="0"/>
        <v>8.6121888799999997</v>
      </c>
      <c r="K7">
        <v>5</v>
      </c>
      <c r="L7">
        <v>31</v>
      </c>
      <c r="N7" s="2">
        <f t="shared" si="1"/>
        <v>5.0279175900000004</v>
      </c>
      <c r="O7">
        <v>0.08</v>
      </c>
      <c r="P7">
        <v>1</v>
      </c>
      <c r="Q7" t="s">
        <v>40</v>
      </c>
      <c r="R7" t="s">
        <v>93</v>
      </c>
      <c r="S7" s="12">
        <v>41.434519000000002</v>
      </c>
      <c r="T7" s="12">
        <v>2.1908799999999999</v>
      </c>
      <c r="U7" t="s">
        <v>29</v>
      </c>
      <c r="V7" t="s">
        <v>31</v>
      </c>
      <c r="W7" t="s">
        <v>29</v>
      </c>
      <c r="X7" t="s">
        <v>31</v>
      </c>
      <c r="Y7">
        <v>16.100000000000001</v>
      </c>
      <c r="Z7">
        <v>61.8</v>
      </c>
      <c r="AA7" t="s">
        <v>31</v>
      </c>
      <c r="AB7">
        <v>0.4587</v>
      </c>
    </row>
    <row r="8" spans="1:28" x14ac:dyDescent="0.2">
      <c r="A8">
        <v>7</v>
      </c>
      <c r="B8">
        <v>6</v>
      </c>
      <c r="C8" t="s">
        <v>43</v>
      </c>
      <c r="D8">
        <v>2014</v>
      </c>
      <c r="E8">
        <v>10</v>
      </c>
      <c r="F8">
        <v>5</v>
      </c>
      <c r="H8">
        <v>43</v>
      </c>
      <c r="J8" s="2">
        <f t="shared" si="0"/>
        <v>9.2581030460000004</v>
      </c>
      <c r="K8">
        <v>5</v>
      </c>
      <c r="L8">
        <v>31</v>
      </c>
      <c r="N8" s="2">
        <f t="shared" si="1"/>
        <v>5.0279175900000004</v>
      </c>
      <c r="O8">
        <v>1.08</v>
      </c>
      <c r="P8">
        <v>2</v>
      </c>
      <c r="Q8" t="s">
        <v>40</v>
      </c>
      <c r="R8" t="s">
        <v>93</v>
      </c>
      <c r="S8" s="12">
        <v>41.434519000000002</v>
      </c>
      <c r="T8" s="12">
        <v>2.1908799999999999</v>
      </c>
      <c r="U8" t="s">
        <v>29</v>
      </c>
      <c r="V8" t="s">
        <v>31</v>
      </c>
      <c r="W8" t="s">
        <v>29</v>
      </c>
      <c r="X8" t="s">
        <v>31</v>
      </c>
      <c r="Y8">
        <v>16.100000000000001</v>
      </c>
      <c r="Z8">
        <v>61.8</v>
      </c>
      <c r="AA8" t="s">
        <v>31</v>
      </c>
      <c r="AB8">
        <v>0.4587</v>
      </c>
    </row>
    <row r="9" spans="1:28" x14ac:dyDescent="0.2">
      <c r="A9">
        <v>10</v>
      </c>
      <c r="B9">
        <v>1</v>
      </c>
      <c r="C9" t="s">
        <v>97</v>
      </c>
      <c r="D9" t="s">
        <v>51</v>
      </c>
      <c r="E9">
        <v>50</v>
      </c>
      <c r="F9">
        <v>8</v>
      </c>
      <c r="G9" t="s">
        <v>49</v>
      </c>
      <c r="H9">
        <v>4.625</v>
      </c>
      <c r="I9">
        <v>0.74</v>
      </c>
      <c r="J9">
        <v>0.74</v>
      </c>
      <c r="K9">
        <v>8</v>
      </c>
      <c r="L9">
        <v>1</v>
      </c>
      <c r="M9">
        <v>0.93</v>
      </c>
      <c r="N9">
        <v>0.93</v>
      </c>
      <c r="O9">
        <v>17</v>
      </c>
      <c r="P9">
        <v>18</v>
      </c>
      <c r="Q9" t="s">
        <v>52</v>
      </c>
      <c r="R9" t="s">
        <v>94</v>
      </c>
      <c r="S9" s="12">
        <v>50.473109999999998</v>
      </c>
      <c r="T9" s="12">
        <v>-121.0218</v>
      </c>
      <c r="U9" t="s">
        <v>29</v>
      </c>
      <c r="V9" t="s">
        <v>29</v>
      </c>
      <c r="W9" t="s">
        <v>31</v>
      </c>
      <c r="X9" t="s">
        <v>31</v>
      </c>
      <c r="Y9">
        <v>2.2999999999999998</v>
      </c>
      <c r="Z9">
        <v>44.8</v>
      </c>
      <c r="AA9" t="s">
        <v>31</v>
      </c>
      <c r="AB9">
        <v>0.46660000000000001</v>
      </c>
    </row>
    <row r="10" spans="1:28" x14ac:dyDescent="0.2">
      <c r="A10">
        <v>10</v>
      </c>
      <c r="B10">
        <v>5</v>
      </c>
      <c r="C10" t="s">
        <v>97</v>
      </c>
      <c r="D10" t="s">
        <v>51</v>
      </c>
      <c r="E10">
        <v>250</v>
      </c>
      <c r="F10">
        <v>8</v>
      </c>
      <c r="G10" t="s">
        <v>49</v>
      </c>
      <c r="H10">
        <v>3.71</v>
      </c>
      <c r="I10">
        <v>1.02</v>
      </c>
      <c r="J10">
        <v>1.02</v>
      </c>
      <c r="K10">
        <v>8</v>
      </c>
      <c r="L10">
        <v>1</v>
      </c>
      <c r="M10">
        <v>0.93</v>
      </c>
      <c r="N10">
        <v>0.93</v>
      </c>
      <c r="O10">
        <v>17</v>
      </c>
      <c r="P10">
        <v>18</v>
      </c>
      <c r="Q10" t="s">
        <v>52</v>
      </c>
      <c r="R10" t="s">
        <v>94</v>
      </c>
      <c r="S10" s="12">
        <v>50.473109999999998</v>
      </c>
      <c r="T10" s="12">
        <v>-121.0218</v>
      </c>
      <c r="U10" t="s">
        <v>29</v>
      </c>
      <c r="V10" t="s">
        <v>29</v>
      </c>
      <c r="W10" t="s">
        <v>31</v>
      </c>
      <c r="X10" t="s">
        <v>31</v>
      </c>
      <c r="Y10">
        <v>2.2999999999999998</v>
      </c>
      <c r="Z10">
        <v>44.8</v>
      </c>
      <c r="AA10" t="s">
        <v>31</v>
      </c>
      <c r="AB10">
        <v>0.46660000000000001</v>
      </c>
    </row>
    <row r="11" spans="1:28" x14ac:dyDescent="0.2">
      <c r="A11">
        <v>10</v>
      </c>
      <c r="B11">
        <v>3</v>
      </c>
      <c r="C11" t="s">
        <v>97</v>
      </c>
      <c r="D11" t="s">
        <v>51</v>
      </c>
      <c r="E11">
        <v>150</v>
      </c>
      <c r="F11">
        <v>8</v>
      </c>
      <c r="G11" t="s">
        <v>49</v>
      </c>
      <c r="H11">
        <v>4.875</v>
      </c>
      <c r="I11">
        <v>1.1299999999999999</v>
      </c>
      <c r="J11">
        <v>1.1299999999999999</v>
      </c>
      <c r="K11">
        <v>8</v>
      </c>
      <c r="L11">
        <v>1</v>
      </c>
      <c r="M11">
        <v>0.93</v>
      </c>
      <c r="N11">
        <v>0.93</v>
      </c>
      <c r="O11">
        <v>17</v>
      </c>
      <c r="P11">
        <v>18</v>
      </c>
      <c r="Q11" t="s">
        <v>52</v>
      </c>
      <c r="R11" t="s">
        <v>94</v>
      </c>
      <c r="S11" s="12">
        <v>50.473109999999998</v>
      </c>
      <c r="T11" s="12">
        <v>-121.0218</v>
      </c>
      <c r="U11" t="s">
        <v>29</v>
      </c>
      <c r="V11" t="s">
        <v>29</v>
      </c>
      <c r="W11" t="s">
        <v>31</v>
      </c>
      <c r="X11" t="s">
        <v>31</v>
      </c>
      <c r="Y11">
        <v>2.2999999999999998</v>
      </c>
      <c r="Z11">
        <v>44.8</v>
      </c>
      <c r="AA11" t="s">
        <v>31</v>
      </c>
      <c r="AB11">
        <v>0.46660000000000001</v>
      </c>
    </row>
    <row r="12" spans="1:28" x14ac:dyDescent="0.2">
      <c r="A12">
        <v>10</v>
      </c>
      <c r="B12">
        <v>10</v>
      </c>
      <c r="C12" t="s">
        <v>97</v>
      </c>
      <c r="D12" t="s">
        <v>51</v>
      </c>
      <c r="E12">
        <v>250</v>
      </c>
      <c r="F12">
        <v>8</v>
      </c>
      <c r="G12" t="s">
        <v>49</v>
      </c>
      <c r="H12">
        <v>4.625</v>
      </c>
      <c r="I12">
        <v>1.19</v>
      </c>
      <c r="J12">
        <v>1.19</v>
      </c>
      <c r="K12">
        <v>8</v>
      </c>
      <c r="L12">
        <v>5.5</v>
      </c>
      <c r="M12">
        <v>0.93</v>
      </c>
      <c r="N12">
        <v>0.93</v>
      </c>
      <c r="O12">
        <v>17</v>
      </c>
      <c r="P12">
        <v>18</v>
      </c>
      <c r="Q12" t="s">
        <v>52</v>
      </c>
      <c r="R12" t="s">
        <v>94</v>
      </c>
      <c r="S12" s="12">
        <v>50.473109999999998</v>
      </c>
      <c r="T12" s="12">
        <v>-121.0218</v>
      </c>
      <c r="U12" t="s">
        <v>29</v>
      </c>
      <c r="V12" t="s">
        <v>29</v>
      </c>
      <c r="W12" t="s">
        <v>31</v>
      </c>
      <c r="X12" t="s">
        <v>31</v>
      </c>
      <c r="Y12">
        <v>2.2999999999999998</v>
      </c>
      <c r="Z12">
        <v>44.8</v>
      </c>
      <c r="AA12" t="s">
        <v>31</v>
      </c>
      <c r="AB12">
        <v>0.46660000000000001</v>
      </c>
    </row>
    <row r="13" spans="1:28" x14ac:dyDescent="0.2">
      <c r="A13">
        <v>10</v>
      </c>
      <c r="B13">
        <v>4</v>
      </c>
      <c r="C13" t="s">
        <v>97</v>
      </c>
      <c r="D13" t="s">
        <v>51</v>
      </c>
      <c r="E13">
        <v>200</v>
      </c>
      <c r="F13">
        <v>8</v>
      </c>
      <c r="G13" t="s">
        <v>49</v>
      </c>
      <c r="H13">
        <v>4.75</v>
      </c>
      <c r="I13">
        <v>1.28</v>
      </c>
      <c r="J13">
        <v>1.28</v>
      </c>
      <c r="K13">
        <v>8</v>
      </c>
      <c r="L13">
        <v>1</v>
      </c>
      <c r="M13">
        <v>0.93</v>
      </c>
      <c r="N13">
        <v>0.93</v>
      </c>
      <c r="O13">
        <v>17</v>
      </c>
      <c r="P13">
        <v>18</v>
      </c>
      <c r="Q13" t="s">
        <v>52</v>
      </c>
      <c r="R13" t="s">
        <v>94</v>
      </c>
      <c r="S13" s="12">
        <v>50.473109999999998</v>
      </c>
      <c r="T13" s="12">
        <v>-121.0218</v>
      </c>
      <c r="U13" t="s">
        <v>29</v>
      </c>
      <c r="V13" t="s">
        <v>29</v>
      </c>
      <c r="W13" t="s">
        <v>31</v>
      </c>
      <c r="X13" t="s">
        <v>31</v>
      </c>
      <c r="Y13">
        <v>2.2999999999999998</v>
      </c>
      <c r="Z13">
        <v>44.8</v>
      </c>
      <c r="AA13" t="s">
        <v>31</v>
      </c>
      <c r="AB13">
        <v>0.46660000000000001</v>
      </c>
    </row>
    <row r="14" spans="1:28" x14ac:dyDescent="0.2">
      <c r="A14">
        <v>10</v>
      </c>
      <c r="B14">
        <v>2</v>
      </c>
      <c r="C14" t="s">
        <v>97</v>
      </c>
      <c r="D14" t="s">
        <v>51</v>
      </c>
      <c r="E14">
        <v>100</v>
      </c>
      <c r="F14">
        <v>8</v>
      </c>
      <c r="G14" t="s">
        <v>49</v>
      </c>
      <c r="H14">
        <v>4.25</v>
      </c>
      <c r="I14">
        <v>1.58</v>
      </c>
      <c r="J14">
        <v>1.58</v>
      </c>
      <c r="K14">
        <v>8</v>
      </c>
      <c r="L14">
        <v>1</v>
      </c>
      <c r="M14">
        <v>0.93</v>
      </c>
      <c r="N14">
        <v>0.93</v>
      </c>
      <c r="O14">
        <v>17</v>
      </c>
      <c r="P14">
        <v>18</v>
      </c>
      <c r="Q14" t="s">
        <v>52</v>
      </c>
      <c r="R14" t="s">
        <v>94</v>
      </c>
      <c r="S14" s="12">
        <v>50.473109999999998</v>
      </c>
      <c r="T14" s="12">
        <v>-121.0218</v>
      </c>
      <c r="U14" t="s">
        <v>29</v>
      </c>
      <c r="V14" t="s">
        <v>29</v>
      </c>
      <c r="W14" t="s">
        <v>31</v>
      </c>
      <c r="X14" t="s">
        <v>31</v>
      </c>
      <c r="Y14">
        <v>2.2999999999999998</v>
      </c>
      <c r="Z14">
        <v>44.8</v>
      </c>
      <c r="AA14" t="s">
        <v>31</v>
      </c>
      <c r="AB14">
        <v>0.46660000000000001</v>
      </c>
    </row>
    <row r="15" spans="1:28" x14ac:dyDescent="0.2">
      <c r="A15">
        <v>10</v>
      </c>
      <c r="B15">
        <v>9</v>
      </c>
      <c r="C15" t="s">
        <v>97</v>
      </c>
      <c r="D15" t="s">
        <v>51</v>
      </c>
      <c r="E15">
        <v>200</v>
      </c>
      <c r="F15">
        <v>8</v>
      </c>
      <c r="G15" t="s">
        <v>49</v>
      </c>
      <c r="H15">
        <v>4.5</v>
      </c>
      <c r="I15">
        <v>1.77</v>
      </c>
      <c r="J15">
        <v>1.77</v>
      </c>
      <c r="K15">
        <v>8</v>
      </c>
      <c r="L15">
        <v>5.5</v>
      </c>
      <c r="M15">
        <v>0.93</v>
      </c>
      <c r="N15">
        <v>0.93</v>
      </c>
      <c r="O15">
        <v>17</v>
      </c>
      <c r="P15">
        <v>18</v>
      </c>
      <c r="Q15" t="s">
        <v>52</v>
      </c>
      <c r="R15" t="s">
        <v>94</v>
      </c>
      <c r="S15" s="12">
        <v>50.473109999999998</v>
      </c>
      <c r="T15" s="12">
        <v>-121.0218</v>
      </c>
      <c r="U15" t="s">
        <v>29</v>
      </c>
      <c r="V15" t="s">
        <v>29</v>
      </c>
      <c r="W15" t="s">
        <v>31</v>
      </c>
      <c r="X15" t="s">
        <v>31</v>
      </c>
      <c r="Y15">
        <v>2.2999999999999998</v>
      </c>
      <c r="Z15">
        <v>44.8</v>
      </c>
      <c r="AA15" t="s">
        <v>31</v>
      </c>
      <c r="AB15">
        <v>0.46660000000000001</v>
      </c>
    </row>
    <row r="16" spans="1:28" x14ac:dyDescent="0.2">
      <c r="A16">
        <v>10</v>
      </c>
      <c r="B16">
        <v>6</v>
      </c>
      <c r="C16" t="s">
        <v>97</v>
      </c>
      <c r="D16" t="s">
        <v>51</v>
      </c>
      <c r="E16">
        <v>50</v>
      </c>
      <c r="F16">
        <v>8</v>
      </c>
      <c r="G16" t="s">
        <v>49</v>
      </c>
      <c r="H16">
        <v>5.75</v>
      </c>
      <c r="I16">
        <v>1.98</v>
      </c>
      <c r="J16">
        <v>1.98</v>
      </c>
      <c r="K16">
        <v>8</v>
      </c>
      <c r="L16">
        <v>5.5</v>
      </c>
      <c r="M16">
        <v>0.93</v>
      </c>
      <c r="N16">
        <v>0.93</v>
      </c>
      <c r="O16">
        <v>17</v>
      </c>
      <c r="P16">
        <v>18</v>
      </c>
      <c r="Q16" t="s">
        <v>52</v>
      </c>
      <c r="R16" t="s">
        <v>94</v>
      </c>
      <c r="S16" s="12">
        <v>50.473109999999998</v>
      </c>
      <c r="T16" s="12">
        <v>-121.0218</v>
      </c>
      <c r="U16" t="s">
        <v>29</v>
      </c>
      <c r="V16" t="s">
        <v>29</v>
      </c>
      <c r="W16" t="s">
        <v>31</v>
      </c>
      <c r="X16" t="s">
        <v>31</v>
      </c>
      <c r="Y16">
        <v>2.2999999999999998</v>
      </c>
      <c r="Z16">
        <v>44.8</v>
      </c>
      <c r="AA16" t="s">
        <v>31</v>
      </c>
      <c r="AB16">
        <v>0.46660000000000001</v>
      </c>
    </row>
    <row r="17" spans="1:28" x14ac:dyDescent="0.2">
      <c r="A17">
        <v>10</v>
      </c>
      <c r="B17">
        <v>8</v>
      </c>
      <c r="C17" t="s">
        <v>97</v>
      </c>
      <c r="D17" t="s">
        <v>51</v>
      </c>
      <c r="E17">
        <v>150</v>
      </c>
      <c r="F17">
        <v>8</v>
      </c>
      <c r="G17" t="s">
        <v>49</v>
      </c>
      <c r="H17">
        <v>5.75</v>
      </c>
      <c r="I17">
        <v>1.98</v>
      </c>
      <c r="J17">
        <v>1.98</v>
      </c>
      <c r="K17">
        <v>8</v>
      </c>
      <c r="L17">
        <v>5.5</v>
      </c>
      <c r="M17">
        <v>0.93</v>
      </c>
      <c r="N17">
        <v>0.93</v>
      </c>
      <c r="O17">
        <v>17</v>
      </c>
      <c r="P17">
        <v>18</v>
      </c>
      <c r="Q17" t="s">
        <v>52</v>
      </c>
      <c r="R17" t="s">
        <v>94</v>
      </c>
      <c r="S17" s="12">
        <v>50.473109999999998</v>
      </c>
      <c r="T17" s="12">
        <v>-121.0218</v>
      </c>
      <c r="U17" t="s">
        <v>29</v>
      </c>
      <c r="V17" t="s">
        <v>29</v>
      </c>
      <c r="W17" t="s">
        <v>31</v>
      </c>
      <c r="X17" t="s">
        <v>31</v>
      </c>
      <c r="Y17">
        <v>2.2999999999999998</v>
      </c>
      <c r="Z17">
        <v>44.8</v>
      </c>
      <c r="AA17" t="s">
        <v>31</v>
      </c>
      <c r="AB17">
        <v>0.46660000000000001</v>
      </c>
    </row>
    <row r="18" spans="1:28" x14ac:dyDescent="0.2">
      <c r="A18">
        <v>10</v>
      </c>
      <c r="B18">
        <v>7</v>
      </c>
      <c r="C18" t="s">
        <v>97</v>
      </c>
      <c r="D18" t="s">
        <v>51</v>
      </c>
      <c r="E18">
        <v>100</v>
      </c>
      <c r="F18">
        <v>8</v>
      </c>
      <c r="G18" t="s">
        <v>49</v>
      </c>
      <c r="H18">
        <v>6.625</v>
      </c>
      <c r="I18">
        <v>2.72</v>
      </c>
      <c r="J18">
        <v>2.72</v>
      </c>
      <c r="K18">
        <v>8</v>
      </c>
      <c r="L18">
        <v>5.5</v>
      </c>
      <c r="M18">
        <v>0.93</v>
      </c>
      <c r="N18">
        <v>0.93</v>
      </c>
      <c r="O18">
        <v>17</v>
      </c>
      <c r="P18">
        <v>18</v>
      </c>
      <c r="Q18" t="s">
        <v>52</v>
      </c>
      <c r="R18" t="s">
        <v>94</v>
      </c>
      <c r="S18" s="12">
        <v>50.473109999999998</v>
      </c>
      <c r="T18" s="12">
        <v>-121.0218</v>
      </c>
      <c r="U18" t="s">
        <v>29</v>
      </c>
      <c r="V18" t="s">
        <v>29</v>
      </c>
      <c r="W18" t="s">
        <v>31</v>
      </c>
      <c r="X18" t="s">
        <v>31</v>
      </c>
      <c r="Y18">
        <v>2.2999999999999998</v>
      </c>
      <c r="Z18">
        <v>44.8</v>
      </c>
      <c r="AA18" t="s">
        <v>31</v>
      </c>
      <c r="AB18">
        <v>0.46660000000000001</v>
      </c>
    </row>
    <row r="19" spans="1:28" x14ac:dyDescent="0.2">
      <c r="A19">
        <v>11</v>
      </c>
      <c r="B19">
        <v>1</v>
      </c>
      <c r="C19" t="s">
        <v>148</v>
      </c>
      <c r="D19">
        <v>2015</v>
      </c>
      <c r="E19">
        <v>40</v>
      </c>
      <c r="F19">
        <v>4</v>
      </c>
      <c r="G19" t="s">
        <v>49</v>
      </c>
      <c r="H19">
        <v>2</v>
      </c>
      <c r="I19">
        <v>0.8</v>
      </c>
      <c r="J19">
        <v>0.8</v>
      </c>
      <c r="K19">
        <v>4</v>
      </c>
      <c r="L19">
        <v>1.5</v>
      </c>
      <c r="M19">
        <v>1.28</v>
      </c>
      <c r="N19">
        <v>1.28</v>
      </c>
      <c r="O19">
        <v>6</v>
      </c>
      <c r="P19">
        <v>7</v>
      </c>
      <c r="Q19" t="s">
        <v>54</v>
      </c>
      <c r="R19" t="s">
        <v>92</v>
      </c>
      <c r="S19" s="14">
        <v>-40.573329999999999</v>
      </c>
      <c r="T19" s="12">
        <v>-70.832499999999996</v>
      </c>
      <c r="U19" t="s">
        <v>31</v>
      </c>
      <c r="V19" t="s">
        <v>29</v>
      </c>
      <c r="W19" t="s">
        <v>29</v>
      </c>
      <c r="X19" t="s">
        <v>31</v>
      </c>
      <c r="Y19">
        <v>9.4</v>
      </c>
      <c r="Z19">
        <v>56.5</v>
      </c>
      <c r="AA19" t="s">
        <v>29</v>
      </c>
      <c r="AB19">
        <v>0.44740000000000002</v>
      </c>
    </row>
    <row r="20" spans="1:28" x14ac:dyDescent="0.2">
      <c r="A20">
        <v>11</v>
      </c>
      <c r="B20">
        <v>2</v>
      </c>
      <c r="C20" t="s">
        <v>148</v>
      </c>
      <c r="D20">
        <v>2015</v>
      </c>
      <c r="E20">
        <v>40</v>
      </c>
      <c r="F20">
        <v>4</v>
      </c>
      <c r="G20" t="s">
        <v>49</v>
      </c>
      <c r="H20">
        <v>5.2</v>
      </c>
      <c r="I20">
        <v>0.94</v>
      </c>
      <c r="J20">
        <v>0.94</v>
      </c>
      <c r="K20">
        <v>4</v>
      </c>
      <c r="L20">
        <v>4.7</v>
      </c>
      <c r="M20">
        <v>3.3</v>
      </c>
      <c r="N20">
        <v>3.3</v>
      </c>
      <c r="O20">
        <v>6</v>
      </c>
      <c r="P20">
        <v>7</v>
      </c>
      <c r="Q20" t="s">
        <v>54</v>
      </c>
      <c r="R20" t="s">
        <v>92</v>
      </c>
      <c r="S20" s="14">
        <v>-40.573329999999999</v>
      </c>
      <c r="T20" s="12">
        <v>-70.832499999999996</v>
      </c>
      <c r="U20" t="s">
        <v>31</v>
      </c>
      <c r="V20" t="s">
        <v>29</v>
      </c>
      <c r="W20" t="s">
        <v>29</v>
      </c>
      <c r="X20" t="s">
        <v>31</v>
      </c>
      <c r="Y20">
        <v>9.4</v>
      </c>
      <c r="Z20">
        <v>56.5</v>
      </c>
      <c r="AA20" t="s">
        <v>29</v>
      </c>
      <c r="AB20">
        <v>0.44740000000000002</v>
      </c>
    </row>
    <row r="21" spans="1:28" x14ac:dyDescent="0.2">
      <c r="A21">
        <v>16</v>
      </c>
      <c r="B21">
        <v>1</v>
      </c>
      <c r="C21" t="s">
        <v>63</v>
      </c>
      <c r="D21">
        <v>2011</v>
      </c>
      <c r="E21">
        <v>48.7</v>
      </c>
      <c r="F21">
        <v>28</v>
      </c>
      <c r="H21">
        <v>7.2</v>
      </c>
      <c r="J21" s="2">
        <f t="shared" ref="J21:J68" si="2">0.215304722*H21</f>
        <v>1.5501939984000002</v>
      </c>
      <c r="K21">
        <v>28</v>
      </c>
      <c r="L21">
        <v>7.8</v>
      </c>
      <c r="N21" s="2">
        <f t="shared" ref="N21:N68" si="3">0.16219089*L21</f>
        <v>1.265088942</v>
      </c>
      <c r="O21">
        <v>10</v>
      </c>
      <c r="P21">
        <v>11</v>
      </c>
      <c r="Q21" t="s">
        <v>64</v>
      </c>
      <c r="R21" t="s">
        <v>91</v>
      </c>
      <c r="S21" s="12">
        <v>40.52187</v>
      </c>
      <c r="T21" s="12">
        <v>-112.14612</v>
      </c>
      <c r="U21" t="s">
        <v>29</v>
      </c>
      <c r="V21" t="s">
        <v>29</v>
      </c>
      <c r="W21" t="s">
        <v>31</v>
      </c>
      <c r="X21" t="s">
        <v>31</v>
      </c>
      <c r="Y21">
        <v>8.6999999999999993</v>
      </c>
      <c r="Z21">
        <v>53.2</v>
      </c>
      <c r="AA21" t="s">
        <v>31</v>
      </c>
      <c r="AB21">
        <v>0.3347</v>
      </c>
    </row>
    <row r="22" spans="1:28" x14ac:dyDescent="0.2">
      <c r="A22">
        <v>18</v>
      </c>
      <c r="B22">
        <v>1</v>
      </c>
      <c r="C22" t="s">
        <v>67</v>
      </c>
      <c r="D22">
        <v>1997</v>
      </c>
      <c r="E22">
        <v>6.5</v>
      </c>
      <c r="F22">
        <v>5</v>
      </c>
      <c r="H22">
        <v>23.78</v>
      </c>
      <c r="J22" s="2">
        <f t="shared" si="2"/>
        <v>5.1199462891600005</v>
      </c>
      <c r="K22">
        <v>5</v>
      </c>
      <c r="L22">
        <v>15.89</v>
      </c>
      <c r="N22" s="2">
        <f t="shared" si="3"/>
        <v>2.5772132421</v>
      </c>
      <c r="O22">
        <v>1</v>
      </c>
      <c r="P22">
        <v>2</v>
      </c>
      <c r="Q22" t="s">
        <v>68</v>
      </c>
      <c r="R22" t="s">
        <v>93</v>
      </c>
      <c r="S22" s="12">
        <v>38.206281699999998</v>
      </c>
      <c r="T22" s="12">
        <v>-1.0434985000000001</v>
      </c>
      <c r="U22" t="s">
        <v>31</v>
      </c>
      <c r="V22" t="s">
        <v>31</v>
      </c>
      <c r="W22" t="s">
        <v>31</v>
      </c>
      <c r="X22" t="s">
        <v>31</v>
      </c>
      <c r="Y22">
        <v>16.100000000000001</v>
      </c>
      <c r="Z22">
        <v>36.1</v>
      </c>
      <c r="AA22" t="s">
        <v>31</v>
      </c>
      <c r="AB22">
        <v>0.18459999999999999</v>
      </c>
    </row>
    <row r="23" spans="1:28" x14ac:dyDescent="0.2">
      <c r="A23">
        <v>18</v>
      </c>
      <c r="B23">
        <v>2</v>
      </c>
      <c r="C23" t="s">
        <v>67</v>
      </c>
      <c r="D23">
        <v>1997</v>
      </c>
      <c r="E23">
        <v>13</v>
      </c>
      <c r="F23">
        <v>5</v>
      </c>
      <c r="H23">
        <v>21.82</v>
      </c>
      <c r="J23" s="2">
        <f t="shared" si="2"/>
        <v>4.6979490340400005</v>
      </c>
      <c r="K23">
        <v>5</v>
      </c>
      <c r="L23">
        <v>15.89</v>
      </c>
      <c r="N23" s="2">
        <f t="shared" si="3"/>
        <v>2.5772132421</v>
      </c>
      <c r="O23">
        <v>1</v>
      </c>
      <c r="P23">
        <v>2</v>
      </c>
      <c r="Q23" t="s">
        <v>68</v>
      </c>
      <c r="R23" t="s">
        <v>93</v>
      </c>
      <c r="S23" s="12">
        <v>38.206281699999998</v>
      </c>
      <c r="T23" s="12">
        <v>-1.0434985000000001</v>
      </c>
      <c r="U23" t="s">
        <v>31</v>
      </c>
      <c r="V23" t="s">
        <v>31</v>
      </c>
      <c r="W23" t="s">
        <v>31</v>
      </c>
      <c r="X23" t="s">
        <v>31</v>
      </c>
      <c r="Y23">
        <v>16.100000000000001</v>
      </c>
      <c r="Z23">
        <v>36.1</v>
      </c>
      <c r="AA23" t="s">
        <v>31</v>
      </c>
      <c r="AB23">
        <v>0.18459999999999999</v>
      </c>
    </row>
    <row r="24" spans="1:28" x14ac:dyDescent="0.2">
      <c r="A24">
        <v>18</v>
      </c>
      <c r="B24">
        <v>3</v>
      </c>
      <c r="C24" t="s">
        <v>67</v>
      </c>
      <c r="D24">
        <v>1997</v>
      </c>
      <c r="E24">
        <v>19.5</v>
      </c>
      <c r="F24">
        <v>5</v>
      </c>
      <c r="H24">
        <v>29.82</v>
      </c>
      <c r="J24" s="2">
        <f t="shared" si="2"/>
        <v>6.4203868100400001</v>
      </c>
      <c r="K24">
        <v>5</v>
      </c>
      <c r="L24">
        <v>15.89</v>
      </c>
      <c r="N24" s="2">
        <f t="shared" si="3"/>
        <v>2.5772132421</v>
      </c>
      <c r="O24">
        <v>1</v>
      </c>
      <c r="P24">
        <v>2</v>
      </c>
      <c r="Q24" t="s">
        <v>68</v>
      </c>
      <c r="R24" t="s">
        <v>93</v>
      </c>
      <c r="S24" s="12">
        <v>38.206281699999998</v>
      </c>
      <c r="T24" s="12">
        <v>-1.0434985000000001</v>
      </c>
      <c r="U24" t="s">
        <v>31</v>
      </c>
      <c r="V24" t="s">
        <v>31</v>
      </c>
      <c r="W24" t="s">
        <v>31</v>
      </c>
      <c r="X24" t="s">
        <v>31</v>
      </c>
      <c r="Y24">
        <v>16.100000000000001</v>
      </c>
      <c r="Z24">
        <v>36.1</v>
      </c>
      <c r="AA24" t="s">
        <v>31</v>
      </c>
      <c r="AB24">
        <v>0.18459999999999999</v>
      </c>
    </row>
    <row r="25" spans="1:28" x14ac:dyDescent="0.2">
      <c r="A25">
        <v>18</v>
      </c>
      <c r="B25">
        <v>4</v>
      </c>
      <c r="C25" t="s">
        <v>67</v>
      </c>
      <c r="D25">
        <v>1997</v>
      </c>
      <c r="E25">
        <v>26</v>
      </c>
      <c r="F25">
        <v>5</v>
      </c>
      <c r="H25">
        <v>17.899999999999999</v>
      </c>
      <c r="J25" s="2">
        <f t="shared" si="2"/>
        <v>3.8539545237999997</v>
      </c>
      <c r="K25">
        <v>5</v>
      </c>
      <c r="L25">
        <v>15.89</v>
      </c>
      <c r="N25" s="2">
        <f t="shared" si="3"/>
        <v>2.5772132421</v>
      </c>
      <c r="O25">
        <v>1</v>
      </c>
      <c r="P25">
        <v>2</v>
      </c>
      <c r="Q25" t="s">
        <v>68</v>
      </c>
      <c r="R25" t="s">
        <v>93</v>
      </c>
      <c r="S25" s="12">
        <v>38.206281699999998</v>
      </c>
      <c r="T25" s="12">
        <v>-1.0434985000000001</v>
      </c>
      <c r="U25" t="s">
        <v>31</v>
      </c>
      <c r="V25" t="s">
        <v>31</v>
      </c>
      <c r="W25" t="s">
        <v>31</v>
      </c>
      <c r="X25" t="s">
        <v>31</v>
      </c>
      <c r="Y25">
        <v>16.100000000000001</v>
      </c>
      <c r="Z25">
        <v>36.1</v>
      </c>
      <c r="AA25" t="s">
        <v>31</v>
      </c>
      <c r="AB25">
        <v>0.18459999999999999</v>
      </c>
    </row>
    <row r="26" spans="1:28" x14ac:dyDescent="0.2">
      <c r="A26">
        <v>18</v>
      </c>
      <c r="B26">
        <v>5</v>
      </c>
      <c r="C26" t="s">
        <v>67</v>
      </c>
      <c r="D26">
        <v>1997</v>
      </c>
      <c r="E26">
        <v>6.5</v>
      </c>
      <c r="F26">
        <v>5</v>
      </c>
      <c r="H26">
        <v>35.909999999999997</v>
      </c>
      <c r="J26" s="2">
        <f t="shared" si="2"/>
        <v>7.731592567019999</v>
      </c>
      <c r="K26">
        <v>5</v>
      </c>
      <c r="L26">
        <v>28.89</v>
      </c>
      <c r="N26" s="2">
        <f t="shared" si="3"/>
        <v>4.6856948121000004</v>
      </c>
      <c r="O26">
        <v>2</v>
      </c>
      <c r="P26">
        <v>3</v>
      </c>
      <c r="Q26" t="s">
        <v>68</v>
      </c>
      <c r="R26" t="s">
        <v>93</v>
      </c>
      <c r="S26" s="12">
        <v>38.206281699999998</v>
      </c>
      <c r="T26" s="12">
        <v>-1.0434985000000001</v>
      </c>
      <c r="U26" t="s">
        <v>31</v>
      </c>
      <c r="V26" t="s">
        <v>31</v>
      </c>
      <c r="W26" t="s">
        <v>31</v>
      </c>
      <c r="X26" t="s">
        <v>31</v>
      </c>
      <c r="Y26">
        <v>16.100000000000001</v>
      </c>
      <c r="Z26">
        <v>36.1</v>
      </c>
      <c r="AA26" t="s">
        <v>31</v>
      </c>
      <c r="AB26">
        <v>0.18459999999999999</v>
      </c>
    </row>
    <row r="27" spans="1:28" x14ac:dyDescent="0.2">
      <c r="A27">
        <v>18</v>
      </c>
      <c r="B27">
        <v>6</v>
      </c>
      <c r="C27" t="s">
        <v>67</v>
      </c>
      <c r="D27">
        <v>1997</v>
      </c>
      <c r="E27">
        <v>13</v>
      </c>
      <c r="F27">
        <v>5</v>
      </c>
      <c r="H27">
        <v>34.979999999999997</v>
      </c>
      <c r="J27" s="2">
        <f t="shared" si="2"/>
        <v>7.5313591755599996</v>
      </c>
      <c r="K27">
        <v>5</v>
      </c>
      <c r="L27">
        <v>28.89</v>
      </c>
      <c r="N27" s="2">
        <f t="shared" si="3"/>
        <v>4.6856948121000004</v>
      </c>
      <c r="O27">
        <v>2</v>
      </c>
      <c r="P27">
        <v>3</v>
      </c>
      <c r="Q27" t="s">
        <v>68</v>
      </c>
      <c r="R27" t="s">
        <v>93</v>
      </c>
      <c r="S27" s="12">
        <v>38.206281699999998</v>
      </c>
      <c r="T27" s="12">
        <v>-1.0434985000000001</v>
      </c>
      <c r="U27" t="s">
        <v>31</v>
      </c>
      <c r="V27" t="s">
        <v>31</v>
      </c>
      <c r="W27" t="s">
        <v>31</v>
      </c>
      <c r="X27" t="s">
        <v>31</v>
      </c>
      <c r="Y27">
        <v>16.100000000000001</v>
      </c>
      <c r="Z27">
        <v>36.1</v>
      </c>
      <c r="AA27" t="s">
        <v>31</v>
      </c>
      <c r="AB27">
        <v>0.18459999999999999</v>
      </c>
    </row>
    <row r="28" spans="1:28" x14ac:dyDescent="0.2">
      <c r="A28">
        <v>18</v>
      </c>
      <c r="B28">
        <v>7</v>
      </c>
      <c r="C28" t="s">
        <v>67</v>
      </c>
      <c r="D28">
        <v>1997</v>
      </c>
      <c r="E28">
        <v>19.5</v>
      </c>
      <c r="F28">
        <v>5</v>
      </c>
      <c r="H28">
        <v>31.94</v>
      </c>
      <c r="J28" s="2">
        <f t="shared" si="2"/>
        <v>6.8768328206800007</v>
      </c>
      <c r="K28">
        <v>5</v>
      </c>
      <c r="L28">
        <v>28.89</v>
      </c>
      <c r="N28" s="2">
        <f t="shared" si="3"/>
        <v>4.6856948121000004</v>
      </c>
      <c r="O28">
        <v>2</v>
      </c>
      <c r="P28">
        <v>3</v>
      </c>
      <c r="Q28" t="s">
        <v>68</v>
      </c>
      <c r="R28" t="s">
        <v>93</v>
      </c>
      <c r="S28" s="12">
        <v>38.206281699999998</v>
      </c>
      <c r="T28" s="12">
        <v>-1.0434985000000001</v>
      </c>
      <c r="U28" t="s">
        <v>31</v>
      </c>
      <c r="V28" t="s">
        <v>31</v>
      </c>
      <c r="W28" t="s">
        <v>31</v>
      </c>
      <c r="X28" t="s">
        <v>31</v>
      </c>
      <c r="Y28">
        <v>16.100000000000001</v>
      </c>
      <c r="Z28">
        <v>36.1</v>
      </c>
      <c r="AA28" t="s">
        <v>31</v>
      </c>
      <c r="AB28">
        <v>0.18459999999999999</v>
      </c>
    </row>
    <row r="29" spans="1:28" x14ac:dyDescent="0.2">
      <c r="A29">
        <v>18</v>
      </c>
      <c r="B29">
        <v>8</v>
      </c>
      <c r="C29" t="s">
        <v>67</v>
      </c>
      <c r="D29">
        <v>1997</v>
      </c>
      <c r="E29">
        <v>26</v>
      </c>
      <c r="F29">
        <v>5</v>
      </c>
      <c r="H29">
        <v>27.91</v>
      </c>
      <c r="J29" s="2">
        <f t="shared" si="2"/>
        <v>6.0091547910200003</v>
      </c>
      <c r="K29">
        <v>5</v>
      </c>
      <c r="L29">
        <v>28.89</v>
      </c>
      <c r="N29" s="2">
        <f t="shared" si="3"/>
        <v>4.6856948121000004</v>
      </c>
      <c r="O29">
        <v>2</v>
      </c>
      <c r="P29">
        <v>3</v>
      </c>
      <c r="Q29" t="s">
        <v>68</v>
      </c>
      <c r="R29" t="s">
        <v>93</v>
      </c>
      <c r="S29" s="12">
        <v>38.206281699999998</v>
      </c>
      <c r="T29" s="12">
        <v>-1.0434985000000001</v>
      </c>
      <c r="U29" t="s">
        <v>31</v>
      </c>
      <c r="V29" t="s">
        <v>31</v>
      </c>
      <c r="W29" t="s">
        <v>31</v>
      </c>
      <c r="X29" t="s">
        <v>31</v>
      </c>
      <c r="Y29">
        <v>16.100000000000001</v>
      </c>
      <c r="Z29">
        <v>36.1</v>
      </c>
      <c r="AA29" t="s">
        <v>31</v>
      </c>
      <c r="AB29">
        <v>0.18459999999999999</v>
      </c>
    </row>
    <row r="30" spans="1:28" x14ac:dyDescent="0.2">
      <c r="A30">
        <v>18</v>
      </c>
      <c r="B30">
        <v>9</v>
      </c>
      <c r="C30" t="s">
        <v>67</v>
      </c>
      <c r="D30">
        <v>1997</v>
      </c>
      <c r="E30">
        <v>6.5</v>
      </c>
      <c r="F30">
        <v>5</v>
      </c>
      <c r="H30">
        <v>48.15</v>
      </c>
      <c r="J30" s="2">
        <f t="shared" si="2"/>
        <v>10.366922364300001</v>
      </c>
      <c r="K30">
        <v>5</v>
      </c>
      <c r="L30">
        <v>28.89</v>
      </c>
      <c r="N30" s="2">
        <f t="shared" si="3"/>
        <v>4.6856948121000004</v>
      </c>
      <c r="O30">
        <v>3</v>
      </c>
      <c r="P30">
        <v>4</v>
      </c>
      <c r="Q30" t="s">
        <v>68</v>
      </c>
      <c r="R30" t="s">
        <v>93</v>
      </c>
      <c r="S30" s="12">
        <v>38.206281699999998</v>
      </c>
      <c r="T30" s="12">
        <v>-1.0434985000000001</v>
      </c>
      <c r="U30" t="s">
        <v>31</v>
      </c>
      <c r="V30" t="s">
        <v>31</v>
      </c>
      <c r="W30" t="s">
        <v>31</v>
      </c>
      <c r="X30" t="s">
        <v>31</v>
      </c>
      <c r="Y30">
        <v>16.100000000000001</v>
      </c>
      <c r="Z30">
        <v>36.1</v>
      </c>
      <c r="AA30" t="s">
        <v>31</v>
      </c>
      <c r="AB30">
        <v>0.18459999999999999</v>
      </c>
    </row>
    <row r="31" spans="1:28" x14ac:dyDescent="0.2">
      <c r="A31">
        <v>18</v>
      </c>
      <c r="B31">
        <v>10</v>
      </c>
      <c r="C31" t="s">
        <v>67</v>
      </c>
      <c r="D31">
        <v>1997</v>
      </c>
      <c r="E31">
        <v>13</v>
      </c>
      <c r="F31">
        <v>5</v>
      </c>
      <c r="H31">
        <v>29</v>
      </c>
      <c r="J31" s="2">
        <f t="shared" si="2"/>
        <v>6.2438369380000003</v>
      </c>
      <c r="K31">
        <v>5</v>
      </c>
      <c r="L31">
        <v>28.89</v>
      </c>
      <c r="N31" s="2">
        <f t="shared" si="3"/>
        <v>4.6856948121000004</v>
      </c>
      <c r="O31">
        <v>3</v>
      </c>
      <c r="P31">
        <v>4</v>
      </c>
      <c r="Q31" t="s">
        <v>68</v>
      </c>
      <c r="R31" t="s">
        <v>93</v>
      </c>
      <c r="S31" s="12">
        <v>38.206281699999998</v>
      </c>
      <c r="T31" s="12">
        <v>-1.0434985000000001</v>
      </c>
      <c r="U31" t="s">
        <v>31</v>
      </c>
      <c r="V31" t="s">
        <v>31</v>
      </c>
      <c r="W31" t="s">
        <v>31</v>
      </c>
      <c r="X31" t="s">
        <v>31</v>
      </c>
      <c r="Y31">
        <v>16.100000000000001</v>
      </c>
      <c r="Z31">
        <v>36.1</v>
      </c>
      <c r="AA31" t="s">
        <v>31</v>
      </c>
      <c r="AB31">
        <v>0.18459999999999999</v>
      </c>
    </row>
    <row r="32" spans="1:28" x14ac:dyDescent="0.2">
      <c r="A32">
        <v>18</v>
      </c>
      <c r="B32">
        <v>11</v>
      </c>
      <c r="C32" t="s">
        <v>67</v>
      </c>
      <c r="D32">
        <v>1997</v>
      </c>
      <c r="E32">
        <v>19.5</v>
      </c>
      <c r="F32">
        <v>5</v>
      </c>
      <c r="H32">
        <v>25.95</v>
      </c>
      <c r="J32" s="2">
        <f t="shared" si="2"/>
        <v>5.5871575359000003</v>
      </c>
      <c r="K32">
        <v>5</v>
      </c>
      <c r="L32">
        <v>28.89</v>
      </c>
      <c r="N32" s="2">
        <f t="shared" si="3"/>
        <v>4.6856948121000004</v>
      </c>
      <c r="O32">
        <v>3</v>
      </c>
      <c r="P32">
        <v>4</v>
      </c>
      <c r="Q32" t="s">
        <v>68</v>
      </c>
      <c r="R32" t="s">
        <v>93</v>
      </c>
      <c r="S32" s="12">
        <v>38.206281699999998</v>
      </c>
      <c r="T32" s="12">
        <v>-1.0434985000000001</v>
      </c>
      <c r="U32" t="s">
        <v>31</v>
      </c>
      <c r="V32" t="s">
        <v>31</v>
      </c>
      <c r="W32" t="s">
        <v>31</v>
      </c>
      <c r="X32" t="s">
        <v>31</v>
      </c>
      <c r="Y32">
        <v>16.100000000000001</v>
      </c>
      <c r="Z32">
        <v>36.1</v>
      </c>
      <c r="AA32" t="s">
        <v>31</v>
      </c>
      <c r="AB32">
        <v>0.18459999999999999</v>
      </c>
    </row>
    <row r="33" spans="1:28" x14ac:dyDescent="0.2">
      <c r="A33">
        <v>18</v>
      </c>
      <c r="B33">
        <v>12</v>
      </c>
      <c r="C33" t="s">
        <v>67</v>
      </c>
      <c r="D33">
        <v>1997</v>
      </c>
      <c r="E33">
        <v>26</v>
      </c>
      <c r="F33">
        <v>5</v>
      </c>
      <c r="H33">
        <v>25.95</v>
      </c>
      <c r="J33" s="2">
        <f t="shared" si="2"/>
        <v>5.5871575359000003</v>
      </c>
      <c r="K33">
        <v>5</v>
      </c>
      <c r="L33">
        <v>28.89</v>
      </c>
      <c r="N33" s="2">
        <f t="shared" si="3"/>
        <v>4.6856948121000004</v>
      </c>
      <c r="O33">
        <v>3</v>
      </c>
      <c r="P33">
        <v>4</v>
      </c>
      <c r="Q33" t="s">
        <v>68</v>
      </c>
      <c r="R33" t="s">
        <v>93</v>
      </c>
      <c r="S33" s="12">
        <v>38.206281699999998</v>
      </c>
      <c r="T33" s="12">
        <v>-1.0434985000000001</v>
      </c>
      <c r="U33" t="s">
        <v>31</v>
      </c>
      <c r="V33" t="s">
        <v>31</v>
      </c>
      <c r="W33" t="s">
        <v>31</v>
      </c>
      <c r="X33" t="s">
        <v>31</v>
      </c>
      <c r="Y33">
        <v>16.100000000000001</v>
      </c>
      <c r="Z33">
        <v>36.1</v>
      </c>
      <c r="AA33" t="s">
        <v>31</v>
      </c>
      <c r="AB33">
        <v>0.18459999999999999</v>
      </c>
    </row>
    <row r="34" spans="1:28" x14ac:dyDescent="0.2">
      <c r="A34">
        <v>18</v>
      </c>
      <c r="B34">
        <v>13</v>
      </c>
      <c r="C34" t="s">
        <v>67</v>
      </c>
      <c r="D34">
        <v>1997</v>
      </c>
      <c r="E34">
        <v>6.5</v>
      </c>
      <c r="F34">
        <v>5</v>
      </c>
      <c r="H34">
        <v>31.94</v>
      </c>
      <c r="J34" s="2">
        <f t="shared" si="2"/>
        <v>6.8768328206800007</v>
      </c>
      <c r="K34">
        <v>5</v>
      </c>
      <c r="L34">
        <v>24.97</v>
      </c>
      <c r="N34" s="2">
        <f t="shared" si="3"/>
        <v>4.0499065232999998</v>
      </c>
      <c r="O34">
        <v>4</v>
      </c>
      <c r="P34">
        <v>5</v>
      </c>
      <c r="Q34" t="s">
        <v>68</v>
      </c>
      <c r="R34" t="s">
        <v>93</v>
      </c>
      <c r="S34" s="12">
        <v>38.206281699999998</v>
      </c>
      <c r="T34" s="12">
        <v>-1.0434985000000001</v>
      </c>
      <c r="U34" t="s">
        <v>31</v>
      </c>
      <c r="V34" t="s">
        <v>31</v>
      </c>
      <c r="W34" t="s">
        <v>31</v>
      </c>
      <c r="X34" t="s">
        <v>31</v>
      </c>
      <c r="Y34">
        <v>16.100000000000001</v>
      </c>
      <c r="Z34">
        <v>36.1</v>
      </c>
      <c r="AA34" t="s">
        <v>31</v>
      </c>
      <c r="AB34">
        <v>0.18459999999999999</v>
      </c>
    </row>
    <row r="35" spans="1:28" x14ac:dyDescent="0.2">
      <c r="A35">
        <v>18</v>
      </c>
      <c r="B35">
        <v>14</v>
      </c>
      <c r="C35" t="s">
        <v>67</v>
      </c>
      <c r="D35">
        <v>1997</v>
      </c>
      <c r="E35">
        <v>13</v>
      </c>
      <c r="F35">
        <v>5</v>
      </c>
      <c r="H35">
        <v>21.98</v>
      </c>
      <c r="J35" s="2">
        <f t="shared" si="2"/>
        <v>4.7323977895600002</v>
      </c>
      <c r="K35">
        <v>5</v>
      </c>
      <c r="L35">
        <v>24.97</v>
      </c>
      <c r="N35" s="2">
        <f t="shared" si="3"/>
        <v>4.0499065232999998</v>
      </c>
      <c r="O35">
        <v>4</v>
      </c>
      <c r="P35">
        <v>5</v>
      </c>
      <c r="Q35" t="s">
        <v>68</v>
      </c>
      <c r="R35" t="s">
        <v>93</v>
      </c>
      <c r="S35" s="12">
        <v>38.206281699999998</v>
      </c>
      <c r="T35" s="12">
        <v>-1.0434985000000001</v>
      </c>
      <c r="U35" t="s">
        <v>31</v>
      </c>
      <c r="V35" t="s">
        <v>31</v>
      </c>
      <c r="W35" t="s">
        <v>31</v>
      </c>
      <c r="X35" t="s">
        <v>31</v>
      </c>
      <c r="Y35">
        <v>16.100000000000001</v>
      </c>
      <c r="Z35">
        <v>36.1</v>
      </c>
      <c r="AA35" t="s">
        <v>31</v>
      </c>
      <c r="AB35">
        <v>0.18459999999999999</v>
      </c>
    </row>
    <row r="36" spans="1:28" x14ac:dyDescent="0.2">
      <c r="A36">
        <v>18</v>
      </c>
      <c r="B36">
        <v>15</v>
      </c>
      <c r="C36" t="s">
        <v>67</v>
      </c>
      <c r="D36">
        <v>1997</v>
      </c>
      <c r="E36">
        <v>19.5</v>
      </c>
      <c r="F36">
        <v>5</v>
      </c>
      <c r="H36">
        <v>34.979999999999997</v>
      </c>
      <c r="J36" s="2">
        <f t="shared" si="2"/>
        <v>7.5313591755599996</v>
      </c>
      <c r="K36">
        <v>5</v>
      </c>
      <c r="L36">
        <v>24.97</v>
      </c>
      <c r="N36" s="2">
        <f t="shared" si="3"/>
        <v>4.0499065232999998</v>
      </c>
      <c r="O36">
        <v>4</v>
      </c>
      <c r="P36">
        <v>5</v>
      </c>
      <c r="Q36" t="s">
        <v>68</v>
      </c>
      <c r="R36" t="s">
        <v>93</v>
      </c>
      <c r="S36" s="12">
        <v>38.206281699999998</v>
      </c>
      <c r="T36" s="12">
        <v>-1.0434985000000001</v>
      </c>
      <c r="U36" t="s">
        <v>31</v>
      </c>
      <c r="V36" t="s">
        <v>31</v>
      </c>
      <c r="W36" t="s">
        <v>31</v>
      </c>
      <c r="X36" t="s">
        <v>31</v>
      </c>
      <c r="Y36">
        <v>16.100000000000001</v>
      </c>
      <c r="Z36">
        <v>36.1</v>
      </c>
      <c r="AA36" t="s">
        <v>31</v>
      </c>
      <c r="AB36">
        <v>0.18459999999999999</v>
      </c>
    </row>
    <row r="37" spans="1:28" x14ac:dyDescent="0.2">
      <c r="A37">
        <v>18</v>
      </c>
      <c r="B37">
        <v>16</v>
      </c>
      <c r="C37" t="s">
        <v>67</v>
      </c>
      <c r="D37">
        <v>1997</v>
      </c>
      <c r="E37">
        <v>26</v>
      </c>
      <c r="F37">
        <v>5</v>
      </c>
      <c r="H37">
        <v>24.97</v>
      </c>
      <c r="J37" s="2">
        <f t="shared" si="2"/>
        <v>5.3761589083399999</v>
      </c>
      <c r="K37">
        <v>5</v>
      </c>
      <c r="L37">
        <v>24.97</v>
      </c>
      <c r="N37" s="2">
        <f t="shared" si="3"/>
        <v>4.0499065232999998</v>
      </c>
      <c r="O37">
        <v>4</v>
      </c>
      <c r="P37">
        <v>5</v>
      </c>
      <c r="Q37" t="s">
        <v>68</v>
      </c>
      <c r="R37" t="s">
        <v>93</v>
      </c>
      <c r="S37" s="12">
        <v>38.206281699999998</v>
      </c>
      <c r="T37" s="12">
        <v>-1.0434985000000001</v>
      </c>
      <c r="U37" t="s">
        <v>31</v>
      </c>
      <c r="V37" t="s">
        <v>31</v>
      </c>
      <c r="W37" t="s">
        <v>31</v>
      </c>
      <c r="X37" t="s">
        <v>31</v>
      </c>
      <c r="Y37">
        <v>16.100000000000001</v>
      </c>
      <c r="Z37">
        <v>36.1</v>
      </c>
      <c r="AA37" t="s">
        <v>31</v>
      </c>
      <c r="AB37">
        <v>0.18459999999999999</v>
      </c>
    </row>
    <row r="38" spans="1:28" x14ac:dyDescent="0.2">
      <c r="A38">
        <v>20</v>
      </c>
      <c r="B38">
        <v>1</v>
      </c>
      <c r="C38" t="s">
        <v>71</v>
      </c>
      <c r="D38">
        <v>1990</v>
      </c>
      <c r="E38">
        <v>22.5</v>
      </c>
      <c r="F38">
        <v>4</v>
      </c>
      <c r="H38">
        <v>16</v>
      </c>
      <c r="J38" s="2">
        <f t="shared" si="2"/>
        <v>3.4448755520000001</v>
      </c>
      <c r="K38">
        <v>4</v>
      </c>
      <c r="L38">
        <v>16</v>
      </c>
      <c r="N38" s="2">
        <f t="shared" si="3"/>
        <v>2.5950542400000001</v>
      </c>
      <c r="O38">
        <v>1</v>
      </c>
      <c r="P38">
        <v>2</v>
      </c>
      <c r="Q38" t="s">
        <v>72</v>
      </c>
      <c r="R38" t="s">
        <v>91</v>
      </c>
      <c r="S38" s="12">
        <v>35.648300999999996</v>
      </c>
      <c r="T38" s="12">
        <v>-106.58593999999999</v>
      </c>
      <c r="U38" t="s">
        <v>31</v>
      </c>
      <c r="V38" t="s">
        <v>31</v>
      </c>
      <c r="W38" t="s">
        <v>31</v>
      </c>
      <c r="X38" t="s">
        <v>31</v>
      </c>
      <c r="Y38">
        <v>10.4</v>
      </c>
      <c r="Z38">
        <v>36.700000000000003</v>
      </c>
      <c r="AA38" t="s">
        <v>31</v>
      </c>
      <c r="AB38">
        <v>0.26140000000000002</v>
      </c>
    </row>
    <row r="39" spans="1:28" x14ac:dyDescent="0.2">
      <c r="A39">
        <v>20</v>
      </c>
      <c r="B39">
        <v>2</v>
      </c>
      <c r="C39" t="s">
        <v>71</v>
      </c>
      <c r="D39">
        <v>1990</v>
      </c>
      <c r="E39">
        <v>45</v>
      </c>
      <c r="F39">
        <v>4</v>
      </c>
      <c r="H39">
        <v>14</v>
      </c>
      <c r="J39" s="2">
        <f t="shared" si="2"/>
        <v>3.0142661080000002</v>
      </c>
      <c r="K39">
        <v>4</v>
      </c>
      <c r="L39">
        <v>16</v>
      </c>
      <c r="N39" s="2">
        <f t="shared" si="3"/>
        <v>2.5950542400000001</v>
      </c>
      <c r="O39">
        <v>1</v>
      </c>
      <c r="P39">
        <v>2</v>
      </c>
      <c r="Q39" t="s">
        <v>72</v>
      </c>
      <c r="R39" t="s">
        <v>91</v>
      </c>
      <c r="S39" s="12">
        <v>35.648300999999996</v>
      </c>
      <c r="T39" s="12">
        <v>-106.58593999999999</v>
      </c>
      <c r="U39" t="s">
        <v>31</v>
      </c>
      <c r="V39" t="s">
        <v>31</v>
      </c>
      <c r="W39" t="s">
        <v>31</v>
      </c>
      <c r="X39" t="s">
        <v>31</v>
      </c>
      <c r="Y39">
        <v>10.4</v>
      </c>
      <c r="Z39">
        <v>36.700000000000003</v>
      </c>
      <c r="AA39" t="s">
        <v>31</v>
      </c>
      <c r="AB39">
        <v>0.26140000000000002</v>
      </c>
    </row>
    <row r="40" spans="1:28" x14ac:dyDescent="0.2">
      <c r="A40">
        <v>20</v>
      </c>
      <c r="B40">
        <v>3</v>
      </c>
      <c r="C40" t="s">
        <v>71</v>
      </c>
      <c r="D40">
        <v>1990</v>
      </c>
      <c r="E40">
        <v>90</v>
      </c>
      <c r="F40">
        <v>4</v>
      </c>
      <c r="H40">
        <v>10</v>
      </c>
      <c r="J40" s="2">
        <f t="shared" si="2"/>
        <v>2.1530472199999999</v>
      </c>
      <c r="K40">
        <v>4</v>
      </c>
      <c r="L40">
        <v>16</v>
      </c>
      <c r="N40" s="2">
        <f t="shared" si="3"/>
        <v>2.5950542400000001</v>
      </c>
      <c r="O40">
        <v>1</v>
      </c>
      <c r="P40">
        <v>2</v>
      </c>
      <c r="Q40" t="s">
        <v>72</v>
      </c>
      <c r="R40" t="s">
        <v>91</v>
      </c>
      <c r="S40" s="12">
        <v>35.648300999999996</v>
      </c>
      <c r="T40" s="12">
        <v>-106.58593999999999</v>
      </c>
      <c r="U40" t="s">
        <v>31</v>
      </c>
      <c r="V40" t="s">
        <v>31</v>
      </c>
      <c r="W40" t="s">
        <v>31</v>
      </c>
      <c r="X40" t="s">
        <v>31</v>
      </c>
      <c r="Y40">
        <v>10.4</v>
      </c>
      <c r="Z40">
        <v>36.700000000000003</v>
      </c>
      <c r="AA40" t="s">
        <v>31</v>
      </c>
      <c r="AB40">
        <v>0.26140000000000002</v>
      </c>
    </row>
    <row r="41" spans="1:28" x14ac:dyDescent="0.2">
      <c r="A41">
        <v>20</v>
      </c>
      <c r="B41">
        <v>4</v>
      </c>
      <c r="C41" t="s">
        <v>71</v>
      </c>
      <c r="D41">
        <v>1990</v>
      </c>
      <c r="E41">
        <v>22.5</v>
      </c>
      <c r="F41">
        <v>4</v>
      </c>
      <c r="H41">
        <v>11</v>
      </c>
      <c r="J41" s="2">
        <f t="shared" si="2"/>
        <v>2.3683519419999999</v>
      </c>
      <c r="K41">
        <v>4</v>
      </c>
      <c r="L41">
        <v>14</v>
      </c>
      <c r="N41" s="2">
        <f t="shared" si="3"/>
        <v>2.2706724600000001</v>
      </c>
      <c r="O41">
        <v>2</v>
      </c>
      <c r="P41">
        <v>3</v>
      </c>
      <c r="Q41" t="s">
        <v>72</v>
      </c>
      <c r="R41" t="s">
        <v>91</v>
      </c>
      <c r="S41" s="12">
        <v>35.648300999999996</v>
      </c>
      <c r="T41" s="12">
        <v>-106.58593999999999</v>
      </c>
      <c r="U41" t="s">
        <v>31</v>
      </c>
      <c r="V41" t="s">
        <v>31</v>
      </c>
      <c r="W41" t="s">
        <v>31</v>
      </c>
      <c r="X41" t="s">
        <v>31</v>
      </c>
      <c r="Y41">
        <v>10.4</v>
      </c>
      <c r="Z41">
        <v>36.700000000000003</v>
      </c>
      <c r="AA41" t="s">
        <v>31</v>
      </c>
      <c r="AB41">
        <v>0.26140000000000002</v>
      </c>
    </row>
    <row r="42" spans="1:28" x14ac:dyDescent="0.2">
      <c r="A42">
        <v>20</v>
      </c>
      <c r="B42">
        <v>5</v>
      </c>
      <c r="C42" t="s">
        <v>71</v>
      </c>
      <c r="D42">
        <v>1990</v>
      </c>
      <c r="E42">
        <v>45</v>
      </c>
      <c r="F42">
        <v>4</v>
      </c>
      <c r="H42">
        <v>11</v>
      </c>
      <c r="J42" s="2">
        <f t="shared" si="2"/>
        <v>2.3683519419999999</v>
      </c>
      <c r="K42">
        <v>4</v>
      </c>
      <c r="L42">
        <v>14</v>
      </c>
      <c r="N42" s="2">
        <f t="shared" si="3"/>
        <v>2.2706724600000001</v>
      </c>
      <c r="O42">
        <v>2</v>
      </c>
      <c r="P42">
        <v>3</v>
      </c>
      <c r="Q42" t="s">
        <v>72</v>
      </c>
      <c r="R42" t="s">
        <v>91</v>
      </c>
      <c r="S42" s="12">
        <v>35.648300999999996</v>
      </c>
      <c r="T42" s="12">
        <v>-106.58593999999999</v>
      </c>
      <c r="U42" t="s">
        <v>31</v>
      </c>
      <c r="V42" t="s">
        <v>31</v>
      </c>
      <c r="W42" t="s">
        <v>31</v>
      </c>
      <c r="X42" t="s">
        <v>31</v>
      </c>
      <c r="Y42">
        <v>10.4</v>
      </c>
      <c r="Z42">
        <v>36.700000000000003</v>
      </c>
      <c r="AA42" t="s">
        <v>31</v>
      </c>
      <c r="AB42">
        <v>0.26140000000000002</v>
      </c>
    </row>
    <row r="43" spans="1:28" x14ac:dyDescent="0.2">
      <c r="A43">
        <v>20</v>
      </c>
      <c r="B43">
        <v>6</v>
      </c>
      <c r="C43" t="s">
        <v>71</v>
      </c>
      <c r="D43">
        <v>1990</v>
      </c>
      <c r="E43">
        <v>90</v>
      </c>
      <c r="F43">
        <v>4</v>
      </c>
      <c r="H43">
        <v>10</v>
      </c>
      <c r="J43" s="2">
        <f t="shared" si="2"/>
        <v>2.1530472199999999</v>
      </c>
      <c r="K43">
        <v>4</v>
      </c>
      <c r="L43">
        <v>14</v>
      </c>
      <c r="N43" s="2">
        <f t="shared" si="3"/>
        <v>2.2706724600000001</v>
      </c>
      <c r="O43">
        <v>2</v>
      </c>
      <c r="P43">
        <v>3</v>
      </c>
      <c r="Q43" t="s">
        <v>72</v>
      </c>
      <c r="R43" t="s">
        <v>91</v>
      </c>
      <c r="S43" s="12">
        <v>35.648300999999996</v>
      </c>
      <c r="T43" s="12">
        <v>-106.58593999999999</v>
      </c>
      <c r="U43" t="s">
        <v>31</v>
      </c>
      <c r="V43" t="s">
        <v>31</v>
      </c>
      <c r="W43" t="s">
        <v>31</v>
      </c>
      <c r="X43" t="s">
        <v>31</v>
      </c>
      <c r="Y43">
        <v>10.4</v>
      </c>
      <c r="Z43">
        <v>36.700000000000003</v>
      </c>
      <c r="AA43" t="s">
        <v>31</v>
      </c>
      <c r="AB43">
        <v>0.26140000000000002</v>
      </c>
    </row>
    <row r="44" spans="1:28" x14ac:dyDescent="0.2">
      <c r="A44">
        <v>20</v>
      </c>
      <c r="B44">
        <v>7</v>
      </c>
      <c r="C44" t="s">
        <v>71</v>
      </c>
      <c r="D44">
        <v>1990</v>
      </c>
      <c r="E44">
        <v>22.5</v>
      </c>
      <c r="F44">
        <v>4</v>
      </c>
      <c r="H44">
        <v>16</v>
      </c>
      <c r="J44" s="2">
        <f t="shared" si="2"/>
        <v>3.4448755520000001</v>
      </c>
      <c r="K44">
        <v>4</v>
      </c>
      <c r="L44">
        <v>13</v>
      </c>
      <c r="N44" s="2">
        <f t="shared" si="3"/>
        <v>2.1084815699999999</v>
      </c>
      <c r="O44">
        <v>3</v>
      </c>
      <c r="P44">
        <v>4</v>
      </c>
      <c r="Q44" t="s">
        <v>72</v>
      </c>
      <c r="R44" t="s">
        <v>91</v>
      </c>
      <c r="S44" s="12">
        <v>35.648300999999996</v>
      </c>
      <c r="T44" s="12">
        <v>-106.58593999999999</v>
      </c>
      <c r="U44" t="s">
        <v>31</v>
      </c>
      <c r="V44" t="s">
        <v>31</v>
      </c>
      <c r="W44" t="s">
        <v>31</v>
      </c>
      <c r="X44" t="s">
        <v>31</v>
      </c>
      <c r="Y44">
        <v>10.4</v>
      </c>
      <c r="Z44">
        <v>36.700000000000003</v>
      </c>
      <c r="AA44" t="s">
        <v>31</v>
      </c>
      <c r="AB44">
        <v>0.26140000000000002</v>
      </c>
    </row>
    <row r="45" spans="1:28" x14ac:dyDescent="0.2">
      <c r="A45">
        <v>20</v>
      </c>
      <c r="B45">
        <v>8</v>
      </c>
      <c r="C45" t="s">
        <v>71</v>
      </c>
      <c r="D45">
        <v>1990</v>
      </c>
      <c r="E45">
        <v>45</v>
      </c>
      <c r="F45">
        <v>4</v>
      </c>
      <c r="H45">
        <v>14</v>
      </c>
      <c r="J45" s="2">
        <f t="shared" si="2"/>
        <v>3.0142661080000002</v>
      </c>
      <c r="K45">
        <v>4</v>
      </c>
      <c r="L45">
        <v>13</v>
      </c>
      <c r="N45" s="2">
        <f t="shared" si="3"/>
        <v>2.1084815699999999</v>
      </c>
      <c r="O45">
        <v>3</v>
      </c>
      <c r="P45">
        <v>4</v>
      </c>
      <c r="Q45" t="s">
        <v>72</v>
      </c>
      <c r="R45" t="s">
        <v>91</v>
      </c>
      <c r="S45" s="12">
        <v>35.648300999999996</v>
      </c>
      <c r="T45" s="12">
        <v>-106.58593999999999</v>
      </c>
      <c r="U45" t="s">
        <v>31</v>
      </c>
      <c r="V45" t="s">
        <v>31</v>
      </c>
      <c r="W45" t="s">
        <v>31</v>
      </c>
      <c r="X45" t="s">
        <v>31</v>
      </c>
      <c r="Y45">
        <v>10.4</v>
      </c>
      <c r="Z45">
        <v>36.700000000000003</v>
      </c>
      <c r="AA45" t="s">
        <v>31</v>
      </c>
      <c r="AB45">
        <v>0.26140000000000002</v>
      </c>
    </row>
    <row r="46" spans="1:28" x14ac:dyDescent="0.2">
      <c r="A46">
        <v>20</v>
      </c>
      <c r="B46">
        <v>9</v>
      </c>
      <c r="C46" t="s">
        <v>71</v>
      </c>
      <c r="D46">
        <v>1990</v>
      </c>
      <c r="E46">
        <v>90</v>
      </c>
      <c r="F46">
        <v>4</v>
      </c>
      <c r="H46">
        <v>14</v>
      </c>
      <c r="J46" s="2">
        <f t="shared" si="2"/>
        <v>3.0142661080000002</v>
      </c>
      <c r="K46">
        <v>4</v>
      </c>
      <c r="L46">
        <v>13</v>
      </c>
      <c r="N46" s="2">
        <f t="shared" si="3"/>
        <v>2.1084815699999999</v>
      </c>
      <c r="O46">
        <v>3</v>
      </c>
      <c r="P46">
        <v>4</v>
      </c>
      <c r="Q46" t="s">
        <v>72</v>
      </c>
      <c r="R46" t="s">
        <v>91</v>
      </c>
      <c r="S46" s="12">
        <v>35.648300999999996</v>
      </c>
      <c r="T46" s="12">
        <v>-106.58593999999999</v>
      </c>
      <c r="U46" t="s">
        <v>31</v>
      </c>
      <c r="V46" t="s">
        <v>31</v>
      </c>
      <c r="W46" t="s">
        <v>31</v>
      </c>
      <c r="X46" t="s">
        <v>31</v>
      </c>
      <c r="Y46">
        <v>10.4</v>
      </c>
      <c r="Z46">
        <v>36.700000000000003</v>
      </c>
      <c r="AA46" t="s">
        <v>31</v>
      </c>
      <c r="AB46">
        <v>0.26140000000000002</v>
      </c>
    </row>
    <row r="47" spans="1:28" x14ac:dyDescent="0.2">
      <c r="A47">
        <v>20</v>
      </c>
      <c r="B47">
        <v>10</v>
      </c>
      <c r="C47" t="s">
        <v>71</v>
      </c>
      <c r="D47">
        <v>1990</v>
      </c>
      <c r="E47">
        <v>22.5</v>
      </c>
      <c r="F47">
        <v>4</v>
      </c>
      <c r="H47">
        <v>14</v>
      </c>
      <c r="J47" s="2">
        <f t="shared" si="2"/>
        <v>3.0142661080000002</v>
      </c>
      <c r="K47">
        <v>4</v>
      </c>
      <c r="L47">
        <v>11</v>
      </c>
      <c r="N47" s="2">
        <f t="shared" si="3"/>
        <v>1.78409979</v>
      </c>
      <c r="O47">
        <v>4</v>
      </c>
      <c r="P47">
        <v>5</v>
      </c>
      <c r="Q47" t="s">
        <v>72</v>
      </c>
      <c r="R47" t="s">
        <v>91</v>
      </c>
      <c r="S47" s="12">
        <v>35.648300999999996</v>
      </c>
      <c r="T47" s="12">
        <v>-106.58593999999999</v>
      </c>
      <c r="U47" t="s">
        <v>31</v>
      </c>
      <c r="V47" t="s">
        <v>31</v>
      </c>
      <c r="W47" t="s">
        <v>31</v>
      </c>
      <c r="X47" t="s">
        <v>31</v>
      </c>
      <c r="Y47">
        <v>10.4</v>
      </c>
      <c r="Z47">
        <v>36.700000000000003</v>
      </c>
      <c r="AA47" t="s">
        <v>31</v>
      </c>
      <c r="AB47">
        <v>0.26140000000000002</v>
      </c>
    </row>
    <row r="48" spans="1:28" x14ac:dyDescent="0.2">
      <c r="A48">
        <v>20</v>
      </c>
      <c r="B48">
        <v>11</v>
      </c>
      <c r="C48" t="s">
        <v>71</v>
      </c>
      <c r="D48">
        <v>1990</v>
      </c>
      <c r="E48">
        <v>45</v>
      </c>
      <c r="F48">
        <v>4</v>
      </c>
      <c r="H48">
        <v>11</v>
      </c>
      <c r="J48" s="2">
        <f t="shared" si="2"/>
        <v>2.3683519419999999</v>
      </c>
      <c r="K48">
        <v>4</v>
      </c>
      <c r="L48">
        <v>11</v>
      </c>
      <c r="N48" s="2">
        <f t="shared" si="3"/>
        <v>1.78409979</v>
      </c>
      <c r="O48">
        <v>4</v>
      </c>
      <c r="P48">
        <v>5</v>
      </c>
      <c r="Q48" t="s">
        <v>72</v>
      </c>
      <c r="R48" t="s">
        <v>91</v>
      </c>
      <c r="S48" s="12">
        <v>35.648300999999996</v>
      </c>
      <c r="T48" s="12">
        <v>-106.58593999999999</v>
      </c>
      <c r="U48" t="s">
        <v>31</v>
      </c>
      <c r="V48" t="s">
        <v>31</v>
      </c>
      <c r="W48" t="s">
        <v>31</v>
      </c>
      <c r="X48" t="s">
        <v>31</v>
      </c>
      <c r="Y48">
        <v>10.4</v>
      </c>
      <c r="Z48">
        <v>36.700000000000003</v>
      </c>
      <c r="AA48" t="s">
        <v>31</v>
      </c>
      <c r="AB48">
        <v>0.26140000000000002</v>
      </c>
    </row>
    <row r="49" spans="1:28" x14ac:dyDescent="0.2">
      <c r="A49">
        <v>20</v>
      </c>
      <c r="B49">
        <v>12</v>
      </c>
      <c r="C49" t="s">
        <v>71</v>
      </c>
      <c r="D49">
        <v>1990</v>
      </c>
      <c r="E49">
        <v>90</v>
      </c>
      <c r="F49">
        <v>4</v>
      </c>
      <c r="H49">
        <v>9</v>
      </c>
      <c r="J49" s="2">
        <f t="shared" si="2"/>
        <v>1.937742498</v>
      </c>
      <c r="K49">
        <v>4</v>
      </c>
      <c r="L49">
        <v>11</v>
      </c>
      <c r="N49" s="2">
        <f t="shared" si="3"/>
        <v>1.78409979</v>
      </c>
      <c r="O49">
        <v>4</v>
      </c>
      <c r="P49">
        <v>5</v>
      </c>
      <c r="Q49" t="s">
        <v>72</v>
      </c>
      <c r="R49" t="s">
        <v>91</v>
      </c>
      <c r="S49" s="12">
        <v>35.648300999999996</v>
      </c>
      <c r="T49" s="12">
        <v>-106.58593999999999</v>
      </c>
      <c r="U49" t="s">
        <v>31</v>
      </c>
      <c r="V49" t="s">
        <v>31</v>
      </c>
      <c r="W49" t="s">
        <v>31</v>
      </c>
      <c r="X49" t="s">
        <v>31</v>
      </c>
      <c r="Y49">
        <v>10.4</v>
      </c>
      <c r="Z49">
        <v>36.700000000000003</v>
      </c>
      <c r="AA49" t="s">
        <v>31</v>
      </c>
      <c r="AB49">
        <v>0.26140000000000002</v>
      </c>
    </row>
    <row r="50" spans="1:28" x14ac:dyDescent="0.2">
      <c r="A50">
        <v>60</v>
      </c>
      <c r="B50">
        <v>1</v>
      </c>
      <c r="C50" t="s">
        <v>27</v>
      </c>
      <c r="D50">
        <v>2005</v>
      </c>
      <c r="E50">
        <v>224</v>
      </c>
      <c r="F50">
        <v>4</v>
      </c>
      <c r="H50">
        <v>18.93</v>
      </c>
      <c r="J50" s="2">
        <f t="shared" si="2"/>
        <v>4.0757183874600003</v>
      </c>
      <c r="K50">
        <v>4</v>
      </c>
      <c r="L50">
        <v>15.82</v>
      </c>
      <c r="N50" s="2">
        <f t="shared" si="3"/>
        <v>2.5658598798000001</v>
      </c>
      <c r="O50">
        <v>2</v>
      </c>
      <c r="P50">
        <v>3</v>
      </c>
      <c r="Q50" t="s">
        <v>146</v>
      </c>
      <c r="R50" t="s">
        <v>91</v>
      </c>
      <c r="S50" s="12">
        <v>39.200000000000003</v>
      </c>
      <c r="T50" s="12">
        <v>-106.35</v>
      </c>
      <c r="U50" t="s">
        <v>29</v>
      </c>
      <c r="V50" t="s">
        <v>29</v>
      </c>
      <c r="W50" t="s">
        <v>31</v>
      </c>
      <c r="X50" t="s">
        <v>31</v>
      </c>
      <c r="Y50">
        <v>-0.6</v>
      </c>
      <c r="Z50">
        <v>57</v>
      </c>
      <c r="AA50" t="s">
        <v>29</v>
      </c>
      <c r="AB50">
        <v>0.32</v>
      </c>
    </row>
    <row r="51" spans="1:28" x14ac:dyDescent="0.2">
      <c r="A51">
        <v>36</v>
      </c>
      <c r="B51">
        <v>1</v>
      </c>
      <c r="C51" t="s">
        <v>115</v>
      </c>
      <c r="D51">
        <v>1988</v>
      </c>
      <c r="E51">
        <v>8.9600000000000009</v>
      </c>
      <c r="F51">
        <v>2</v>
      </c>
      <c r="H51">
        <v>3.5</v>
      </c>
      <c r="J51" s="2">
        <f t="shared" si="2"/>
        <v>0.75356652700000004</v>
      </c>
      <c r="K51">
        <v>2</v>
      </c>
      <c r="L51">
        <v>3</v>
      </c>
      <c r="N51" s="2">
        <f t="shared" si="3"/>
        <v>0.48657267000000004</v>
      </c>
      <c r="O51">
        <v>1</v>
      </c>
      <c r="P51">
        <v>2</v>
      </c>
      <c r="Q51" t="s">
        <v>147</v>
      </c>
      <c r="R51" t="s">
        <v>91</v>
      </c>
      <c r="S51" s="12">
        <v>39.5</v>
      </c>
      <c r="T51" s="12">
        <v>-84.733333000000002</v>
      </c>
      <c r="U51" t="s">
        <v>29</v>
      </c>
      <c r="V51" t="s">
        <v>29</v>
      </c>
      <c r="W51" t="s">
        <v>31</v>
      </c>
      <c r="X51" t="s">
        <v>29</v>
      </c>
      <c r="Y51">
        <v>11.1</v>
      </c>
      <c r="Z51">
        <v>104.8</v>
      </c>
      <c r="AA51" t="s">
        <v>31</v>
      </c>
      <c r="AB51">
        <v>0.87609999999999999</v>
      </c>
    </row>
    <row r="52" spans="1:28" x14ac:dyDescent="0.2">
      <c r="A52">
        <v>36</v>
      </c>
      <c r="B52">
        <v>2</v>
      </c>
      <c r="C52" t="s">
        <v>115</v>
      </c>
      <c r="D52">
        <v>1988</v>
      </c>
      <c r="E52">
        <v>17.920000000000002</v>
      </c>
      <c r="F52">
        <v>2</v>
      </c>
      <c r="H52">
        <v>3.5</v>
      </c>
      <c r="J52" s="2">
        <f t="shared" si="2"/>
        <v>0.75356652700000004</v>
      </c>
      <c r="K52">
        <v>2</v>
      </c>
      <c r="L52">
        <v>3</v>
      </c>
      <c r="N52" s="2">
        <f t="shared" si="3"/>
        <v>0.48657267000000004</v>
      </c>
      <c r="O52">
        <v>1</v>
      </c>
      <c r="P52">
        <v>2</v>
      </c>
      <c r="Q52" t="s">
        <v>147</v>
      </c>
      <c r="R52" t="s">
        <v>91</v>
      </c>
      <c r="S52" s="12">
        <v>39.5</v>
      </c>
      <c r="T52" s="12">
        <v>-84.733333000000002</v>
      </c>
      <c r="U52" t="s">
        <v>29</v>
      </c>
      <c r="V52" t="s">
        <v>29</v>
      </c>
      <c r="W52" t="s">
        <v>31</v>
      </c>
      <c r="X52" t="s">
        <v>29</v>
      </c>
      <c r="Y52">
        <v>11.1</v>
      </c>
      <c r="Z52">
        <v>104.8</v>
      </c>
      <c r="AA52" t="s">
        <v>31</v>
      </c>
      <c r="AB52">
        <v>0.87609999999999999</v>
      </c>
    </row>
    <row r="53" spans="1:28" x14ac:dyDescent="0.2">
      <c r="A53">
        <v>36</v>
      </c>
      <c r="B53">
        <v>3</v>
      </c>
      <c r="C53" t="s">
        <v>115</v>
      </c>
      <c r="D53">
        <v>1988</v>
      </c>
      <c r="E53">
        <v>26.88</v>
      </c>
      <c r="F53">
        <v>2</v>
      </c>
      <c r="H53">
        <v>3.5</v>
      </c>
      <c r="J53" s="2">
        <f t="shared" si="2"/>
        <v>0.75356652700000004</v>
      </c>
      <c r="K53">
        <v>2</v>
      </c>
      <c r="L53">
        <v>3</v>
      </c>
      <c r="N53" s="2">
        <f t="shared" si="3"/>
        <v>0.48657267000000004</v>
      </c>
      <c r="O53">
        <v>1</v>
      </c>
      <c r="P53">
        <v>2</v>
      </c>
      <c r="Q53" t="s">
        <v>147</v>
      </c>
      <c r="R53" t="s">
        <v>91</v>
      </c>
      <c r="S53" s="12">
        <v>39.5</v>
      </c>
      <c r="T53" s="12">
        <v>-84.733333000000002</v>
      </c>
      <c r="U53" t="s">
        <v>29</v>
      </c>
      <c r="V53" t="s">
        <v>29</v>
      </c>
      <c r="W53" t="s">
        <v>31</v>
      </c>
      <c r="X53" t="s">
        <v>29</v>
      </c>
      <c r="Y53">
        <v>11.1</v>
      </c>
      <c r="Z53">
        <v>104.8</v>
      </c>
      <c r="AA53" t="s">
        <v>31</v>
      </c>
      <c r="AB53">
        <v>0.87609999999999999</v>
      </c>
    </row>
    <row r="54" spans="1:28" x14ac:dyDescent="0.2">
      <c r="A54">
        <v>36</v>
      </c>
      <c r="B54">
        <v>4</v>
      </c>
      <c r="C54" t="s">
        <v>115</v>
      </c>
      <c r="D54">
        <v>1988</v>
      </c>
      <c r="E54">
        <v>8.9600000000000009</v>
      </c>
      <c r="F54">
        <v>4</v>
      </c>
      <c r="H54">
        <v>4.5</v>
      </c>
      <c r="J54" s="2">
        <f t="shared" si="2"/>
        <v>0.96887124899999999</v>
      </c>
      <c r="K54">
        <v>4</v>
      </c>
      <c r="L54">
        <v>11</v>
      </c>
      <c r="N54" s="2">
        <f t="shared" si="3"/>
        <v>1.78409979</v>
      </c>
      <c r="O54">
        <v>2</v>
      </c>
      <c r="P54">
        <v>3</v>
      </c>
      <c r="Q54" t="s">
        <v>147</v>
      </c>
      <c r="R54" t="s">
        <v>91</v>
      </c>
      <c r="S54" s="12">
        <v>39.5</v>
      </c>
      <c r="T54" s="12">
        <v>-84.733333000000002</v>
      </c>
      <c r="U54" t="s">
        <v>29</v>
      </c>
      <c r="V54" t="s">
        <v>29</v>
      </c>
      <c r="W54" t="s">
        <v>31</v>
      </c>
      <c r="X54" t="s">
        <v>29</v>
      </c>
      <c r="Y54">
        <v>11.1</v>
      </c>
      <c r="Z54">
        <v>104.8</v>
      </c>
      <c r="AA54" t="s">
        <v>31</v>
      </c>
      <c r="AB54">
        <v>0.87609999999999999</v>
      </c>
    </row>
    <row r="55" spans="1:28" x14ac:dyDescent="0.2">
      <c r="A55">
        <v>36</v>
      </c>
      <c r="B55">
        <v>5</v>
      </c>
      <c r="C55" t="s">
        <v>115</v>
      </c>
      <c r="D55">
        <v>1988</v>
      </c>
      <c r="E55">
        <v>17.920000000000002</v>
      </c>
      <c r="F55">
        <v>4</v>
      </c>
      <c r="H55">
        <v>4.5</v>
      </c>
      <c r="J55" s="2">
        <f t="shared" si="2"/>
        <v>0.96887124899999999</v>
      </c>
      <c r="K55">
        <v>4</v>
      </c>
      <c r="L55">
        <v>11</v>
      </c>
      <c r="N55" s="2">
        <f t="shared" si="3"/>
        <v>1.78409979</v>
      </c>
      <c r="O55">
        <v>2</v>
      </c>
      <c r="P55">
        <v>3</v>
      </c>
      <c r="Q55" t="s">
        <v>147</v>
      </c>
      <c r="R55" t="s">
        <v>91</v>
      </c>
      <c r="S55" s="12">
        <v>39.5</v>
      </c>
      <c r="T55" s="12">
        <v>-84.733333000000002</v>
      </c>
      <c r="U55" t="s">
        <v>29</v>
      </c>
      <c r="V55" t="s">
        <v>29</v>
      </c>
      <c r="W55" t="s">
        <v>31</v>
      </c>
      <c r="X55" t="s">
        <v>29</v>
      </c>
      <c r="Y55">
        <v>11.1</v>
      </c>
      <c r="Z55">
        <v>104.8</v>
      </c>
      <c r="AA55" t="s">
        <v>31</v>
      </c>
      <c r="AB55">
        <v>0.87609999999999999</v>
      </c>
    </row>
    <row r="56" spans="1:28" x14ac:dyDescent="0.2">
      <c r="A56">
        <v>36</v>
      </c>
      <c r="B56">
        <v>6</v>
      </c>
      <c r="C56" t="s">
        <v>115</v>
      </c>
      <c r="D56">
        <v>1988</v>
      </c>
      <c r="E56">
        <v>26.88</v>
      </c>
      <c r="F56">
        <v>4</v>
      </c>
      <c r="H56">
        <v>4.5</v>
      </c>
      <c r="J56" s="2">
        <f t="shared" si="2"/>
        <v>0.96887124899999999</v>
      </c>
      <c r="K56">
        <v>4</v>
      </c>
      <c r="L56">
        <v>11</v>
      </c>
      <c r="N56" s="2">
        <f t="shared" si="3"/>
        <v>1.78409979</v>
      </c>
      <c r="O56">
        <v>2</v>
      </c>
      <c r="P56">
        <v>3</v>
      </c>
      <c r="Q56" t="s">
        <v>147</v>
      </c>
      <c r="R56" t="s">
        <v>91</v>
      </c>
      <c r="S56" s="12">
        <v>39.5</v>
      </c>
      <c r="T56" s="12">
        <v>-84.733333000000002</v>
      </c>
      <c r="U56" t="s">
        <v>29</v>
      </c>
      <c r="V56" t="s">
        <v>29</v>
      </c>
      <c r="W56" t="s">
        <v>31</v>
      </c>
      <c r="X56" t="s">
        <v>29</v>
      </c>
      <c r="Y56">
        <v>11.1</v>
      </c>
      <c r="Z56">
        <v>104.8</v>
      </c>
      <c r="AA56" t="s">
        <v>31</v>
      </c>
      <c r="AB56">
        <v>0.87609999999999999</v>
      </c>
    </row>
    <row r="57" spans="1:28" x14ac:dyDescent="0.2">
      <c r="A57">
        <v>36</v>
      </c>
      <c r="B57">
        <v>7</v>
      </c>
      <c r="C57" t="s">
        <v>115</v>
      </c>
      <c r="D57">
        <v>1988</v>
      </c>
      <c r="E57">
        <v>8.9600000000000009</v>
      </c>
      <c r="F57">
        <v>4</v>
      </c>
      <c r="H57">
        <v>4.5</v>
      </c>
      <c r="J57" s="2">
        <f t="shared" si="2"/>
        <v>0.96887124899999999</v>
      </c>
      <c r="K57">
        <v>4</v>
      </c>
      <c r="L57">
        <v>15</v>
      </c>
      <c r="N57" s="2">
        <f t="shared" si="3"/>
        <v>2.4328633499999999</v>
      </c>
      <c r="O57">
        <v>3</v>
      </c>
      <c r="P57">
        <v>4</v>
      </c>
      <c r="Q57" t="s">
        <v>147</v>
      </c>
      <c r="R57" t="s">
        <v>91</v>
      </c>
      <c r="S57" s="12">
        <v>39.5</v>
      </c>
      <c r="T57" s="12">
        <v>-84.733333000000002</v>
      </c>
      <c r="U57" t="s">
        <v>29</v>
      </c>
      <c r="V57" t="s">
        <v>29</v>
      </c>
      <c r="W57" t="s">
        <v>31</v>
      </c>
      <c r="X57" t="s">
        <v>29</v>
      </c>
      <c r="Y57">
        <v>11.1</v>
      </c>
      <c r="Z57">
        <v>104.8</v>
      </c>
      <c r="AA57" t="s">
        <v>31</v>
      </c>
      <c r="AB57">
        <v>0.87609999999999999</v>
      </c>
    </row>
    <row r="58" spans="1:28" x14ac:dyDescent="0.2">
      <c r="A58">
        <v>36</v>
      </c>
      <c r="B58">
        <v>8</v>
      </c>
      <c r="C58" t="s">
        <v>115</v>
      </c>
      <c r="D58">
        <v>1988</v>
      </c>
      <c r="E58">
        <v>17.920000000000002</v>
      </c>
      <c r="F58">
        <v>4</v>
      </c>
      <c r="H58">
        <v>4.5</v>
      </c>
      <c r="J58" s="2">
        <f t="shared" si="2"/>
        <v>0.96887124899999999</v>
      </c>
      <c r="K58">
        <v>4</v>
      </c>
      <c r="L58">
        <v>15</v>
      </c>
      <c r="N58" s="2">
        <f t="shared" si="3"/>
        <v>2.4328633499999999</v>
      </c>
      <c r="O58">
        <v>3</v>
      </c>
      <c r="P58">
        <v>4</v>
      </c>
      <c r="Q58" t="s">
        <v>147</v>
      </c>
      <c r="R58" t="s">
        <v>91</v>
      </c>
      <c r="S58" s="12">
        <v>39.5</v>
      </c>
      <c r="T58" s="12">
        <v>-84.733333000000002</v>
      </c>
      <c r="U58" t="s">
        <v>29</v>
      </c>
      <c r="V58" t="s">
        <v>29</v>
      </c>
      <c r="W58" t="s">
        <v>31</v>
      </c>
      <c r="X58" t="s">
        <v>29</v>
      </c>
      <c r="Y58">
        <v>11.1</v>
      </c>
      <c r="Z58">
        <v>104.8</v>
      </c>
      <c r="AA58" t="s">
        <v>31</v>
      </c>
      <c r="AB58">
        <v>0.87609999999999999</v>
      </c>
    </row>
    <row r="59" spans="1:28" x14ac:dyDescent="0.2">
      <c r="A59">
        <v>36</v>
      </c>
      <c r="B59">
        <v>13</v>
      </c>
      <c r="C59" t="s">
        <v>115</v>
      </c>
      <c r="D59">
        <v>1988</v>
      </c>
      <c r="E59">
        <v>8.9600000000000009</v>
      </c>
      <c r="F59">
        <v>4</v>
      </c>
      <c r="H59">
        <v>3</v>
      </c>
      <c r="J59" s="2">
        <f t="shared" si="2"/>
        <v>0.64591416600000007</v>
      </c>
      <c r="K59">
        <v>4</v>
      </c>
      <c r="L59">
        <v>4</v>
      </c>
      <c r="N59" s="2">
        <f t="shared" si="3"/>
        <v>0.64876356000000002</v>
      </c>
      <c r="O59">
        <v>2</v>
      </c>
      <c r="P59">
        <v>3</v>
      </c>
      <c r="Q59" t="s">
        <v>147</v>
      </c>
      <c r="R59" t="s">
        <v>91</v>
      </c>
      <c r="S59" s="12">
        <v>39.5</v>
      </c>
      <c r="T59" s="12">
        <v>-84.733333000000002</v>
      </c>
      <c r="U59" t="s">
        <v>29</v>
      </c>
      <c r="V59" t="s">
        <v>29</v>
      </c>
      <c r="W59" t="s">
        <v>31</v>
      </c>
      <c r="X59" t="s">
        <v>29</v>
      </c>
      <c r="Y59">
        <v>11.1</v>
      </c>
      <c r="Z59">
        <v>104.8</v>
      </c>
      <c r="AA59" t="s">
        <v>31</v>
      </c>
      <c r="AB59">
        <v>0.87609999999999999</v>
      </c>
    </row>
    <row r="60" spans="1:28" x14ac:dyDescent="0.2">
      <c r="A60">
        <v>36</v>
      </c>
      <c r="B60">
        <v>14</v>
      </c>
      <c r="C60" t="s">
        <v>115</v>
      </c>
      <c r="D60">
        <v>1988</v>
      </c>
      <c r="E60">
        <v>17.920000000000002</v>
      </c>
      <c r="F60">
        <v>5</v>
      </c>
      <c r="H60">
        <v>3</v>
      </c>
      <c r="J60" s="2">
        <f t="shared" si="2"/>
        <v>0.64591416600000007</v>
      </c>
      <c r="K60">
        <v>4</v>
      </c>
      <c r="L60">
        <v>4</v>
      </c>
      <c r="N60" s="2">
        <f t="shared" si="3"/>
        <v>0.64876356000000002</v>
      </c>
      <c r="O60">
        <v>2</v>
      </c>
      <c r="P60">
        <v>3</v>
      </c>
      <c r="Q60" t="s">
        <v>147</v>
      </c>
      <c r="R60" t="s">
        <v>91</v>
      </c>
      <c r="S60" s="12">
        <v>39.5</v>
      </c>
      <c r="T60" s="12">
        <v>-84.733333000000002</v>
      </c>
      <c r="U60" t="s">
        <v>29</v>
      </c>
      <c r="V60" t="s">
        <v>29</v>
      </c>
      <c r="W60" t="s">
        <v>31</v>
      </c>
      <c r="X60" t="s">
        <v>29</v>
      </c>
      <c r="Y60">
        <v>11.1</v>
      </c>
      <c r="Z60">
        <v>104.8</v>
      </c>
      <c r="AA60" t="s">
        <v>31</v>
      </c>
      <c r="AB60">
        <v>0.87609999999999999</v>
      </c>
    </row>
    <row r="61" spans="1:28" x14ac:dyDescent="0.2">
      <c r="A61">
        <v>36</v>
      </c>
      <c r="B61">
        <v>15</v>
      </c>
      <c r="C61" t="s">
        <v>115</v>
      </c>
      <c r="D61">
        <v>1988</v>
      </c>
      <c r="E61">
        <v>26.88</v>
      </c>
      <c r="F61">
        <v>6</v>
      </c>
      <c r="H61">
        <v>3</v>
      </c>
      <c r="J61" s="2">
        <f t="shared" si="2"/>
        <v>0.64591416600000007</v>
      </c>
      <c r="K61">
        <v>4</v>
      </c>
      <c r="L61">
        <v>4</v>
      </c>
      <c r="N61" s="2">
        <f t="shared" si="3"/>
        <v>0.64876356000000002</v>
      </c>
      <c r="O61">
        <v>2</v>
      </c>
      <c r="P61">
        <v>3</v>
      </c>
      <c r="Q61" t="s">
        <v>147</v>
      </c>
      <c r="R61" t="s">
        <v>91</v>
      </c>
      <c r="S61" s="12">
        <v>39.5</v>
      </c>
      <c r="T61" s="12">
        <v>-84.733333000000002</v>
      </c>
      <c r="U61" t="s">
        <v>29</v>
      </c>
      <c r="V61" t="s">
        <v>29</v>
      </c>
      <c r="W61" t="s">
        <v>31</v>
      </c>
      <c r="X61" t="s">
        <v>29</v>
      </c>
      <c r="Y61">
        <v>11.1</v>
      </c>
      <c r="Z61">
        <v>104.8</v>
      </c>
      <c r="AA61" t="s">
        <v>31</v>
      </c>
      <c r="AB61">
        <v>0.87609999999999999</v>
      </c>
    </row>
    <row r="62" spans="1:28" x14ac:dyDescent="0.2">
      <c r="A62">
        <v>36</v>
      </c>
      <c r="B62">
        <v>16</v>
      </c>
      <c r="C62" t="s">
        <v>115</v>
      </c>
      <c r="D62">
        <v>1988</v>
      </c>
      <c r="E62">
        <v>8.9600000000000009</v>
      </c>
      <c r="F62">
        <v>7</v>
      </c>
      <c r="H62">
        <v>14</v>
      </c>
      <c r="J62" s="2">
        <f t="shared" si="2"/>
        <v>3.0142661080000002</v>
      </c>
      <c r="K62">
        <v>4</v>
      </c>
      <c r="L62">
        <v>8</v>
      </c>
      <c r="N62" s="2">
        <f t="shared" si="3"/>
        <v>1.29752712</v>
      </c>
      <c r="O62">
        <v>3</v>
      </c>
      <c r="P62">
        <v>4</v>
      </c>
      <c r="Q62" t="s">
        <v>147</v>
      </c>
      <c r="R62" t="s">
        <v>91</v>
      </c>
      <c r="S62" s="12">
        <v>39.5</v>
      </c>
      <c r="T62" s="12">
        <v>-84.733333000000002</v>
      </c>
      <c r="U62" t="s">
        <v>29</v>
      </c>
      <c r="V62" t="s">
        <v>29</v>
      </c>
      <c r="W62" t="s">
        <v>31</v>
      </c>
      <c r="X62" t="s">
        <v>29</v>
      </c>
      <c r="Y62">
        <v>11.1</v>
      </c>
      <c r="Z62">
        <v>104.8</v>
      </c>
      <c r="AA62" t="s">
        <v>31</v>
      </c>
      <c r="AB62">
        <v>0.87609999999999999</v>
      </c>
    </row>
    <row r="63" spans="1:28" x14ac:dyDescent="0.2">
      <c r="A63">
        <v>36</v>
      </c>
      <c r="B63">
        <v>17</v>
      </c>
      <c r="C63" t="s">
        <v>115</v>
      </c>
      <c r="D63">
        <v>1988</v>
      </c>
      <c r="E63">
        <v>17.920000000000002</v>
      </c>
      <c r="F63">
        <v>8</v>
      </c>
      <c r="H63">
        <v>14</v>
      </c>
      <c r="J63" s="2">
        <f t="shared" si="2"/>
        <v>3.0142661080000002</v>
      </c>
      <c r="K63">
        <v>4</v>
      </c>
      <c r="L63">
        <v>8</v>
      </c>
      <c r="N63" s="2">
        <f t="shared" si="3"/>
        <v>1.29752712</v>
      </c>
      <c r="O63">
        <v>3</v>
      </c>
      <c r="P63">
        <v>4</v>
      </c>
      <c r="Q63" t="s">
        <v>147</v>
      </c>
      <c r="R63" t="s">
        <v>91</v>
      </c>
      <c r="S63" s="12">
        <v>39.5</v>
      </c>
      <c r="T63" s="12">
        <v>-84.733333000000002</v>
      </c>
      <c r="U63" t="s">
        <v>29</v>
      </c>
      <c r="V63" t="s">
        <v>29</v>
      </c>
      <c r="W63" t="s">
        <v>31</v>
      </c>
      <c r="X63" t="s">
        <v>29</v>
      </c>
      <c r="Y63">
        <v>11.1</v>
      </c>
      <c r="Z63">
        <v>104.8</v>
      </c>
      <c r="AA63" t="s">
        <v>31</v>
      </c>
      <c r="AB63">
        <v>0.87609999999999999</v>
      </c>
    </row>
    <row r="64" spans="1:28" x14ac:dyDescent="0.2">
      <c r="A64">
        <v>36</v>
      </c>
      <c r="B64">
        <v>18</v>
      </c>
      <c r="C64" t="s">
        <v>115</v>
      </c>
      <c r="D64">
        <v>1988</v>
      </c>
      <c r="E64">
        <v>26.88</v>
      </c>
      <c r="F64">
        <v>9</v>
      </c>
      <c r="H64">
        <v>14</v>
      </c>
      <c r="J64" s="2">
        <f t="shared" si="2"/>
        <v>3.0142661080000002</v>
      </c>
      <c r="K64">
        <v>4</v>
      </c>
      <c r="L64">
        <v>8</v>
      </c>
      <c r="N64" s="2">
        <f t="shared" si="3"/>
        <v>1.29752712</v>
      </c>
      <c r="O64">
        <v>3</v>
      </c>
      <c r="P64">
        <v>4</v>
      </c>
      <c r="Q64" t="s">
        <v>147</v>
      </c>
      <c r="R64" t="s">
        <v>91</v>
      </c>
      <c r="S64" s="12">
        <v>39.5</v>
      </c>
      <c r="T64" s="12">
        <v>-84.733333000000002</v>
      </c>
      <c r="U64" t="s">
        <v>29</v>
      </c>
      <c r="V64" t="s">
        <v>29</v>
      </c>
      <c r="W64" t="s">
        <v>31</v>
      </c>
      <c r="X64" t="s">
        <v>29</v>
      </c>
      <c r="Y64">
        <v>11.1</v>
      </c>
      <c r="Z64">
        <v>104.8</v>
      </c>
      <c r="AA64" t="s">
        <v>31</v>
      </c>
      <c r="AB64">
        <v>0.87609999999999999</v>
      </c>
    </row>
    <row r="65" spans="1:28" x14ac:dyDescent="0.2">
      <c r="A65">
        <v>36</v>
      </c>
      <c r="B65">
        <v>9</v>
      </c>
      <c r="C65" t="s">
        <v>115</v>
      </c>
      <c r="D65">
        <v>1988</v>
      </c>
      <c r="E65">
        <v>26.88</v>
      </c>
      <c r="F65">
        <v>4</v>
      </c>
      <c r="H65">
        <v>4.5</v>
      </c>
      <c r="J65" s="2">
        <f t="shared" si="2"/>
        <v>0.96887124899999999</v>
      </c>
      <c r="K65">
        <v>4</v>
      </c>
      <c r="L65">
        <v>15</v>
      </c>
      <c r="N65" s="2">
        <f t="shared" si="3"/>
        <v>2.4328633499999999</v>
      </c>
      <c r="O65">
        <v>3</v>
      </c>
      <c r="P65">
        <v>4</v>
      </c>
      <c r="Q65" t="s">
        <v>147</v>
      </c>
      <c r="R65" t="s">
        <v>91</v>
      </c>
      <c r="S65" s="12">
        <v>39.5</v>
      </c>
      <c r="T65" s="12">
        <v>-84.733333000000002</v>
      </c>
      <c r="U65" t="s">
        <v>29</v>
      </c>
      <c r="V65" t="s">
        <v>29</v>
      </c>
      <c r="W65" t="s">
        <v>31</v>
      </c>
      <c r="X65" t="s">
        <v>29</v>
      </c>
      <c r="Y65">
        <v>11.1</v>
      </c>
      <c r="Z65">
        <v>104.8</v>
      </c>
      <c r="AA65" t="s">
        <v>31</v>
      </c>
      <c r="AB65">
        <v>0.87609999999999999</v>
      </c>
    </row>
    <row r="66" spans="1:28" x14ac:dyDescent="0.2">
      <c r="A66">
        <v>36</v>
      </c>
      <c r="B66">
        <v>10</v>
      </c>
      <c r="C66" t="s">
        <v>115</v>
      </c>
      <c r="D66">
        <v>1988</v>
      </c>
      <c r="E66">
        <v>8.9600000000000009</v>
      </c>
      <c r="F66">
        <v>4</v>
      </c>
      <c r="H66">
        <v>3.5</v>
      </c>
      <c r="J66" s="2">
        <f t="shared" si="2"/>
        <v>0.75356652700000004</v>
      </c>
      <c r="K66">
        <v>4</v>
      </c>
      <c r="L66">
        <v>4</v>
      </c>
      <c r="N66" s="2">
        <f t="shared" si="3"/>
        <v>0.64876356000000002</v>
      </c>
      <c r="O66">
        <v>1</v>
      </c>
      <c r="P66">
        <v>2</v>
      </c>
      <c r="Q66" t="s">
        <v>147</v>
      </c>
      <c r="R66" t="s">
        <v>91</v>
      </c>
      <c r="S66" s="12">
        <v>39.5</v>
      </c>
      <c r="T66" s="12">
        <v>-84.733333000000002</v>
      </c>
      <c r="U66" t="s">
        <v>29</v>
      </c>
      <c r="V66" t="s">
        <v>29</v>
      </c>
      <c r="W66" t="s">
        <v>31</v>
      </c>
      <c r="X66" t="s">
        <v>29</v>
      </c>
      <c r="Y66">
        <v>11.1</v>
      </c>
      <c r="Z66">
        <v>104.8</v>
      </c>
      <c r="AA66" t="s">
        <v>31</v>
      </c>
      <c r="AB66">
        <v>0.87609999999999999</v>
      </c>
    </row>
    <row r="67" spans="1:28" x14ac:dyDescent="0.2">
      <c r="A67">
        <v>36</v>
      </c>
      <c r="B67">
        <v>11</v>
      </c>
      <c r="C67" t="s">
        <v>115</v>
      </c>
      <c r="D67">
        <v>1988</v>
      </c>
      <c r="E67">
        <v>17.920000000000002</v>
      </c>
      <c r="F67">
        <v>4</v>
      </c>
      <c r="H67">
        <v>3.5</v>
      </c>
      <c r="J67" s="2">
        <f t="shared" si="2"/>
        <v>0.75356652700000004</v>
      </c>
      <c r="K67">
        <v>4</v>
      </c>
      <c r="L67">
        <v>4</v>
      </c>
      <c r="N67" s="2">
        <f t="shared" si="3"/>
        <v>0.64876356000000002</v>
      </c>
      <c r="O67">
        <v>1</v>
      </c>
      <c r="P67">
        <v>2</v>
      </c>
      <c r="Q67" t="s">
        <v>147</v>
      </c>
      <c r="R67" t="s">
        <v>91</v>
      </c>
      <c r="S67" s="12">
        <v>39.5</v>
      </c>
      <c r="T67" s="12">
        <v>-84.733333000000002</v>
      </c>
      <c r="U67" t="s">
        <v>29</v>
      </c>
      <c r="V67" t="s">
        <v>29</v>
      </c>
      <c r="W67" t="s">
        <v>31</v>
      </c>
      <c r="X67" t="s">
        <v>29</v>
      </c>
      <c r="Y67">
        <v>11.1</v>
      </c>
      <c r="Z67">
        <v>104.8</v>
      </c>
      <c r="AA67" t="s">
        <v>31</v>
      </c>
      <c r="AB67">
        <v>0.87609999999999999</v>
      </c>
    </row>
    <row r="68" spans="1:28" x14ac:dyDescent="0.2">
      <c r="A68">
        <v>36</v>
      </c>
      <c r="B68">
        <v>12</v>
      </c>
      <c r="C68" t="s">
        <v>115</v>
      </c>
      <c r="D68">
        <v>1988</v>
      </c>
      <c r="E68">
        <v>26.88</v>
      </c>
      <c r="F68">
        <v>4</v>
      </c>
      <c r="H68">
        <v>3.5</v>
      </c>
      <c r="J68" s="2">
        <f t="shared" si="2"/>
        <v>0.75356652700000004</v>
      </c>
      <c r="K68">
        <v>4</v>
      </c>
      <c r="L68">
        <v>4</v>
      </c>
      <c r="N68" s="2">
        <f t="shared" si="3"/>
        <v>0.64876356000000002</v>
      </c>
      <c r="O68">
        <v>1</v>
      </c>
      <c r="P68">
        <v>2</v>
      </c>
      <c r="Q68" t="s">
        <v>147</v>
      </c>
      <c r="R68" t="s">
        <v>91</v>
      </c>
      <c r="S68" s="12">
        <v>39.5</v>
      </c>
      <c r="T68" s="12">
        <v>-84.733333000000002</v>
      </c>
      <c r="U68" t="s">
        <v>29</v>
      </c>
      <c r="V68" t="s">
        <v>29</v>
      </c>
      <c r="W68" t="s">
        <v>31</v>
      </c>
      <c r="X68" t="s">
        <v>29</v>
      </c>
      <c r="Y68">
        <v>11.1</v>
      </c>
      <c r="Z68">
        <v>104.8</v>
      </c>
      <c r="AA68" t="s">
        <v>31</v>
      </c>
      <c r="AB68">
        <v>0.87609999999999999</v>
      </c>
    </row>
    <row r="69" spans="1:28" x14ac:dyDescent="0.2">
      <c r="A69">
        <v>38</v>
      </c>
      <c r="B69">
        <v>2</v>
      </c>
      <c r="C69" t="s">
        <v>117</v>
      </c>
      <c r="D69">
        <v>2016</v>
      </c>
      <c r="E69">
        <v>50</v>
      </c>
      <c r="F69">
        <v>6</v>
      </c>
      <c r="G69" t="s">
        <v>49</v>
      </c>
      <c r="H69">
        <v>38.82</v>
      </c>
      <c r="I69">
        <v>2.19</v>
      </c>
      <c r="J69">
        <v>2.19</v>
      </c>
      <c r="K69">
        <v>5</v>
      </c>
      <c r="L69">
        <v>33.22</v>
      </c>
      <c r="M69">
        <v>1.96</v>
      </c>
      <c r="N69">
        <v>1.96</v>
      </c>
      <c r="O69">
        <v>2</v>
      </c>
      <c r="P69">
        <v>3</v>
      </c>
      <c r="Q69" t="s">
        <v>119</v>
      </c>
      <c r="R69" t="s">
        <v>93</v>
      </c>
      <c r="S69" s="12">
        <v>42.716670000000001</v>
      </c>
      <c r="T69" s="12">
        <v>-1.2166699999999999</v>
      </c>
      <c r="U69" t="s">
        <v>31</v>
      </c>
      <c r="V69" t="s">
        <v>31</v>
      </c>
      <c r="W69" t="s">
        <v>31</v>
      </c>
      <c r="X69" t="s">
        <v>31</v>
      </c>
      <c r="Y69">
        <v>10.7</v>
      </c>
      <c r="Z69">
        <v>95.3</v>
      </c>
      <c r="AA69" t="s">
        <v>31</v>
      </c>
      <c r="AB69">
        <v>0.65369999999999995</v>
      </c>
    </row>
    <row r="70" spans="1:28" x14ac:dyDescent="0.2">
      <c r="A70">
        <v>38</v>
      </c>
      <c r="B70">
        <v>1</v>
      </c>
      <c r="C70" t="s">
        <v>117</v>
      </c>
      <c r="D70">
        <v>2016</v>
      </c>
      <c r="E70">
        <v>50</v>
      </c>
      <c r="F70">
        <v>6</v>
      </c>
      <c r="G70" t="s">
        <v>49</v>
      </c>
      <c r="H70">
        <v>36.17</v>
      </c>
      <c r="I70">
        <v>3.23</v>
      </c>
      <c r="J70">
        <v>3.23</v>
      </c>
      <c r="K70">
        <v>5</v>
      </c>
      <c r="L70">
        <v>35.76</v>
      </c>
      <c r="M70">
        <v>3.93</v>
      </c>
      <c r="N70">
        <v>3.93</v>
      </c>
      <c r="O70">
        <v>1</v>
      </c>
      <c r="P70">
        <v>2</v>
      </c>
      <c r="Q70" t="s">
        <v>119</v>
      </c>
      <c r="R70" t="s">
        <v>93</v>
      </c>
      <c r="S70" s="12">
        <v>42.716670000000001</v>
      </c>
      <c r="T70" s="12">
        <v>-1.2166699999999999</v>
      </c>
      <c r="U70" t="s">
        <v>31</v>
      </c>
      <c r="V70" t="s">
        <v>31</v>
      </c>
      <c r="W70" t="s">
        <v>31</v>
      </c>
      <c r="X70" t="s">
        <v>31</v>
      </c>
      <c r="Y70">
        <v>10.7</v>
      </c>
      <c r="Z70">
        <v>95.3</v>
      </c>
      <c r="AA70" t="s">
        <v>31</v>
      </c>
      <c r="AB70">
        <v>0.65369999999999995</v>
      </c>
    </row>
    <row r="71" spans="1:28" x14ac:dyDescent="0.2">
      <c r="A71">
        <v>38</v>
      </c>
      <c r="B71">
        <v>3</v>
      </c>
      <c r="C71" t="s">
        <v>117</v>
      </c>
      <c r="D71">
        <v>2016</v>
      </c>
      <c r="E71">
        <v>50</v>
      </c>
      <c r="F71">
        <v>6</v>
      </c>
      <c r="G71" t="s">
        <v>49</v>
      </c>
      <c r="H71">
        <v>36.11</v>
      </c>
      <c r="I71">
        <v>4.7300000000000004</v>
      </c>
      <c r="J71">
        <v>4.7300000000000004</v>
      </c>
      <c r="K71">
        <v>5</v>
      </c>
      <c r="L71">
        <v>36.450000000000003</v>
      </c>
      <c r="M71">
        <v>4.97</v>
      </c>
      <c r="N71">
        <v>4.97</v>
      </c>
      <c r="O71">
        <v>3</v>
      </c>
      <c r="P71">
        <v>4</v>
      </c>
      <c r="Q71" t="s">
        <v>119</v>
      </c>
      <c r="R71" t="s">
        <v>93</v>
      </c>
      <c r="S71" s="12">
        <v>42.716670000000001</v>
      </c>
      <c r="T71" s="12">
        <v>-1.2166699999999999</v>
      </c>
      <c r="U71" t="s">
        <v>31</v>
      </c>
      <c r="V71" t="s">
        <v>31</v>
      </c>
      <c r="W71" t="s">
        <v>31</v>
      </c>
      <c r="X71" t="s">
        <v>31</v>
      </c>
      <c r="Y71">
        <v>10.7</v>
      </c>
      <c r="Z71">
        <v>95.3</v>
      </c>
      <c r="AA71" t="s">
        <v>31</v>
      </c>
      <c r="AB71">
        <v>0.65369999999999995</v>
      </c>
    </row>
    <row r="72" spans="1:28" x14ac:dyDescent="0.2">
      <c r="A72">
        <v>38</v>
      </c>
      <c r="B72">
        <v>6</v>
      </c>
      <c r="C72" t="s">
        <v>117</v>
      </c>
      <c r="D72">
        <v>2016</v>
      </c>
      <c r="E72">
        <v>50</v>
      </c>
      <c r="F72">
        <v>6</v>
      </c>
      <c r="G72" t="s">
        <v>49</v>
      </c>
      <c r="H72">
        <v>27.27</v>
      </c>
      <c r="I72">
        <v>5.08</v>
      </c>
      <c r="J72">
        <v>5.08</v>
      </c>
      <c r="K72">
        <v>5</v>
      </c>
      <c r="L72">
        <v>35.18</v>
      </c>
      <c r="M72">
        <v>4.5</v>
      </c>
      <c r="N72">
        <v>4.5</v>
      </c>
      <c r="O72">
        <v>6</v>
      </c>
      <c r="P72">
        <v>7</v>
      </c>
      <c r="Q72" t="s">
        <v>119</v>
      </c>
      <c r="R72" t="s">
        <v>93</v>
      </c>
      <c r="S72" s="12">
        <v>42.716670000000001</v>
      </c>
      <c r="T72" s="12">
        <v>-1.2166699999999999</v>
      </c>
      <c r="U72" t="s">
        <v>31</v>
      </c>
      <c r="V72" t="s">
        <v>31</v>
      </c>
      <c r="W72" t="s">
        <v>31</v>
      </c>
      <c r="X72" t="s">
        <v>31</v>
      </c>
      <c r="Y72">
        <v>10.7</v>
      </c>
      <c r="Z72">
        <v>95.3</v>
      </c>
      <c r="AA72" t="s">
        <v>31</v>
      </c>
      <c r="AB72">
        <v>0.65369999999999995</v>
      </c>
    </row>
    <row r="73" spans="1:28" x14ac:dyDescent="0.2">
      <c r="A73">
        <v>38</v>
      </c>
      <c r="B73">
        <v>7</v>
      </c>
      <c r="C73" t="s">
        <v>117</v>
      </c>
      <c r="D73">
        <v>2016</v>
      </c>
      <c r="E73">
        <v>50</v>
      </c>
      <c r="F73">
        <v>6</v>
      </c>
      <c r="G73" t="s">
        <v>49</v>
      </c>
      <c r="H73">
        <v>26.93</v>
      </c>
      <c r="I73">
        <v>5.2</v>
      </c>
      <c r="J73">
        <v>5.2</v>
      </c>
      <c r="K73">
        <v>5</v>
      </c>
      <c r="L73">
        <v>35.18</v>
      </c>
      <c r="M73">
        <v>4.8499999999999996</v>
      </c>
      <c r="N73">
        <v>4.8499999999999996</v>
      </c>
      <c r="O73">
        <v>7</v>
      </c>
      <c r="P73">
        <v>8</v>
      </c>
      <c r="Q73" t="s">
        <v>119</v>
      </c>
      <c r="R73" t="s">
        <v>93</v>
      </c>
      <c r="S73" s="12">
        <v>42.716670000000001</v>
      </c>
      <c r="T73" s="12">
        <v>-1.2166699999999999</v>
      </c>
      <c r="U73" t="s">
        <v>31</v>
      </c>
      <c r="V73" t="s">
        <v>31</v>
      </c>
      <c r="W73" t="s">
        <v>31</v>
      </c>
      <c r="X73" t="s">
        <v>31</v>
      </c>
      <c r="Y73">
        <v>10.7</v>
      </c>
      <c r="Z73">
        <v>95.3</v>
      </c>
      <c r="AA73" t="s">
        <v>31</v>
      </c>
      <c r="AB73">
        <v>0.65369999999999995</v>
      </c>
    </row>
    <row r="74" spans="1:28" x14ac:dyDescent="0.2">
      <c r="A74">
        <v>38</v>
      </c>
      <c r="B74">
        <v>11</v>
      </c>
      <c r="C74" t="s">
        <v>117</v>
      </c>
      <c r="D74">
        <v>2016</v>
      </c>
      <c r="E74">
        <v>50</v>
      </c>
      <c r="F74">
        <v>6</v>
      </c>
      <c r="G74" t="s">
        <v>49</v>
      </c>
      <c r="H74">
        <v>23.12</v>
      </c>
      <c r="I74">
        <v>5.2</v>
      </c>
      <c r="J74">
        <v>5.2</v>
      </c>
      <c r="K74">
        <v>5</v>
      </c>
      <c r="L74">
        <v>36.57</v>
      </c>
      <c r="M74">
        <v>4.97</v>
      </c>
      <c r="N74">
        <v>4.97</v>
      </c>
      <c r="O74">
        <v>11</v>
      </c>
      <c r="P74">
        <v>12</v>
      </c>
      <c r="Q74" t="s">
        <v>119</v>
      </c>
      <c r="R74" t="s">
        <v>93</v>
      </c>
      <c r="S74" s="12">
        <v>42.716670000000001</v>
      </c>
      <c r="T74" s="12">
        <v>-1.2166699999999999</v>
      </c>
      <c r="U74" t="s">
        <v>31</v>
      </c>
      <c r="V74" t="s">
        <v>31</v>
      </c>
      <c r="W74" t="s">
        <v>31</v>
      </c>
      <c r="X74" t="s">
        <v>31</v>
      </c>
      <c r="Y74">
        <v>10.7</v>
      </c>
      <c r="Z74">
        <v>95.3</v>
      </c>
      <c r="AA74" t="s">
        <v>31</v>
      </c>
      <c r="AB74">
        <v>0.65369999999999995</v>
      </c>
    </row>
    <row r="75" spans="1:28" x14ac:dyDescent="0.2">
      <c r="A75">
        <v>38</v>
      </c>
      <c r="B75">
        <v>9</v>
      </c>
      <c r="C75" t="s">
        <v>117</v>
      </c>
      <c r="D75">
        <v>2016</v>
      </c>
      <c r="E75">
        <v>50</v>
      </c>
      <c r="F75">
        <v>6</v>
      </c>
      <c r="G75" t="s">
        <v>49</v>
      </c>
      <c r="H75">
        <v>24.45</v>
      </c>
      <c r="I75">
        <v>5.43</v>
      </c>
      <c r="J75">
        <v>5.43</v>
      </c>
      <c r="K75">
        <v>5</v>
      </c>
      <c r="L75">
        <v>32.590000000000003</v>
      </c>
      <c r="M75">
        <v>5.54</v>
      </c>
      <c r="N75">
        <v>5.54</v>
      </c>
      <c r="O75">
        <v>9</v>
      </c>
      <c r="P75">
        <v>10</v>
      </c>
      <c r="Q75" t="s">
        <v>119</v>
      </c>
      <c r="R75" t="s">
        <v>93</v>
      </c>
      <c r="S75" s="12">
        <v>42.716670000000001</v>
      </c>
      <c r="T75" s="12">
        <v>-1.2166699999999999</v>
      </c>
      <c r="U75" t="s">
        <v>31</v>
      </c>
      <c r="V75" t="s">
        <v>31</v>
      </c>
      <c r="W75" t="s">
        <v>31</v>
      </c>
      <c r="X75" t="s">
        <v>31</v>
      </c>
      <c r="Y75">
        <v>10.7</v>
      </c>
      <c r="Z75">
        <v>95.3</v>
      </c>
      <c r="AA75" t="s">
        <v>31</v>
      </c>
      <c r="AB75">
        <v>0.65369999999999995</v>
      </c>
    </row>
    <row r="76" spans="1:28" x14ac:dyDescent="0.2">
      <c r="A76">
        <v>38</v>
      </c>
      <c r="B76">
        <v>8</v>
      </c>
      <c r="C76" t="s">
        <v>117</v>
      </c>
      <c r="D76">
        <v>2016</v>
      </c>
      <c r="E76">
        <v>50</v>
      </c>
      <c r="F76">
        <v>6</v>
      </c>
      <c r="G76" t="s">
        <v>49</v>
      </c>
      <c r="H76">
        <v>22.83</v>
      </c>
      <c r="I76">
        <v>6.12</v>
      </c>
      <c r="J76">
        <v>6.12</v>
      </c>
      <c r="K76">
        <v>5</v>
      </c>
      <c r="L76">
        <v>31.37</v>
      </c>
      <c r="M76">
        <v>5.54</v>
      </c>
      <c r="N76">
        <v>5.54</v>
      </c>
      <c r="O76">
        <v>8</v>
      </c>
      <c r="P76">
        <v>9</v>
      </c>
      <c r="Q76" t="s">
        <v>119</v>
      </c>
      <c r="R76" t="s">
        <v>93</v>
      </c>
      <c r="S76" s="12">
        <v>42.716670000000001</v>
      </c>
      <c r="T76" s="12">
        <v>-1.2166699999999999</v>
      </c>
      <c r="U76" t="s">
        <v>31</v>
      </c>
      <c r="V76" t="s">
        <v>31</v>
      </c>
      <c r="W76" t="s">
        <v>31</v>
      </c>
      <c r="X76" t="s">
        <v>31</v>
      </c>
      <c r="Y76">
        <v>10.7</v>
      </c>
      <c r="Z76">
        <v>95.3</v>
      </c>
      <c r="AA76" t="s">
        <v>31</v>
      </c>
      <c r="AB76">
        <v>0.65369999999999995</v>
      </c>
    </row>
    <row r="77" spans="1:28" x14ac:dyDescent="0.2">
      <c r="A77">
        <v>38</v>
      </c>
      <c r="B77">
        <v>10</v>
      </c>
      <c r="C77" t="s">
        <v>117</v>
      </c>
      <c r="D77">
        <v>2016</v>
      </c>
      <c r="E77">
        <v>50</v>
      </c>
      <c r="F77">
        <v>6</v>
      </c>
      <c r="G77" t="s">
        <v>49</v>
      </c>
      <c r="H77">
        <v>27.16</v>
      </c>
      <c r="I77">
        <v>6.35</v>
      </c>
      <c r="J77">
        <v>6.35</v>
      </c>
      <c r="K77">
        <v>5</v>
      </c>
      <c r="L77">
        <v>37.380000000000003</v>
      </c>
      <c r="M77">
        <v>5.66</v>
      </c>
      <c r="N77">
        <v>5.66</v>
      </c>
      <c r="O77">
        <v>10</v>
      </c>
      <c r="P77">
        <v>11</v>
      </c>
      <c r="Q77" t="s">
        <v>119</v>
      </c>
      <c r="R77" t="s">
        <v>93</v>
      </c>
      <c r="S77" s="12">
        <v>42.716670000000001</v>
      </c>
      <c r="T77" s="12">
        <v>-1.2166699999999999</v>
      </c>
      <c r="U77" t="s">
        <v>31</v>
      </c>
      <c r="V77" t="s">
        <v>31</v>
      </c>
      <c r="W77" t="s">
        <v>31</v>
      </c>
      <c r="X77" t="s">
        <v>31</v>
      </c>
      <c r="Y77">
        <v>10.7</v>
      </c>
      <c r="Z77">
        <v>95.3</v>
      </c>
      <c r="AA77" t="s">
        <v>31</v>
      </c>
      <c r="AB77">
        <v>0.65369999999999995</v>
      </c>
    </row>
    <row r="78" spans="1:28" x14ac:dyDescent="0.2">
      <c r="A78">
        <v>38</v>
      </c>
      <c r="B78">
        <v>4</v>
      </c>
      <c r="C78" t="s">
        <v>117</v>
      </c>
      <c r="D78">
        <v>2016</v>
      </c>
      <c r="E78">
        <v>50</v>
      </c>
      <c r="F78">
        <v>6</v>
      </c>
      <c r="G78" t="s">
        <v>49</v>
      </c>
      <c r="H78">
        <v>36.11</v>
      </c>
      <c r="I78">
        <v>7.39</v>
      </c>
      <c r="J78">
        <v>7.39</v>
      </c>
      <c r="K78">
        <v>5</v>
      </c>
      <c r="L78">
        <v>40.840000000000003</v>
      </c>
      <c r="M78">
        <v>4.62</v>
      </c>
      <c r="N78">
        <v>4.62</v>
      </c>
      <c r="O78">
        <v>4</v>
      </c>
      <c r="P78">
        <v>5</v>
      </c>
      <c r="Q78" t="s">
        <v>119</v>
      </c>
      <c r="R78" t="s">
        <v>93</v>
      </c>
      <c r="S78" s="12">
        <v>42.716670000000001</v>
      </c>
      <c r="T78" s="12">
        <v>-1.2166699999999999</v>
      </c>
      <c r="U78" t="s">
        <v>31</v>
      </c>
      <c r="V78" t="s">
        <v>31</v>
      </c>
      <c r="W78" t="s">
        <v>31</v>
      </c>
      <c r="X78" t="s">
        <v>31</v>
      </c>
      <c r="Y78">
        <v>10.7</v>
      </c>
      <c r="Z78">
        <v>95.3</v>
      </c>
      <c r="AA78" t="s">
        <v>31</v>
      </c>
      <c r="AB78">
        <v>0.65369999999999995</v>
      </c>
    </row>
    <row r="79" spans="1:28" x14ac:dyDescent="0.2">
      <c r="A79">
        <v>38</v>
      </c>
      <c r="B79">
        <v>5</v>
      </c>
      <c r="C79" t="s">
        <v>117</v>
      </c>
      <c r="D79">
        <v>2016</v>
      </c>
      <c r="E79">
        <v>50</v>
      </c>
      <c r="F79">
        <v>6</v>
      </c>
      <c r="G79" t="s">
        <v>49</v>
      </c>
      <c r="H79">
        <v>28.78</v>
      </c>
      <c r="I79">
        <v>7.62</v>
      </c>
      <c r="J79">
        <v>7.62</v>
      </c>
      <c r="K79">
        <v>5</v>
      </c>
      <c r="L79">
        <v>35.65</v>
      </c>
      <c r="M79">
        <v>4.2699999999999996</v>
      </c>
      <c r="N79">
        <v>4.2699999999999996</v>
      </c>
      <c r="O79">
        <v>5</v>
      </c>
      <c r="P79">
        <v>6</v>
      </c>
      <c r="Q79" t="s">
        <v>119</v>
      </c>
      <c r="R79" t="s">
        <v>93</v>
      </c>
      <c r="S79" s="12">
        <v>42.716670000000001</v>
      </c>
      <c r="T79" s="12">
        <v>-1.2166699999999999</v>
      </c>
      <c r="U79" t="s">
        <v>31</v>
      </c>
      <c r="V79" t="s">
        <v>31</v>
      </c>
      <c r="W79" t="s">
        <v>31</v>
      </c>
      <c r="X79" t="s">
        <v>31</v>
      </c>
      <c r="Y79">
        <v>10.7</v>
      </c>
      <c r="Z79">
        <v>95.3</v>
      </c>
      <c r="AA79" t="s">
        <v>31</v>
      </c>
      <c r="AB79">
        <v>0.65369999999999995</v>
      </c>
    </row>
    <row r="80" spans="1:28" x14ac:dyDescent="0.2">
      <c r="A80">
        <v>41</v>
      </c>
      <c r="B80">
        <v>2</v>
      </c>
      <c r="C80" t="s">
        <v>124</v>
      </c>
      <c r="D80">
        <v>2019</v>
      </c>
      <c r="E80">
        <v>2.5</v>
      </c>
      <c r="F80">
        <v>4</v>
      </c>
      <c r="G80" t="s">
        <v>49</v>
      </c>
      <c r="H80">
        <v>12.74</v>
      </c>
      <c r="I80">
        <v>1.01</v>
      </c>
      <c r="J80">
        <v>1.01</v>
      </c>
      <c r="K80">
        <v>4</v>
      </c>
      <c r="L80">
        <v>34.99</v>
      </c>
      <c r="M80">
        <v>3.91</v>
      </c>
      <c r="N80">
        <v>3.91</v>
      </c>
      <c r="O80">
        <v>1</v>
      </c>
      <c r="P80">
        <v>2</v>
      </c>
      <c r="Q80" t="s">
        <v>125</v>
      </c>
      <c r="R80" t="s">
        <v>93</v>
      </c>
      <c r="S80" s="12">
        <v>43.011246</v>
      </c>
      <c r="T80" s="12">
        <v>-7.5602799999999997</v>
      </c>
      <c r="U80" t="s">
        <v>29</v>
      </c>
      <c r="V80" t="s">
        <v>31</v>
      </c>
      <c r="W80" t="s">
        <v>31</v>
      </c>
      <c r="X80" t="s">
        <v>31</v>
      </c>
      <c r="Y80">
        <v>12.5</v>
      </c>
      <c r="Z80">
        <v>104.6</v>
      </c>
      <c r="AA80" t="s">
        <v>29</v>
      </c>
      <c r="AB80">
        <v>1.2936000000000001</v>
      </c>
    </row>
    <row r="81" spans="1:28" x14ac:dyDescent="0.2">
      <c r="A81">
        <v>41</v>
      </c>
      <c r="B81">
        <v>16</v>
      </c>
      <c r="C81" t="s">
        <v>124</v>
      </c>
      <c r="D81">
        <v>2019</v>
      </c>
      <c r="E81">
        <v>10</v>
      </c>
      <c r="F81">
        <v>4</v>
      </c>
      <c r="G81" t="s">
        <v>49</v>
      </c>
      <c r="H81">
        <v>7.21</v>
      </c>
      <c r="I81">
        <v>1.21</v>
      </c>
      <c r="J81">
        <v>1.21</v>
      </c>
      <c r="K81">
        <v>4</v>
      </c>
      <c r="L81">
        <v>22.11</v>
      </c>
      <c r="M81">
        <v>4.3099999999999996</v>
      </c>
      <c r="N81">
        <v>4.3099999999999996</v>
      </c>
      <c r="O81">
        <v>2</v>
      </c>
      <c r="P81">
        <v>3</v>
      </c>
      <c r="Q81" t="s">
        <v>125</v>
      </c>
      <c r="R81" t="s">
        <v>93</v>
      </c>
      <c r="S81" s="12">
        <v>43.011246</v>
      </c>
      <c r="T81" s="12">
        <v>-7.5602799999999997</v>
      </c>
      <c r="U81" t="s">
        <v>29</v>
      </c>
      <c r="V81" t="s">
        <v>31</v>
      </c>
      <c r="W81" t="s">
        <v>31</v>
      </c>
      <c r="X81" t="s">
        <v>31</v>
      </c>
      <c r="Y81">
        <v>12.5</v>
      </c>
      <c r="Z81">
        <v>104.6</v>
      </c>
      <c r="AA81" t="s">
        <v>29</v>
      </c>
      <c r="AB81">
        <v>1.2936000000000001</v>
      </c>
    </row>
    <row r="82" spans="1:28" x14ac:dyDescent="0.2">
      <c r="A82">
        <v>41</v>
      </c>
      <c r="B82">
        <v>10</v>
      </c>
      <c r="C82" t="s">
        <v>124</v>
      </c>
      <c r="D82">
        <v>2019</v>
      </c>
      <c r="E82">
        <v>2.5</v>
      </c>
      <c r="F82">
        <v>4</v>
      </c>
      <c r="G82" t="s">
        <v>49</v>
      </c>
      <c r="H82">
        <v>8.06</v>
      </c>
      <c r="I82">
        <v>1.55</v>
      </c>
      <c r="J82">
        <v>1.55</v>
      </c>
      <c r="K82">
        <v>4</v>
      </c>
      <c r="L82">
        <v>22.11</v>
      </c>
      <c r="M82">
        <v>4.3099999999999996</v>
      </c>
      <c r="N82">
        <v>4.3099999999999996</v>
      </c>
      <c r="O82">
        <v>2</v>
      </c>
      <c r="P82">
        <v>3</v>
      </c>
      <c r="Q82" t="s">
        <v>125</v>
      </c>
      <c r="R82" t="s">
        <v>93</v>
      </c>
      <c r="S82" s="12">
        <v>43.011246</v>
      </c>
      <c r="T82" s="12">
        <v>-7.5602799999999997</v>
      </c>
      <c r="U82" t="s">
        <v>29</v>
      </c>
      <c r="V82" t="s">
        <v>31</v>
      </c>
      <c r="W82" t="s">
        <v>31</v>
      </c>
      <c r="X82" t="s">
        <v>31</v>
      </c>
      <c r="Y82">
        <v>12.5</v>
      </c>
      <c r="Z82">
        <v>104.6</v>
      </c>
      <c r="AA82" t="s">
        <v>29</v>
      </c>
      <c r="AB82">
        <v>1.2936000000000001</v>
      </c>
    </row>
    <row r="83" spans="1:28" x14ac:dyDescent="0.2">
      <c r="A83">
        <v>41</v>
      </c>
      <c r="B83">
        <v>12</v>
      </c>
      <c r="C83" t="s">
        <v>124</v>
      </c>
      <c r="D83">
        <v>2019</v>
      </c>
      <c r="E83">
        <v>10</v>
      </c>
      <c r="F83">
        <v>4</v>
      </c>
      <c r="G83" t="s">
        <v>49</v>
      </c>
      <c r="H83">
        <v>5.0599999999999996</v>
      </c>
      <c r="I83">
        <v>1.55</v>
      </c>
      <c r="J83">
        <v>1.55</v>
      </c>
      <c r="K83">
        <v>4</v>
      </c>
      <c r="L83">
        <v>22.11</v>
      </c>
      <c r="M83">
        <v>4.3099999999999996</v>
      </c>
      <c r="N83">
        <v>4.3099999999999996</v>
      </c>
      <c r="O83">
        <v>2</v>
      </c>
      <c r="P83">
        <v>3</v>
      </c>
      <c r="Q83" t="s">
        <v>125</v>
      </c>
      <c r="R83" t="s">
        <v>93</v>
      </c>
      <c r="S83" s="12">
        <v>43.011246</v>
      </c>
      <c r="T83" s="12">
        <v>-7.5602799999999997</v>
      </c>
      <c r="U83" t="s">
        <v>29</v>
      </c>
      <c r="V83" t="s">
        <v>31</v>
      </c>
      <c r="W83" t="s">
        <v>31</v>
      </c>
      <c r="X83" t="s">
        <v>31</v>
      </c>
      <c r="Y83">
        <v>12.5</v>
      </c>
      <c r="Z83">
        <v>104.6</v>
      </c>
      <c r="AA83" t="s">
        <v>29</v>
      </c>
      <c r="AB83">
        <v>1.2936000000000001</v>
      </c>
    </row>
    <row r="84" spans="1:28" x14ac:dyDescent="0.2">
      <c r="A84">
        <v>41</v>
      </c>
      <c r="B84">
        <v>8</v>
      </c>
      <c r="C84" t="s">
        <v>124</v>
      </c>
      <c r="D84">
        <v>2019</v>
      </c>
      <c r="E84">
        <v>10</v>
      </c>
      <c r="F84">
        <v>4</v>
      </c>
      <c r="G84" t="s">
        <v>49</v>
      </c>
      <c r="H84">
        <v>8.06</v>
      </c>
      <c r="I84">
        <v>1.62</v>
      </c>
      <c r="J84">
        <v>1.62</v>
      </c>
      <c r="K84">
        <v>4</v>
      </c>
      <c r="L84">
        <v>34.99</v>
      </c>
      <c r="M84">
        <v>3.91</v>
      </c>
      <c r="N84">
        <v>3.91</v>
      </c>
      <c r="O84">
        <v>1</v>
      </c>
      <c r="P84">
        <v>2</v>
      </c>
      <c r="Q84" t="s">
        <v>125</v>
      </c>
      <c r="R84" t="s">
        <v>93</v>
      </c>
      <c r="S84" s="12">
        <v>43.011246</v>
      </c>
      <c r="T84" s="12">
        <v>-7.5602799999999997</v>
      </c>
      <c r="U84" t="s">
        <v>29</v>
      </c>
      <c r="V84" t="s">
        <v>31</v>
      </c>
      <c r="W84" t="s">
        <v>31</v>
      </c>
      <c r="X84" t="s">
        <v>31</v>
      </c>
      <c r="Y84">
        <v>12.5</v>
      </c>
      <c r="Z84">
        <v>104.6</v>
      </c>
      <c r="AA84" t="s">
        <v>29</v>
      </c>
      <c r="AB84">
        <v>1.2936000000000001</v>
      </c>
    </row>
    <row r="85" spans="1:28" x14ac:dyDescent="0.2">
      <c r="A85">
        <v>41</v>
      </c>
      <c r="B85">
        <v>3</v>
      </c>
      <c r="C85" t="s">
        <v>124</v>
      </c>
      <c r="D85">
        <v>2019</v>
      </c>
      <c r="E85">
        <v>5</v>
      </c>
      <c r="F85">
        <v>4</v>
      </c>
      <c r="G85" t="s">
        <v>49</v>
      </c>
      <c r="H85">
        <v>10.28</v>
      </c>
      <c r="I85">
        <v>1.82</v>
      </c>
      <c r="J85">
        <v>1.82</v>
      </c>
      <c r="K85">
        <v>4</v>
      </c>
      <c r="L85">
        <v>34.99</v>
      </c>
      <c r="M85">
        <v>3.91</v>
      </c>
      <c r="N85">
        <v>3.91</v>
      </c>
      <c r="O85">
        <v>1</v>
      </c>
      <c r="P85">
        <v>2</v>
      </c>
      <c r="Q85" t="s">
        <v>125</v>
      </c>
      <c r="R85" t="s">
        <v>93</v>
      </c>
      <c r="S85" s="12">
        <v>43.011246</v>
      </c>
      <c r="T85" s="12">
        <v>-7.5602799999999997</v>
      </c>
      <c r="U85" t="s">
        <v>29</v>
      </c>
      <c r="V85" t="s">
        <v>31</v>
      </c>
      <c r="W85" t="s">
        <v>31</v>
      </c>
      <c r="X85" t="s">
        <v>31</v>
      </c>
      <c r="Y85">
        <v>12.5</v>
      </c>
      <c r="Z85">
        <v>104.6</v>
      </c>
      <c r="AA85" t="s">
        <v>29</v>
      </c>
      <c r="AB85">
        <v>1.2936000000000001</v>
      </c>
    </row>
    <row r="86" spans="1:28" x14ac:dyDescent="0.2">
      <c r="A86">
        <v>41</v>
      </c>
      <c r="B86">
        <v>5</v>
      </c>
      <c r="C86" t="s">
        <v>124</v>
      </c>
      <c r="D86">
        <v>2019</v>
      </c>
      <c r="E86">
        <v>1</v>
      </c>
      <c r="F86">
        <v>4</v>
      </c>
      <c r="G86" t="s">
        <v>49</v>
      </c>
      <c r="H86">
        <v>11.76</v>
      </c>
      <c r="I86">
        <v>1.89</v>
      </c>
      <c r="J86">
        <v>1.89</v>
      </c>
      <c r="K86">
        <v>4</v>
      </c>
      <c r="L86">
        <v>34.99</v>
      </c>
      <c r="M86">
        <v>3.91</v>
      </c>
      <c r="N86">
        <v>3.91</v>
      </c>
      <c r="O86">
        <v>1</v>
      </c>
      <c r="P86">
        <v>2</v>
      </c>
      <c r="Q86" t="s">
        <v>125</v>
      </c>
      <c r="R86" t="s">
        <v>93</v>
      </c>
      <c r="S86" s="12">
        <v>43.011246</v>
      </c>
      <c r="T86" s="12">
        <v>-7.5602799999999997</v>
      </c>
      <c r="U86" t="s">
        <v>29</v>
      </c>
      <c r="V86" t="s">
        <v>31</v>
      </c>
      <c r="W86" t="s">
        <v>31</v>
      </c>
      <c r="X86" t="s">
        <v>31</v>
      </c>
      <c r="Y86">
        <v>12.5</v>
      </c>
      <c r="Z86">
        <v>104.6</v>
      </c>
      <c r="AA86" t="s">
        <v>29</v>
      </c>
      <c r="AB86">
        <v>1.2936000000000001</v>
      </c>
    </row>
    <row r="87" spans="1:28" x14ac:dyDescent="0.2">
      <c r="A87">
        <v>41</v>
      </c>
      <c r="B87">
        <v>6</v>
      </c>
      <c r="C87" t="s">
        <v>124</v>
      </c>
      <c r="D87">
        <v>2019</v>
      </c>
      <c r="E87">
        <v>2.5</v>
      </c>
      <c r="F87">
        <v>4</v>
      </c>
      <c r="G87" t="s">
        <v>49</v>
      </c>
      <c r="H87">
        <v>12.24</v>
      </c>
      <c r="I87">
        <v>2.09</v>
      </c>
      <c r="J87">
        <v>2.09</v>
      </c>
      <c r="K87">
        <v>4</v>
      </c>
      <c r="L87">
        <v>34.99</v>
      </c>
      <c r="M87">
        <v>3.91</v>
      </c>
      <c r="N87">
        <v>3.91</v>
      </c>
      <c r="O87">
        <v>1</v>
      </c>
      <c r="P87">
        <v>2</v>
      </c>
      <c r="Q87" t="s">
        <v>125</v>
      </c>
      <c r="R87" t="s">
        <v>93</v>
      </c>
      <c r="S87" s="12">
        <v>43.011246</v>
      </c>
      <c r="T87" s="12">
        <v>-7.5602799999999997</v>
      </c>
      <c r="U87" t="s">
        <v>29</v>
      </c>
      <c r="V87" t="s">
        <v>31</v>
      </c>
      <c r="W87" t="s">
        <v>31</v>
      </c>
      <c r="X87" t="s">
        <v>31</v>
      </c>
      <c r="Y87">
        <v>12.5</v>
      </c>
      <c r="Z87">
        <v>104.6</v>
      </c>
      <c r="AA87" t="s">
        <v>29</v>
      </c>
      <c r="AB87">
        <v>1.2936000000000001</v>
      </c>
    </row>
    <row r="88" spans="1:28" x14ac:dyDescent="0.2">
      <c r="A88">
        <v>41</v>
      </c>
      <c r="B88">
        <v>1</v>
      </c>
      <c r="C88" t="s">
        <v>124</v>
      </c>
      <c r="D88">
        <v>2019</v>
      </c>
      <c r="E88">
        <v>1</v>
      </c>
      <c r="F88">
        <v>4</v>
      </c>
      <c r="G88" t="s">
        <v>49</v>
      </c>
      <c r="H88">
        <v>12.98</v>
      </c>
      <c r="I88">
        <v>2.2200000000000002</v>
      </c>
      <c r="J88">
        <v>2.2200000000000002</v>
      </c>
      <c r="K88">
        <v>4</v>
      </c>
      <c r="L88">
        <v>34.99</v>
      </c>
      <c r="M88">
        <v>3.91</v>
      </c>
      <c r="N88">
        <v>3.91</v>
      </c>
      <c r="O88">
        <v>1</v>
      </c>
      <c r="P88">
        <v>2</v>
      </c>
      <c r="Q88" t="s">
        <v>125</v>
      </c>
      <c r="R88" t="s">
        <v>93</v>
      </c>
      <c r="S88" s="12">
        <v>43.011246</v>
      </c>
      <c r="T88" s="12">
        <v>-7.5602799999999997</v>
      </c>
      <c r="U88" t="s">
        <v>29</v>
      </c>
      <c r="V88" t="s">
        <v>31</v>
      </c>
      <c r="W88" t="s">
        <v>31</v>
      </c>
      <c r="X88" t="s">
        <v>31</v>
      </c>
      <c r="Y88">
        <v>12.5</v>
      </c>
      <c r="Z88">
        <v>104.6</v>
      </c>
      <c r="AA88" t="s">
        <v>29</v>
      </c>
      <c r="AB88">
        <v>1.2936000000000001</v>
      </c>
    </row>
    <row r="89" spans="1:28" x14ac:dyDescent="0.2">
      <c r="A89">
        <v>41</v>
      </c>
      <c r="B89">
        <v>15</v>
      </c>
      <c r="C89" t="s">
        <v>124</v>
      </c>
      <c r="D89">
        <v>2019</v>
      </c>
      <c r="E89">
        <v>5</v>
      </c>
      <c r="F89">
        <v>4</v>
      </c>
      <c r="G89" t="s">
        <v>49</v>
      </c>
      <c r="H89">
        <v>9.07</v>
      </c>
      <c r="I89">
        <v>2.4300000000000002</v>
      </c>
      <c r="J89">
        <v>2.4300000000000002</v>
      </c>
      <c r="K89">
        <v>4</v>
      </c>
      <c r="L89">
        <v>22.11</v>
      </c>
      <c r="M89">
        <v>4.3099999999999996</v>
      </c>
      <c r="N89">
        <v>4.3099999999999996</v>
      </c>
      <c r="O89">
        <v>2</v>
      </c>
      <c r="P89">
        <v>3</v>
      </c>
      <c r="Q89" t="s">
        <v>125</v>
      </c>
      <c r="R89" t="s">
        <v>93</v>
      </c>
      <c r="S89" s="12">
        <v>43.011246</v>
      </c>
      <c r="T89" s="12">
        <v>-7.5602799999999997</v>
      </c>
      <c r="U89" t="s">
        <v>29</v>
      </c>
      <c r="V89" t="s">
        <v>31</v>
      </c>
      <c r="W89" t="s">
        <v>31</v>
      </c>
      <c r="X89" t="s">
        <v>31</v>
      </c>
      <c r="Y89">
        <v>12.5</v>
      </c>
      <c r="Z89">
        <v>104.6</v>
      </c>
      <c r="AA89" t="s">
        <v>29</v>
      </c>
      <c r="AB89">
        <v>1.2936000000000001</v>
      </c>
    </row>
    <row r="90" spans="1:28" x14ac:dyDescent="0.2">
      <c r="A90">
        <v>41</v>
      </c>
      <c r="B90">
        <v>7</v>
      </c>
      <c r="C90" t="s">
        <v>124</v>
      </c>
      <c r="D90">
        <v>2019</v>
      </c>
      <c r="E90">
        <v>5</v>
      </c>
      <c r="F90">
        <v>4</v>
      </c>
      <c r="G90" t="s">
        <v>49</v>
      </c>
      <c r="H90">
        <v>11.76</v>
      </c>
      <c r="I90">
        <v>2.56</v>
      </c>
      <c r="J90">
        <v>2.56</v>
      </c>
      <c r="K90">
        <v>4</v>
      </c>
      <c r="L90">
        <v>34.99</v>
      </c>
      <c r="M90">
        <v>3.91</v>
      </c>
      <c r="N90">
        <v>3.91</v>
      </c>
      <c r="O90">
        <v>1</v>
      </c>
      <c r="P90">
        <v>2</v>
      </c>
      <c r="Q90" t="s">
        <v>125</v>
      </c>
      <c r="R90" t="s">
        <v>93</v>
      </c>
      <c r="S90" s="12">
        <v>43.011246</v>
      </c>
      <c r="T90" s="12">
        <v>-7.5602799999999997</v>
      </c>
      <c r="U90" t="s">
        <v>29</v>
      </c>
      <c r="V90" t="s">
        <v>31</v>
      </c>
      <c r="W90" t="s">
        <v>31</v>
      </c>
      <c r="X90" t="s">
        <v>31</v>
      </c>
      <c r="Y90">
        <v>12.5</v>
      </c>
      <c r="Z90">
        <v>104.6</v>
      </c>
      <c r="AA90" t="s">
        <v>29</v>
      </c>
      <c r="AB90">
        <v>1.2936000000000001</v>
      </c>
    </row>
    <row r="91" spans="1:28" x14ac:dyDescent="0.2">
      <c r="A91">
        <v>41</v>
      </c>
      <c r="B91">
        <v>14</v>
      </c>
      <c r="C91" t="s">
        <v>124</v>
      </c>
      <c r="D91">
        <v>2019</v>
      </c>
      <c r="E91">
        <v>2.5</v>
      </c>
      <c r="F91">
        <v>4</v>
      </c>
      <c r="G91" t="s">
        <v>49</v>
      </c>
      <c r="H91">
        <v>8.06</v>
      </c>
      <c r="I91">
        <v>2.56</v>
      </c>
      <c r="J91">
        <v>2.56</v>
      </c>
      <c r="K91">
        <v>4</v>
      </c>
      <c r="L91">
        <v>22.11</v>
      </c>
      <c r="M91">
        <v>4.3099999999999996</v>
      </c>
      <c r="N91">
        <v>4.3099999999999996</v>
      </c>
      <c r="O91">
        <v>2</v>
      </c>
      <c r="P91">
        <v>3</v>
      </c>
      <c r="Q91" t="s">
        <v>125</v>
      </c>
      <c r="R91" t="s">
        <v>93</v>
      </c>
      <c r="S91" s="12">
        <v>43.011246</v>
      </c>
      <c r="T91" s="12">
        <v>-7.5602799999999997</v>
      </c>
      <c r="U91" t="s">
        <v>29</v>
      </c>
      <c r="V91" t="s">
        <v>31</v>
      </c>
      <c r="W91" t="s">
        <v>31</v>
      </c>
      <c r="X91" t="s">
        <v>31</v>
      </c>
      <c r="Y91">
        <v>12.5</v>
      </c>
      <c r="Z91">
        <v>104.6</v>
      </c>
      <c r="AA91" t="s">
        <v>29</v>
      </c>
      <c r="AB91">
        <v>1.2936000000000001</v>
      </c>
    </row>
    <row r="92" spans="1:28" x14ac:dyDescent="0.2">
      <c r="A92">
        <v>41</v>
      </c>
      <c r="B92">
        <v>13</v>
      </c>
      <c r="C92" t="s">
        <v>124</v>
      </c>
      <c r="D92">
        <v>2019</v>
      </c>
      <c r="E92">
        <v>1</v>
      </c>
      <c r="F92">
        <v>4</v>
      </c>
      <c r="G92" t="s">
        <v>49</v>
      </c>
      <c r="H92">
        <v>9.5399999999999991</v>
      </c>
      <c r="I92">
        <v>2.63</v>
      </c>
      <c r="J92">
        <v>2.63</v>
      </c>
      <c r="K92">
        <v>4</v>
      </c>
      <c r="L92">
        <v>22.11</v>
      </c>
      <c r="M92">
        <v>4.3099999999999996</v>
      </c>
      <c r="N92">
        <v>4.3099999999999996</v>
      </c>
      <c r="O92">
        <v>2</v>
      </c>
      <c r="P92">
        <v>3</v>
      </c>
      <c r="Q92" t="s">
        <v>125</v>
      </c>
      <c r="R92" t="s">
        <v>93</v>
      </c>
      <c r="S92" s="12">
        <v>43.011246</v>
      </c>
      <c r="T92" s="12">
        <v>-7.5602799999999997</v>
      </c>
      <c r="U92" t="s">
        <v>29</v>
      </c>
      <c r="V92" t="s">
        <v>31</v>
      </c>
      <c r="W92" t="s">
        <v>31</v>
      </c>
      <c r="X92" t="s">
        <v>31</v>
      </c>
      <c r="Y92">
        <v>12.5</v>
      </c>
      <c r="Z92">
        <v>104.6</v>
      </c>
      <c r="AA92" t="s">
        <v>29</v>
      </c>
      <c r="AB92">
        <v>1.2936000000000001</v>
      </c>
    </row>
    <row r="93" spans="1:28" x14ac:dyDescent="0.2">
      <c r="A93">
        <v>41</v>
      </c>
      <c r="B93">
        <v>9</v>
      </c>
      <c r="C93" t="s">
        <v>124</v>
      </c>
      <c r="D93">
        <v>2019</v>
      </c>
      <c r="E93">
        <v>1</v>
      </c>
      <c r="F93">
        <v>4</v>
      </c>
      <c r="G93" t="s">
        <v>49</v>
      </c>
      <c r="H93">
        <v>10.01</v>
      </c>
      <c r="I93">
        <v>2.7</v>
      </c>
      <c r="J93">
        <v>2.7</v>
      </c>
      <c r="K93">
        <v>4</v>
      </c>
      <c r="L93">
        <v>22.11</v>
      </c>
      <c r="M93">
        <v>4.3099999999999996</v>
      </c>
      <c r="N93">
        <v>4.3099999999999996</v>
      </c>
      <c r="O93">
        <v>2</v>
      </c>
      <c r="P93">
        <v>3</v>
      </c>
      <c r="Q93" t="s">
        <v>125</v>
      </c>
      <c r="R93" t="s">
        <v>93</v>
      </c>
      <c r="S93" s="12">
        <v>43.011246</v>
      </c>
      <c r="T93" s="12">
        <v>-7.5602799999999997</v>
      </c>
      <c r="U93" t="s">
        <v>29</v>
      </c>
      <c r="V93" t="s">
        <v>31</v>
      </c>
      <c r="W93" t="s">
        <v>31</v>
      </c>
      <c r="X93" t="s">
        <v>31</v>
      </c>
      <c r="Y93">
        <v>12.5</v>
      </c>
      <c r="Z93">
        <v>104.6</v>
      </c>
      <c r="AA93" t="s">
        <v>29</v>
      </c>
      <c r="AB93">
        <v>1.2936000000000001</v>
      </c>
    </row>
    <row r="94" spans="1:28" x14ac:dyDescent="0.2">
      <c r="A94">
        <v>41</v>
      </c>
      <c r="B94">
        <v>4</v>
      </c>
      <c r="C94" t="s">
        <v>124</v>
      </c>
      <c r="D94">
        <v>2019</v>
      </c>
      <c r="E94">
        <v>10</v>
      </c>
      <c r="F94">
        <v>4</v>
      </c>
      <c r="G94" t="s">
        <v>49</v>
      </c>
      <c r="H94">
        <v>8.56</v>
      </c>
      <c r="I94">
        <v>2.76</v>
      </c>
      <c r="J94">
        <v>2.76</v>
      </c>
      <c r="K94">
        <v>4</v>
      </c>
      <c r="L94">
        <v>34.99</v>
      </c>
      <c r="M94">
        <v>3.91</v>
      </c>
      <c r="N94">
        <v>3.91</v>
      </c>
      <c r="O94">
        <v>1</v>
      </c>
      <c r="P94">
        <v>2</v>
      </c>
      <c r="Q94" t="s">
        <v>125</v>
      </c>
      <c r="R94" t="s">
        <v>93</v>
      </c>
      <c r="S94" s="12">
        <v>43.011246</v>
      </c>
      <c r="T94" s="12">
        <v>-7.5602799999999997</v>
      </c>
      <c r="U94" t="s">
        <v>29</v>
      </c>
      <c r="V94" t="s">
        <v>31</v>
      </c>
      <c r="W94" t="s">
        <v>31</v>
      </c>
      <c r="X94" t="s">
        <v>31</v>
      </c>
      <c r="Y94">
        <v>12.5</v>
      </c>
      <c r="Z94">
        <v>104.6</v>
      </c>
      <c r="AA94" t="s">
        <v>29</v>
      </c>
      <c r="AB94">
        <v>1.2936000000000001</v>
      </c>
    </row>
    <row r="95" spans="1:28" x14ac:dyDescent="0.2">
      <c r="A95">
        <v>41</v>
      </c>
      <c r="B95">
        <v>11</v>
      </c>
      <c r="C95" t="s">
        <v>124</v>
      </c>
      <c r="D95">
        <v>2019</v>
      </c>
      <c r="E95">
        <v>5</v>
      </c>
      <c r="F95">
        <v>4</v>
      </c>
      <c r="G95" t="s">
        <v>49</v>
      </c>
      <c r="H95">
        <v>8.33</v>
      </c>
      <c r="I95">
        <v>3.57</v>
      </c>
      <c r="J95">
        <v>3.57</v>
      </c>
      <c r="K95">
        <v>4</v>
      </c>
      <c r="L95">
        <v>22.11</v>
      </c>
      <c r="M95">
        <v>4.3099999999999996</v>
      </c>
      <c r="N95">
        <v>4.3099999999999996</v>
      </c>
      <c r="O95">
        <v>2</v>
      </c>
      <c r="P95">
        <v>3</v>
      </c>
      <c r="Q95" t="s">
        <v>125</v>
      </c>
      <c r="R95" t="s">
        <v>93</v>
      </c>
      <c r="S95" s="12">
        <v>43.011246</v>
      </c>
      <c r="T95" s="12">
        <v>-7.5602799999999997</v>
      </c>
      <c r="U95" t="s">
        <v>29</v>
      </c>
      <c r="V95" t="s">
        <v>31</v>
      </c>
      <c r="W95" t="s">
        <v>31</v>
      </c>
      <c r="X95" t="s">
        <v>31</v>
      </c>
      <c r="Y95">
        <v>12.5</v>
      </c>
      <c r="Z95">
        <v>104.6</v>
      </c>
      <c r="AA95" t="s">
        <v>29</v>
      </c>
      <c r="AB95">
        <v>1.2936000000000001</v>
      </c>
    </row>
    <row r="96" spans="1:28" x14ac:dyDescent="0.2">
      <c r="A96">
        <v>42</v>
      </c>
      <c r="B96">
        <v>1</v>
      </c>
      <c r="C96" t="s">
        <v>126</v>
      </c>
      <c r="D96">
        <v>2005</v>
      </c>
      <c r="E96">
        <v>56</v>
      </c>
      <c r="F96">
        <v>3</v>
      </c>
      <c r="H96">
        <v>13.67</v>
      </c>
      <c r="J96" s="2">
        <f t="shared" ref="J96:J127" si="4">0.215304722*H96</f>
        <v>2.9432155497400001</v>
      </c>
      <c r="K96">
        <v>3</v>
      </c>
      <c r="L96">
        <v>18</v>
      </c>
      <c r="N96" s="2">
        <f t="shared" ref="N96:N127" si="5">0.16219089*L96</f>
        <v>2.91943602</v>
      </c>
      <c r="O96">
        <v>4</v>
      </c>
      <c r="P96">
        <v>5</v>
      </c>
      <c r="Q96" t="s">
        <v>127</v>
      </c>
      <c r="R96" t="s">
        <v>91</v>
      </c>
      <c r="S96" s="12">
        <v>39.861800000000002</v>
      </c>
      <c r="T96" s="12">
        <v>-108.3322</v>
      </c>
      <c r="U96" t="s">
        <v>29</v>
      </c>
      <c r="V96" t="s">
        <v>29</v>
      </c>
      <c r="W96" t="s">
        <v>31</v>
      </c>
      <c r="X96" t="s">
        <v>31</v>
      </c>
      <c r="Y96">
        <v>5.6</v>
      </c>
      <c r="Z96">
        <v>39.200000000000003</v>
      </c>
      <c r="AA96" t="s">
        <v>31</v>
      </c>
      <c r="AB96">
        <v>0.23780000000000001</v>
      </c>
    </row>
    <row r="97" spans="1:28" x14ac:dyDescent="0.2">
      <c r="A97">
        <v>42</v>
      </c>
      <c r="B97">
        <v>2</v>
      </c>
      <c r="C97" t="s">
        <v>126</v>
      </c>
      <c r="D97">
        <v>2005</v>
      </c>
      <c r="E97">
        <v>56</v>
      </c>
      <c r="F97">
        <v>3</v>
      </c>
      <c r="H97">
        <v>5</v>
      </c>
      <c r="J97" s="2">
        <f t="shared" si="4"/>
        <v>1.07652361</v>
      </c>
      <c r="K97">
        <v>3</v>
      </c>
      <c r="L97">
        <v>7</v>
      </c>
      <c r="N97" s="2">
        <f t="shared" si="5"/>
        <v>1.1353362300000001</v>
      </c>
      <c r="O97">
        <v>4</v>
      </c>
      <c r="P97">
        <v>5</v>
      </c>
      <c r="Q97" t="s">
        <v>127</v>
      </c>
      <c r="R97" t="s">
        <v>91</v>
      </c>
      <c r="S97" s="12">
        <v>39.861800000000002</v>
      </c>
      <c r="T97" s="12">
        <v>-108.3322</v>
      </c>
      <c r="U97" t="s">
        <v>29</v>
      </c>
      <c r="V97" t="s">
        <v>29</v>
      </c>
      <c r="W97" t="s">
        <v>31</v>
      </c>
      <c r="X97" t="s">
        <v>31</v>
      </c>
      <c r="Y97">
        <v>5.6</v>
      </c>
      <c r="Z97">
        <v>39.200000000000003</v>
      </c>
      <c r="AA97" t="s">
        <v>31</v>
      </c>
      <c r="AB97">
        <v>0.23780000000000001</v>
      </c>
    </row>
    <row r="98" spans="1:28" x14ac:dyDescent="0.2">
      <c r="A98">
        <v>42</v>
      </c>
      <c r="B98">
        <v>3</v>
      </c>
      <c r="C98" t="s">
        <v>126</v>
      </c>
      <c r="D98">
        <v>2005</v>
      </c>
      <c r="E98">
        <v>112</v>
      </c>
      <c r="F98">
        <v>3</v>
      </c>
      <c r="H98">
        <v>8.33</v>
      </c>
      <c r="J98" s="2">
        <f t="shared" si="4"/>
        <v>1.7934883342600001</v>
      </c>
      <c r="K98">
        <v>3</v>
      </c>
      <c r="L98">
        <v>18</v>
      </c>
      <c r="N98" s="2">
        <f t="shared" si="5"/>
        <v>2.91943602</v>
      </c>
      <c r="O98">
        <v>4</v>
      </c>
      <c r="P98">
        <v>5</v>
      </c>
      <c r="Q98" t="s">
        <v>127</v>
      </c>
      <c r="R98" t="s">
        <v>91</v>
      </c>
      <c r="S98" s="12">
        <v>39.861800000000002</v>
      </c>
      <c r="T98" s="12">
        <v>-108.3322</v>
      </c>
      <c r="U98" t="s">
        <v>29</v>
      </c>
      <c r="V98" t="s">
        <v>29</v>
      </c>
      <c r="W98" t="s">
        <v>31</v>
      </c>
      <c r="X98" t="s">
        <v>31</v>
      </c>
      <c r="Y98">
        <v>5.6</v>
      </c>
      <c r="Z98">
        <v>39.200000000000003</v>
      </c>
      <c r="AA98" t="s">
        <v>29</v>
      </c>
      <c r="AB98">
        <v>0.23780000000000001</v>
      </c>
    </row>
    <row r="99" spans="1:28" x14ac:dyDescent="0.2">
      <c r="A99">
        <v>42</v>
      </c>
      <c r="B99">
        <v>4</v>
      </c>
      <c r="C99" t="s">
        <v>126</v>
      </c>
      <c r="D99">
        <v>2005</v>
      </c>
      <c r="E99">
        <v>112</v>
      </c>
      <c r="F99">
        <v>3</v>
      </c>
      <c r="H99">
        <v>4.67</v>
      </c>
      <c r="J99" s="2">
        <f t="shared" si="4"/>
        <v>1.0054730517399999</v>
      </c>
      <c r="K99">
        <v>3</v>
      </c>
      <c r="L99">
        <v>7</v>
      </c>
      <c r="N99" s="2">
        <f t="shared" si="5"/>
        <v>1.1353362300000001</v>
      </c>
      <c r="O99">
        <v>4</v>
      </c>
      <c r="P99">
        <v>5</v>
      </c>
      <c r="Q99" t="s">
        <v>127</v>
      </c>
      <c r="R99" t="s">
        <v>91</v>
      </c>
      <c r="S99" s="12">
        <v>39.861800000000002</v>
      </c>
      <c r="T99" s="12">
        <v>-108.3322</v>
      </c>
      <c r="U99" t="s">
        <v>29</v>
      </c>
      <c r="V99" t="s">
        <v>29</v>
      </c>
      <c r="W99" t="s">
        <v>31</v>
      </c>
      <c r="X99" t="s">
        <v>31</v>
      </c>
      <c r="Y99">
        <v>5.6</v>
      </c>
      <c r="Z99">
        <v>39.200000000000003</v>
      </c>
      <c r="AA99" t="s">
        <v>29</v>
      </c>
      <c r="AB99">
        <v>0.23780000000000001</v>
      </c>
    </row>
    <row r="100" spans="1:28" x14ac:dyDescent="0.2">
      <c r="A100">
        <v>42</v>
      </c>
      <c r="B100">
        <v>5</v>
      </c>
      <c r="C100" t="s">
        <v>126</v>
      </c>
      <c r="D100">
        <v>2005</v>
      </c>
      <c r="E100">
        <v>224</v>
      </c>
      <c r="F100">
        <v>3</v>
      </c>
      <c r="H100">
        <v>9.67</v>
      </c>
      <c r="J100" s="2">
        <f t="shared" si="4"/>
        <v>2.0819966617399999</v>
      </c>
      <c r="K100">
        <v>3</v>
      </c>
      <c r="L100">
        <v>18</v>
      </c>
      <c r="N100" s="2">
        <f t="shared" si="5"/>
        <v>2.91943602</v>
      </c>
      <c r="O100">
        <v>4</v>
      </c>
      <c r="P100">
        <v>5</v>
      </c>
      <c r="Q100" t="s">
        <v>127</v>
      </c>
      <c r="R100" t="s">
        <v>91</v>
      </c>
      <c r="S100" s="12">
        <v>39.861800000000002</v>
      </c>
      <c r="T100" s="12">
        <v>-108.3322</v>
      </c>
      <c r="U100" t="s">
        <v>29</v>
      </c>
      <c r="V100" t="s">
        <v>29</v>
      </c>
      <c r="W100" t="s">
        <v>31</v>
      </c>
      <c r="X100" t="s">
        <v>31</v>
      </c>
      <c r="Y100">
        <v>5.6</v>
      </c>
      <c r="Z100">
        <v>39.200000000000003</v>
      </c>
      <c r="AA100" t="s">
        <v>29</v>
      </c>
      <c r="AB100">
        <v>0.23780000000000001</v>
      </c>
    </row>
    <row r="101" spans="1:28" x14ac:dyDescent="0.2">
      <c r="A101">
        <v>42</v>
      </c>
      <c r="B101">
        <v>6</v>
      </c>
      <c r="C101" t="s">
        <v>126</v>
      </c>
      <c r="D101">
        <v>2005</v>
      </c>
      <c r="E101">
        <v>224</v>
      </c>
      <c r="F101">
        <v>3</v>
      </c>
      <c r="H101">
        <v>5.67</v>
      </c>
      <c r="J101" s="2">
        <f t="shared" si="4"/>
        <v>1.2207777737400001</v>
      </c>
      <c r="K101">
        <v>3</v>
      </c>
      <c r="L101">
        <v>7</v>
      </c>
      <c r="N101" s="2">
        <f t="shared" si="5"/>
        <v>1.1353362300000001</v>
      </c>
      <c r="O101">
        <v>4</v>
      </c>
      <c r="P101">
        <v>5</v>
      </c>
      <c r="Q101" t="s">
        <v>127</v>
      </c>
      <c r="R101" t="s">
        <v>91</v>
      </c>
      <c r="S101" s="12">
        <v>39.861800000000002</v>
      </c>
      <c r="T101" s="12">
        <v>-108.3322</v>
      </c>
      <c r="U101" t="s">
        <v>29</v>
      </c>
      <c r="V101" t="s">
        <v>29</v>
      </c>
      <c r="W101" t="s">
        <v>31</v>
      </c>
      <c r="X101" t="s">
        <v>31</v>
      </c>
      <c r="Y101">
        <v>5.6</v>
      </c>
      <c r="Z101">
        <v>39.200000000000003</v>
      </c>
      <c r="AA101" t="s">
        <v>29</v>
      </c>
      <c r="AB101">
        <v>0.23780000000000001</v>
      </c>
    </row>
    <row r="102" spans="1:28" x14ac:dyDescent="0.2">
      <c r="A102">
        <v>44</v>
      </c>
      <c r="B102">
        <v>1</v>
      </c>
      <c r="C102" t="s">
        <v>130</v>
      </c>
      <c r="D102">
        <v>2006</v>
      </c>
      <c r="E102">
        <v>2.5</v>
      </c>
      <c r="F102">
        <v>4</v>
      </c>
      <c r="H102">
        <v>16.399999999999999</v>
      </c>
      <c r="J102" s="2">
        <f t="shared" si="4"/>
        <v>3.5309974407999998</v>
      </c>
      <c r="K102">
        <v>4</v>
      </c>
      <c r="L102">
        <v>19.600000000000001</v>
      </c>
      <c r="N102" s="2">
        <f t="shared" si="5"/>
        <v>3.1789414440000003</v>
      </c>
      <c r="O102">
        <v>12</v>
      </c>
      <c r="P102">
        <v>13</v>
      </c>
      <c r="Q102" t="s">
        <v>74</v>
      </c>
      <c r="R102" t="s">
        <v>91</v>
      </c>
      <c r="S102" s="12">
        <v>40.89611</v>
      </c>
      <c r="T102" s="12">
        <v>-104.87444000000001</v>
      </c>
      <c r="U102" t="s">
        <v>31</v>
      </c>
      <c r="V102" t="s">
        <v>31</v>
      </c>
      <c r="W102" t="s">
        <v>31</v>
      </c>
      <c r="X102" t="s">
        <v>29</v>
      </c>
      <c r="Y102">
        <v>7.8</v>
      </c>
      <c r="Z102">
        <v>37.4</v>
      </c>
      <c r="AA102" t="s">
        <v>31</v>
      </c>
      <c r="AB102">
        <v>0.22450000000000001</v>
      </c>
    </row>
    <row r="103" spans="1:28" x14ac:dyDescent="0.2">
      <c r="A103">
        <v>44</v>
      </c>
      <c r="B103">
        <v>2</v>
      </c>
      <c r="C103" t="s">
        <v>130</v>
      </c>
      <c r="D103">
        <v>2006</v>
      </c>
      <c r="E103">
        <v>5</v>
      </c>
      <c r="F103">
        <v>4</v>
      </c>
      <c r="H103">
        <v>17.399999999999999</v>
      </c>
      <c r="J103" s="2">
        <f t="shared" si="4"/>
        <v>3.7463021627999997</v>
      </c>
      <c r="K103">
        <v>4</v>
      </c>
      <c r="L103">
        <v>19.600000000000001</v>
      </c>
      <c r="N103" s="2">
        <f t="shared" si="5"/>
        <v>3.1789414440000003</v>
      </c>
      <c r="O103">
        <v>12</v>
      </c>
      <c r="P103">
        <v>13</v>
      </c>
      <c r="Q103" t="s">
        <v>74</v>
      </c>
      <c r="R103" t="s">
        <v>91</v>
      </c>
      <c r="S103" s="12">
        <v>40.89611</v>
      </c>
      <c r="T103" s="12">
        <v>-104.87444000000001</v>
      </c>
      <c r="U103" t="s">
        <v>31</v>
      </c>
      <c r="V103" t="s">
        <v>31</v>
      </c>
      <c r="W103" t="s">
        <v>31</v>
      </c>
      <c r="X103" t="s">
        <v>29</v>
      </c>
      <c r="Y103">
        <v>7.8</v>
      </c>
      <c r="Z103">
        <v>37.4</v>
      </c>
      <c r="AA103" t="s">
        <v>31</v>
      </c>
      <c r="AB103">
        <v>0.22450000000000001</v>
      </c>
    </row>
    <row r="104" spans="1:28" x14ac:dyDescent="0.2">
      <c r="A104">
        <v>44</v>
      </c>
      <c r="B104">
        <v>3</v>
      </c>
      <c r="C104" t="s">
        <v>130</v>
      </c>
      <c r="D104">
        <v>2006</v>
      </c>
      <c r="E104">
        <v>10</v>
      </c>
      <c r="F104">
        <v>4</v>
      </c>
      <c r="H104">
        <v>13.3</v>
      </c>
      <c r="J104" s="2">
        <f t="shared" si="4"/>
        <v>2.8635528026000001</v>
      </c>
      <c r="K104">
        <v>4</v>
      </c>
      <c r="L104">
        <v>19.600000000000001</v>
      </c>
      <c r="N104" s="2">
        <f t="shared" si="5"/>
        <v>3.1789414440000003</v>
      </c>
      <c r="O104">
        <v>12</v>
      </c>
      <c r="P104">
        <v>13</v>
      </c>
      <c r="Q104" t="s">
        <v>74</v>
      </c>
      <c r="R104" t="s">
        <v>91</v>
      </c>
      <c r="S104" s="12">
        <v>40.89611</v>
      </c>
      <c r="T104" s="12">
        <v>-104.87444000000001</v>
      </c>
      <c r="U104" t="s">
        <v>31</v>
      </c>
      <c r="V104" t="s">
        <v>31</v>
      </c>
      <c r="W104" t="s">
        <v>31</v>
      </c>
      <c r="X104" t="s">
        <v>29</v>
      </c>
      <c r="Y104">
        <v>7.8</v>
      </c>
      <c r="Z104">
        <v>37.4</v>
      </c>
      <c r="AA104" t="s">
        <v>31</v>
      </c>
      <c r="AB104">
        <v>0.22450000000000001</v>
      </c>
    </row>
    <row r="105" spans="1:28" x14ac:dyDescent="0.2">
      <c r="A105">
        <v>44</v>
      </c>
      <c r="B105">
        <v>4</v>
      </c>
      <c r="C105" t="s">
        <v>130</v>
      </c>
      <c r="D105">
        <v>2006</v>
      </c>
      <c r="E105">
        <v>21</v>
      </c>
      <c r="F105">
        <v>4</v>
      </c>
      <c r="H105">
        <v>11</v>
      </c>
      <c r="J105" s="2">
        <f t="shared" si="4"/>
        <v>2.3683519419999999</v>
      </c>
      <c r="K105">
        <v>4</v>
      </c>
      <c r="L105">
        <v>19.600000000000001</v>
      </c>
      <c r="N105" s="2">
        <f t="shared" si="5"/>
        <v>3.1789414440000003</v>
      </c>
      <c r="O105">
        <v>12</v>
      </c>
      <c r="P105">
        <v>13</v>
      </c>
      <c r="Q105" t="s">
        <v>74</v>
      </c>
      <c r="R105" t="s">
        <v>91</v>
      </c>
      <c r="S105" s="12">
        <v>40.89611</v>
      </c>
      <c r="T105" s="12">
        <v>-104.87444000000001</v>
      </c>
      <c r="U105" t="s">
        <v>31</v>
      </c>
      <c r="V105" t="s">
        <v>31</v>
      </c>
      <c r="W105" t="s">
        <v>31</v>
      </c>
      <c r="X105" t="s">
        <v>29</v>
      </c>
      <c r="Y105">
        <v>7.8</v>
      </c>
      <c r="Z105">
        <v>37.4</v>
      </c>
      <c r="AA105" t="s">
        <v>31</v>
      </c>
      <c r="AB105">
        <v>0.22450000000000001</v>
      </c>
    </row>
    <row r="106" spans="1:28" x14ac:dyDescent="0.2">
      <c r="A106">
        <v>44</v>
      </c>
      <c r="B106">
        <v>5</v>
      </c>
      <c r="C106" t="s">
        <v>130</v>
      </c>
      <c r="D106">
        <v>2006</v>
      </c>
      <c r="E106">
        <v>30</v>
      </c>
      <c r="F106">
        <v>4</v>
      </c>
      <c r="H106">
        <v>11</v>
      </c>
      <c r="J106" s="2">
        <f t="shared" si="4"/>
        <v>2.3683519419999999</v>
      </c>
      <c r="K106">
        <v>4</v>
      </c>
      <c r="L106">
        <v>19.600000000000001</v>
      </c>
      <c r="N106" s="2">
        <f t="shared" si="5"/>
        <v>3.1789414440000003</v>
      </c>
      <c r="O106">
        <v>12</v>
      </c>
      <c r="P106">
        <v>13</v>
      </c>
      <c r="Q106" t="s">
        <v>74</v>
      </c>
      <c r="R106" t="s">
        <v>91</v>
      </c>
      <c r="S106" s="12">
        <v>40.89611</v>
      </c>
      <c r="T106" s="12">
        <v>-104.87444000000001</v>
      </c>
      <c r="U106" t="s">
        <v>31</v>
      </c>
      <c r="V106" t="s">
        <v>31</v>
      </c>
      <c r="W106" t="s">
        <v>31</v>
      </c>
      <c r="X106" t="s">
        <v>29</v>
      </c>
      <c r="Y106">
        <v>7.8</v>
      </c>
      <c r="Z106">
        <v>37.4</v>
      </c>
      <c r="AA106" t="s">
        <v>31</v>
      </c>
      <c r="AB106">
        <v>0.22450000000000001</v>
      </c>
    </row>
    <row r="107" spans="1:28" x14ac:dyDescent="0.2">
      <c r="A107">
        <v>44</v>
      </c>
      <c r="B107">
        <v>6</v>
      </c>
      <c r="C107" t="s">
        <v>130</v>
      </c>
      <c r="D107">
        <v>2006</v>
      </c>
      <c r="E107">
        <v>2.5</v>
      </c>
      <c r="F107">
        <v>4</v>
      </c>
      <c r="H107">
        <v>17.8</v>
      </c>
      <c r="J107" s="2">
        <f t="shared" si="4"/>
        <v>3.8324240516000003</v>
      </c>
      <c r="K107">
        <v>4</v>
      </c>
      <c r="L107">
        <v>16.600000000000001</v>
      </c>
      <c r="N107" s="2">
        <f t="shared" si="5"/>
        <v>2.6923687740000002</v>
      </c>
      <c r="O107">
        <v>13</v>
      </c>
      <c r="P107">
        <v>14</v>
      </c>
      <c r="Q107" t="s">
        <v>74</v>
      </c>
      <c r="R107" t="s">
        <v>91</v>
      </c>
      <c r="S107" s="12">
        <v>40.89611</v>
      </c>
      <c r="T107" s="12">
        <v>-104.87444000000001</v>
      </c>
      <c r="U107" t="s">
        <v>31</v>
      </c>
      <c r="V107" t="s">
        <v>31</v>
      </c>
      <c r="W107" t="s">
        <v>31</v>
      </c>
      <c r="X107" t="s">
        <v>29</v>
      </c>
      <c r="Y107">
        <v>7.8</v>
      </c>
      <c r="Z107">
        <v>37.4</v>
      </c>
      <c r="AA107" t="s">
        <v>31</v>
      </c>
      <c r="AB107">
        <v>0.22450000000000001</v>
      </c>
    </row>
    <row r="108" spans="1:28" x14ac:dyDescent="0.2">
      <c r="A108">
        <v>44</v>
      </c>
      <c r="B108">
        <v>7</v>
      </c>
      <c r="C108" t="s">
        <v>130</v>
      </c>
      <c r="D108">
        <v>2006</v>
      </c>
      <c r="E108">
        <v>5</v>
      </c>
      <c r="F108">
        <v>4</v>
      </c>
      <c r="H108">
        <v>15.6</v>
      </c>
      <c r="J108" s="2">
        <f t="shared" si="4"/>
        <v>3.3587536631999999</v>
      </c>
      <c r="K108">
        <v>4</v>
      </c>
      <c r="L108">
        <v>16.600000000000001</v>
      </c>
      <c r="N108" s="2">
        <f t="shared" si="5"/>
        <v>2.6923687740000002</v>
      </c>
      <c r="O108">
        <v>13</v>
      </c>
      <c r="P108">
        <v>14</v>
      </c>
      <c r="Q108" t="s">
        <v>74</v>
      </c>
      <c r="R108" t="s">
        <v>91</v>
      </c>
      <c r="S108" s="12">
        <v>40.89611</v>
      </c>
      <c r="T108" s="12">
        <v>-104.87444000000001</v>
      </c>
      <c r="U108" t="s">
        <v>31</v>
      </c>
      <c r="V108" t="s">
        <v>31</v>
      </c>
      <c r="W108" t="s">
        <v>31</v>
      </c>
      <c r="X108" t="s">
        <v>29</v>
      </c>
      <c r="Y108">
        <v>7.8</v>
      </c>
      <c r="Z108">
        <v>37.4</v>
      </c>
      <c r="AA108" t="s">
        <v>31</v>
      </c>
      <c r="AB108">
        <v>0.22450000000000001</v>
      </c>
    </row>
    <row r="109" spans="1:28" x14ac:dyDescent="0.2">
      <c r="A109">
        <v>44</v>
      </c>
      <c r="B109">
        <v>8</v>
      </c>
      <c r="C109" t="s">
        <v>130</v>
      </c>
      <c r="D109">
        <v>2006</v>
      </c>
      <c r="E109">
        <v>10</v>
      </c>
      <c r="F109">
        <v>4</v>
      </c>
      <c r="H109">
        <v>12.5</v>
      </c>
      <c r="J109" s="2">
        <f t="shared" si="4"/>
        <v>2.6913090250000002</v>
      </c>
      <c r="K109">
        <v>4</v>
      </c>
      <c r="L109">
        <v>16.600000000000001</v>
      </c>
      <c r="N109" s="2">
        <f t="shared" si="5"/>
        <v>2.6923687740000002</v>
      </c>
      <c r="O109">
        <v>13</v>
      </c>
      <c r="P109">
        <v>14</v>
      </c>
      <c r="Q109" t="s">
        <v>74</v>
      </c>
      <c r="R109" t="s">
        <v>91</v>
      </c>
      <c r="S109" s="12">
        <v>40.89611</v>
      </c>
      <c r="T109" s="12">
        <v>-104.87444000000001</v>
      </c>
      <c r="U109" t="s">
        <v>31</v>
      </c>
      <c r="V109" t="s">
        <v>31</v>
      </c>
      <c r="W109" t="s">
        <v>31</v>
      </c>
      <c r="X109" t="s">
        <v>29</v>
      </c>
      <c r="Y109">
        <v>7.8</v>
      </c>
      <c r="Z109">
        <v>37.4</v>
      </c>
      <c r="AA109" t="s">
        <v>31</v>
      </c>
      <c r="AB109">
        <v>0.22450000000000001</v>
      </c>
    </row>
    <row r="110" spans="1:28" x14ac:dyDescent="0.2">
      <c r="A110">
        <v>44</v>
      </c>
      <c r="B110">
        <v>9</v>
      </c>
      <c r="C110" t="s">
        <v>130</v>
      </c>
      <c r="D110">
        <v>2006</v>
      </c>
      <c r="E110">
        <v>21</v>
      </c>
      <c r="F110">
        <v>4</v>
      </c>
      <c r="H110">
        <v>11.5</v>
      </c>
      <c r="J110" s="2">
        <f t="shared" si="4"/>
        <v>2.4760043029999999</v>
      </c>
      <c r="K110">
        <v>4</v>
      </c>
      <c r="L110">
        <v>16.600000000000001</v>
      </c>
      <c r="N110" s="2">
        <f t="shared" si="5"/>
        <v>2.6923687740000002</v>
      </c>
      <c r="O110">
        <v>13</v>
      </c>
      <c r="P110">
        <v>14</v>
      </c>
      <c r="Q110" t="s">
        <v>74</v>
      </c>
      <c r="R110" t="s">
        <v>91</v>
      </c>
      <c r="S110" s="12">
        <v>40.89611</v>
      </c>
      <c r="T110" s="12">
        <v>-104.87444000000001</v>
      </c>
      <c r="U110" t="s">
        <v>31</v>
      </c>
      <c r="V110" t="s">
        <v>31</v>
      </c>
      <c r="W110" t="s">
        <v>31</v>
      </c>
      <c r="X110" t="s">
        <v>29</v>
      </c>
      <c r="Y110">
        <v>7.8</v>
      </c>
      <c r="Z110">
        <v>37.4</v>
      </c>
      <c r="AA110" t="s">
        <v>31</v>
      </c>
      <c r="AB110">
        <v>0.22450000000000001</v>
      </c>
    </row>
    <row r="111" spans="1:28" x14ac:dyDescent="0.2">
      <c r="A111">
        <v>44</v>
      </c>
      <c r="B111">
        <v>10</v>
      </c>
      <c r="C111" t="s">
        <v>130</v>
      </c>
      <c r="D111">
        <v>2006</v>
      </c>
      <c r="E111">
        <v>30</v>
      </c>
      <c r="F111">
        <v>4</v>
      </c>
      <c r="H111">
        <v>12.3</v>
      </c>
      <c r="J111" s="2">
        <f t="shared" si="4"/>
        <v>2.6482480806000002</v>
      </c>
      <c r="K111">
        <v>4</v>
      </c>
      <c r="L111">
        <v>16.600000000000001</v>
      </c>
      <c r="N111" s="2">
        <f t="shared" si="5"/>
        <v>2.6923687740000002</v>
      </c>
      <c r="O111">
        <v>13</v>
      </c>
      <c r="P111">
        <v>14</v>
      </c>
      <c r="Q111" t="s">
        <v>74</v>
      </c>
      <c r="R111" t="s">
        <v>91</v>
      </c>
      <c r="S111" s="12">
        <v>40.89611</v>
      </c>
      <c r="T111" s="12">
        <v>-104.87444000000001</v>
      </c>
      <c r="U111" t="s">
        <v>31</v>
      </c>
      <c r="V111" t="s">
        <v>31</v>
      </c>
      <c r="W111" t="s">
        <v>31</v>
      </c>
      <c r="X111" t="s">
        <v>29</v>
      </c>
      <c r="Y111">
        <v>7.8</v>
      </c>
      <c r="Z111">
        <v>37.4</v>
      </c>
      <c r="AA111" t="s">
        <v>31</v>
      </c>
      <c r="AB111">
        <v>0.22450000000000001</v>
      </c>
    </row>
    <row r="112" spans="1:28" x14ac:dyDescent="0.2">
      <c r="A112">
        <v>49</v>
      </c>
      <c r="B112">
        <v>1</v>
      </c>
      <c r="C112" t="s">
        <v>149</v>
      </c>
      <c r="D112">
        <v>2017</v>
      </c>
      <c r="E112">
        <v>90</v>
      </c>
      <c r="F112">
        <v>1</v>
      </c>
      <c r="H112">
        <v>6.1</v>
      </c>
      <c r="J112" s="2">
        <f t="shared" si="4"/>
        <v>1.3133588042</v>
      </c>
      <c r="K112">
        <v>1</v>
      </c>
      <c r="L112">
        <v>9.14</v>
      </c>
      <c r="N112" s="2">
        <f t="shared" si="5"/>
        <v>1.4824247346000001</v>
      </c>
      <c r="O112">
        <v>9</v>
      </c>
      <c r="P112">
        <v>10</v>
      </c>
      <c r="Q112" t="s">
        <v>150</v>
      </c>
      <c r="R112" t="s">
        <v>150</v>
      </c>
      <c r="S112" s="12">
        <v>53.976227999999999</v>
      </c>
      <c r="T112" s="12">
        <v>21.621939999999999</v>
      </c>
      <c r="U112" t="s">
        <v>31</v>
      </c>
      <c r="V112" t="s">
        <v>31</v>
      </c>
      <c r="W112" t="s">
        <v>31</v>
      </c>
      <c r="X112" t="s">
        <v>31</v>
      </c>
      <c r="Y112">
        <v>6.8</v>
      </c>
      <c r="Z112">
        <v>65.7</v>
      </c>
      <c r="AA112" t="s">
        <v>31</v>
      </c>
      <c r="AB112">
        <v>0.64559999999999995</v>
      </c>
    </row>
    <row r="113" spans="1:28" x14ac:dyDescent="0.2">
      <c r="A113">
        <v>49</v>
      </c>
      <c r="B113">
        <v>2</v>
      </c>
      <c r="C113" t="s">
        <v>149</v>
      </c>
      <c r="D113">
        <v>2017</v>
      </c>
      <c r="E113">
        <v>180</v>
      </c>
      <c r="F113">
        <v>1</v>
      </c>
      <c r="H113">
        <v>8.1</v>
      </c>
      <c r="J113" s="2">
        <f t="shared" si="4"/>
        <v>1.7439682481999998</v>
      </c>
      <c r="K113">
        <v>1</v>
      </c>
      <c r="L113">
        <v>9.14</v>
      </c>
      <c r="N113" s="2">
        <f t="shared" si="5"/>
        <v>1.4824247346000001</v>
      </c>
      <c r="O113">
        <v>9</v>
      </c>
      <c r="P113">
        <v>10</v>
      </c>
      <c r="Q113" t="s">
        <v>150</v>
      </c>
      <c r="R113" t="s">
        <v>150</v>
      </c>
      <c r="S113" s="12">
        <v>53.976227999999999</v>
      </c>
      <c r="T113" s="12">
        <v>21.621939999999999</v>
      </c>
      <c r="U113" t="s">
        <v>31</v>
      </c>
      <c r="V113" t="s">
        <v>31</v>
      </c>
      <c r="W113" t="s">
        <v>31</v>
      </c>
      <c r="X113" t="s">
        <v>31</v>
      </c>
      <c r="Y113">
        <v>6.8</v>
      </c>
      <c r="Z113">
        <v>65.7</v>
      </c>
      <c r="AA113" t="s">
        <v>31</v>
      </c>
      <c r="AB113">
        <v>0.64559999999999995</v>
      </c>
    </row>
    <row r="114" spans="1:28" x14ac:dyDescent="0.2">
      <c r="A114">
        <v>49</v>
      </c>
      <c r="B114">
        <v>3</v>
      </c>
      <c r="C114" t="s">
        <v>149</v>
      </c>
      <c r="D114">
        <v>2017</v>
      </c>
      <c r="E114">
        <v>270</v>
      </c>
      <c r="F114">
        <v>1</v>
      </c>
      <c r="H114">
        <v>10.119999999999999</v>
      </c>
      <c r="J114" s="2">
        <f t="shared" si="4"/>
        <v>2.1788837866399997</v>
      </c>
      <c r="K114">
        <v>1</v>
      </c>
      <c r="L114">
        <v>9.14</v>
      </c>
      <c r="N114" s="2">
        <f t="shared" si="5"/>
        <v>1.4824247346000001</v>
      </c>
      <c r="O114">
        <v>9</v>
      </c>
      <c r="P114">
        <v>10</v>
      </c>
      <c r="Q114" t="s">
        <v>150</v>
      </c>
      <c r="R114" t="s">
        <v>150</v>
      </c>
      <c r="S114" s="12">
        <v>53.976227999999999</v>
      </c>
      <c r="T114" s="12">
        <v>21.621939999999999</v>
      </c>
      <c r="U114" t="s">
        <v>31</v>
      </c>
      <c r="V114" t="s">
        <v>31</v>
      </c>
      <c r="W114" t="s">
        <v>31</v>
      </c>
      <c r="X114" t="s">
        <v>31</v>
      </c>
      <c r="Y114">
        <v>6.8</v>
      </c>
      <c r="Z114">
        <v>65.7</v>
      </c>
      <c r="AA114" t="s">
        <v>31</v>
      </c>
      <c r="AB114">
        <v>0.64559999999999995</v>
      </c>
    </row>
    <row r="115" spans="1:28" x14ac:dyDescent="0.2">
      <c r="A115">
        <v>49</v>
      </c>
      <c r="B115">
        <v>4</v>
      </c>
      <c r="C115" t="s">
        <v>149</v>
      </c>
      <c r="D115">
        <v>2017</v>
      </c>
      <c r="E115">
        <v>90</v>
      </c>
      <c r="F115">
        <v>1</v>
      </c>
      <c r="H115">
        <v>6.1</v>
      </c>
      <c r="J115" s="2">
        <f t="shared" si="4"/>
        <v>1.3133588042</v>
      </c>
      <c r="K115">
        <v>1</v>
      </c>
      <c r="L115">
        <v>10.119999999999999</v>
      </c>
      <c r="N115" s="2">
        <f t="shared" si="5"/>
        <v>1.6413718067999998</v>
      </c>
      <c r="O115">
        <v>9</v>
      </c>
      <c r="P115">
        <v>10</v>
      </c>
      <c r="Q115" t="s">
        <v>150</v>
      </c>
      <c r="R115" t="s">
        <v>150</v>
      </c>
      <c r="S115" s="12">
        <v>53.976227999999999</v>
      </c>
      <c r="T115" s="12">
        <v>21.621939999999999</v>
      </c>
      <c r="U115" t="s">
        <v>31</v>
      </c>
      <c r="V115" t="s">
        <v>31</v>
      </c>
      <c r="W115" t="s">
        <v>31</v>
      </c>
      <c r="X115" t="s">
        <v>31</v>
      </c>
      <c r="Y115">
        <v>6.8</v>
      </c>
      <c r="Z115">
        <v>65.7</v>
      </c>
      <c r="AA115" t="s">
        <v>31</v>
      </c>
      <c r="AB115">
        <v>0.64559999999999995</v>
      </c>
    </row>
    <row r="116" spans="1:28" x14ac:dyDescent="0.2">
      <c r="A116">
        <v>49</v>
      </c>
      <c r="B116">
        <v>5</v>
      </c>
      <c r="C116" t="s">
        <v>149</v>
      </c>
      <c r="D116">
        <v>2017</v>
      </c>
      <c r="E116">
        <v>180</v>
      </c>
      <c r="F116">
        <v>1</v>
      </c>
      <c r="H116">
        <v>6.07</v>
      </c>
      <c r="J116" s="2">
        <f t="shared" si="4"/>
        <v>1.30689966254</v>
      </c>
      <c r="K116">
        <v>1</v>
      </c>
      <c r="L116">
        <v>10.119999999999999</v>
      </c>
      <c r="N116" s="2">
        <f t="shared" si="5"/>
        <v>1.6413718067999998</v>
      </c>
      <c r="O116">
        <v>9</v>
      </c>
      <c r="P116">
        <v>10</v>
      </c>
      <c r="Q116" t="s">
        <v>150</v>
      </c>
      <c r="R116" t="s">
        <v>150</v>
      </c>
      <c r="S116" s="12">
        <v>53.976227999999999</v>
      </c>
      <c r="T116" s="12">
        <v>21.621939999999999</v>
      </c>
      <c r="U116" t="s">
        <v>31</v>
      </c>
      <c r="V116" t="s">
        <v>31</v>
      </c>
      <c r="W116" t="s">
        <v>31</v>
      </c>
      <c r="X116" t="s">
        <v>31</v>
      </c>
      <c r="Y116">
        <v>6.8</v>
      </c>
      <c r="Z116">
        <v>65.7</v>
      </c>
      <c r="AA116" t="s">
        <v>31</v>
      </c>
      <c r="AB116">
        <v>0.64559999999999995</v>
      </c>
    </row>
    <row r="117" spans="1:28" x14ac:dyDescent="0.2">
      <c r="A117">
        <v>49</v>
      </c>
      <c r="B117">
        <v>6</v>
      </c>
      <c r="C117" t="s">
        <v>149</v>
      </c>
      <c r="D117">
        <v>2017</v>
      </c>
      <c r="E117">
        <v>270</v>
      </c>
      <c r="F117">
        <v>1</v>
      </c>
      <c r="H117">
        <v>10.119999999999999</v>
      </c>
      <c r="J117" s="2">
        <f t="shared" si="4"/>
        <v>2.1788837866399997</v>
      </c>
      <c r="K117">
        <v>1</v>
      </c>
      <c r="L117">
        <v>10.119999999999999</v>
      </c>
      <c r="N117" s="2">
        <f t="shared" si="5"/>
        <v>1.6413718067999998</v>
      </c>
      <c r="O117">
        <v>9</v>
      </c>
      <c r="P117">
        <v>10</v>
      </c>
      <c r="Q117" t="s">
        <v>150</v>
      </c>
      <c r="R117" t="s">
        <v>150</v>
      </c>
      <c r="S117" s="12">
        <v>53.976227999999999</v>
      </c>
      <c r="T117" s="12">
        <v>21.621939999999999</v>
      </c>
      <c r="U117" t="s">
        <v>31</v>
      </c>
      <c r="V117" t="s">
        <v>31</v>
      </c>
      <c r="W117" t="s">
        <v>31</v>
      </c>
      <c r="X117" t="s">
        <v>31</v>
      </c>
      <c r="Y117">
        <v>6.8</v>
      </c>
      <c r="Z117">
        <v>65.7</v>
      </c>
      <c r="AA117" t="s">
        <v>31</v>
      </c>
      <c r="AB117">
        <v>0.64559999999999995</v>
      </c>
    </row>
    <row r="118" spans="1:28" x14ac:dyDescent="0.2">
      <c r="A118">
        <v>49</v>
      </c>
      <c r="B118">
        <v>7</v>
      </c>
      <c r="C118" t="s">
        <v>149</v>
      </c>
      <c r="D118">
        <v>2017</v>
      </c>
      <c r="E118">
        <v>90</v>
      </c>
      <c r="F118">
        <v>1</v>
      </c>
      <c r="H118">
        <v>9.11</v>
      </c>
      <c r="J118" s="2">
        <f t="shared" si="4"/>
        <v>1.96142601742</v>
      </c>
      <c r="K118">
        <v>1</v>
      </c>
      <c r="L118">
        <v>8.07</v>
      </c>
      <c r="N118" s="2">
        <f t="shared" si="5"/>
        <v>1.3088804823</v>
      </c>
      <c r="O118">
        <v>9</v>
      </c>
      <c r="P118">
        <v>10</v>
      </c>
      <c r="Q118" t="s">
        <v>150</v>
      </c>
      <c r="R118" t="s">
        <v>150</v>
      </c>
      <c r="S118" s="12">
        <v>53.976227999999999</v>
      </c>
      <c r="T118" s="12">
        <v>21.621939999999999</v>
      </c>
      <c r="U118" t="s">
        <v>31</v>
      </c>
      <c r="V118" t="s">
        <v>31</v>
      </c>
      <c r="W118" t="s">
        <v>31</v>
      </c>
      <c r="X118" t="s">
        <v>31</v>
      </c>
      <c r="Y118">
        <v>6.8</v>
      </c>
      <c r="Z118">
        <v>65.7</v>
      </c>
      <c r="AA118" t="s">
        <v>31</v>
      </c>
      <c r="AB118">
        <v>0.64559999999999995</v>
      </c>
    </row>
    <row r="119" spans="1:28" x14ac:dyDescent="0.2">
      <c r="A119">
        <v>49</v>
      </c>
      <c r="B119">
        <v>8</v>
      </c>
      <c r="C119" t="s">
        <v>149</v>
      </c>
      <c r="D119">
        <v>2017</v>
      </c>
      <c r="E119">
        <v>180</v>
      </c>
      <c r="F119">
        <v>1</v>
      </c>
      <c r="H119">
        <v>6.12</v>
      </c>
      <c r="J119" s="2">
        <f t="shared" si="4"/>
        <v>1.3176648986400001</v>
      </c>
      <c r="K119">
        <v>1</v>
      </c>
      <c r="L119">
        <v>8.07</v>
      </c>
      <c r="N119" s="2">
        <f t="shared" si="5"/>
        <v>1.3088804823</v>
      </c>
      <c r="O119">
        <v>9</v>
      </c>
      <c r="P119">
        <v>10</v>
      </c>
      <c r="Q119" t="s">
        <v>150</v>
      </c>
      <c r="R119" t="s">
        <v>150</v>
      </c>
      <c r="S119" s="12">
        <v>53.976227999999999</v>
      </c>
      <c r="T119" s="12">
        <v>21.621939999999999</v>
      </c>
      <c r="U119" t="s">
        <v>31</v>
      </c>
      <c r="V119" t="s">
        <v>31</v>
      </c>
      <c r="W119" t="s">
        <v>31</v>
      </c>
      <c r="X119" t="s">
        <v>31</v>
      </c>
      <c r="Y119">
        <v>6.8</v>
      </c>
      <c r="Z119">
        <v>65.7</v>
      </c>
      <c r="AA119" t="s">
        <v>31</v>
      </c>
      <c r="AB119">
        <v>0.64559999999999995</v>
      </c>
    </row>
    <row r="120" spans="1:28" x14ac:dyDescent="0.2">
      <c r="A120">
        <v>49</v>
      </c>
      <c r="B120">
        <v>9</v>
      </c>
      <c r="C120" t="s">
        <v>149</v>
      </c>
      <c r="D120">
        <v>2017</v>
      </c>
      <c r="E120">
        <v>270</v>
      </c>
      <c r="F120">
        <v>1</v>
      </c>
      <c r="H120">
        <v>7.06</v>
      </c>
      <c r="J120" s="2">
        <f t="shared" si="4"/>
        <v>1.52005133732</v>
      </c>
      <c r="K120">
        <v>1</v>
      </c>
      <c r="L120">
        <v>8.07</v>
      </c>
      <c r="N120" s="2">
        <f t="shared" si="5"/>
        <v>1.3088804823</v>
      </c>
      <c r="O120">
        <v>9</v>
      </c>
      <c r="P120">
        <v>10</v>
      </c>
      <c r="Q120" t="s">
        <v>150</v>
      </c>
      <c r="R120" t="s">
        <v>150</v>
      </c>
      <c r="S120" s="12">
        <v>53.976227999999999</v>
      </c>
      <c r="T120" s="12">
        <v>21.621939999999999</v>
      </c>
      <c r="U120" t="s">
        <v>31</v>
      </c>
      <c r="V120" t="s">
        <v>31</v>
      </c>
      <c r="W120" t="s">
        <v>31</v>
      </c>
      <c r="X120" t="s">
        <v>31</v>
      </c>
      <c r="Y120">
        <v>6.8</v>
      </c>
      <c r="Z120">
        <v>65.7</v>
      </c>
      <c r="AA120" t="s">
        <v>31</v>
      </c>
      <c r="AB120">
        <v>0.64559999999999995</v>
      </c>
    </row>
    <row r="121" spans="1:28" x14ac:dyDescent="0.2">
      <c r="A121">
        <v>49</v>
      </c>
      <c r="B121">
        <v>10</v>
      </c>
      <c r="C121" t="s">
        <v>149</v>
      </c>
      <c r="D121">
        <v>2017</v>
      </c>
      <c r="E121">
        <v>90</v>
      </c>
      <c r="F121">
        <v>1</v>
      </c>
      <c r="H121">
        <v>7.09</v>
      </c>
      <c r="J121" s="2">
        <f t="shared" si="4"/>
        <v>1.5265104789799999</v>
      </c>
      <c r="K121">
        <v>1</v>
      </c>
      <c r="L121">
        <v>6.12</v>
      </c>
      <c r="N121" s="2">
        <f t="shared" si="5"/>
        <v>0.99260824680000004</v>
      </c>
      <c r="O121">
        <v>9</v>
      </c>
      <c r="P121">
        <v>10</v>
      </c>
      <c r="Q121" t="s">
        <v>150</v>
      </c>
      <c r="R121" t="s">
        <v>150</v>
      </c>
      <c r="S121" s="12">
        <v>53.976227999999999</v>
      </c>
      <c r="T121" s="12">
        <v>21.621939999999999</v>
      </c>
      <c r="U121" t="s">
        <v>31</v>
      </c>
      <c r="V121" t="s">
        <v>31</v>
      </c>
      <c r="W121" t="s">
        <v>31</v>
      </c>
      <c r="X121" t="s">
        <v>31</v>
      </c>
      <c r="Y121">
        <v>6.8</v>
      </c>
      <c r="Z121">
        <v>65.7</v>
      </c>
      <c r="AA121" t="s">
        <v>31</v>
      </c>
      <c r="AB121">
        <v>0.64559999999999995</v>
      </c>
    </row>
    <row r="122" spans="1:28" x14ac:dyDescent="0.2">
      <c r="A122">
        <v>49</v>
      </c>
      <c r="B122">
        <v>11</v>
      </c>
      <c r="C122" t="s">
        <v>149</v>
      </c>
      <c r="D122">
        <v>2017</v>
      </c>
      <c r="E122">
        <v>180</v>
      </c>
      <c r="F122">
        <v>1</v>
      </c>
      <c r="H122">
        <v>7.11</v>
      </c>
      <c r="J122" s="2">
        <f t="shared" si="4"/>
        <v>1.5308165734200001</v>
      </c>
      <c r="K122">
        <v>1</v>
      </c>
      <c r="L122">
        <v>6.12</v>
      </c>
      <c r="N122" s="2">
        <f t="shared" si="5"/>
        <v>0.99260824680000004</v>
      </c>
      <c r="O122">
        <v>9</v>
      </c>
      <c r="P122">
        <v>10</v>
      </c>
      <c r="Q122" t="s">
        <v>150</v>
      </c>
      <c r="R122" t="s">
        <v>150</v>
      </c>
      <c r="S122" s="12">
        <v>53.976227999999999</v>
      </c>
      <c r="T122" s="12">
        <v>21.621939999999999</v>
      </c>
      <c r="U122" t="s">
        <v>31</v>
      </c>
      <c r="V122" t="s">
        <v>31</v>
      </c>
      <c r="W122" t="s">
        <v>31</v>
      </c>
      <c r="X122" t="s">
        <v>31</v>
      </c>
      <c r="Y122">
        <v>6.8</v>
      </c>
      <c r="Z122">
        <v>65.7</v>
      </c>
      <c r="AA122" t="s">
        <v>31</v>
      </c>
      <c r="AB122">
        <v>0.64559999999999995</v>
      </c>
    </row>
    <row r="123" spans="1:28" x14ac:dyDescent="0.2">
      <c r="A123">
        <v>49</v>
      </c>
      <c r="B123">
        <v>12</v>
      </c>
      <c r="C123" t="s">
        <v>149</v>
      </c>
      <c r="D123">
        <v>2017</v>
      </c>
      <c r="E123">
        <v>270</v>
      </c>
      <c r="F123">
        <v>1</v>
      </c>
      <c r="H123">
        <v>7.09</v>
      </c>
      <c r="J123" s="2">
        <f t="shared" si="4"/>
        <v>1.5265104789799999</v>
      </c>
      <c r="K123">
        <v>1</v>
      </c>
      <c r="L123">
        <v>6.12</v>
      </c>
      <c r="N123" s="2">
        <f t="shared" si="5"/>
        <v>0.99260824680000004</v>
      </c>
      <c r="O123">
        <v>9</v>
      </c>
      <c r="P123">
        <v>10</v>
      </c>
      <c r="Q123" t="s">
        <v>150</v>
      </c>
      <c r="R123" t="s">
        <v>150</v>
      </c>
      <c r="S123" s="12">
        <v>53.976227999999999</v>
      </c>
      <c r="T123" s="12">
        <v>21.621939999999999</v>
      </c>
      <c r="U123" t="s">
        <v>31</v>
      </c>
      <c r="V123" t="s">
        <v>31</v>
      </c>
      <c r="W123" t="s">
        <v>31</v>
      </c>
      <c r="X123" t="s">
        <v>31</v>
      </c>
      <c r="Y123">
        <v>6.8</v>
      </c>
      <c r="Z123">
        <v>65.7</v>
      </c>
      <c r="AA123" t="s">
        <v>31</v>
      </c>
      <c r="AB123">
        <v>0.64559999999999995</v>
      </c>
    </row>
    <row r="124" spans="1:28" x14ac:dyDescent="0.2">
      <c r="A124">
        <v>49</v>
      </c>
      <c r="B124">
        <v>13</v>
      </c>
      <c r="C124" t="s">
        <v>149</v>
      </c>
      <c r="D124">
        <v>2017</v>
      </c>
      <c r="E124">
        <v>90</v>
      </c>
      <c r="F124">
        <v>1</v>
      </c>
      <c r="H124">
        <v>6.07</v>
      </c>
      <c r="J124" s="2">
        <f t="shared" si="4"/>
        <v>1.30689966254</v>
      </c>
      <c r="K124">
        <v>1</v>
      </c>
      <c r="L124">
        <v>12.1</v>
      </c>
      <c r="N124" s="2">
        <f t="shared" si="5"/>
        <v>1.962509769</v>
      </c>
      <c r="O124">
        <v>10</v>
      </c>
      <c r="P124">
        <v>11</v>
      </c>
      <c r="Q124" t="s">
        <v>150</v>
      </c>
      <c r="R124" t="s">
        <v>150</v>
      </c>
      <c r="S124" s="12">
        <v>53.976227999999999</v>
      </c>
      <c r="T124" s="12">
        <v>21.621939999999999</v>
      </c>
      <c r="U124" t="s">
        <v>31</v>
      </c>
      <c r="V124" t="s">
        <v>31</v>
      </c>
      <c r="W124" t="s">
        <v>31</v>
      </c>
      <c r="X124" t="s">
        <v>31</v>
      </c>
      <c r="Y124">
        <v>6.8</v>
      </c>
      <c r="Z124">
        <v>65.7</v>
      </c>
      <c r="AA124" t="s">
        <v>31</v>
      </c>
      <c r="AB124">
        <v>0.64559999999999995</v>
      </c>
    </row>
    <row r="125" spans="1:28" x14ac:dyDescent="0.2">
      <c r="A125">
        <v>49</v>
      </c>
      <c r="B125">
        <v>14</v>
      </c>
      <c r="C125" t="s">
        <v>149</v>
      </c>
      <c r="D125">
        <v>2017</v>
      </c>
      <c r="E125">
        <v>180</v>
      </c>
      <c r="F125">
        <v>1</v>
      </c>
      <c r="H125">
        <v>7.11</v>
      </c>
      <c r="J125" s="2">
        <f t="shared" si="4"/>
        <v>1.5308165734200001</v>
      </c>
      <c r="K125">
        <v>1</v>
      </c>
      <c r="L125">
        <v>12.1</v>
      </c>
      <c r="N125" s="2">
        <f t="shared" si="5"/>
        <v>1.962509769</v>
      </c>
      <c r="O125">
        <v>10</v>
      </c>
      <c r="P125">
        <v>11</v>
      </c>
      <c r="Q125" t="s">
        <v>150</v>
      </c>
      <c r="R125" t="s">
        <v>150</v>
      </c>
      <c r="S125" s="12">
        <v>53.976227999999999</v>
      </c>
      <c r="T125" s="12">
        <v>21.621939999999999</v>
      </c>
      <c r="U125" t="s">
        <v>31</v>
      </c>
      <c r="V125" t="s">
        <v>31</v>
      </c>
      <c r="W125" t="s">
        <v>31</v>
      </c>
      <c r="X125" t="s">
        <v>31</v>
      </c>
      <c r="Y125">
        <v>6.8</v>
      </c>
      <c r="Z125">
        <v>65.7</v>
      </c>
      <c r="AA125" t="s">
        <v>31</v>
      </c>
      <c r="AB125">
        <v>0.64559999999999995</v>
      </c>
    </row>
    <row r="126" spans="1:28" x14ac:dyDescent="0.2">
      <c r="A126">
        <v>49</v>
      </c>
      <c r="B126">
        <v>15</v>
      </c>
      <c r="C126" t="s">
        <v>149</v>
      </c>
      <c r="D126">
        <v>2017</v>
      </c>
      <c r="E126">
        <v>270</v>
      </c>
      <c r="F126">
        <v>1</v>
      </c>
      <c r="H126">
        <v>12.1</v>
      </c>
      <c r="J126" s="2">
        <f t="shared" si="4"/>
        <v>2.6051871362000001</v>
      </c>
      <c r="K126">
        <v>1</v>
      </c>
      <c r="L126">
        <v>12.1</v>
      </c>
      <c r="N126" s="2">
        <f t="shared" si="5"/>
        <v>1.962509769</v>
      </c>
      <c r="O126">
        <v>10</v>
      </c>
      <c r="P126">
        <v>11</v>
      </c>
      <c r="Q126" t="s">
        <v>150</v>
      </c>
      <c r="R126" t="s">
        <v>150</v>
      </c>
      <c r="S126" s="12">
        <v>53.976227999999999</v>
      </c>
      <c r="T126" s="12">
        <v>21.621939999999999</v>
      </c>
      <c r="U126" t="s">
        <v>31</v>
      </c>
      <c r="V126" t="s">
        <v>31</v>
      </c>
      <c r="W126" t="s">
        <v>31</v>
      </c>
      <c r="X126" t="s">
        <v>31</v>
      </c>
      <c r="Y126">
        <v>6.8</v>
      </c>
      <c r="Z126">
        <v>65.7</v>
      </c>
      <c r="AA126" t="s">
        <v>31</v>
      </c>
      <c r="AB126">
        <v>0.64559999999999995</v>
      </c>
    </row>
    <row r="127" spans="1:28" x14ac:dyDescent="0.2">
      <c r="A127">
        <v>49</v>
      </c>
      <c r="B127">
        <v>16</v>
      </c>
      <c r="C127" t="s">
        <v>149</v>
      </c>
      <c r="D127">
        <v>2017</v>
      </c>
      <c r="E127">
        <v>90</v>
      </c>
      <c r="F127">
        <v>1</v>
      </c>
      <c r="H127">
        <v>7.06</v>
      </c>
      <c r="J127" s="2">
        <f t="shared" si="4"/>
        <v>1.52005133732</v>
      </c>
      <c r="K127">
        <v>1</v>
      </c>
      <c r="L127">
        <v>6.07</v>
      </c>
      <c r="N127" s="2">
        <f t="shared" si="5"/>
        <v>0.98449870230000003</v>
      </c>
      <c r="O127">
        <v>10</v>
      </c>
      <c r="P127">
        <v>11</v>
      </c>
      <c r="Q127" t="s">
        <v>150</v>
      </c>
      <c r="R127" t="s">
        <v>150</v>
      </c>
      <c r="S127" s="12">
        <v>53.976227999999999</v>
      </c>
      <c r="T127" s="12">
        <v>21.621939999999999</v>
      </c>
      <c r="U127" t="s">
        <v>31</v>
      </c>
      <c r="V127" t="s">
        <v>31</v>
      </c>
      <c r="W127" t="s">
        <v>31</v>
      </c>
      <c r="X127" t="s">
        <v>31</v>
      </c>
      <c r="Y127">
        <v>6.8</v>
      </c>
      <c r="Z127">
        <v>65.7</v>
      </c>
      <c r="AA127" t="s">
        <v>31</v>
      </c>
      <c r="AB127">
        <v>0.64559999999999995</v>
      </c>
    </row>
    <row r="128" spans="1:28" x14ac:dyDescent="0.2">
      <c r="A128">
        <v>49</v>
      </c>
      <c r="B128">
        <v>17</v>
      </c>
      <c r="C128" t="s">
        <v>149</v>
      </c>
      <c r="D128">
        <v>2017</v>
      </c>
      <c r="E128">
        <v>180</v>
      </c>
      <c r="F128">
        <v>1</v>
      </c>
      <c r="H128">
        <v>6.1</v>
      </c>
      <c r="J128" s="2">
        <f t="shared" ref="J128:J153" si="6">0.215304722*H128</f>
        <v>1.3133588042</v>
      </c>
      <c r="K128">
        <v>1</v>
      </c>
      <c r="L128">
        <v>6.07</v>
      </c>
      <c r="N128" s="2">
        <f t="shared" ref="N128:N153" si="7">0.16219089*L128</f>
        <v>0.98449870230000003</v>
      </c>
      <c r="O128">
        <v>10</v>
      </c>
      <c r="P128">
        <v>11</v>
      </c>
      <c r="Q128" t="s">
        <v>150</v>
      </c>
      <c r="R128" t="s">
        <v>150</v>
      </c>
      <c r="S128" s="12">
        <v>53.976227999999999</v>
      </c>
      <c r="T128" s="12">
        <v>21.621939999999999</v>
      </c>
      <c r="U128" t="s">
        <v>31</v>
      </c>
      <c r="V128" t="s">
        <v>31</v>
      </c>
      <c r="W128" t="s">
        <v>31</v>
      </c>
      <c r="X128" t="s">
        <v>31</v>
      </c>
      <c r="Y128">
        <v>6.8</v>
      </c>
      <c r="Z128">
        <v>65.7</v>
      </c>
      <c r="AA128" t="s">
        <v>31</v>
      </c>
      <c r="AB128">
        <v>0.64559999999999995</v>
      </c>
    </row>
    <row r="129" spans="1:28" x14ac:dyDescent="0.2">
      <c r="A129">
        <v>49</v>
      </c>
      <c r="B129">
        <v>18</v>
      </c>
      <c r="C129" t="s">
        <v>149</v>
      </c>
      <c r="D129">
        <v>2017</v>
      </c>
      <c r="E129">
        <v>270</v>
      </c>
      <c r="F129">
        <v>1</v>
      </c>
      <c r="H129">
        <v>10.119999999999999</v>
      </c>
      <c r="J129" s="2">
        <f t="shared" si="6"/>
        <v>2.1788837866399997</v>
      </c>
      <c r="K129">
        <v>1</v>
      </c>
      <c r="L129">
        <v>6.07</v>
      </c>
      <c r="N129" s="2">
        <f t="shared" si="7"/>
        <v>0.98449870230000003</v>
      </c>
      <c r="O129">
        <v>10</v>
      </c>
      <c r="P129">
        <v>11</v>
      </c>
      <c r="Q129" t="s">
        <v>150</v>
      </c>
      <c r="R129" t="s">
        <v>150</v>
      </c>
      <c r="S129" s="12">
        <v>53.976227999999999</v>
      </c>
      <c r="T129" s="12">
        <v>21.621939999999999</v>
      </c>
      <c r="U129" t="s">
        <v>31</v>
      </c>
      <c r="V129" t="s">
        <v>31</v>
      </c>
      <c r="W129" t="s">
        <v>31</v>
      </c>
      <c r="X129" t="s">
        <v>31</v>
      </c>
      <c r="Y129">
        <v>6.8</v>
      </c>
      <c r="Z129">
        <v>65.7</v>
      </c>
      <c r="AA129" t="s">
        <v>31</v>
      </c>
      <c r="AB129">
        <v>0.64559999999999995</v>
      </c>
    </row>
    <row r="130" spans="1:28" x14ac:dyDescent="0.2">
      <c r="A130">
        <v>49</v>
      </c>
      <c r="B130">
        <v>19</v>
      </c>
      <c r="C130" t="s">
        <v>149</v>
      </c>
      <c r="D130">
        <v>2017</v>
      </c>
      <c r="E130">
        <v>90</v>
      </c>
      <c r="F130">
        <v>1</v>
      </c>
      <c r="H130">
        <v>5.14</v>
      </c>
      <c r="J130" s="2">
        <f t="shared" si="6"/>
        <v>1.1066662710799999</v>
      </c>
      <c r="K130">
        <v>1</v>
      </c>
      <c r="L130">
        <v>6.07</v>
      </c>
      <c r="N130" s="2">
        <f t="shared" si="7"/>
        <v>0.98449870230000003</v>
      </c>
      <c r="O130">
        <v>10</v>
      </c>
      <c r="P130">
        <v>11</v>
      </c>
      <c r="Q130" t="s">
        <v>150</v>
      </c>
      <c r="R130" t="s">
        <v>150</v>
      </c>
      <c r="S130" s="12">
        <v>53.976227999999999</v>
      </c>
      <c r="T130" s="12">
        <v>21.621939999999999</v>
      </c>
      <c r="U130" t="s">
        <v>31</v>
      </c>
      <c r="V130" t="s">
        <v>31</v>
      </c>
      <c r="W130" t="s">
        <v>31</v>
      </c>
      <c r="X130" t="s">
        <v>31</v>
      </c>
      <c r="Y130">
        <v>6.8</v>
      </c>
      <c r="Z130">
        <v>65.7</v>
      </c>
      <c r="AA130" t="s">
        <v>31</v>
      </c>
      <c r="AB130">
        <v>0.64559999999999995</v>
      </c>
    </row>
    <row r="131" spans="1:28" x14ac:dyDescent="0.2">
      <c r="A131">
        <v>49</v>
      </c>
      <c r="B131">
        <v>20</v>
      </c>
      <c r="C131" t="s">
        <v>149</v>
      </c>
      <c r="D131">
        <v>2017</v>
      </c>
      <c r="E131">
        <v>180</v>
      </c>
      <c r="F131">
        <v>1</v>
      </c>
      <c r="H131">
        <v>8.1199999999999992</v>
      </c>
      <c r="J131" s="2">
        <f t="shared" si="6"/>
        <v>1.7482743426399998</v>
      </c>
      <c r="K131">
        <v>1</v>
      </c>
      <c r="L131">
        <v>6.07</v>
      </c>
      <c r="N131" s="2">
        <f t="shared" si="7"/>
        <v>0.98449870230000003</v>
      </c>
      <c r="O131">
        <v>10</v>
      </c>
      <c r="P131">
        <v>11</v>
      </c>
      <c r="Q131" t="s">
        <v>150</v>
      </c>
      <c r="R131" t="s">
        <v>150</v>
      </c>
      <c r="S131" s="12">
        <v>53.976227999999999</v>
      </c>
      <c r="T131" s="12">
        <v>21.621939999999999</v>
      </c>
      <c r="U131" t="s">
        <v>31</v>
      </c>
      <c r="V131" t="s">
        <v>31</v>
      </c>
      <c r="W131" t="s">
        <v>31</v>
      </c>
      <c r="X131" t="s">
        <v>31</v>
      </c>
      <c r="Y131">
        <v>6.8</v>
      </c>
      <c r="Z131">
        <v>65.7</v>
      </c>
      <c r="AA131" t="s">
        <v>31</v>
      </c>
      <c r="AB131">
        <v>0.64559999999999995</v>
      </c>
    </row>
    <row r="132" spans="1:28" x14ac:dyDescent="0.2">
      <c r="A132">
        <v>49</v>
      </c>
      <c r="B132">
        <v>21</v>
      </c>
      <c r="C132" t="s">
        <v>149</v>
      </c>
      <c r="D132">
        <v>2017</v>
      </c>
      <c r="E132">
        <v>270</v>
      </c>
      <c r="F132">
        <v>1</v>
      </c>
      <c r="H132">
        <v>7.11</v>
      </c>
      <c r="J132" s="2">
        <f t="shared" si="6"/>
        <v>1.5308165734200001</v>
      </c>
      <c r="K132">
        <v>1</v>
      </c>
      <c r="L132">
        <v>6.07</v>
      </c>
      <c r="N132" s="2">
        <f t="shared" si="7"/>
        <v>0.98449870230000003</v>
      </c>
      <c r="O132">
        <v>10</v>
      </c>
      <c r="P132">
        <v>11</v>
      </c>
      <c r="Q132" t="s">
        <v>150</v>
      </c>
      <c r="R132" t="s">
        <v>150</v>
      </c>
      <c r="S132" s="12">
        <v>53.976227999999999</v>
      </c>
      <c r="T132" s="12">
        <v>21.621939999999999</v>
      </c>
      <c r="U132" t="s">
        <v>31</v>
      </c>
      <c r="V132" t="s">
        <v>31</v>
      </c>
      <c r="W132" t="s">
        <v>31</v>
      </c>
      <c r="X132" t="s">
        <v>31</v>
      </c>
      <c r="Y132">
        <v>6.8</v>
      </c>
      <c r="Z132">
        <v>65.7</v>
      </c>
      <c r="AA132" t="s">
        <v>31</v>
      </c>
      <c r="AB132">
        <v>0.64559999999999995</v>
      </c>
    </row>
    <row r="133" spans="1:28" x14ac:dyDescent="0.2">
      <c r="A133">
        <v>49</v>
      </c>
      <c r="B133">
        <v>22</v>
      </c>
      <c r="C133" t="s">
        <v>149</v>
      </c>
      <c r="D133">
        <v>2017</v>
      </c>
      <c r="E133">
        <v>90</v>
      </c>
      <c r="F133">
        <v>1</v>
      </c>
      <c r="H133">
        <v>8.0500000000000007</v>
      </c>
      <c r="J133" s="2">
        <f t="shared" si="6"/>
        <v>1.7332030121000002</v>
      </c>
      <c r="K133">
        <v>1</v>
      </c>
      <c r="L133">
        <v>7.06</v>
      </c>
      <c r="N133" s="2">
        <f t="shared" si="7"/>
        <v>1.1450676834</v>
      </c>
      <c r="O133">
        <v>10</v>
      </c>
      <c r="P133">
        <v>11</v>
      </c>
      <c r="Q133" t="s">
        <v>150</v>
      </c>
      <c r="R133" t="s">
        <v>150</v>
      </c>
      <c r="S133" s="12">
        <v>53.976227999999999</v>
      </c>
      <c r="T133" s="12">
        <v>21.621939999999999</v>
      </c>
      <c r="U133" t="s">
        <v>31</v>
      </c>
      <c r="V133" t="s">
        <v>31</v>
      </c>
      <c r="W133" t="s">
        <v>31</v>
      </c>
      <c r="X133" t="s">
        <v>31</v>
      </c>
      <c r="Y133">
        <v>6.8</v>
      </c>
      <c r="Z133">
        <v>65.7</v>
      </c>
      <c r="AA133" t="s">
        <v>31</v>
      </c>
      <c r="AB133">
        <v>0.64559999999999995</v>
      </c>
    </row>
    <row r="134" spans="1:28" x14ac:dyDescent="0.2">
      <c r="A134">
        <v>49</v>
      </c>
      <c r="B134">
        <v>23</v>
      </c>
      <c r="C134" t="s">
        <v>149</v>
      </c>
      <c r="D134">
        <v>2017</v>
      </c>
      <c r="E134">
        <v>180</v>
      </c>
      <c r="F134">
        <v>1</v>
      </c>
      <c r="H134">
        <v>5.09</v>
      </c>
      <c r="J134" s="2">
        <f t="shared" si="6"/>
        <v>1.09590103498</v>
      </c>
      <c r="K134">
        <v>1</v>
      </c>
      <c r="L134">
        <v>7.06</v>
      </c>
      <c r="N134" s="2">
        <f t="shared" si="7"/>
        <v>1.1450676834</v>
      </c>
      <c r="O134">
        <v>10</v>
      </c>
      <c r="P134">
        <v>11</v>
      </c>
      <c r="Q134" t="s">
        <v>150</v>
      </c>
      <c r="R134" t="s">
        <v>150</v>
      </c>
      <c r="S134" s="12">
        <v>53.976227999999999</v>
      </c>
      <c r="T134" s="12">
        <v>21.621939999999999</v>
      </c>
      <c r="U134" t="s">
        <v>31</v>
      </c>
      <c r="V134" t="s">
        <v>31</v>
      </c>
      <c r="W134" t="s">
        <v>31</v>
      </c>
      <c r="X134" t="s">
        <v>31</v>
      </c>
      <c r="Y134">
        <v>6.8</v>
      </c>
      <c r="Z134">
        <v>65.7</v>
      </c>
      <c r="AA134" t="s">
        <v>31</v>
      </c>
      <c r="AB134">
        <v>0.64559999999999995</v>
      </c>
    </row>
    <row r="135" spans="1:28" x14ac:dyDescent="0.2">
      <c r="A135">
        <v>49</v>
      </c>
      <c r="B135">
        <v>24</v>
      </c>
      <c r="C135" t="s">
        <v>149</v>
      </c>
      <c r="D135">
        <v>2017</v>
      </c>
      <c r="E135">
        <v>270</v>
      </c>
      <c r="F135">
        <v>1</v>
      </c>
      <c r="H135">
        <v>7.09</v>
      </c>
      <c r="J135" s="2">
        <f t="shared" si="6"/>
        <v>1.5265104789799999</v>
      </c>
      <c r="K135">
        <v>1</v>
      </c>
      <c r="L135">
        <v>7.06</v>
      </c>
      <c r="N135" s="2">
        <f t="shared" si="7"/>
        <v>1.1450676834</v>
      </c>
      <c r="O135">
        <v>10</v>
      </c>
      <c r="P135">
        <v>11</v>
      </c>
      <c r="Q135" t="s">
        <v>150</v>
      </c>
      <c r="R135" t="s">
        <v>150</v>
      </c>
      <c r="S135" s="12">
        <v>53.976227999999999</v>
      </c>
      <c r="T135" s="12">
        <v>21.621939999999999</v>
      </c>
      <c r="U135" t="s">
        <v>31</v>
      </c>
      <c r="V135" t="s">
        <v>31</v>
      </c>
      <c r="W135" t="s">
        <v>31</v>
      </c>
      <c r="X135" t="s">
        <v>31</v>
      </c>
      <c r="Y135">
        <v>6.8</v>
      </c>
      <c r="Z135">
        <v>65.7</v>
      </c>
      <c r="AA135" t="s">
        <v>31</v>
      </c>
      <c r="AB135">
        <v>0.64559999999999995</v>
      </c>
    </row>
    <row r="136" spans="1:28" x14ac:dyDescent="0.2">
      <c r="A136">
        <v>50</v>
      </c>
      <c r="B136">
        <v>1</v>
      </c>
      <c r="C136" t="s">
        <v>191</v>
      </c>
      <c r="D136">
        <v>2012</v>
      </c>
      <c r="E136">
        <v>5</v>
      </c>
      <c r="F136">
        <v>3</v>
      </c>
      <c r="H136">
        <v>2</v>
      </c>
      <c r="J136" s="2">
        <f t="shared" si="6"/>
        <v>0.43060944400000001</v>
      </c>
      <c r="K136">
        <v>3</v>
      </c>
      <c r="L136">
        <v>0</v>
      </c>
      <c r="N136" s="2">
        <f t="shared" si="7"/>
        <v>0</v>
      </c>
      <c r="O136">
        <v>5</v>
      </c>
      <c r="P136">
        <v>6</v>
      </c>
      <c r="Q136" t="s">
        <v>78</v>
      </c>
      <c r="R136" t="s">
        <v>93</v>
      </c>
      <c r="S136" s="12">
        <v>37.6</v>
      </c>
      <c r="T136" s="12">
        <v>-0.82</v>
      </c>
      <c r="U136" t="s">
        <v>31</v>
      </c>
      <c r="V136" t="s">
        <v>29</v>
      </c>
      <c r="W136" t="s">
        <v>31</v>
      </c>
      <c r="X136" t="s">
        <v>31</v>
      </c>
      <c r="Y136">
        <v>18</v>
      </c>
      <c r="Z136">
        <v>31.5</v>
      </c>
      <c r="AA136" t="s">
        <v>31</v>
      </c>
      <c r="AB136">
        <v>0.1719</v>
      </c>
    </row>
    <row r="137" spans="1:28" x14ac:dyDescent="0.2">
      <c r="A137">
        <v>51</v>
      </c>
      <c r="B137">
        <v>2</v>
      </c>
      <c r="C137" t="s">
        <v>191</v>
      </c>
      <c r="D137">
        <v>2012</v>
      </c>
      <c r="E137">
        <v>10</v>
      </c>
      <c r="F137">
        <v>3</v>
      </c>
      <c r="H137">
        <v>3</v>
      </c>
      <c r="J137" s="2">
        <f t="shared" si="6"/>
        <v>0.64591416600000007</v>
      </c>
      <c r="K137">
        <v>3</v>
      </c>
      <c r="L137">
        <v>0</v>
      </c>
      <c r="N137" s="2">
        <f t="shared" si="7"/>
        <v>0</v>
      </c>
      <c r="O137">
        <v>5</v>
      </c>
      <c r="P137">
        <v>6</v>
      </c>
      <c r="Q137" t="s">
        <v>78</v>
      </c>
      <c r="R137" t="s">
        <v>93</v>
      </c>
      <c r="S137" s="12">
        <v>37.6</v>
      </c>
      <c r="T137" s="12">
        <v>-0.82</v>
      </c>
      <c r="U137" t="s">
        <v>31</v>
      </c>
      <c r="V137" t="s">
        <v>29</v>
      </c>
      <c r="W137" t="s">
        <v>31</v>
      </c>
      <c r="X137" t="s">
        <v>31</v>
      </c>
      <c r="Y137">
        <v>18</v>
      </c>
      <c r="Z137">
        <v>31.5</v>
      </c>
      <c r="AA137" t="s">
        <v>31</v>
      </c>
      <c r="AB137">
        <v>0.1719</v>
      </c>
    </row>
    <row r="138" spans="1:28" x14ac:dyDescent="0.2">
      <c r="A138">
        <v>51</v>
      </c>
      <c r="B138">
        <v>3</v>
      </c>
      <c r="C138" t="s">
        <v>191</v>
      </c>
      <c r="D138">
        <v>2012</v>
      </c>
      <c r="E138">
        <v>20</v>
      </c>
      <c r="F138">
        <v>3</v>
      </c>
      <c r="H138">
        <v>4</v>
      </c>
      <c r="J138" s="2">
        <f t="shared" si="6"/>
        <v>0.86121888800000002</v>
      </c>
      <c r="K138">
        <v>3</v>
      </c>
      <c r="L138">
        <v>0</v>
      </c>
      <c r="N138" s="2">
        <f t="shared" si="7"/>
        <v>0</v>
      </c>
      <c r="O138">
        <v>5</v>
      </c>
      <c r="P138">
        <v>6</v>
      </c>
      <c r="Q138" t="s">
        <v>78</v>
      </c>
      <c r="R138" t="s">
        <v>93</v>
      </c>
      <c r="S138" s="12">
        <v>37.6</v>
      </c>
      <c r="T138" s="12">
        <v>-0.82</v>
      </c>
      <c r="U138" t="s">
        <v>31</v>
      </c>
      <c r="V138" t="s">
        <v>29</v>
      </c>
      <c r="W138" t="s">
        <v>31</v>
      </c>
      <c r="X138" t="s">
        <v>31</v>
      </c>
      <c r="Y138">
        <v>18</v>
      </c>
      <c r="Z138">
        <v>31.5</v>
      </c>
      <c r="AA138" t="s">
        <v>31</v>
      </c>
      <c r="AB138">
        <v>0.1719</v>
      </c>
    </row>
    <row r="139" spans="1:28" x14ac:dyDescent="0.2">
      <c r="A139">
        <v>25</v>
      </c>
      <c r="B139">
        <v>1</v>
      </c>
      <c r="C139" t="s">
        <v>79</v>
      </c>
      <c r="D139">
        <v>2010</v>
      </c>
      <c r="E139">
        <f>3.37</f>
        <v>3.37</v>
      </c>
      <c r="F139">
        <v>6</v>
      </c>
      <c r="H139">
        <v>4</v>
      </c>
      <c r="J139" s="2">
        <f t="shared" si="6"/>
        <v>0.86121888800000002</v>
      </c>
      <c r="K139">
        <v>6</v>
      </c>
      <c r="L139">
        <v>5</v>
      </c>
      <c r="N139" s="2">
        <f t="shared" si="7"/>
        <v>0.81095444999999999</v>
      </c>
      <c r="O139">
        <v>1</v>
      </c>
      <c r="P139">
        <v>2</v>
      </c>
      <c r="Q139" t="s">
        <v>80</v>
      </c>
      <c r="R139" t="s">
        <v>91</v>
      </c>
      <c r="S139" s="12">
        <v>40.700000000000003</v>
      </c>
      <c r="T139" s="12">
        <v>-111.916</v>
      </c>
      <c r="U139" t="s">
        <v>31</v>
      </c>
      <c r="V139" t="s">
        <v>31</v>
      </c>
      <c r="W139" t="s">
        <v>31</v>
      </c>
      <c r="X139" t="s">
        <v>31</v>
      </c>
      <c r="Y139">
        <v>10.3</v>
      </c>
      <c r="Z139">
        <v>45.1</v>
      </c>
      <c r="AA139" t="s">
        <v>31</v>
      </c>
      <c r="AB139">
        <v>0.2482</v>
      </c>
    </row>
    <row r="140" spans="1:28" x14ac:dyDescent="0.2">
      <c r="A140">
        <v>25</v>
      </c>
      <c r="B140">
        <v>2</v>
      </c>
      <c r="C140" t="s">
        <v>79</v>
      </c>
      <c r="D140">
        <v>2010</v>
      </c>
      <c r="E140">
        <f>3.37*5</f>
        <v>16.850000000000001</v>
      </c>
      <c r="F140">
        <v>6</v>
      </c>
      <c r="H140">
        <v>5</v>
      </c>
      <c r="J140" s="2">
        <f t="shared" si="6"/>
        <v>1.07652361</v>
      </c>
      <c r="K140">
        <v>6</v>
      </c>
      <c r="L140">
        <v>5</v>
      </c>
      <c r="N140" s="2">
        <f t="shared" si="7"/>
        <v>0.81095444999999999</v>
      </c>
      <c r="O140">
        <v>1</v>
      </c>
      <c r="P140">
        <v>2</v>
      </c>
      <c r="Q140" t="s">
        <v>80</v>
      </c>
      <c r="R140" t="s">
        <v>91</v>
      </c>
      <c r="S140" s="12">
        <v>40.700000000000003</v>
      </c>
      <c r="T140" s="12">
        <v>-111.916</v>
      </c>
      <c r="U140" t="s">
        <v>31</v>
      </c>
      <c r="V140" t="s">
        <v>31</v>
      </c>
      <c r="W140" t="s">
        <v>31</v>
      </c>
      <c r="X140" t="s">
        <v>31</v>
      </c>
      <c r="Y140">
        <v>10.3</v>
      </c>
      <c r="Z140">
        <v>45.1</v>
      </c>
      <c r="AA140" t="s">
        <v>31</v>
      </c>
      <c r="AB140">
        <v>0.2482</v>
      </c>
    </row>
    <row r="141" spans="1:28" x14ac:dyDescent="0.2">
      <c r="A141">
        <v>25</v>
      </c>
      <c r="B141">
        <v>3</v>
      </c>
      <c r="C141" t="s">
        <v>79</v>
      </c>
      <c r="D141">
        <v>2010</v>
      </c>
      <c r="E141">
        <f>3.37*10</f>
        <v>33.700000000000003</v>
      </c>
      <c r="F141">
        <v>6</v>
      </c>
      <c r="H141">
        <v>5</v>
      </c>
      <c r="J141" s="2">
        <f t="shared" si="6"/>
        <v>1.07652361</v>
      </c>
      <c r="K141">
        <v>6</v>
      </c>
      <c r="L141">
        <v>5</v>
      </c>
      <c r="N141" s="2">
        <f t="shared" si="7"/>
        <v>0.81095444999999999</v>
      </c>
      <c r="O141">
        <v>1</v>
      </c>
      <c r="P141">
        <v>2</v>
      </c>
      <c r="Q141" t="s">
        <v>80</v>
      </c>
      <c r="R141" t="s">
        <v>91</v>
      </c>
      <c r="S141" s="12">
        <v>40.700000000000003</v>
      </c>
      <c r="T141" s="12">
        <v>-111.916</v>
      </c>
      <c r="U141" t="s">
        <v>31</v>
      </c>
      <c r="V141" t="s">
        <v>31</v>
      </c>
      <c r="W141" t="s">
        <v>31</v>
      </c>
      <c r="X141" t="s">
        <v>31</v>
      </c>
      <c r="Y141">
        <v>10.3</v>
      </c>
      <c r="Z141">
        <v>45.1</v>
      </c>
      <c r="AA141" t="s">
        <v>31</v>
      </c>
      <c r="AB141">
        <v>0.2482</v>
      </c>
    </row>
    <row r="142" spans="1:28" x14ac:dyDescent="0.2">
      <c r="A142">
        <v>25</v>
      </c>
      <c r="B142">
        <v>4</v>
      </c>
      <c r="C142" t="s">
        <v>79</v>
      </c>
      <c r="D142">
        <v>2010</v>
      </c>
      <c r="E142" s="1">
        <f>3.37*20</f>
        <v>67.400000000000006</v>
      </c>
      <c r="F142">
        <v>6</v>
      </c>
      <c r="H142">
        <v>5</v>
      </c>
      <c r="J142" s="2">
        <f t="shared" si="6"/>
        <v>1.07652361</v>
      </c>
      <c r="K142">
        <v>6</v>
      </c>
      <c r="L142">
        <v>5</v>
      </c>
      <c r="N142" s="2">
        <f t="shared" si="7"/>
        <v>0.81095444999999999</v>
      </c>
      <c r="O142">
        <v>1</v>
      </c>
      <c r="P142">
        <v>2</v>
      </c>
      <c r="Q142" t="s">
        <v>80</v>
      </c>
      <c r="R142" t="s">
        <v>91</v>
      </c>
      <c r="S142" s="12">
        <v>40.700000000000003</v>
      </c>
      <c r="T142" s="12">
        <v>-111.916</v>
      </c>
      <c r="U142" t="s">
        <v>31</v>
      </c>
      <c r="V142" t="s">
        <v>31</v>
      </c>
      <c r="W142" t="s">
        <v>31</v>
      </c>
      <c r="X142" t="s">
        <v>31</v>
      </c>
      <c r="Y142">
        <v>10.3</v>
      </c>
      <c r="Z142">
        <v>45.1</v>
      </c>
      <c r="AA142" t="s">
        <v>31</v>
      </c>
      <c r="AB142">
        <v>0.2482</v>
      </c>
    </row>
    <row r="143" spans="1:28" x14ac:dyDescent="0.2">
      <c r="A143">
        <v>25</v>
      </c>
      <c r="B143">
        <v>5</v>
      </c>
      <c r="C143" t="s">
        <v>79</v>
      </c>
      <c r="D143">
        <v>2010</v>
      </c>
      <c r="E143">
        <v>7.63</v>
      </c>
      <c r="F143">
        <v>6</v>
      </c>
      <c r="H143">
        <v>6</v>
      </c>
      <c r="J143" s="2">
        <f t="shared" si="6"/>
        <v>1.2918283320000001</v>
      </c>
      <c r="K143">
        <v>6</v>
      </c>
      <c r="L143">
        <v>5</v>
      </c>
      <c r="N143" s="2">
        <f t="shared" si="7"/>
        <v>0.81095444999999999</v>
      </c>
      <c r="O143">
        <v>1</v>
      </c>
      <c r="P143">
        <v>2</v>
      </c>
      <c r="Q143" t="s">
        <v>151</v>
      </c>
      <c r="R143" t="s">
        <v>91</v>
      </c>
      <c r="S143" s="12">
        <v>40.700000000000003</v>
      </c>
      <c r="T143" s="12">
        <v>-111.9</v>
      </c>
      <c r="U143" t="s">
        <v>31</v>
      </c>
      <c r="V143" t="s">
        <v>31</v>
      </c>
      <c r="W143" t="s">
        <v>31</v>
      </c>
      <c r="X143" t="s">
        <v>31</v>
      </c>
      <c r="Y143">
        <v>10.3</v>
      </c>
      <c r="Z143">
        <v>45.1</v>
      </c>
      <c r="AA143" t="s">
        <v>31</v>
      </c>
      <c r="AB143">
        <v>0.24890000000000001</v>
      </c>
    </row>
    <row r="144" spans="1:28" x14ac:dyDescent="0.2">
      <c r="A144">
        <v>25</v>
      </c>
      <c r="B144">
        <v>6</v>
      </c>
      <c r="C144" t="s">
        <v>79</v>
      </c>
      <c r="D144">
        <v>2010</v>
      </c>
      <c r="E144">
        <f>E143*5</f>
        <v>38.15</v>
      </c>
      <c r="F144">
        <v>6</v>
      </c>
      <c r="H144">
        <v>6</v>
      </c>
      <c r="J144" s="2">
        <f t="shared" si="6"/>
        <v>1.2918283320000001</v>
      </c>
      <c r="K144">
        <v>6</v>
      </c>
      <c r="L144">
        <v>5</v>
      </c>
      <c r="N144" s="2">
        <f t="shared" si="7"/>
        <v>0.81095444999999999</v>
      </c>
      <c r="O144">
        <v>1</v>
      </c>
      <c r="P144">
        <v>2</v>
      </c>
      <c r="Q144" t="s">
        <v>151</v>
      </c>
      <c r="R144" t="s">
        <v>91</v>
      </c>
      <c r="S144" s="12">
        <v>40.700000000000003</v>
      </c>
      <c r="T144" s="12">
        <v>-111.9</v>
      </c>
      <c r="U144" t="s">
        <v>31</v>
      </c>
      <c r="V144" t="s">
        <v>31</v>
      </c>
      <c r="W144" t="s">
        <v>31</v>
      </c>
      <c r="X144" t="s">
        <v>31</v>
      </c>
      <c r="Y144">
        <v>10.3</v>
      </c>
      <c r="Z144">
        <v>45.1</v>
      </c>
      <c r="AA144" t="s">
        <v>31</v>
      </c>
      <c r="AB144">
        <v>0.24890000000000001</v>
      </c>
    </row>
    <row r="145" spans="1:28" x14ac:dyDescent="0.2">
      <c r="A145">
        <v>25</v>
      </c>
      <c r="B145">
        <v>7</v>
      </c>
      <c r="C145" t="s">
        <v>79</v>
      </c>
      <c r="D145">
        <v>2010</v>
      </c>
      <c r="E145">
        <f>E143*10</f>
        <v>76.3</v>
      </c>
      <c r="F145">
        <v>6</v>
      </c>
      <c r="H145">
        <v>5</v>
      </c>
      <c r="J145" s="2">
        <f t="shared" si="6"/>
        <v>1.07652361</v>
      </c>
      <c r="K145">
        <v>6</v>
      </c>
      <c r="L145">
        <v>5</v>
      </c>
      <c r="N145" s="2">
        <f t="shared" si="7"/>
        <v>0.81095444999999999</v>
      </c>
      <c r="O145">
        <v>1</v>
      </c>
      <c r="P145">
        <v>2</v>
      </c>
      <c r="Q145" t="s">
        <v>151</v>
      </c>
      <c r="R145" t="s">
        <v>91</v>
      </c>
      <c r="S145" s="12">
        <v>40.700000000000003</v>
      </c>
      <c r="T145" s="12">
        <v>-111.9</v>
      </c>
      <c r="U145" t="s">
        <v>31</v>
      </c>
      <c r="V145" t="s">
        <v>31</v>
      </c>
      <c r="W145" t="s">
        <v>31</v>
      </c>
      <c r="X145" t="s">
        <v>31</v>
      </c>
      <c r="Y145">
        <v>10.3</v>
      </c>
      <c r="Z145">
        <v>45.1</v>
      </c>
      <c r="AA145" t="s">
        <v>31</v>
      </c>
      <c r="AB145">
        <v>0.24890000000000001</v>
      </c>
    </row>
    <row r="146" spans="1:28" x14ac:dyDescent="0.2">
      <c r="A146">
        <v>25</v>
      </c>
      <c r="B146">
        <v>8</v>
      </c>
      <c r="C146" t="s">
        <v>79</v>
      </c>
      <c r="D146">
        <v>2010</v>
      </c>
      <c r="E146">
        <f>E143*20</f>
        <v>152.6</v>
      </c>
      <c r="F146">
        <v>6</v>
      </c>
      <c r="H146">
        <v>6</v>
      </c>
      <c r="J146" s="2">
        <f t="shared" si="6"/>
        <v>1.2918283320000001</v>
      </c>
      <c r="K146">
        <v>6</v>
      </c>
      <c r="L146">
        <v>5</v>
      </c>
      <c r="N146" s="2">
        <f t="shared" si="7"/>
        <v>0.81095444999999999</v>
      </c>
      <c r="O146">
        <v>1</v>
      </c>
      <c r="P146">
        <v>2</v>
      </c>
      <c r="Q146" t="s">
        <v>151</v>
      </c>
      <c r="R146" t="s">
        <v>91</v>
      </c>
      <c r="S146" s="12">
        <v>40.700000000000003</v>
      </c>
      <c r="T146" s="12">
        <v>-111.9</v>
      </c>
      <c r="U146" t="s">
        <v>31</v>
      </c>
      <c r="V146" t="s">
        <v>31</v>
      </c>
      <c r="W146" t="s">
        <v>31</v>
      </c>
      <c r="X146" t="s">
        <v>31</v>
      </c>
      <c r="Y146">
        <v>10.3</v>
      </c>
      <c r="Z146">
        <v>45.1</v>
      </c>
      <c r="AA146" t="s">
        <v>31</v>
      </c>
      <c r="AB146">
        <v>0.24890000000000001</v>
      </c>
    </row>
    <row r="147" spans="1:28" x14ac:dyDescent="0.2">
      <c r="A147">
        <v>25</v>
      </c>
      <c r="B147">
        <v>9</v>
      </c>
      <c r="C147" t="s">
        <v>79</v>
      </c>
      <c r="D147">
        <v>2010</v>
      </c>
      <c r="E147">
        <v>19.760000000000002</v>
      </c>
      <c r="F147">
        <v>6</v>
      </c>
      <c r="H147">
        <v>5</v>
      </c>
      <c r="J147" s="2">
        <f t="shared" si="6"/>
        <v>1.07652361</v>
      </c>
      <c r="K147">
        <v>6</v>
      </c>
      <c r="L147">
        <v>5</v>
      </c>
      <c r="N147" s="2">
        <f t="shared" si="7"/>
        <v>0.81095444999999999</v>
      </c>
      <c r="O147">
        <v>1</v>
      </c>
      <c r="P147">
        <v>2</v>
      </c>
      <c r="Q147" t="s">
        <v>83</v>
      </c>
      <c r="R147" t="s">
        <v>91</v>
      </c>
      <c r="S147" s="12">
        <v>40.4</v>
      </c>
      <c r="T147" s="12">
        <v>-113.2</v>
      </c>
      <c r="U147" t="s">
        <v>31</v>
      </c>
      <c r="V147" t="s">
        <v>31</v>
      </c>
      <c r="W147" t="s">
        <v>31</v>
      </c>
      <c r="X147" t="s">
        <v>31</v>
      </c>
      <c r="Y147">
        <v>10.7</v>
      </c>
      <c r="Z147">
        <v>19.3</v>
      </c>
      <c r="AA147" t="s">
        <v>29</v>
      </c>
      <c r="AB147">
        <v>9.5600000000000004E-2</v>
      </c>
    </row>
    <row r="148" spans="1:28" x14ac:dyDescent="0.2">
      <c r="A148">
        <v>25</v>
      </c>
      <c r="B148">
        <v>10</v>
      </c>
      <c r="C148" t="s">
        <v>79</v>
      </c>
      <c r="D148">
        <v>2010</v>
      </c>
      <c r="E148">
        <f>19.76*5</f>
        <v>98.800000000000011</v>
      </c>
      <c r="F148">
        <v>6</v>
      </c>
      <c r="H148">
        <v>6</v>
      </c>
      <c r="J148" s="2">
        <f t="shared" si="6"/>
        <v>1.2918283320000001</v>
      </c>
      <c r="K148">
        <v>6</v>
      </c>
      <c r="L148">
        <v>5</v>
      </c>
      <c r="N148" s="2">
        <f t="shared" si="7"/>
        <v>0.81095444999999999</v>
      </c>
      <c r="O148">
        <v>1</v>
      </c>
      <c r="P148">
        <v>2</v>
      </c>
      <c r="Q148" t="s">
        <v>83</v>
      </c>
      <c r="R148" t="s">
        <v>91</v>
      </c>
      <c r="S148" s="12">
        <v>40.4</v>
      </c>
      <c r="T148" s="12">
        <v>-113.2</v>
      </c>
      <c r="U148" t="s">
        <v>31</v>
      </c>
      <c r="V148" t="s">
        <v>31</v>
      </c>
      <c r="W148" t="s">
        <v>31</v>
      </c>
      <c r="X148" t="s">
        <v>31</v>
      </c>
      <c r="Y148">
        <v>10.7</v>
      </c>
      <c r="Z148">
        <v>19.3</v>
      </c>
      <c r="AA148" t="s">
        <v>29</v>
      </c>
      <c r="AB148">
        <v>9.5600000000000004E-2</v>
      </c>
    </row>
    <row r="149" spans="1:28" x14ac:dyDescent="0.2">
      <c r="A149">
        <v>25</v>
      </c>
      <c r="B149">
        <v>11</v>
      </c>
      <c r="C149" t="s">
        <v>79</v>
      </c>
      <c r="D149">
        <v>2010</v>
      </c>
      <c r="E149">
        <f>19.76*10</f>
        <v>197.60000000000002</v>
      </c>
      <c r="F149">
        <v>6</v>
      </c>
      <c r="H149">
        <v>6</v>
      </c>
      <c r="J149" s="2">
        <f t="shared" si="6"/>
        <v>1.2918283320000001</v>
      </c>
      <c r="K149">
        <v>6</v>
      </c>
      <c r="L149">
        <v>5</v>
      </c>
      <c r="N149" s="2">
        <f t="shared" si="7"/>
        <v>0.81095444999999999</v>
      </c>
      <c r="O149">
        <v>1</v>
      </c>
      <c r="P149">
        <v>2</v>
      </c>
      <c r="Q149" t="s">
        <v>83</v>
      </c>
      <c r="R149" t="s">
        <v>91</v>
      </c>
      <c r="S149" s="12">
        <v>40.4</v>
      </c>
      <c r="T149" s="12">
        <v>-113.2</v>
      </c>
      <c r="U149" t="s">
        <v>31</v>
      </c>
      <c r="V149" t="s">
        <v>31</v>
      </c>
      <c r="W149" t="s">
        <v>31</v>
      </c>
      <c r="X149" t="s">
        <v>31</v>
      </c>
      <c r="Y149">
        <v>10.7</v>
      </c>
      <c r="Z149">
        <v>19.3</v>
      </c>
      <c r="AA149" t="s">
        <v>29</v>
      </c>
      <c r="AB149">
        <v>9.5600000000000004E-2</v>
      </c>
    </row>
    <row r="150" spans="1:28" x14ac:dyDescent="0.2">
      <c r="A150">
        <v>25</v>
      </c>
      <c r="B150">
        <v>12</v>
      </c>
      <c r="C150" t="s">
        <v>79</v>
      </c>
      <c r="D150">
        <v>2010</v>
      </c>
      <c r="E150">
        <v>7.63</v>
      </c>
      <c r="F150">
        <v>6</v>
      </c>
      <c r="H150">
        <v>4</v>
      </c>
      <c r="J150" s="2">
        <f t="shared" si="6"/>
        <v>0.86121888800000002</v>
      </c>
      <c r="K150">
        <v>6</v>
      </c>
      <c r="L150">
        <v>5</v>
      </c>
      <c r="N150" s="2">
        <f t="shared" si="7"/>
        <v>0.81095444999999999</v>
      </c>
      <c r="O150">
        <v>1</v>
      </c>
      <c r="P150">
        <v>2</v>
      </c>
      <c r="Q150" t="s">
        <v>82</v>
      </c>
      <c r="R150" t="s">
        <v>91</v>
      </c>
      <c r="S150" s="12">
        <v>41</v>
      </c>
      <c r="T150" s="12">
        <v>-112</v>
      </c>
      <c r="U150" t="s">
        <v>31</v>
      </c>
      <c r="V150" t="s">
        <v>31</v>
      </c>
      <c r="W150" t="s">
        <v>31</v>
      </c>
      <c r="X150" t="s">
        <v>31</v>
      </c>
      <c r="Y150">
        <v>9.9</v>
      </c>
      <c r="Z150">
        <v>50.4</v>
      </c>
      <c r="AA150" t="s">
        <v>31</v>
      </c>
      <c r="AB150">
        <v>0.26140000000000002</v>
      </c>
    </row>
    <row r="151" spans="1:28" x14ac:dyDescent="0.2">
      <c r="A151">
        <v>25</v>
      </c>
      <c r="B151">
        <v>13</v>
      </c>
      <c r="C151" t="s">
        <v>79</v>
      </c>
      <c r="D151">
        <v>2010</v>
      </c>
      <c r="E151">
        <f>E150*5</f>
        <v>38.15</v>
      </c>
      <c r="F151">
        <v>6</v>
      </c>
      <c r="H151">
        <v>5</v>
      </c>
      <c r="J151" s="2">
        <f t="shared" si="6"/>
        <v>1.07652361</v>
      </c>
      <c r="K151">
        <v>6</v>
      </c>
      <c r="L151">
        <v>5</v>
      </c>
      <c r="N151" s="2">
        <f t="shared" si="7"/>
        <v>0.81095444999999999</v>
      </c>
      <c r="O151">
        <v>1</v>
      </c>
      <c r="P151">
        <v>2</v>
      </c>
      <c r="Q151" t="s">
        <v>82</v>
      </c>
      <c r="R151" t="s">
        <v>91</v>
      </c>
      <c r="S151" s="12">
        <v>41</v>
      </c>
      <c r="T151" s="12">
        <v>-112</v>
      </c>
      <c r="U151" t="s">
        <v>31</v>
      </c>
      <c r="V151" t="s">
        <v>31</v>
      </c>
      <c r="W151" t="s">
        <v>31</v>
      </c>
      <c r="X151" t="s">
        <v>31</v>
      </c>
      <c r="Y151">
        <v>9.9</v>
      </c>
      <c r="Z151">
        <v>50.4</v>
      </c>
      <c r="AA151" t="s">
        <v>31</v>
      </c>
      <c r="AB151">
        <v>0.26140000000000002</v>
      </c>
    </row>
    <row r="152" spans="1:28" x14ac:dyDescent="0.2">
      <c r="A152">
        <v>25</v>
      </c>
      <c r="B152">
        <v>14</v>
      </c>
      <c r="C152" t="s">
        <v>79</v>
      </c>
      <c r="D152">
        <v>2010</v>
      </c>
      <c r="E152">
        <f>E150*10</f>
        <v>76.3</v>
      </c>
      <c r="F152">
        <v>6</v>
      </c>
      <c r="H152">
        <v>5</v>
      </c>
      <c r="J152" s="2">
        <f t="shared" si="6"/>
        <v>1.07652361</v>
      </c>
      <c r="K152">
        <v>6</v>
      </c>
      <c r="L152">
        <v>5</v>
      </c>
      <c r="N152" s="2">
        <f t="shared" si="7"/>
        <v>0.81095444999999999</v>
      </c>
      <c r="O152">
        <v>1</v>
      </c>
      <c r="P152">
        <v>2</v>
      </c>
      <c r="Q152" t="s">
        <v>82</v>
      </c>
      <c r="R152" t="s">
        <v>91</v>
      </c>
      <c r="S152" s="12">
        <v>41</v>
      </c>
      <c r="T152" s="12">
        <v>-112</v>
      </c>
      <c r="U152" t="s">
        <v>31</v>
      </c>
      <c r="V152" t="s">
        <v>31</v>
      </c>
      <c r="W152" t="s">
        <v>31</v>
      </c>
      <c r="X152" t="s">
        <v>31</v>
      </c>
      <c r="Y152">
        <v>9.9</v>
      </c>
      <c r="Z152">
        <v>50.4</v>
      </c>
      <c r="AA152" t="s">
        <v>31</v>
      </c>
      <c r="AB152">
        <v>0.26140000000000002</v>
      </c>
    </row>
    <row r="153" spans="1:28" x14ac:dyDescent="0.2">
      <c r="A153">
        <v>25</v>
      </c>
      <c r="B153">
        <v>15</v>
      </c>
      <c r="C153" t="s">
        <v>79</v>
      </c>
      <c r="D153">
        <v>2010</v>
      </c>
      <c r="E153">
        <f>E150*20</f>
        <v>152.6</v>
      </c>
      <c r="F153">
        <v>6</v>
      </c>
      <c r="H153">
        <v>5</v>
      </c>
      <c r="J153" s="2">
        <f t="shared" si="6"/>
        <v>1.07652361</v>
      </c>
      <c r="K153">
        <v>6</v>
      </c>
      <c r="L153">
        <v>5</v>
      </c>
      <c r="N153" s="2">
        <f t="shared" si="7"/>
        <v>0.81095444999999999</v>
      </c>
      <c r="O153">
        <v>1</v>
      </c>
      <c r="P153">
        <v>2</v>
      </c>
      <c r="Q153" t="s">
        <v>82</v>
      </c>
      <c r="R153" t="s">
        <v>91</v>
      </c>
      <c r="S153" s="12">
        <v>41</v>
      </c>
      <c r="T153" s="12">
        <v>-112</v>
      </c>
      <c r="U153" t="s">
        <v>31</v>
      </c>
      <c r="V153" t="s">
        <v>31</v>
      </c>
      <c r="W153" t="s">
        <v>31</v>
      </c>
      <c r="X153" t="s">
        <v>31</v>
      </c>
      <c r="Y153">
        <v>9.9</v>
      </c>
      <c r="Z153">
        <v>50.4</v>
      </c>
      <c r="AA153" t="s">
        <v>31</v>
      </c>
      <c r="AB153">
        <v>0.26140000000000002</v>
      </c>
    </row>
    <row r="154" spans="1:28" x14ac:dyDescent="0.2">
      <c r="A154" s="4">
        <v>58</v>
      </c>
      <c r="B154">
        <v>1</v>
      </c>
      <c r="C154" t="s">
        <v>165</v>
      </c>
      <c r="D154">
        <v>2018</v>
      </c>
      <c r="E154">
        <v>150</v>
      </c>
      <c r="F154">
        <v>15</v>
      </c>
      <c r="G154" t="s">
        <v>28</v>
      </c>
      <c r="H154">
        <v>17.600000000000001</v>
      </c>
      <c r="I154">
        <v>3.5</v>
      </c>
      <c r="J154">
        <v>3.5</v>
      </c>
      <c r="K154">
        <v>15</v>
      </c>
      <c r="L154">
        <v>2.6</v>
      </c>
      <c r="M154">
        <v>0.85</v>
      </c>
      <c r="N154">
        <v>0.85</v>
      </c>
      <c r="O154">
        <v>20</v>
      </c>
      <c r="P154">
        <f t="shared" ref="P154:P160" si="8">O154+1</f>
        <v>21</v>
      </c>
      <c r="Q154" s="9"/>
      <c r="R154" s="9" t="s">
        <v>150</v>
      </c>
      <c r="S154" s="13">
        <v>50.364505000000001</v>
      </c>
      <c r="T154" s="13">
        <v>18.968959999999999</v>
      </c>
      <c r="U154" s="9" t="s">
        <v>29</v>
      </c>
      <c r="V154" t="s">
        <v>29</v>
      </c>
      <c r="W154" t="s">
        <v>31</v>
      </c>
      <c r="X154" t="s">
        <v>31</v>
      </c>
      <c r="Y154">
        <v>8.3000000000000007</v>
      </c>
      <c r="Z154">
        <v>66.7</v>
      </c>
      <c r="AA154" t="s">
        <v>31</v>
      </c>
      <c r="AB154">
        <v>0.80020000000000002</v>
      </c>
    </row>
    <row r="155" spans="1:28" x14ac:dyDescent="0.2">
      <c r="A155" s="4">
        <v>58</v>
      </c>
      <c r="B155">
        <v>2</v>
      </c>
      <c r="C155" t="s">
        <v>165</v>
      </c>
      <c r="D155">
        <v>2018</v>
      </c>
      <c r="E155">
        <v>300</v>
      </c>
      <c r="F155">
        <v>15</v>
      </c>
      <c r="G155" t="s">
        <v>28</v>
      </c>
      <c r="H155">
        <v>13.8</v>
      </c>
      <c r="I155">
        <v>2.12</v>
      </c>
      <c r="J155">
        <v>2.12</v>
      </c>
      <c r="K155">
        <v>15</v>
      </c>
      <c r="L155">
        <v>2.6</v>
      </c>
      <c r="M155">
        <v>0.85</v>
      </c>
      <c r="N155">
        <v>0.85</v>
      </c>
      <c r="O155">
        <v>20</v>
      </c>
      <c r="P155">
        <f t="shared" si="8"/>
        <v>21</v>
      </c>
      <c r="Q155" s="9"/>
      <c r="R155" s="9" t="s">
        <v>150</v>
      </c>
      <c r="S155" s="13">
        <v>50.364505000000001</v>
      </c>
      <c r="T155" s="13">
        <v>18.968959999999999</v>
      </c>
      <c r="U155" s="9" t="s">
        <v>29</v>
      </c>
      <c r="V155" t="s">
        <v>29</v>
      </c>
      <c r="W155" t="s">
        <v>31</v>
      </c>
      <c r="X155" t="s">
        <v>31</v>
      </c>
      <c r="Y155">
        <v>8.3000000000000007</v>
      </c>
      <c r="Z155">
        <v>66.7</v>
      </c>
      <c r="AA155" t="s">
        <v>31</v>
      </c>
      <c r="AB155">
        <v>0.80020000000000002</v>
      </c>
    </row>
    <row r="156" spans="1:28" x14ac:dyDescent="0.2">
      <c r="A156" s="4">
        <v>58</v>
      </c>
      <c r="B156">
        <v>3</v>
      </c>
      <c r="C156" t="s">
        <v>165</v>
      </c>
      <c r="D156">
        <v>2018</v>
      </c>
      <c r="E156">
        <v>150</v>
      </c>
      <c r="F156">
        <v>15</v>
      </c>
      <c r="G156" t="s">
        <v>28</v>
      </c>
      <c r="H156">
        <v>13.8</v>
      </c>
      <c r="I156">
        <v>3.45</v>
      </c>
      <c r="J156">
        <v>3.45</v>
      </c>
      <c r="K156">
        <v>15</v>
      </c>
      <c r="L156">
        <v>2.6</v>
      </c>
      <c r="M156">
        <v>0.85</v>
      </c>
      <c r="N156">
        <v>0.85</v>
      </c>
      <c r="O156">
        <v>20</v>
      </c>
      <c r="P156">
        <f t="shared" si="8"/>
        <v>21</v>
      </c>
      <c r="Q156" s="9"/>
      <c r="R156" s="9" t="s">
        <v>150</v>
      </c>
      <c r="S156" s="13">
        <v>50.364505000000001</v>
      </c>
      <c r="T156" s="13">
        <v>18.968959999999999</v>
      </c>
      <c r="U156" s="9" t="s">
        <v>29</v>
      </c>
      <c r="V156" t="s">
        <v>29</v>
      </c>
      <c r="W156" t="s">
        <v>31</v>
      </c>
      <c r="X156" t="s">
        <v>31</v>
      </c>
      <c r="Y156">
        <v>8.3000000000000007</v>
      </c>
      <c r="Z156">
        <v>66.7</v>
      </c>
      <c r="AA156" t="s">
        <v>29</v>
      </c>
      <c r="AB156">
        <v>0.80020000000000002</v>
      </c>
    </row>
    <row r="157" spans="1:28" x14ac:dyDescent="0.2">
      <c r="A157" s="4">
        <v>58</v>
      </c>
      <c r="B157">
        <v>4</v>
      </c>
      <c r="C157" t="s">
        <v>165</v>
      </c>
      <c r="D157">
        <v>2018</v>
      </c>
      <c r="E157">
        <v>300</v>
      </c>
      <c r="F157">
        <v>15</v>
      </c>
      <c r="G157" t="s">
        <v>28</v>
      </c>
      <c r="H157">
        <v>14.8</v>
      </c>
      <c r="I157">
        <v>3.98</v>
      </c>
      <c r="J157">
        <v>3.98</v>
      </c>
      <c r="K157">
        <v>15</v>
      </c>
      <c r="L157">
        <v>2.6</v>
      </c>
      <c r="M157">
        <v>0.85</v>
      </c>
      <c r="N157">
        <v>0.85</v>
      </c>
      <c r="O157">
        <v>20</v>
      </c>
      <c r="P157">
        <f t="shared" si="8"/>
        <v>21</v>
      </c>
      <c r="Q157" s="9"/>
      <c r="R157" s="9" t="s">
        <v>150</v>
      </c>
      <c r="S157" s="13">
        <v>50.364505000000001</v>
      </c>
      <c r="T157" s="13">
        <v>18.968959999999999</v>
      </c>
      <c r="U157" s="9" t="s">
        <v>29</v>
      </c>
      <c r="V157" t="s">
        <v>29</v>
      </c>
      <c r="W157" t="s">
        <v>31</v>
      </c>
      <c r="X157" t="s">
        <v>31</v>
      </c>
      <c r="Y157">
        <v>8.3000000000000007</v>
      </c>
      <c r="Z157">
        <v>66.7</v>
      </c>
      <c r="AA157" t="s">
        <v>29</v>
      </c>
      <c r="AB157">
        <v>0.80020000000000002</v>
      </c>
    </row>
    <row r="158" spans="1:28" x14ac:dyDescent="0.2">
      <c r="A158" s="4">
        <v>58</v>
      </c>
      <c r="B158">
        <v>5</v>
      </c>
      <c r="C158" t="s">
        <v>165</v>
      </c>
      <c r="D158">
        <v>2018</v>
      </c>
      <c r="E158">
        <v>150</v>
      </c>
      <c r="F158">
        <v>15</v>
      </c>
      <c r="G158" t="s">
        <v>28</v>
      </c>
      <c r="H158">
        <v>17.3</v>
      </c>
      <c r="I158">
        <v>4.3499999999999996</v>
      </c>
      <c r="J158">
        <v>4.3499999999999996</v>
      </c>
      <c r="K158">
        <v>15</v>
      </c>
      <c r="L158">
        <v>2.6</v>
      </c>
      <c r="M158">
        <v>0.85</v>
      </c>
      <c r="N158">
        <v>0.85</v>
      </c>
      <c r="O158">
        <v>20</v>
      </c>
      <c r="P158">
        <f t="shared" si="8"/>
        <v>21</v>
      </c>
      <c r="Q158" s="9"/>
      <c r="R158" s="9" t="s">
        <v>150</v>
      </c>
      <c r="S158" s="13">
        <v>50.364505000000001</v>
      </c>
      <c r="T158" s="13">
        <v>18.968959999999999</v>
      </c>
      <c r="U158" s="9" t="s">
        <v>29</v>
      </c>
      <c r="V158" t="s">
        <v>29</v>
      </c>
      <c r="W158" t="s">
        <v>31</v>
      </c>
      <c r="X158" t="s">
        <v>31</v>
      </c>
      <c r="Y158">
        <v>8.3000000000000007</v>
      </c>
      <c r="Z158">
        <v>66.7</v>
      </c>
      <c r="AA158" t="s">
        <v>29</v>
      </c>
      <c r="AB158">
        <v>0.80020000000000002</v>
      </c>
    </row>
    <row r="159" spans="1:28" x14ac:dyDescent="0.2">
      <c r="A159" s="4">
        <v>58</v>
      </c>
      <c r="B159">
        <v>6</v>
      </c>
      <c r="C159" t="s">
        <v>165</v>
      </c>
      <c r="D159">
        <v>2018</v>
      </c>
      <c r="E159">
        <v>300</v>
      </c>
      <c r="F159">
        <v>15</v>
      </c>
      <c r="G159" t="s">
        <v>28</v>
      </c>
      <c r="H159">
        <v>16.600000000000001</v>
      </c>
      <c r="I159">
        <v>3.43</v>
      </c>
      <c r="J159">
        <v>3.43</v>
      </c>
      <c r="K159">
        <v>15</v>
      </c>
      <c r="L159">
        <v>2.6</v>
      </c>
      <c r="M159">
        <v>0.85</v>
      </c>
      <c r="N159">
        <v>0.85</v>
      </c>
      <c r="O159">
        <v>20</v>
      </c>
      <c r="P159">
        <f t="shared" si="8"/>
        <v>21</v>
      </c>
      <c r="Q159" s="9"/>
      <c r="R159" s="9" t="s">
        <v>150</v>
      </c>
      <c r="S159" s="13">
        <v>50.364505000000001</v>
      </c>
      <c r="T159" s="13">
        <v>18.968959999999999</v>
      </c>
      <c r="U159" s="9" t="s">
        <v>29</v>
      </c>
      <c r="V159" t="s">
        <v>29</v>
      </c>
      <c r="W159" t="s">
        <v>31</v>
      </c>
      <c r="X159" t="s">
        <v>31</v>
      </c>
      <c r="Y159">
        <v>8.3000000000000007</v>
      </c>
      <c r="Z159">
        <v>66.7</v>
      </c>
      <c r="AA159" t="s">
        <v>29</v>
      </c>
      <c r="AB159">
        <v>0.80020000000000002</v>
      </c>
    </row>
    <row r="160" spans="1:28" x14ac:dyDescent="0.2">
      <c r="A160" s="4">
        <v>59</v>
      </c>
      <c r="B160">
        <v>1</v>
      </c>
      <c r="C160" t="s">
        <v>196</v>
      </c>
      <c r="D160">
        <v>2017</v>
      </c>
      <c r="E160">
        <v>12.5</v>
      </c>
      <c r="F160">
        <v>3</v>
      </c>
      <c r="H160">
        <v>2</v>
      </c>
      <c r="J160" s="2">
        <f>0.215304722*H160</f>
        <v>0.43060944400000001</v>
      </c>
      <c r="K160">
        <v>3</v>
      </c>
      <c r="L160">
        <v>0</v>
      </c>
      <c r="N160" s="2">
        <f>0.16219089*L160</f>
        <v>0</v>
      </c>
      <c r="O160">
        <v>1</v>
      </c>
      <c r="P160">
        <f t="shared" si="8"/>
        <v>2</v>
      </c>
      <c r="Q160" s="9" t="s">
        <v>166</v>
      </c>
      <c r="R160" s="9" t="s">
        <v>93</v>
      </c>
      <c r="S160" s="13">
        <v>37.615689000000003</v>
      </c>
      <c r="T160" s="13">
        <v>-0.87287099999999995</v>
      </c>
      <c r="U160" s="9" t="s">
        <v>31</v>
      </c>
      <c r="V160" t="s">
        <v>29</v>
      </c>
      <c r="W160" t="s">
        <v>31</v>
      </c>
      <c r="X160" t="s">
        <v>31</v>
      </c>
      <c r="Y160">
        <v>17.899999999999999</v>
      </c>
      <c r="Z160">
        <v>30.8</v>
      </c>
      <c r="AA160" t="s">
        <v>31</v>
      </c>
      <c r="AB160">
        <v>0.17549999999999999</v>
      </c>
    </row>
  </sheetData>
  <sortState xmlns:xlrd2="http://schemas.microsoft.com/office/spreadsheetml/2017/richdata2" ref="A2:AB16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2D59-E7E2-0944-BCCD-FA474DE99E7C}">
  <dimension ref="A1:AB107"/>
  <sheetViews>
    <sheetView topLeftCell="C1" workbookViewId="0">
      <selection activeCell="C26" sqref="C26"/>
    </sheetView>
  </sheetViews>
  <sheetFormatPr baseColWidth="10" defaultRowHeight="16" x14ac:dyDescent="0.2"/>
  <cols>
    <col min="3" max="3" width="17" bestFit="1" customWidth="1"/>
    <col min="10" max="10" width="10.83203125" style="10"/>
    <col min="14" max="14" width="10.83203125" style="10"/>
    <col min="20" max="20" width="11.33203125" bestFit="1" customWidth="1"/>
  </cols>
  <sheetData>
    <row r="1" spans="1:28" x14ac:dyDescent="0.2">
      <c r="A1" t="s">
        <v>169</v>
      </c>
      <c r="B1" t="s">
        <v>0</v>
      </c>
      <c r="C1" t="s">
        <v>1</v>
      </c>
      <c r="D1" t="s">
        <v>2</v>
      </c>
      <c r="E1" t="s">
        <v>135</v>
      </c>
      <c r="F1" t="s">
        <v>4</v>
      </c>
      <c r="G1" t="s">
        <v>136</v>
      </c>
      <c r="H1" t="s">
        <v>6</v>
      </c>
      <c r="I1" t="s">
        <v>7</v>
      </c>
      <c r="J1" s="10" t="s">
        <v>137</v>
      </c>
      <c r="K1" t="s">
        <v>9</v>
      </c>
      <c r="L1" t="s">
        <v>138</v>
      </c>
      <c r="M1" t="s">
        <v>139</v>
      </c>
      <c r="N1" s="10" t="s">
        <v>140</v>
      </c>
      <c r="O1" t="s">
        <v>13</v>
      </c>
      <c r="P1" t="s">
        <v>14</v>
      </c>
      <c r="Q1" t="s">
        <v>22</v>
      </c>
      <c r="R1" t="s">
        <v>90</v>
      </c>
      <c r="S1" s="12" t="s">
        <v>141</v>
      </c>
      <c r="T1" s="12" t="s">
        <v>142</v>
      </c>
      <c r="U1" t="s">
        <v>20</v>
      </c>
      <c r="V1" t="s">
        <v>143</v>
      </c>
      <c r="W1" t="s">
        <v>144</v>
      </c>
      <c r="X1" t="s">
        <v>145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197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0">
        <v>0.2</v>
      </c>
      <c r="K2">
        <v>12</v>
      </c>
      <c r="L2">
        <v>2.2999999999999998</v>
      </c>
      <c r="M2">
        <v>0.09</v>
      </c>
      <c r="N2" s="10">
        <f>M2*SQRT(K2)</f>
        <v>0.31176914536239786</v>
      </c>
      <c r="O2">
        <v>2.58</v>
      </c>
      <c r="P2">
        <v>3</v>
      </c>
      <c r="Q2" t="s">
        <v>40</v>
      </c>
      <c r="R2" t="s">
        <v>93</v>
      </c>
      <c r="S2" s="12">
        <v>42.036110000000001</v>
      </c>
      <c r="T2" s="12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71</v>
      </c>
      <c r="D3">
        <v>1990</v>
      </c>
      <c r="E3" s="1">
        <v>22.5</v>
      </c>
      <c r="F3" s="1">
        <v>4</v>
      </c>
      <c r="H3">
        <v>1.6</v>
      </c>
      <c r="J3" s="10">
        <f t="shared" ref="J3:J13" si="0">0.165315237*H3</f>
        <v>0.26450437920000003</v>
      </c>
      <c r="K3">
        <v>4</v>
      </c>
      <c r="L3">
        <v>1.8</v>
      </c>
      <c r="N3" s="10">
        <f>0.135324914*L3</f>
        <v>0.24358484519999998</v>
      </c>
      <c r="O3">
        <v>1</v>
      </c>
      <c r="P3">
        <f>O3+1</f>
        <v>2</v>
      </c>
      <c r="Q3" t="s">
        <v>72</v>
      </c>
      <c r="R3" t="s">
        <v>91</v>
      </c>
      <c r="S3">
        <v>35.648300999999996</v>
      </c>
      <c r="T3" s="12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71</v>
      </c>
      <c r="D4">
        <v>1990</v>
      </c>
      <c r="E4" s="1">
        <v>45</v>
      </c>
      <c r="F4" s="1">
        <v>4</v>
      </c>
      <c r="H4">
        <v>1.6</v>
      </c>
      <c r="J4" s="10">
        <f t="shared" si="0"/>
        <v>0.26450437920000003</v>
      </c>
      <c r="K4">
        <v>4</v>
      </c>
      <c r="L4">
        <v>1.8</v>
      </c>
      <c r="N4" s="10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72</v>
      </c>
      <c r="R4" t="s">
        <v>91</v>
      </c>
      <c r="S4">
        <v>35.648300999999996</v>
      </c>
      <c r="T4" s="12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71</v>
      </c>
      <c r="D5">
        <v>1990</v>
      </c>
      <c r="E5" s="1">
        <v>90</v>
      </c>
      <c r="F5" s="1">
        <v>4</v>
      </c>
      <c r="H5">
        <v>1.3</v>
      </c>
      <c r="J5" s="10">
        <f t="shared" si="0"/>
        <v>0.21490980810000002</v>
      </c>
      <c r="K5">
        <v>4</v>
      </c>
      <c r="L5">
        <v>1.8</v>
      </c>
      <c r="N5" s="10">
        <f t="shared" si="1"/>
        <v>0.24358484519999998</v>
      </c>
      <c r="O5">
        <v>1</v>
      </c>
      <c r="P5">
        <f t="shared" si="2"/>
        <v>2</v>
      </c>
      <c r="Q5" t="s">
        <v>72</v>
      </c>
      <c r="R5" t="s">
        <v>91</v>
      </c>
      <c r="S5">
        <v>35.648300999999996</v>
      </c>
      <c r="T5" s="12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71</v>
      </c>
      <c r="D6">
        <v>1990</v>
      </c>
      <c r="E6" s="1">
        <v>22.5</v>
      </c>
      <c r="F6" s="1">
        <v>4</v>
      </c>
      <c r="H6">
        <v>1.7</v>
      </c>
      <c r="J6" s="10">
        <f t="shared" si="0"/>
        <v>0.28103590290000002</v>
      </c>
      <c r="K6">
        <v>4</v>
      </c>
      <c r="L6">
        <v>1.8</v>
      </c>
      <c r="N6" s="10">
        <f t="shared" si="1"/>
        <v>0.24358484519999998</v>
      </c>
      <c r="O6">
        <v>2</v>
      </c>
      <c r="P6">
        <f t="shared" si="2"/>
        <v>3</v>
      </c>
      <c r="Q6" t="s">
        <v>72</v>
      </c>
      <c r="R6" t="s">
        <v>91</v>
      </c>
      <c r="S6">
        <v>35.648300999999996</v>
      </c>
      <c r="T6" s="12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71</v>
      </c>
      <c r="D7">
        <v>1990</v>
      </c>
      <c r="E7" s="1">
        <v>45</v>
      </c>
      <c r="F7" s="1">
        <v>4</v>
      </c>
      <c r="H7">
        <v>1.6</v>
      </c>
      <c r="J7" s="10">
        <f t="shared" si="0"/>
        <v>0.26450437920000003</v>
      </c>
      <c r="K7">
        <v>4</v>
      </c>
      <c r="L7">
        <v>1.8</v>
      </c>
      <c r="N7" s="10">
        <f t="shared" si="1"/>
        <v>0.24358484519999998</v>
      </c>
      <c r="O7">
        <v>2</v>
      </c>
      <c r="P7">
        <f t="shared" si="2"/>
        <v>3</v>
      </c>
      <c r="Q7" t="s">
        <v>72</v>
      </c>
      <c r="R7" t="s">
        <v>91</v>
      </c>
      <c r="S7">
        <v>35.648300999999996</v>
      </c>
      <c r="T7" s="12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71</v>
      </c>
      <c r="D8">
        <v>1990</v>
      </c>
      <c r="E8" s="1">
        <v>90</v>
      </c>
      <c r="F8" s="1">
        <v>4</v>
      </c>
      <c r="H8">
        <v>1.4</v>
      </c>
      <c r="J8" s="10">
        <f t="shared" si="0"/>
        <v>0.23144133179999998</v>
      </c>
      <c r="K8">
        <v>4</v>
      </c>
      <c r="L8">
        <v>1.8</v>
      </c>
      <c r="N8" s="10">
        <f t="shared" si="1"/>
        <v>0.24358484519999998</v>
      </c>
      <c r="O8">
        <v>2</v>
      </c>
      <c r="P8">
        <f t="shared" si="2"/>
        <v>3</v>
      </c>
      <c r="Q8" t="s">
        <v>72</v>
      </c>
      <c r="R8" t="s">
        <v>91</v>
      </c>
      <c r="S8">
        <v>35.648300999999996</v>
      </c>
      <c r="T8" s="12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71</v>
      </c>
      <c r="D9">
        <v>1990</v>
      </c>
      <c r="E9" s="1">
        <v>22.5</v>
      </c>
      <c r="F9" s="1">
        <v>4</v>
      </c>
      <c r="H9">
        <v>1.8</v>
      </c>
      <c r="J9" s="10">
        <f t="shared" si="0"/>
        <v>0.29756742660000002</v>
      </c>
      <c r="K9">
        <v>4</v>
      </c>
      <c r="L9">
        <v>1.7</v>
      </c>
      <c r="N9" s="10">
        <f t="shared" si="1"/>
        <v>0.23005235379999997</v>
      </c>
      <c r="O9">
        <v>3</v>
      </c>
      <c r="P9">
        <f t="shared" si="2"/>
        <v>4</v>
      </c>
      <c r="Q9" t="s">
        <v>72</v>
      </c>
      <c r="R9" t="s">
        <v>91</v>
      </c>
      <c r="S9">
        <v>35.648300999999996</v>
      </c>
      <c r="T9" s="12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71</v>
      </c>
      <c r="D10">
        <v>1990</v>
      </c>
      <c r="E10" s="1">
        <v>45</v>
      </c>
      <c r="F10" s="1">
        <v>4</v>
      </c>
      <c r="H10">
        <v>1.8</v>
      </c>
      <c r="J10" s="10">
        <f t="shared" si="0"/>
        <v>0.29756742660000002</v>
      </c>
      <c r="K10">
        <v>4</v>
      </c>
      <c r="L10">
        <v>1.7</v>
      </c>
      <c r="N10" s="10">
        <f t="shared" si="1"/>
        <v>0.23005235379999997</v>
      </c>
      <c r="O10">
        <v>3</v>
      </c>
      <c r="P10">
        <f t="shared" si="2"/>
        <v>4</v>
      </c>
      <c r="Q10" t="s">
        <v>72</v>
      </c>
      <c r="R10" t="s">
        <v>91</v>
      </c>
      <c r="S10">
        <v>35.648300999999996</v>
      </c>
      <c r="T10" s="12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71</v>
      </c>
      <c r="D11">
        <v>1990</v>
      </c>
      <c r="E11" s="1">
        <v>90</v>
      </c>
      <c r="F11" s="1">
        <v>4</v>
      </c>
      <c r="H11">
        <v>1.6</v>
      </c>
      <c r="J11" s="10">
        <f t="shared" si="0"/>
        <v>0.26450437920000003</v>
      </c>
      <c r="K11">
        <v>4</v>
      </c>
      <c r="L11">
        <v>1.7</v>
      </c>
      <c r="N11" s="10">
        <f t="shared" si="1"/>
        <v>0.23005235379999997</v>
      </c>
      <c r="O11">
        <v>3</v>
      </c>
      <c r="P11">
        <f t="shared" si="2"/>
        <v>4</v>
      </c>
      <c r="Q11" t="s">
        <v>72</v>
      </c>
      <c r="R11" t="s">
        <v>91</v>
      </c>
      <c r="S11">
        <v>35.648300999999996</v>
      </c>
      <c r="T11" s="12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71</v>
      </c>
      <c r="D12">
        <v>1990</v>
      </c>
      <c r="E12" s="1">
        <v>22.5</v>
      </c>
      <c r="F12" s="1">
        <v>4</v>
      </c>
      <c r="H12">
        <v>1.3</v>
      </c>
      <c r="J12" s="10">
        <f t="shared" si="0"/>
        <v>0.21490980810000002</v>
      </c>
      <c r="K12">
        <v>4</v>
      </c>
      <c r="L12">
        <v>1.6</v>
      </c>
      <c r="N12" s="10">
        <f t="shared" si="1"/>
        <v>0.21651986239999998</v>
      </c>
      <c r="O12">
        <v>4</v>
      </c>
      <c r="P12">
        <f t="shared" si="2"/>
        <v>5</v>
      </c>
      <c r="Q12" t="s">
        <v>72</v>
      </c>
      <c r="R12" t="s">
        <v>91</v>
      </c>
      <c r="S12">
        <v>35.648300999999996</v>
      </c>
      <c r="T12" s="12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71</v>
      </c>
      <c r="D13">
        <v>1990</v>
      </c>
      <c r="E13" s="1">
        <v>45</v>
      </c>
      <c r="F13" s="1">
        <v>4</v>
      </c>
      <c r="H13">
        <v>1.4</v>
      </c>
      <c r="J13" s="10">
        <f t="shared" si="0"/>
        <v>0.23144133179999998</v>
      </c>
      <c r="K13">
        <v>4</v>
      </c>
      <c r="L13">
        <v>1.6</v>
      </c>
      <c r="N13" s="10">
        <f t="shared" si="1"/>
        <v>0.21651986239999998</v>
      </c>
      <c r="O13">
        <v>4</v>
      </c>
      <c r="P13">
        <f t="shared" si="2"/>
        <v>5</v>
      </c>
      <c r="Q13" t="s">
        <v>72</v>
      </c>
      <c r="R13" t="s">
        <v>91</v>
      </c>
      <c r="S13">
        <v>35.648300999999996</v>
      </c>
      <c r="T13" s="12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71</v>
      </c>
      <c r="D14">
        <v>1990</v>
      </c>
      <c r="E14" s="1">
        <v>90</v>
      </c>
      <c r="F14" s="1">
        <v>4</v>
      </c>
      <c r="H14">
        <v>1.1000000000000001</v>
      </c>
      <c r="J14" s="10">
        <f>0.165315237*H14</f>
        <v>0.18184676070000003</v>
      </c>
      <c r="K14">
        <v>4</v>
      </c>
      <c r="L14">
        <v>1.6</v>
      </c>
      <c r="N14" s="10">
        <f t="shared" si="1"/>
        <v>0.21651986239999998</v>
      </c>
      <c r="O14">
        <v>4</v>
      </c>
      <c r="P14">
        <f t="shared" si="2"/>
        <v>5</v>
      </c>
      <c r="Q14" t="s">
        <v>72</v>
      </c>
      <c r="R14" t="s">
        <v>91</v>
      </c>
      <c r="S14">
        <v>35.648300999999996</v>
      </c>
      <c r="T14" s="12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53</v>
      </c>
      <c r="D15">
        <v>2015</v>
      </c>
      <c r="E15">
        <v>40</v>
      </c>
      <c r="F15">
        <v>4</v>
      </c>
      <c r="G15" t="s">
        <v>49</v>
      </c>
      <c r="H15">
        <v>0.18</v>
      </c>
      <c r="I15">
        <v>6.2E-2</v>
      </c>
      <c r="J15" s="10">
        <f>I15*SQRT(F15)</f>
        <v>0.124</v>
      </c>
      <c r="K15">
        <v>4</v>
      </c>
      <c r="L15">
        <v>0.1</v>
      </c>
      <c r="M15">
        <v>1.0999999999999999E-2</v>
      </c>
      <c r="N15" s="10">
        <f>M15*SQRT(K15)</f>
        <v>2.1999999999999999E-2</v>
      </c>
      <c r="O15">
        <v>6</v>
      </c>
      <c r="P15">
        <f t="shared" si="2"/>
        <v>7</v>
      </c>
      <c r="Q15" t="s">
        <v>54</v>
      </c>
      <c r="R15" t="s">
        <v>92</v>
      </c>
      <c r="S15" s="14">
        <v>-40.573329999999999</v>
      </c>
      <c r="T15" s="12">
        <v>-70.832499999999996</v>
      </c>
      <c r="U15" t="s">
        <v>31</v>
      </c>
      <c r="V15" t="s">
        <v>29</v>
      </c>
      <c r="W15" t="s">
        <v>29</v>
      </c>
      <c r="X15" t="s">
        <v>31</v>
      </c>
      <c r="Y15">
        <v>14.7</v>
      </c>
      <c r="Z15">
        <v>24.8</v>
      </c>
      <c r="AA15" t="s">
        <v>31</v>
      </c>
      <c r="AB15">
        <v>0.44740000000000002</v>
      </c>
    </row>
    <row r="16" spans="1:28" x14ac:dyDescent="0.2">
      <c r="A16">
        <v>38</v>
      </c>
      <c r="B16">
        <v>2</v>
      </c>
      <c r="C16" t="s">
        <v>117</v>
      </c>
      <c r="D16">
        <v>2016</v>
      </c>
      <c r="E16">
        <v>50</v>
      </c>
      <c r="F16">
        <v>6</v>
      </c>
      <c r="G16" t="s">
        <v>49</v>
      </c>
      <c r="H16">
        <v>3.18</v>
      </c>
      <c r="I16">
        <v>4.9999999999999822E-2</v>
      </c>
      <c r="J16" s="10">
        <f t="shared" ref="J16:J26" si="3">I16*SQRT(F16)</f>
        <v>0.12247448713915846</v>
      </c>
      <c r="K16">
        <v>5</v>
      </c>
      <c r="L16">
        <v>2.96</v>
      </c>
      <c r="M16">
        <v>8.9999999999999858E-2</v>
      </c>
      <c r="N16" s="10">
        <f t="shared" ref="N16:N26" si="4">M16*SQRT(K16)</f>
        <v>0.20124611797498076</v>
      </c>
      <c r="O16">
        <v>1</v>
      </c>
      <c r="P16">
        <f>O16+1</f>
        <v>2</v>
      </c>
      <c r="Q16" t="s">
        <v>119</v>
      </c>
      <c r="R16" t="s">
        <v>93</v>
      </c>
      <c r="S16" s="12">
        <v>42.716670000000001</v>
      </c>
      <c r="T16" s="12">
        <v>-1.2166699999999999</v>
      </c>
      <c r="U16" t="s">
        <v>31</v>
      </c>
      <c r="V16" t="s">
        <v>31</v>
      </c>
      <c r="W16" t="s">
        <v>31</v>
      </c>
      <c r="X16" t="s">
        <v>31</v>
      </c>
      <c r="Y16">
        <v>5.8</v>
      </c>
      <c r="Z16">
        <v>117</v>
      </c>
      <c r="AA16" t="s">
        <v>31</v>
      </c>
      <c r="AB16">
        <v>1.6335</v>
      </c>
    </row>
    <row r="17" spans="1:28" x14ac:dyDescent="0.2">
      <c r="A17">
        <v>38</v>
      </c>
      <c r="B17">
        <v>1</v>
      </c>
      <c r="C17" t="s">
        <v>117</v>
      </c>
      <c r="D17">
        <v>2016</v>
      </c>
      <c r="E17">
        <v>50</v>
      </c>
      <c r="F17">
        <v>6</v>
      </c>
      <c r="G17" t="s">
        <v>49</v>
      </c>
      <c r="H17">
        <v>3.49</v>
      </c>
      <c r="I17">
        <v>6.999999999999984E-2</v>
      </c>
      <c r="J17" s="10">
        <f t="shared" si="3"/>
        <v>0.17146428199482205</v>
      </c>
      <c r="K17">
        <v>5</v>
      </c>
      <c r="L17">
        <v>2.93</v>
      </c>
      <c r="M17">
        <v>0.13999999999999968</v>
      </c>
      <c r="N17" s="10">
        <f t="shared" si="4"/>
        <v>0.31304951684996984</v>
      </c>
      <c r="O17">
        <v>2</v>
      </c>
      <c r="P17">
        <f t="shared" ref="P17:P26" si="5">O17+1</f>
        <v>3</v>
      </c>
      <c r="Q17" t="s">
        <v>119</v>
      </c>
      <c r="R17" t="s">
        <v>93</v>
      </c>
      <c r="S17" s="12">
        <v>42.716670000000001</v>
      </c>
      <c r="T17" s="12">
        <v>-1.2166699999999999</v>
      </c>
      <c r="U17" t="s">
        <v>31</v>
      </c>
      <c r="V17" t="s">
        <v>31</v>
      </c>
      <c r="W17" t="s">
        <v>31</v>
      </c>
      <c r="X17" t="s">
        <v>31</v>
      </c>
      <c r="Y17">
        <v>5.8</v>
      </c>
      <c r="Z17">
        <v>117</v>
      </c>
      <c r="AA17" t="s">
        <v>31</v>
      </c>
      <c r="AB17">
        <v>1.6335</v>
      </c>
    </row>
    <row r="18" spans="1:28" x14ac:dyDescent="0.2">
      <c r="A18">
        <v>38</v>
      </c>
      <c r="B18">
        <v>3</v>
      </c>
      <c r="C18" t="s">
        <v>117</v>
      </c>
      <c r="D18">
        <v>2016</v>
      </c>
      <c r="E18">
        <v>50</v>
      </c>
      <c r="F18">
        <v>6</v>
      </c>
      <c r="G18" t="s">
        <v>49</v>
      </c>
      <c r="H18">
        <v>3.24</v>
      </c>
      <c r="I18">
        <v>0.17999999999999972</v>
      </c>
      <c r="J18" s="10">
        <f t="shared" si="3"/>
        <v>0.44090815370097131</v>
      </c>
      <c r="K18">
        <v>5</v>
      </c>
      <c r="L18">
        <v>2.91</v>
      </c>
      <c r="M18">
        <v>6.999999999999984E-2</v>
      </c>
      <c r="N18" s="10">
        <f t="shared" si="4"/>
        <v>0.15652475842498492</v>
      </c>
      <c r="O18">
        <v>3</v>
      </c>
      <c r="P18">
        <f t="shared" si="5"/>
        <v>4</v>
      </c>
      <c r="Q18" t="s">
        <v>119</v>
      </c>
      <c r="R18" t="s">
        <v>93</v>
      </c>
      <c r="S18" s="12">
        <v>42.716670000000001</v>
      </c>
      <c r="T18" s="12">
        <v>-1.2166699999999999</v>
      </c>
      <c r="U18" t="s">
        <v>31</v>
      </c>
      <c r="V18" t="s">
        <v>31</v>
      </c>
      <c r="W18" t="s">
        <v>31</v>
      </c>
      <c r="X18" t="s">
        <v>31</v>
      </c>
      <c r="Y18">
        <v>5.8</v>
      </c>
      <c r="Z18">
        <v>117</v>
      </c>
      <c r="AA18" t="s">
        <v>31</v>
      </c>
      <c r="AB18">
        <v>1.6335</v>
      </c>
    </row>
    <row r="19" spans="1:28" x14ac:dyDescent="0.2">
      <c r="A19">
        <v>38</v>
      </c>
      <c r="B19">
        <v>6</v>
      </c>
      <c r="C19" t="s">
        <v>117</v>
      </c>
      <c r="D19">
        <v>2016</v>
      </c>
      <c r="E19">
        <v>50</v>
      </c>
      <c r="F19">
        <v>6</v>
      </c>
      <c r="G19" t="s">
        <v>49</v>
      </c>
      <c r="H19">
        <v>3.37</v>
      </c>
      <c r="I19">
        <v>0.16999999999999993</v>
      </c>
      <c r="J19" s="10">
        <f t="shared" si="3"/>
        <v>0.41641325627314008</v>
      </c>
      <c r="K19">
        <v>5</v>
      </c>
      <c r="L19">
        <v>3.16</v>
      </c>
      <c r="M19">
        <v>9.0000000000000302E-2</v>
      </c>
      <c r="N19" s="10">
        <f t="shared" si="4"/>
        <v>0.20124611797498176</v>
      </c>
      <c r="O19">
        <v>4</v>
      </c>
      <c r="P19">
        <f t="shared" si="5"/>
        <v>5</v>
      </c>
      <c r="Q19" t="s">
        <v>119</v>
      </c>
      <c r="R19" t="s">
        <v>93</v>
      </c>
      <c r="S19" s="12">
        <v>42.716670000000001</v>
      </c>
      <c r="T19" s="12">
        <v>-1.2166699999999999</v>
      </c>
      <c r="U19" t="s">
        <v>31</v>
      </c>
      <c r="V19" t="s">
        <v>31</v>
      </c>
      <c r="W19" t="s">
        <v>31</v>
      </c>
      <c r="X19" t="s">
        <v>31</v>
      </c>
      <c r="Y19">
        <v>5.8</v>
      </c>
      <c r="Z19">
        <v>117</v>
      </c>
      <c r="AA19" t="s">
        <v>31</v>
      </c>
      <c r="AB19">
        <v>1.6335</v>
      </c>
    </row>
    <row r="20" spans="1:28" x14ac:dyDescent="0.2">
      <c r="A20">
        <v>38</v>
      </c>
      <c r="B20">
        <v>7</v>
      </c>
      <c r="C20" t="s">
        <v>117</v>
      </c>
      <c r="D20">
        <v>2016</v>
      </c>
      <c r="E20">
        <v>50</v>
      </c>
      <c r="F20">
        <v>6</v>
      </c>
      <c r="G20" t="s">
        <v>49</v>
      </c>
      <c r="H20">
        <v>2.82</v>
      </c>
      <c r="I20">
        <v>0.27</v>
      </c>
      <c r="J20" s="10">
        <f t="shared" si="3"/>
        <v>0.66136223055145804</v>
      </c>
      <c r="K20">
        <v>5</v>
      </c>
      <c r="L20">
        <v>2.9</v>
      </c>
      <c r="M20">
        <v>6.0000000000000053E-2</v>
      </c>
      <c r="N20" s="10">
        <f t="shared" si="4"/>
        <v>0.1341640786499875</v>
      </c>
      <c r="O20">
        <v>5</v>
      </c>
      <c r="P20">
        <f t="shared" si="5"/>
        <v>6</v>
      </c>
      <c r="Q20" t="s">
        <v>119</v>
      </c>
      <c r="R20" t="s">
        <v>93</v>
      </c>
      <c r="S20" s="12">
        <v>42.716670000000001</v>
      </c>
      <c r="T20" s="12">
        <v>-1.2166699999999999</v>
      </c>
      <c r="U20" t="s">
        <v>31</v>
      </c>
      <c r="V20" t="s">
        <v>31</v>
      </c>
      <c r="W20" t="s">
        <v>31</v>
      </c>
      <c r="X20" t="s">
        <v>31</v>
      </c>
      <c r="Y20">
        <v>5.8</v>
      </c>
      <c r="Z20">
        <v>117</v>
      </c>
      <c r="AA20" t="s">
        <v>31</v>
      </c>
      <c r="AB20">
        <v>1.6335</v>
      </c>
    </row>
    <row r="21" spans="1:28" x14ac:dyDescent="0.2">
      <c r="A21">
        <v>38</v>
      </c>
      <c r="B21">
        <v>11</v>
      </c>
      <c r="C21" t="s">
        <v>117</v>
      </c>
      <c r="D21">
        <v>2016</v>
      </c>
      <c r="E21">
        <v>50</v>
      </c>
      <c r="F21">
        <v>6</v>
      </c>
      <c r="G21" t="s">
        <v>49</v>
      </c>
      <c r="H21">
        <v>2.75</v>
      </c>
      <c r="I21">
        <v>0.14999999999999991</v>
      </c>
      <c r="J21" s="10">
        <f t="shared" si="3"/>
        <v>0.36742346141747645</v>
      </c>
      <c r="K21">
        <v>5</v>
      </c>
      <c r="L21">
        <v>3.03</v>
      </c>
      <c r="M21">
        <v>7.0000000000000284E-2</v>
      </c>
      <c r="N21" s="10">
        <f t="shared" si="4"/>
        <v>0.15652475842498592</v>
      </c>
      <c r="O21">
        <v>6</v>
      </c>
      <c r="P21">
        <f t="shared" si="5"/>
        <v>7</v>
      </c>
      <c r="Q21" t="s">
        <v>119</v>
      </c>
      <c r="R21" t="s">
        <v>93</v>
      </c>
      <c r="S21" s="12">
        <v>42.716670000000001</v>
      </c>
      <c r="T21" s="12">
        <v>-1.2166699999999999</v>
      </c>
      <c r="U21" t="s">
        <v>31</v>
      </c>
      <c r="V21" t="s">
        <v>31</v>
      </c>
      <c r="W21" t="s">
        <v>31</v>
      </c>
      <c r="X21" t="s">
        <v>31</v>
      </c>
      <c r="Y21">
        <v>5.8</v>
      </c>
      <c r="Z21">
        <v>117</v>
      </c>
      <c r="AA21" t="s">
        <v>31</v>
      </c>
      <c r="AB21">
        <v>1.6335</v>
      </c>
    </row>
    <row r="22" spans="1:28" x14ac:dyDescent="0.2">
      <c r="A22">
        <v>38</v>
      </c>
      <c r="B22">
        <v>9</v>
      </c>
      <c r="C22" t="s">
        <v>117</v>
      </c>
      <c r="D22">
        <v>2016</v>
      </c>
      <c r="E22">
        <v>50</v>
      </c>
      <c r="F22">
        <v>6</v>
      </c>
      <c r="G22" t="s">
        <v>49</v>
      </c>
      <c r="H22">
        <v>2.98</v>
      </c>
      <c r="I22">
        <v>0.14000000000000012</v>
      </c>
      <c r="J22" s="10">
        <f t="shared" si="3"/>
        <v>0.34292856398964522</v>
      </c>
      <c r="K22">
        <v>5</v>
      </c>
      <c r="L22">
        <v>3.07</v>
      </c>
      <c r="M22">
        <v>0.08</v>
      </c>
      <c r="N22" s="10">
        <f t="shared" si="4"/>
        <v>0.17888543819998318</v>
      </c>
      <c r="O22">
        <v>7</v>
      </c>
      <c r="P22">
        <f t="shared" si="5"/>
        <v>8</v>
      </c>
      <c r="Q22" t="s">
        <v>119</v>
      </c>
      <c r="R22" t="s">
        <v>93</v>
      </c>
      <c r="S22" s="12">
        <v>42.716670000000001</v>
      </c>
      <c r="T22" s="12">
        <v>-1.2166699999999999</v>
      </c>
      <c r="U22" t="s">
        <v>31</v>
      </c>
      <c r="V22" t="s">
        <v>31</v>
      </c>
      <c r="W22" t="s">
        <v>31</v>
      </c>
      <c r="X22" t="s">
        <v>31</v>
      </c>
      <c r="Y22">
        <v>5.8</v>
      </c>
      <c r="Z22">
        <v>117</v>
      </c>
      <c r="AA22" t="s">
        <v>31</v>
      </c>
      <c r="AB22">
        <v>1.6335</v>
      </c>
    </row>
    <row r="23" spans="1:28" x14ac:dyDescent="0.2">
      <c r="A23">
        <v>38</v>
      </c>
      <c r="B23">
        <v>8</v>
      </c>
      <c r="C23" t="s">
        <v>117</v>
      </c>
      <c r="D23">
        <v>2016</v>
      </c>
      <c r="E23">
        <v>50</v>
      </c>
      <c r="F23">
        <v>6</v>
      </c>
      <c r="G23" t="s">
        <v>49</v>
      </c>
      <c r="H23">
        <v>2.69</v>
      </c>
      <c r="I23">
        <v>0.16000000000000014</v>
      </c>
      <c r="J23" s="10">
        <f t="shared" si="3"/>
        <v>0.39191835884530879</v>
      </c>
      <c r="K23">
        <v>5</v>
      </c>
      <c r="L23">
        <v>2.9</v>
      </c>
      <c r="M23">
        <v>0.06</v>
      </c>
      <c r="N23" s="10">
        <f t="shared" si="4"/>
        <v>0.13416407864998739</v>
      </c>
      <c r="O23">
        <v>8</v>
      </c>
      <c r="P23">
        <f t="shared" si="5"/>
        <v>9</v>
      </c>
      <c r="Q23" t="s">
        <v>119</v>
      </c>
      <c r="R23" t="s">
        <v>93</v>
      </c>
      <c r="S23" s="12">
        <v>42.716670000000001</v>
      </c>
      <c r="T23" s="12">
        <v>-1.2166699999999999</v>
      </c>
      <c r="U23" t="s">
        <v>31</v>
      </c>
      <c r="V23" t="s">
        <v>31</v>
      </c>
      <c r="W23" t="s">
        <v>31</v>
      </c>
      <c r="X23" t="s">
        <v>31</v>
      </c>
      <c r="Y23">
        <v>5.8</v>
      </c>
      <c r="Z23">
        <v>117</v>
      </c>
      <c r="AA23" t="s">
        <v>31</v>
      </c>
      <c r="AB23">
        <v>1.6335</v>
      </c>
    </row>
    <row r="24" spans="1:28" x14ac:dyDescent="0.2">
      <c r="A24">
        <v>38</v>
      </c>
      <c r="B24">
        <v>10</v>
      </c>
      <c r="C24" t="s">
        <v>117</v>
      </c>
      <c r="D24">
        <v>2016</v>
      </c>
      <c r="E24">
        <v>50</v>
      </c>
      <c r="F24">
        <v>6</v>
      </c>
      <c r="G24" t="s">
        <v>49</v>
      </c>
      <c r="H24">
        <v>2.95</v>
      </c>
      <c r="I24">
        <v>0.1599999999999997</v>
      </c>
      <c r="J24" s="10">
        <f t="shared" si="3"/>
        <v>0.39191835884530773</v>
      </c>
      <c r="K24">
        <v>5</v>
      </c>
      <c r="L24">
        <v>2.98</v>
      </c>
      <c r="M24">
        <v>6.0000000000000053E-2</v>
      </c>
      <c r="N24" s="10">
        <f t="shared" si="4"/>
        <v>0.1341640786499875</v>
      </c>
      <c r="O24">
        <v>9</v>
      </c>
      <c r="P24">
        <f t="shared" si="5"/>
        <v>10</v>
      </c>
      <c r="Q24" t="s">
        <v>119</v>
      </c>
      <c r="R24" t="s">
        <v>93</v>
      </c>
      <c r="S24" s="12">
        <v>42.716670000000001</v>
      </c>
      <c r="T24" s="12">
        <v>-1.2166699999999999</v>
      </c>
      <c r="U24" t="s">
        <v>31</v>
      </c>
      <c r="V24" t="s">
        <v>31</v>
      </c>
      <c r="W24" t="s">
        <v>31</v>
      </c>
      <c r="X24" t="s">
        <v>31</v>
      </c>
      <c r="Y24">
        <v>5.8</v>
      </c>
      <c r="Z24">
        <v>117</v>
      </c>
      <c r="AA24" t="s">
        <v>31</v>
      </c>
      <c r="AB24">
        <v>1.6335</v>
      </c>
    </row>
    <row r="25" spans="1:28" x14ac:dyDescent="0.2">
      <c r="A25">
        <v>38</v>
      </c>
      <c r="B25">
        <v>4</v>
      </c>
      <c r="C25" t="s">
        <v>117</v>
      </c>
      <c r="D25">
        <v>2016</v>
      </c>
      <c r="E25">
        <v>50</v>
      </c>
      <c r="F25">
        <v>6</v>
      </c>
      <c r="G25" t="s">
        <v>49</v>
      </c>
      <c r="H25">
        <v>3.03</v>
      </c>
      <c r="I25">
        <v>0.17000000000000037</v>
      </c>
      <c r="J25" s="10">
        <f t="shared" si="3"/>
        <v>0.41641325627314113</v>
      </c>
      <c r="K25">
        <v>5</v>
      </c>
      <c r="L25">
        <v>3.11</v>
      </c>
      <c r="M25">
        <v>0.08</v>
      </c>
      <c r="N25" s="10">
        <f t="shared" si="4"/>
        <v>0.17888543819998318</v>
      </c>
      <c r="O25">
        <v>10</v>
      </c>
      <c r="P25">
        <f t="shared" si="5"/>
        <v>11</v>
      </c>
      <c r="Q25" t="s">
        <v>119</v>
      </c>
      <c r="R25" t="s">
        <v>93</v>
      </c>
      <c r="S25" s="12">
        <v>42.716670000000001</v>
      </c>
      <c r="T25" s="12">
        <v>-1.2166699999999999</v>
      </c>
      <c r="U25" t="s">
        <v>31</v>
      </c>
      <c r="V25" t="s">
        <v>31</v>
      </c>
      <c r="W25" t="s">
        <v>31</v>
      </c>
      <c r="X25" t="s">
        <v>31</v>
      </c>
      <c r="Y25">
        <v>5.8</v>
      </c>
      <c r="Z25">
        <v>117</v>
      </c>
      <c r="AA25" t="s">
        <v>31</v>
      </c>
      <c r="AB25">
        <v>1.6335</v>
      </c>
    </row>
    <row r="26" spans="1:28" x14ac:dyDescent="0.2">
      <c r="A26">
        <v>38</v>
      </c>
      <c r="B26">
        <v>5</v>
      </c>
      <c r="C26" t="s">
        <v>117</v>
      </c>
      <c r="D26">
        <v>2016</v>
      </c>
      <c r="E26">
        <v>50</v>
      </c>
      <c r="F26">
        <v>6</v>
      </c>
      <c r="G26" t="s">
        <v>49</v>
      </c>
      <c r="H26">
        <v>2.95</v>
      </c>
      <c r="I26">
        <v>0.11999999999999966</v>
      </c>
      <c r="J26" s="10">
        <f t="shared" si="3"/>
        <v>0.29393876913398054</v>
      </c>
      <c r="K26">
        <v>5</v>
      </c>
      <c r="L26">
        <v>3.1</v>
      </c>
      <c r="M26">
        <v>0.1</v>
      </c>
      <c r="N26" s="10">
        <f t="shared" si="4"/>
        <v>0.22360679774997899</v>
      </c>
      <c r="O26">
        <v>11</v>
      </c>
      <c r="P26">
        <f t="shared" si="5"/>
        <v>12</v>
      </c>
      <c r="Q26" t="s">
        <v>119</v>
      </c>
      <c r="R26" t="s">
        <v>93</v>
      </c>
      <c r="S26" s="12">
        <v>42.716670000000001</v>
      </c>
      <c r="T26" s="12">
        <v>-1.2166699999999999</v>
      </c>
      <c r="U26" t="s">
        <v>31</v>
      </c>
      <c r="V26" t="s">
        <v>31</v>
      </c>
      <c r="W26" t="s">
        <v>31</v>
      </c>
      <c r="X26" t="s">
        <v>31</v>
      </c>
      <c r="Y26">
        <v>5.8</v>
      </c>
      <c r="Z26">
        <v>117</v>
      </c>
      <c r="AA26" t="s">
        <v>31</v>
      </c>
      <c r="AB26">
        <v>1.6335</v>
      </c>
    </row>
    <row r="27" spans="1:28" x14ac:dyDescent="0.2">
      <c r="A27">
        <v>10</v>
      </c>
      <c r="B27">
        <v>1</v>
      </c>
      <c r="C27" t="s">
        <v>97</v>
      </c>
      <c r="D27" t="s">
        <v>51</v>
      </c>
      <c r="E27">
        <v>50</v>
      </c>
      <c r="F27">
        <v>8</v>
      </c>
      <c r="G27" t="s">
        <v>28</v>
      </c>
      <c r="H27">
        <v>0.96</v>
      </c>
      <c r="I27">
        <v>0.26</v>
      </c>
      <c r="J27">
        <v>0.26</v>
      </c>
      <c r="K27">
        <v>8</v>
      </c>
      <c r="L27">
        <v>0.18</v>
      </c>
      <c r="M27">
        <v>0.28000000000000003</v>
      </c>
      <c r="N27">
        <v>0.26</v>
      </c>
      <c r="O27">
        <v>17</v>
      </c>
      <c r="P27">
        <f>O27+1</f>
        <v>18</v>
      </c>
      <c r="Q27" t="s">
        <v>52</v>
      </c>
      <c r="R27" t="s">
        <v>94</v>
      </c>
      <c r="S27" s="12">
        <v>50.473109999999998</v>
      </c>
      <c r="T27" s="12">
        <v>-121.0218</v>
      </c>
      <c r="U27" t="s">
        <v>31</v>
      </c>
      <c r="V27" t="s">
        <v>31</v>
      </c>
      <c r="W27" t="s">
        <v>31</v>
      </c>
      <c r="X27" t="s">
        <v>31</v>
      </c>
      <c r="Y27">
        <v>2.2999999999999998</v>
      </c>
      <c r="Z27">
        <v>44.8</v>
      </c>
      <c r="AA27" t="s">
        <v>31</v>
      </c>
      <c r="AB27">
        <v>0.46660000000000001</v>
      </c>
    </row>
    <row r="28" spans="1:28" x14ac:dyDescent="0.2">
      <c r="A28">
        <v>10</v>
      </c>
      <c r="B28">
        <v>5</v>
      </c>
      <c r="C28" t="s">
        <v>97</v>
      </c>
      <c r="D28" t="s">
        <v>51</v>
      </c>
      <c r="E28">
        <v>250</v>
      </c>
      <c r="F28">
        <v>8</v>
      </c>
      <c r="G28" t="s">
        <v>28</v>
      </c>
      <c r="H28">
        <v>0.76</v>
      </c>
      <c r="I28">
        <v>0.38</v>
      </c>
      <c r="J28">
        <v>0.38</v>
      </c>
      <c r="K28">
        <v>8</v>
      </c>
      <c r="L28">
        <v>0.18</v>
      </c>
      <c r="M28">
        <v>0.28000000000000003</v>
      </c>
      <c r="N28">
        <v>0.38</v>
      </c>
      <c r="O28">
        <v>17</v>
      </c>
      <c r="P28">
        <f t="shared" ref="P28:P36" si="6">O28+1</f>
        <v>18</v>
      </c>
      <c r="Q28" t="s">
        <v>52</v>
      </c>
      <c r="R28" t="s">
        <v>94</v>
      </c>
      <c r="S28" s="12">
        <v>50.473109999999998</v>
      </c>
      <c r="T28" s="12">
        <v>-121.0218</v>
      </c>
      <c r="U28" t="s">
        <v>31</v>
      </c>
      <c r="V28" t="s">
        <v>31</v>
      </c>
      <c r="W28" t="s">
        <v>31</v>
      </c>
      <c r="X28" t="s">
        <v>31</v>
      </c>
      <c r="Y28">
        <v>2.2999999999999998</v>
      </c>
      <c r="Z28">
        <v>44.8</v>
      </c>
      <c r="AA28" t="s">
        <v>31</v>
      </c>
      <c r="AB28">
        <v>0.46660000000000001</v>
      </c>
    </row>
    <row r="29" spans="1:28" x14ac:dyDescent="0.2">
      <c r="A29">
        <v>10</v>
      </c>
      <c r="B29">
        <v>3</v>
      </c>
      <c r="C29" t="s">
        <v>97</v>
      </c>
      <c r="D29" t="s">
        <v>51</v>
      </c>
      <c r="E29">
        <v>150</v>
      </c>
      <c r="F29">
        <v>8</v>
      </c>
      <c r="G29" t="s">
        <v>28</v>
      </c>
      <c r="H29">
        <v>0.95</v>
      </c>
      <c r="I29">
        <v>0.23</v>
      </c>
      <c r="J29">
        <v>0.23</v>
      </c>
      <c r="K29">
        <v>8</v>
      </c>
      <c r="L29">
        <v>0.18</v>
      </c>
      <c r="M29">
        <v>0.28000000000000003</v>
      </c>
      <c r="N29">
        <v>0.23</v>
      </c>
      <c r="O29">
        <v>17</v>
      </c>
      <c r="P29">
        <f t="shared" si="6"/>
        <v>18</v>
      </c>
      <c r="Q29" t="s">
        <v>52</v>
      </c>
      <c r="R29" t="s">
        <v>94</v>
      </c>
      <c r="S29" s="12">
        <v>50.473109999999998</v>
      </c>
      <c r="T29" s="12">
        <v>-121.0218</v>
      </c>
      <c r="U29" t="s">
        <v>31</v>
      </c>
      <c r="V29" t="s">
        <v>31</v>
      </c>
      <c r="W29" t="s">
        <v>31</v>
      </c>
      <c r="X29" t="s">
        <v>31</v>
      </c>
      <c r="Y29">
        <v>2.2999999999999998</v>
      </c>
      <c r="Z29">
        <v>44.8</v>
      </c>
      <c r="AA29" t="s">
        <v>31</v>
      </c>
      <c r="AB29">
        <v>0.46660000000000001</v>
      </c>
    </row>
    <row r="30" spans="1:28" x14ac:dyDescent="0.2">
      <c r="A30">
        <v>10</v>
      </c>
      <c r="B30">
        <v>10</v>
      </c>
      <c r="C30" t="s">
        <v>97</v>
      </c>
      <c r="D30" t="s">
        <v>51</v>
      </c>
      <c r="E30">
        <v>250</v>
      </c>
      <c r="F30">
        <v>8</v>
      </c>
      <c r="G30" t="s">
        <v>28</v>
      </c>
      <c r="H30">
        <v>0.93</v>
      </c>
      <c r="I30">
        <v>0.33</v>
      </c>
      <c r="J30">
        <v>0.33</v>
      </c>
      <c r="K30">
        <v>8</v>
      </c>
      <c r="L30">
        <v>0.18</v>
      </c>
      <c r="M30">
        <v>0.28000000000000003</v>
      </c>
      <c r="N30">
        <v>0.33</v>
      </c>
      <c r="O30">
        <v>17</v>
      </c>
      <c r="P30">
        <f t="shared" si="6"/>
        <v>18</v>
      </c>
      <c r="Q30" t="s">
        <v>52</v>
      </c>
      <c r="R30" t="s">
        <v>94</v>
      </c>
      <c r="S30" s="12">
        <v>50.473109999999998</v>
      </c>
      <c r="T30" s="12">
        <v>-121.0218</v>
      </c>
      <c r="U30" t="s">
        <v>31</v>
      </c>
      <c r="V30" t="s">
        <v>31</v>
      </c>
      <c r="W30" t="s">
        <v>31</v>
      </c>
      <c r="X30" t="s">
        <v>31</v>
      </c>
      <c r="Y30">
        <v>2.2999999999999998</v>
      </c>
      <c r="Z30">
        <v>44.8</v>
      </c>
      <c r="AA30" t="s">
        <v>31</v>
      </c>
      <c r="AB30">
        <v>0.46660000000000001</v>
      </c>
    </row>
    <row r="31" spans="1:28" x14ac:dyDescent="0.2">
      <c r="A31">
        <v>10</v>
      </c>
      <c r="B31">
        <v>4</v>
      </c>
      <c r="C31" t="s">
        <v>97</v>
      </c>
      <c r="D31" t="s">
        <v>51</v>
      </c>
      <c r="E31">
        <v>200</v>
      </c>
      <c r="F31">
        <v>8</v>
      </c>
      <c r="G31" t="s">
        <v>28</v>
      </c>
      <c r="H31">
        <v>0.82</v>
      </c>
      <c r="I31">
        <v>0.26</v>
      </c>
      <c r="J31">
        <v>0.26</v>
      </c>
      <c r="K31">
        <v>8</v>
      </c>
      <c r="L31">
        <v>0.18</v>
      </c>
      <c r="M31">
        <v>0.28000000000000003</v>
      </c>
      <c r="N31">
        <v>0.26</v>
      </c>
      <c r="O31">
        <v>17</v>
      </c>
      <c r="P31">
        <f t="shared" si="6"/>
        <v>18</v>
      </c>
      <c r="Q31" t="s">
        <v>52</v>
      </c>
      <c r="R31" t="s">
        <v>94</v>
      </c>
      <c r="S31" s="12">
        <v>50.473109999999998</v>
      </c>
      <c r="T31" s="12">
        <v>-121.0218</v>
      </c>
      <c r="U31" t="s">
        <v>31</v>
      </c>
      <c r="V31" t="s">
        <v>31</v>
      </c>
      <c r="W31" t="s">
        <v>31</v>
      </c>
      <c r="X31" t="s">
        <v>31</v>
      </c>
      <c r="Y31">
        <v>2.2999999999999998</v>
      </c>
      <c r="Z31">
        <v>44.8</v>
      </c>
      <c r="AA31" t="s">
        <v>31</v>
      </c>
      <c r="AB31">
        <v>0.46660000000000001</v>
      </c>
    </row>
    <row r="32" spans="1:28" x14ac:dyDescent="0.2">
      <c r="A32">
        <v>10</v>
      </c>
      <c r="B32">
        <v>2</v>
      </c>
      <c r="C32" t="s">
        <v>97</v>
      </c>
      <c r="D32" t="s">
        <v>51</v>
      </c>
      <c r="E32">
        <v>100</v>
      </c>
      <c r="F32">
        <v>8</v>
      </c>
      <c r="G32" t="s">
        <v>28</v>
      </c>
      <c r="H32">
        <v>0.92</v>
      </c>
      <c r="I32">
        <v>0.38</v>
      </c>
      <c r="J32">
        <v>0.38</v>
      </c>
      <c r="K32">
        <v>8</v>
      </c>
      <c r="L32">
        <v>0.72</v>
      </c>
      <c r="M32">
        <v>0.08</v>
      </c>
      <c r="N32">
        <v>0.38</v>
      </c>
      <c r="O32">
        <v>17</v>
      </c>
      <c r="P32">
        <f t="shared" si="6"/>
        <v>18</v>
      </c>
      <c r="Q32" t="s">
        <v>52</v>
      </c>
      <c r="R32" t="s">
        <v>94</v>
      </c>
      <c r="S32" s="12">
        <v>50.473109999999998</v>
      </c>
      <c r="T32" s="12">
        <v>-121.0218</v>
      </c>
      <c r="U32" t="s">
        <v>31</v>
      </c>
      <c r="V32" t="s">
        <v>31</v>
      </c>
      <c r="W32" t="s">
        <v>31</v>
      </c>
      <c r="X32" t="s">
        <v>31</v>
      </c>
      <c r="Y32">
        <v>2.2999999999999998</v>
      </c>
      <c r="Z32">
        <v>44.8</v>
      </c>
      <c r="AA32" t="s">
        <v>31</v>
      </c>
      <c r="AB32">
        <v>0.46660000000000001</v>
      </c>
    </row>
    <row r="33" spans="1:28" x14ac:dyDescent="0.2">
      <c r="A33">
        <v>10</v>
      </c>
      <c r="B33">
        <v>9</v>
      </c>
      <c r="C33" t="s">
        <v>97</v>
      </c>
      <c r="D33" t="s">
        <v>51</v>
      </c>
      <c r="E33">
        <v>200</v>
      </c>
      <c r="F33">
        <v>8</v>
      </c>
      <c r="G33" t="s">
        <v>28</v>
      </c>
      <c r="H33">
        <v>1.05</v>
      </c>
      <c r="I33">
        <v>0.26</v>
      </c>
      <c r="J33">
        <v>0.26</v>
      </c>
      <c r="K33">
        <v>8</v>
      </c>
      <c r="L33">
        <v>0.72</v>
      </c>
      <c r="M33">
        <v>0.08</v>
      </c>
      <c r="N33">
        <v>0.26</v>
      </c>
      <c r="O33">
        <v>17</v>
      </c>
      <c r="P33">
        <f t="shared" si="6"/>
        <v>18</v>
      </c>
      <c r="Q33" t="s">
        <v>52</v>
      </c>
      <c r="R33" t="s">
        <v>94</v>
      </c>
      <c r="S33" s="12">
        <v>50.473109999999998</v>
      </c>
      <c r="T33" s="12">
        <v>-121.0218</v>
      </c>
      <c r="U33" t="s">
        <v>31</v>
      </c>
      <c r="V33" t="s">
        <v>31</v>
      </c>
      <c r="W33" t="s">
        <v>31</v>
      </c>
      <c r="X33" t="s">
        <v>31</v>
      </c>
      <c r="Y33">
        <v>2.2999999999999998</v>
      </c>
      <c r="Z33">
        <v>44.8</v>
      </c>
      <c r="AA33" t="s">
        <v>31</v>
      </c>
      <c r="AB33">
        <v>0.46660000000000001</v>
      </c>
    </row>
    <row r="34" spans="1:28" x14ac:dyDescent="0.2">
      <c r="A34">
        <v>10</v>
      </c>
      <c r="B34">
        <v>6</v>
      </c>
      <c r="C34" t="s">
        <v>97</v>
      </c>
      <c r="D34" t="s">
        <v>51</v>
      </c>
      <c r="E34">
        <v>50</v>
      </c>
      <c r="F34">
        <v>8</v>
      </c>
      <c r="G34" t="s">
        <v>28</v>
      </c>
      <c r="H34">
        <v>0.82</v>
      </c>
      <c r="I34">
        <v>0.31</v>
      </c>
      <c r="J34">
        <v>0.31</v>
      </c>
      <c r="K34">
        <v>8</v>
      </c>
      <c r="L34">
        <v>0.72</v>
      </c>
      <c r="M34">
        <v>0.08</v>
      </c>
      <c r="N34">
        <v>0.31</v>
      </c>
      <c r="O34">
        <v>17</v>
      </c>
      <c r="P34">
        <f t="shared" si="6"/>
        <v>18</v>
      </c>
      <c r="Q34" t="s">
        <v>52</v>
      </c>
      <c r="R34" t="s">
        <v>94</v>
      </c>
      <c r="S34" s="12">
        <v>50.473109999999998</v>
      </c>
      <c r="T34" s="12">
        <v>-121.0218</v>
      </c>
      <c r="U34" t="s">
        <v>31</v>
      </c>
      <c r="V34" t="s">
        <v>31</v>
      </c>
      <c r="W34" t="s">
        <v>31</v>
      </c>
      <c r="X34" t="s">
        <v>31</v>
      </c>
      <c r="Y34">
        <v>2.2999999999999998</v>
      </c>
      <c r="Z34">
        <v>44.8</v>
      </c>
      <c r="AA34" t="s">
        <v>31</v>
      </c>
      <c r="AB34">
        <v>0.46660000000000001</v>
      </c>
    </row>
    <row r="35" spans="1:28" x14ac:dyDescent="0.2">
      <c r="A35">
        <v>10</v>
      </c>
      <c r="B35">
        <v>8</v>
      </c>
      <c r="C35" t="s">
        <v>97</v>
      </c>
      <c r="D35" t="s">
        <v>51</v>
      </c>
      <c r="E35">
        <v>150</v>
      </c>
      <c r="F35">
        <v>8</v>
      </c>
      <c r="G35" t="s">
        <v>28</v>
      </c>
      <c r="H35">
        <v>0.73</v>
      </c>
      <c r="I35">
        <v>0.34</v>
      </c>
      <c r="J35">
        <v>0.34</v>
      </c>
      <c r="K35">
        <v>8</v>
      </c>
      <c r="L35">
        <v>0.72</v>
      </c>
      <c r="M35">
        <v>0.08</v>
      </c>
      <c r="N35">
        <v>0.34</v>
      </c>
      <c r="O35">
        <v>17</v>
      </c>
      <c r="P35">
        <f t="shared" si="6"/>
        <v>18</v>
      </c>
      <c r="Q35" t="s">
        <v>52</v>
      </c>
      <c r="R35" t="s">
        <v>94</v>
      </c>
      <c r="S35" s="12">
        <v>50.473109999999998</v>
      </c>
      <c r="T35" s="12">
        <v>-121.0218</v>
      </c>
      <c r="U35" t="s">
        <v>31</v>
      </c>
      <c r="V35" t="s">
        <v>31</v>
      </c>
      <c r="W35" t="s">
        <v>31</v>
      </c>
      <c r="X35" t="s">
        <v>31</v>
      </c>
      <c r="Y35">
        <v>2.2999999999999998</v>
      </c>
      <c r="Z35">
        <v>44.8</v>
      </c>
      <c r="AA35" t="s">
        <v>31</v>
      </c>
      <c r="AB35">
        <v>0.46660000000000001</v>
      </c>
    </row>
    <row r="36" spans="1:28" x14ac:dyDescent="0.2">
      <c r="A36">
        <v>10</v>
      </c>
      <c r="B36">
        <v>7</v>
      </c>
      <c r="C36" t="s">
        <v>97</v>
      </c>
      <c r="D36" t="s">
        <v>51</v>
      </c>
      <c r="E36">
        <v>100</v>
      </c>
      <c r="F36">
        <v>8</v>
      </c>
      <c r="G36" t="s">
        <v>28</v>
      </c>
      <c r="H36">
        <v>0.9</v>
      </c>
      <c r="I36">
        <v>0.31</v>
      </c>
      <c r="J36">
        <v>0.31</v>
      </c>
      <c r="K36">
        <v>8</v>
      </c>
      <c r="L36">
        <v>0.72</v>
      </c>
      <c r="M36">
        <v>0.08</v>
      </c>
      <c r="N36">
        <v>0.31</v>
      </c>
      <c r="O36">
        <v>17</v>
      </c>
      <c r="P36">
        <f t="shared" si="6"/>
        <v>18</v>
      </c>
      <c r="Q36" t="s">
        <v>52</v>
      </c>
      <c r="R36" t="s">
        <v>94</v>
      </c>
      <c r="S36" s="12">
        <v>50.473109999999998</v>
      </c>
      <c r="T36" s="12">
        <v>-121.0218</v>
      </c>
      <c r="U36" t="s">
        <v>31</v>
      </c>
      <c r="V36" t="s">
        <v>31</v>
      </c>
      <c r="W36" t="s">
        <v>31</v>
      </c>
      <c r="X36" t="s">
        <v>31</v>
      </c>
      <c r="Y36">
        <v>2.2999999999999998</v>
      </c>
      <c r="Z36">
        <v>44.8</v>
      </c>
      <c r="AA36" t="s">
        <v>31</v>
      </c>
      <c r="AB36">
        <v>0.46660000000000001</v>
      </c>
    </row>
    <row r="37" spans="1:28" x14ac:dyDescent="0.2">
      <c r="H37">
        <f>SUM(H15:H36)+H2</f>
        <v>44.769999999999996</v>
      </c>
      <c r="J37" s="10">
        <f>SUM(J15:J36)+J2</f>
        <v>7.4011631781644089</v>
      </c>
      <c r="L37">
        <f>SUM(L15:L36)+L2</f>
        <v>39.949999999999989</v>
      </c>
      <c r="N37" s="10">
        <f>SUM(N15:N36)+N2</f>
        <v>5.4062303251122072</v>
      </c>
      <c r="S37" s="12"/>
      <c r="T37" s="12"/>
    </row>
    <row r="38" spans="1:28" x14ac:dyDescent="0.2">
      <c r="I38">
        <f>J37/H37</f>
        <v>0.16531523739478243</v>
      </c>
      <c r="M38">
        <f>N37/L37</f>
        <v>0.13532491427064353</v>
      </c>
      <c r="S38" s="12"/>
      <c r="T38" s="12"/>
    </row>
    <row r="39" spans="1:28" x14ac:dyDescent="0.2">
      <c r="S39" s="12"/>
      <c r="T39" s="12"/>
    </row>
    <row r="40" spans="1:28" x14ac:dyDescent="0.2">
      <c r="S40" s="12"/>
      <c r="T40" s="12"/>
    </row>
    <row r="41" spans="1:28" x14ac:dyDescent="0.2">
      <c r="S41" s="12"/>
      <c r="T41" s="12"/>
    </row>
    <row r="47" spans="1:28" x14ac:dyDescent="0.2">
      <c r="C47" t="s">
        <v>73</v>
      </c>
      <c r="D47">
        <v>2010</v>
      </c>
      <c r="E47" t="s">
        <v>180</v>
      </c>
    </row>
    <row r="49" spans="3:8" x14ac:dyDescent="0.2">
      <c r="C49" t="s">
        <v>65</v>
      </c>
      <c r="D49">
        <v>2000</v>
      </c>
      <c r="E49" t="s">
        <v>198</v>
      </c>
    </row>
    <row r="50" spans="3:8" x14ac:dyDescent="0.2">
      <c r="C50" t="s">
        <v>181</v>
      </c>
      <c r="D50">
        <v>2005</v>
      </c>
      <c r="E50" t="s">
        <v>182</v>
      </c>
    </row>
    <row r="51" spans="3:8" x14ac:dyDescent="0.2">
      <c r="C51" t="s">
        <v>126</v>
      </c>
      <c r="D51">
        <v>2005</v>
      </c>
      <c r="E51" t="s">
        <v>183</v>
      </c>
    </row>
    <row r="53" spans="3:8" x14ac:dyDescent="0.2">
      <c r="C53" t="s">
        <v>124</v>
      </c>
      <c r="D53">
        <v>2019</v>
      </c>
      <c r="E53" t="s">
        <v>184</v>
      </c>
    </row>
    <row r="54" spans="3:8" x14ac:dyDescent="0.2">
      <c r="C54" t="s">
        <v>75</v>
      </c>
      <c r="D54">
        <v>2003</v>
      </c>
      <c r="E54" t="s">
        <v>199</v>
      </c>
    </row>
    <row r="55" spans="3:8" x14ac:dyDescent="0.2">
      <c r="C55" t="s">
        <v>88</v>
      </c>
      <c r="D55">
        <v>1998</v>
      </c>
      <c r="E55" t="s">
        <v>200</v>
      </c>
    </row>
    <row r="56" spans="3:8" x14ac:dyDescent="0.2">
      <c r="C56" t="s">
        <v>67</v>
      </c>
      <c r="D56">
        <v>1996</v>
      </c>
      <c r="E56" t="s">
        <v>176</v>
      </c>
    </row>
    <row r="57" spans="3:8" x14ac:dyDescent="0.2">
      <c r="E57" t="s">
        <v>177</v>
      </c>
    </row>
    <row r="58" spans="3:8" x14ac:dyDescent="0.2">
      <c r="C58" t="s">
        <v>178</v>
      </c>
      <c r="D58">
        <v>2011</v>
      </c>
      <c r="E58" t="s">
        <v>179</v>
      </c>
    </row>
    <row r="59" spans="3:8" x14ac:dyDescent="0.2">
      <c r="C59" t="s">
        <v>185</v>
      </c>
      <c r="D59">
        <v>2018</v>
      </c>
      <c r="E59" t="s">
        <v>186</v>
      </c>
    </row>
    <row r="60" spans="3:8" x14ac:dyDescent="0.2">
      <c r="C60" t="s">
        <v>109</v>
      </c>
      <c r="D60">
        <v>2015</v>
      </c>
      <c r="E60" t="s">
        <v>187</v>
      </c>
    </row>
    <row r="61" spans="3:8" x14ac:dyDescent="0.2">
      <c r="C61" t="s">
        <v>43</v>
      </c>
      <c r="D61">
        <v>2014</v>
      </c>
      <c r="E61" t="s">
        <v>188</v>
      </c>
    </row>
    <row r="64" spans="3:8" x14ac:dyDescent="0.2">
      <c r="D64">
        <v>2003.98168498168</v>
      </c>
      <c r="E64">
        <v>10.1331853496115</v>
      </c>
      <c r="F64">
        <f>E64^0.5</f>
        <v>3.1832664590969291</v>
      </c>
      <c r="G64">
        <v>3.18</v>
      </c>
      <c r="H64">
        <f>3.23-3.18</f>
        <v>4.9999999999999822E-2</v>
      </c>
    </row>
    <row r="65" spans="4:8" x14ac:dyDescent="0.2">
      <c r="D65">
        <v>2003.98168498168</v>
      </c>
      <c r="E65">
        <v>10.4439511653718</v>
      </c>
      <c r="F65">
        <f t="shared" ref="F65:F107" si="7">E65^0.5</f>
        <v>3.2317102539323974</v>
      </c>
    </row>
    <row r="66" spans="4:8" x14ac:dyDescent="0.2">
      <c r="D66">
        <v>2004.98901098901</v>
      </c>
      <c r="E66">
        <v>12.184239733629299</v>
      </c>
      <c r="F66">
        <f t="shared" si="7"/>
        <v>3.4905930346617748</v>
      </c>
      <c r="G66">
        <v>3.49</v>
      </c>
      <c r="H66">
        <f>3.56-3.49</f>
        <v>6.999999999999984E-2</v>
      </c>
    </row>
    <row r="67" spans="4:8" x14ac:dyDescent="0.2">
      <c r="D67">
        <v>2004.98901098901</v>
      </c>
      <c r="E67">
        <v>12.650388457269701</v>
      </c>
      <c r="F67">
        <f t="shared" si="7"/>
        <v>3.5567384578107091</v>
      </c>
    </row>
    <row r="68" spans="4:8" x14ac:dyDescent="0.2">
      <c r="D68">
        <v>2006.01465201465</v>
      </c>
      <c r="E68">
        <v>10.4905660377358</v>
      </c>
      <c r="F68">
        <f t="shared" si="7"/>
        <v>3.2389143301013381</v>
      </c>
      <c r="G68">
        <v>3.24</v>
      </c>
      <c r="H68">
        <f>3.42-G68</f>
        <v>0.17999999999999972</v>
      </c>
    </row>
    <row r="69" spans="4:8" x14ac:dyDescent="0.2">
      <c r="D69">
        <v>2005.97802197802</v>
      </c>
      <c r="E69">
        <v>11.671476137624801</v>
      </c>
      <c r="F69">
        <f t="shared" si="7"/>
        <v>3.4163542172357948</v>
      </c>
    </row>
    <row r="70" spans="4:8" x14ac:dyDescent="0.2">
      <c r="D70">
        <v>2006.98534798534</v>
      </c>
      <c r="E70">
        <v>11.345172031076499</v>
      </c>
      <c r="F70">
        <f t="shared" si="7"/>
        <v>3.3682594958043981</v>
      </c>
      <c r="G70">
        <v>3.37</v>
      </c>
      <c r="H70">
        <f>3.54-3.37</f>
        <v>0.16999999999999993</v>
      </c>
    </row>
    <row r="71" spans="4:8" x14ac:dyDescent="0.2">
      <c r="D71">
        <v>2006.98534798534</v>
      </c>
      <c r="E71">
        <v>12.5571587125416</v>
      </c>
      <c r="F71">
        <f t="shared" si="7"/>
        <v>3.5436081488423068</v>
      </c>
    </row>
    <row r="72" spans="4:8" x14ac:dyDescent="0.2">
      <c r="D72">
        <v>2008.01098901098</v>
      </c>
      <c r="E72">
        <v>7.9267480577136498</v>
      </c>
      <c r="F72">
        <f t="shared" si="7"/>
        <v>2.8154481095757475</v>
      </c>
      <c r="G72">
        <v>2.82</v>
      </c>
      <c r="H72">
        <f>3.09-2.82</f>
        <v>0.27</v>
      </c>
    </row>
    <row r="73" spans="4:8" x14ac:dyDescent="0.2">
      <c r="D73">
        <v>2008.01098901098</v>
      </c>
      <c r="E73">
        <v>9.5427302996670296</v>
      </c>
      <c r="F73">
        <f t="shared" si="7"/>
        <v>3.0891309942550236</v>
      </c>
    </row>
    <row r="74" spans="4:8" x14ac:dyDescent="0.2">
      <c r="D74">
        <v>2008.98168498168</v>
      </c>
      <c r="E74">
        <v>7.5538290788013303</v>
      </c>
      <c r="F74">
        <f t="shared" si="7"/>
        <v>2.7484230167136445</v>
      </c>
      <c r="G74">
        <v>2.75</v>
      </c>
      <c r="H74">
        <f>2.9-2.75</f>
        <v>0.14999999999999991</v>
      </c>
    </row>
    <row r="75" spans="4:8" x14ac:dyDescent="0.2">
      <c r="D75">
        <v>2008.98168498168</v>
      </c>
      <c r="E75">
        <v>8.4239733629300702</v>
      </c>
      <c r="F75">
        <f t="shared" si="7"/>
        <v>2.9024082006034351</v>
      </c>
    </row>
    <row r="76" spans="4:8" x14ac:dyDescent="0.2">
      <c r="D76">
        <v>2009.98901098901</v>
      </c>
      <c r="E76">
        <v>8.9056603773584904</v>
      </c>
      <c r="F76">
        <f t="shared" si="7"/>
        <v>2.9842353086441578</v>
      </c>
      <c r="G76">
        <v>2.98</v>
      </c>
      <c r="H76">
        <f>3.12-G76</f>
        <v>0.14000000000000012</v>
      </c>
    </row>
    <row r="77" spans="4:8" x14ac:dyDescent="0.2">
      <c r="D77">
        <v>2009.98901098901</v>
      </c>
      <c r="E77">
        <v>9.7602663706992203</v>
      </c>
      <c r="F77">
        <f t="shared" si="7"/>
        <v>3.1241425016633317</v>
      </c>
    </row>
    <row r="78" spans="4:8" x14ac:dyDescent="0.2">
      <c r="D78">
        <v>2011.01465201465</v>
      </c>
      <c r="E78">
        <v>7.2586015538290702</v>
      </c>
      <c r="F78">
        <f t="shared" si="7"/>
        <v>2.6941791985369257</v>
      </c>
      <c r="G78">
        <f>2.69</f>
        <v>2.69</v>
      </c>
      <c r="H78">
        <f>2.85-G78</f>
        <v>0.16000000000000014</v>
      </c>
    </row>
    <row r="79" spans="4:8" x14ac:dyDescent="0.2">
      <c r="D79">
        <v>2010.99633699633</v>
      </c>
      <c r="E79">
        <v>8.1442841287458307</v>
      </c>
      <c r="F79">
        <f t="shared" si="7"/>
        <v>2.8538192179508903</v>
      </c>
    </row>
    <row r="80" spans="4:8" x14ac:dyDescent="0.2">
      <c r="D80">
        <v>2012.00366300366</v>
      </c>
      <c r="E80">
        <v>8.6881243063262996</v>
      </c>
      <c r="F80">
        <f t="shared" si="7"/>
        <v>2.9475624346782374</v>
      </c>
      <c r="G80">
        <v>2.95</v>
      </c>
      <c r="H80">
        <f>3.11-G80</f>
        <v>0.1599999999999997</v>
      </c>
    </row>
    <row r="81" spans="4:8" x14ac:dyDescent="0.2">
      <c r="D81">
        <v>2012.02197802197</v>
      </c>
      <c r="E81">
        <v>9.6825749167591493</v>
      </c>
      <c r="F81">
        <f t="shared" si="7"/>
        <v>3.1116836145018261</v>
      </c>
    </row>
    <row r="82" spans="4:8" x14ac:dyDescent="0.2">
      <c r="D82">
        <v>2013.01098901098</v>
      </c>
      <c r="E82">
        <v>9.1853496115427298</v>
      </c>
      <c r="F82">
        <f t="shared" si="7"/>
        <v>3.0307341703855735</v>
      </c>
      <c r="G82">
        <v>3.03</v>
      </c>
      <c r="H82">
        <f>3.2-G82</f>
        <v>0.17000000000000037</v>
      </c>
    </row>
    <row r="83" spans="4:8" x14ac:dyDescent="0.2">
      <c r="D83">
        <v>2013.01098901098</v>
      </c>
      <c r="E83">
        <v>10.2264150943396</v>
      </c>
      <c r="F83">
        <f t="shared" si="7"/>
        <v>3.1978766540221031</v>
      </c>
    </row>
    <row r="84" spans="4:8" x14ac:dyDescent="0.2">
      <c r="D84">
        <v>2014.01831501831</v>
      </c>
      <c r="E84">
        <v>8.7192008879023302</v>
      </c>
      <c r="F84">
        <f t="shared" si="7"/>
        <v>2.9528293021951555</v>
      </c>
      <c r="G84">
        <v>2.95</v>
      </c>
      <c r="H84">
        <f>3.07-G84</f>
        <v>0.11999999999999966</v>
      </c>
    </row>
    <row r="85" spans="4:8" x14ac:dyDescent="0.2">
      <c r="D85">
        <v>2014</v>
      </c>
      <c r="E85">
        <v>9.4339622641509404</v>
      </c>
      <c r="F85">
        <f t="shared" si="7"/>
        <v>3.0714755841697556</v>
      </c>
    </row>
    <row r="86" spans="4:8" x14ac:dyDescent="0.2">
      <c r="D86">
        <v>2003.98168498168</v>
      </c>
      <c r="E86">
        <v>8.7347391786903401</v>
      </c>
      <c r="F86">
        <f t="shared" si="7"/>
        <v>2.9554592162116431</v>
      </c>
      <c r="G86">
        <v>2.96</v>
      </c>
      <c r="H86">
        <f>3.05-G86</f>
        <v>8.9999999999999858E-2</v>
      </c>
    </row>
    <row r="87" spans="4:8" x14ac:dyDescent="0.2">
      <c r="D87">
        <v>2003.98168498168</v>
      </c>
      <c r="E87">
        <v>9.3407325194228594</v>
      </c>
      <c r="F87">
        <f t="shared" si="7"/>
        <v>3.0562611994760625</v>
      </c>
    </row>
    <row r="88" spans="4:8" x14ac:dyDescent="0.2">
      <c r="D88">
        <v>2005.02564102564</v>
      </c>
      <c r="E88">
        <v>8.6104328523862392</v>
      </c>
      <c r="F88">
        <f t="shared" si="7"/>
        <v>2.9343539071465528</v>
      </c>
      <c r="G88">
        <v>2.93</v>
      </c>
      <c r="H88">
        <f>3.07-G88</f>
        <v>0.13999999999999968</v>
      </c>
    </row>
    <row r="89" spans="4:8" x14ac:dyDescent="0.2">
      <c r="D89">
        <v>2005.00732600732</v>
      </c>
      <c r="E89">
        <v>9.4184239733629305</v>
      </c>
      <c r="F89">
        <f t="shared" si="7"/>
        <v>3.0689450912916203</v>
      </c>
    </row>
    <row r="90" spans="4:8" x14ac:dyDescent="0.2">
      <c r="D90">
        <v>2005.97802197802</v>
      </c>
      <c r="E90">
        <v>8.4395116537180908</v>
      </c>
      <c r="F90">
        <f t="shared" si="7"/>
        <v>2.9050837601897284</v>
      </c>
      <c r="G90">
        <v>2.91</v>
      </c>
      <c r="H90">
        <f>2.98-G90</f>
        <v>6.999999999999984E-2</v>
      </c>
    </row>
    <row r="91" spans="4:8" x14ac:dyDescent="0.2">
      <c r="D91">
        <v>2005.99633699633</v>
      </c>
      <c r="E91">
        <v>8.8590455049944499</v>
      </c>
      <c r="F91">
        <f t="shared" si="7"/>
        <v>2.9764148744747345</v>
      </c>
    </row>
    <row r="92" spans="4:8" x14ac:dyDescent="0.2">
      <c r="D92">
        <v>2007.00366300366</v>
      </c>
      <c r="E92">
        <v>9.9778024417314093</v>
      </c>
      <c r="F92">
        <f t="shared" si="7"/>
        <v>3.1587659681798854</v>
      </c>
      <c r="G92">
        <v>3.16</v>
      </c>
      <c r="H92">
        <f>G92-3.07</f>
        <v>9.0000000000000302E-2</v>
      </c>
    </row>
    <row r="93" spans="4:8" x14ac:dyDescent="0.2">
      <c r="D93">
        <v>2007.00366300366</v>
      </c>
      <c r="E93">
        <v>9.4495005549389504</v>
      </c>
      <c r="F93">
        <f t="shared" si="7"/>
        <v>3.0740039939692583</v>
      </c>
    </row>
    <row r="94" spans="4:8" x14ac:dyDescent="0.2">
      <c r="D94">
        <v>2007.99267399267</v>
      </c>
      <c r="E94">
        <v>8.4239733629300702</v>
      </c>
      <c r="F94">
        <f t="shared" si="7"/>
        <v>2.9024082006034351</v>
      </c>
      <c r="G94">
        <v>2.9</v>
      </c>
      <c r="H94">
        <f>2.96-G94</f>
        <v>6.0000000000000053E-2</v>
      </c>
    </row>
    <row r="95" spans="4:8" x14ac:dyDescent="0.2">
      <c r="D95">
        <v>2007.99267399267</v>
      </c>
      <c r="E95">
        <v>8.7347391786903401</v>
      </c>
      <c r="F95">
        <f t="shared" si="7"/>
        <v>2.9554592162116431</v>
      </c>
    </row>
    <row r="96" spans="4:8" x14ac:dyDescent="0.2">
      <c r="D96">
        <v>2009.01831501831</v>
      </c>
      <c r="E96">
        <v>9.1698113207547092</v>
      </c>
      <c r="F96">
        <f t="shared" si="7"/>
        <v>3.0281696320970379</v>
      </c>
      <c r="G96">
        <v>3.03</v>
      </c>
      <c r="H96">
        <f>3.1-G96</f>
        <v>7.0000000000000284E-2</v>
      </c>
    </row>
    <row r="97" spans="4:8" x14ac:dyDescent="0.2">
      <c r="D97">
        <v>2009</v>
      </c>
      <c r="E97">
        <v>9.6204217536071006</v>
      </c>
      <c r="F97">
        <f t="shared" si="7"/>
        <v>3.1016804725192277</v>
      </c>
    </row>
    <row r="98" spans="4:8" x14ac:dyDescent="0.2">
      <c r="D98">
        <v>2010.00732600732</v>
      </c>
      <c r="E98">
        <v>9.4495005549389504</v>
      </c>
      <c r="F98">
        <f t="shared" si="7"/>
        <v>3.0740039939692583</v>
      </c>
      <c r="G98">
        <v>3.07</v>
      </c>
      <c r="H98">
        <v>0.08</v>
      </c>
    </row>
    <row r="99" spans="4:8" x14ac:dyDescent="0.2">
      <c r="D99">
        <v>2010.00732600732</v>
      </c>
      <c r="E99">
        <v>9.9778024417314093</v>
      </c>
      <c r="F99">
        <f t="shared" si="7"/>
        <v>3.1587659681798854</v>
      </c>
    </row>
    <row r="100" spans="4:8" x14ac:dyDescent="0.2">
      <c r="D100">
        <v>2011.01465201465</v>
      </c>
      <c r="E100">
        <v>8.3928967813540503</v>
      </c>
      <c r="F100">
        <f t="shared" si="7"/>
        <v>2.8970496684306348</v>
      </c>
      <c r="G100">
        <v>2.9</v>
      </c>
      <c r="H100">
        <v>0.06</v>
      </c>
    </row>
    <row r="101" spans="4:8" x14ac:dyDescent="0.2">
      <c r="D101">
        <v>2010.99633699633</v>
      </c>
      <c r="E101">
        <v>8.7347391786903401</v>
      </c>
      <c r="F101">
        <f t="shared" si="7"/>
        <v>2.9554592162116431</v>
      </c>
    </row>
    <row r="102" spans="4:8" x14ac:dyDescent="0.2">
      <c r="D102">
        <v>2012.00366300366</v>
      </c>
      <c r="E102">
        <v>8.8590455049944499</v>
      </c>
      <c r="F102">
        <f t="shared" si="7"/>
        <v>2.9764148744747345</v>
      </c>
      <c r="G102">
        <v>2.98</v>
      </c>
      <c r="H102">
        <f>3.04-G102</f>
        <v>6.0000000000000053E-2</v>
      </c>
    </row>
    <row r="103" spans="4:8" x14ac:dyDescent="0.2">
      <c r="D103">
        <v>2012.00366300366</v>
      </c>
      <c r="E103">
        <v>9.2319644839067703</v>
      </c>
      <c r="F103">
        <f t="shared" si="7"/>
        <v>3.0384147978685809</v>
      </c>
    </row>
    <row r="104" spans="4:8" x14ac:dyDescent="0.2">
      <c r="D104">
        <v>2013.01098901098</v>
      </c>
      <c r="E104">
        <v>9.6670366259711393</v>
      </c>
      <c r="F104">
        <f t="shared" si="7"/>
        <v>3.1091858461615218</v>
      </c>
      <c r="G104">
        <v>3.11</v>
      </c>
      <c r="H104">
        <v>0.08</v>
      </c>
    </row>
    <row r="105" spans="4:8" x14ac:dyDescent="0.2">
      <c r="D105">
        <v>2013.0476190476099</v>
      </c>
      <c r="E105">
        <v>10.179800221975499</v>
      </c>
      <c r="F105">
        <f t="shared" si="7"/>
        <v>3.1905799193838571</v>
      </c>
    </row>
    <row r="106" spans="4:8" x14ac:dyDescent="0.2">
      <c r="D106">
        <v>2014.03663003663</v>
      </c>
      <c r="E106">
        <v>9.6204217536071006</v>
      </c>
      <c r="F106">
        <f t="shared" si="7"/>
        <v>3.1016804725192277</v>
      </c>
      <c r="G106">
        <v>3.1</v>
      </c>
      <c r="H106">
        <v>0.1</v>
      </c>
    </row>
    <row r="107" spans="4:8" x14ac:dyDescent="0.2">
      <c r="D107">
        <v>2014</v>
      </c>
      <c r="E107">
        <v>10.210876803551599</v>
      </c>
      <c r="F107">
        <f t="shared" si="7"/>
        <v>3.1954462604699829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3D3E-AE61-AC42-A3EA-51A6EE0189D9}">
  <dimension ref="A1:AB25"/>
  <sheetViews>
    <sheetView workbookViewId="0">
      <selection activeCell="F12" sqref="F12"/>
    </sheetView>
  </sheetViews>
  <sheetFormatPr baseColWidth="10" defaultRowHeight="16" x14ac:dyDescent="0.2"/>
  <sheetData>
    <row r="1" spans="1:28" x14ac:dyDescent="0.2">
      <c r="A1" t="s">
        <v>169</v>
      </c>
      <c r="B1" t="s">
        <v>0</v>
      </c>
      <c r="C1" t="s">
        <v>1</v>
      </c>
      <c r="D1" t="s">
        <v>2</v>
      </c>
      <c r="E1" t="s">
        <v>135</v>
      </c>
      <c r="F1" t="s">
        <v>4</v>
      </c>
      <c r="G1" t="s">
        <v>136</v>
      </c>
      <c r="H1" t="s">
        <v>6</v>
      </c>
      <c r="I1" t="s">
        <v>7</v>
      </c>
      <c r="J1" s="10" t="s">
        <v>137</v>
      </c>
      <c r="K1" t="s">
        <v>9</v>
      </c>
      <c r="L1" t="s">
        <v>138</v>
      </c>
      <c r="M1" t="s">
        <v>139</v>
      </c>
      <c r="N1" s="10" t="s">
        <v>140</v>
      </c>
      <c r="O1" t="s">
        <v>13</v>
      </c>
      <c r="P1" t="s">
        <v>14</v>
      </c>
      <c r="Q1" t="s">
        <v>22</v>
      </c>
      <c r="R1" t="s">
        <v>90</v>
      </c>
      <c r="S1" s="12" t="s">
        <v>141</v>
      </c>
      <c r="T1" s="12" t="s">
        <v>142</v>
      </c>
      <c r="U1" t="s">
        <v>20</v>
      </c>
      <c r="V1" t="s">
        <v>143</v>
      </c>
      <c r="W1" t="s">
        <v>144</v>
      </c>
      <c r="X1" t="s">
        <v>145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197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0">
        <v>0.2</v>
      </c>
      <c r="K2">
        <v>12</v>
      </c>
      <c r="L2">
        <v>2.2999999999999998</v>
      </c>
      <c r="M2">
        <v>0.09</v>
      </c>
      <c r="N2" s="10">
        <f>M2*SQRT(K2)</f>
        <v>0.31176914536239786</v>
      </c>
      <c r="O2">
        <v>2.58</v>
      </c>
      <c r="P2">
        <v>3</v>
      </c>
      <c r="Q2" t="s">
        <v>40</v>
      </c>
      <c r="R2" t="s">
        <v>93</v>
      </c>
      <c r="S2" s="12">
        <v>42.036110000000001</v>
      </c>
      <c r="T2" s="12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71</v>
      </c>
      <c r="D3">
        <v>1990</v>
      </c>
      <c r="E3" s="1">
        <v>22.5</v>
      </c>
      <c r="F3" s="1">
        <v>4</v>
      </c>
      <c r="H3">
        <v>1.6</v>
      </c>
      <c r="J3" s="10">
        <f t="shared" ref="J3:J13" si="0">0.165315237*H3</f>
        <v>0.26450437920000003</v>
      </c>
      <c r="K3">
        <v>4</v>
      </c>
      <c r="L3">
        <v>1.8</v>
      </c>
      <c r="N3" s="10">
        <f>0.135324914*L3</f>
        <v>0.24358484519999998</v>
      </c>
      <c r="O3">
        <v>1</v>
      </c>
      <c r="P3">
        <f>O3+1</f>
        <v>2</v>
      </c>
      <c r="Q3" t="s">
        <v>72</v>
      </c>
      <c r="R3" t="s">
        <v>91</v>
      </c>
      <c r="S3">
        <v>35.648300999999996</v>
      </c>
      <c r="T3" s="12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71</v>
      </c>
      <c r="D4">
        <v>1990</v>
      </c>
      <c r="E4" s="1">
        <v>45</v>
      </c>
      <c r="F4" s="1">
        <v>4</v>
      </c>
      <c r="H4">
        <v>1.6</v>
      </c>
      <c r="J4" s="10">
        <f t="shared" si="0"/>
        <v>0.26450437920000003</v>
      </c>
      <c r="K4">
        <v>4</v>
      </c>
      <c r="L4">
        <v>1.8</v>
      </c>
      <c r="N4" s="10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72</v>
      </c>
      <c r="R4" t="s">
        <v>91</v>
      </c>
      <c r="S4">
        <v>35.648300999999996</v>
      </c>
      <c r="T4" s="12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71</v>
      </c>
      <c r="D5">
        <v>1990</v>
      </c>
      <c r="E5" s="1">
        <v>90</v>
      </c>
      <c r="F5" s="1">
        <v>4</v>
      </c>
      <c r="H5">
        <v>1.3</v>
      </c>
      <c r="J5" s="10">
        <f t="shared" si="0"/>
        <v>0.21490980810000002</v>
      </c>
      <c r="K5">
        <v>4</v>
      </c>
      <c r="L5">
        <v>1.8</v>
      </c>
      <c r="N5" s="10">
        <f t="shared" si="1"/>
        <v>0.24358484519999998</v>
      </c>
      <c r="O5">
        <v>1</v>
      </c>
      <c r="P5">
        <f t="shared" si="2"/>
        <v>2</v>
      </c>
      <c r="Q5" t="s">
        <v>72</v>
      </c>
      <c r="R5" t="s">
        <v>91</v>
      </c>
      <c r="S5">
        <v>35.648300999999996</v>
      </c>
      <c r="T5" s="12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71</v>
      </c>
      <c r="D6">
        <v>1990</v>
      </c>
      <c r="E6" s="1">
        <v>22.5</v>
      </c>
      <c r="F6" s="1">
        <v>4</v>
      </c>
      <c r="H6">
        <v>1.7</v>
      </c>
      <c r="J6" s="10">
        <f t="shared" si="0"/>
        <v>0.28103590290000002</v>
      </c>
      <c r="K6">
        <v>4</v>
      </c>
      <c r="L6">
        <v>1.8</v>
      </c>
      <c r="N6" s="10">
        <f t="shared" si="1"/>
        <v>0.24358484519999998</v>
      </c>
      <c r="O6">
        <v>2</v>
      </c>
      <c r="P6">
        <f t="shared" si="2"/>
        <v>3</v>
      </c>
      <c r="Q6" t="s">
        <v>72</v>
      </c>
      <c r="R6" t="s">
        <v>91</v>
      </c>
      <c r="S6">
        <v>35.648300999999996</v>
      </c>
      <c r="T6" s="12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71</v>
      </c>
      <c r="D7">
        <v>1990</v>
      </c>
      <c r="E7" s="1">
        <v>45</v>
      </c>
      <c r="F7" s="1">
        <v>4</v>
      </c>
      <c r="H7">
        <v>1.6</v>
      </c>
      <c r="J7" s="10">
        <f t="shared" si="0"/>
        <v>0.26450437920000003</v>
      </c>
      <c r="K7">
        <v>4</v>
      </c>
      <c r="L7">
        <v>1.8</v>
      </c>
      <c r="N7" s="10">
        <f t="shared" si="1"/>
        <v>0.24358484519999998</v>
      </c>
      <c r="O7">
        <v>2</v>
      </c>
      <c r="P7">
        <f t="shared" si="2"/>
        <v>3</v>
      </c>
      <c r="Q7" t="s">
        <v>72</v>
      </c>
      <c r="R7" t="s">
        <v>91</v>
      </c>
      <c r="S7">
        <v>35.648300999999996</v>
      </c>
      <c r="T7" s="12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71</v>
      </c>
      <c r="D8">
        <v>1990</v>
      </c>
      <c r="E8" s="1">
        <v>90</v>
      </c>
      <c r="F8" s="1">
        <v>4</v>
      </c>
      <c r="H8">
        <v>1.4</v>
      </c>
      <c r="J8" s="10">
        <f t="shared" si="0"/>
        <v>0.23144133179999998</v>
      </c>
      <c r="K8">
        <v>4</v>
      </c>
      <c r="L8">
        <v>1.8</v>
      </c>
      <c r="N8" s="10">
        <f t="shared" si="1"/>
        <v>0.24358484519999998</v>
      </c>
      <c r="O8">
        <v>2</v>
      </c>
      <c r="P8">
        <f t="shared" si="2"/>
        <v>3</v>
      </c>
      <c r="Q8" t="s">
        <v>72</v>
      </c>
      <c r="R8" t="s">
        <v>91</v>
      </c>
      <c r="S8">
        <v>35.648300999999996</v>
      </c>
      <c r="T8" s="12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71</v>
      </c>
      <c r="D9">
        <v>1990</v>
      </c>
      <c r="E9" s="1">
        <v>22.5</v>
      </c>
      <c r="F9" s="1">
        <v>4</v>
      </c>
      <c r="H9">
        <v>1.8</v>
      </c>
      <c r="J9" s="10">
        <f t="shared" si="0"/>
        <v>0.29756742660000002</v>
      </c>
      <c r="K9">
        <v>4</v>
      </c>
      <c r="L9">
        <v>1.7</v>
      </c>
      <c r="N9" s="10">
        <f t="shared" si="1"/>
        <v>0.23005235379999997</v>
      </c>
      <c r="O9">
        <v>3</v>
      </c>
      <c r="P9">
        <f t="shared" si="2"/>
        <v>4</v>
      </c>
      <c r="Q9" t="s">
        <v>72</v>
      </c>
      <c r="R9" t="s">
        <v>91</v>
      </c>
      <c r="S9">
        <v>35.648300999999996</v>
      </c>
      <c r="T9" s="12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71</v>
      </c>
      <c r="D10">
        <v>1990</v>
      </c>
      <c r="E10" s="1">
        <v>45</v>
      </c>
      <c r="F10" s="1">
        <v>4</v>
      </c>
      <c r="H10">
        <v>1.8</v>
      </c>
      <c r="J10" s="10">
        <f t="shared" si="0"/>
        <v>0.29756742660000002</v>
      </c>
      <c r="K10">
        <v>4</v>
      </c>
      <c r="L10">
        <v>1.7</v>
      </c>
      <c r="N10" s="10">
        <f t="shared" si="1"/>
        <v>0.23005235379999997</v>
      </c>
      <c r="O10">
        <v>3</v>
      </c>
      <c r="P10">
        <f t="shared" si="2"/>
        <v>4</v>
      </c>
      <c r="Q10" t="s">
        <v>72</v>
      </c>
      <c r="R10" t="s">
        <v>91</v>
      </c>
      <c r="S10">
        <v>35.648300999999996</v>
      </c>
      <c r="T10" s="12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71</v>
      </c>
      <c r="D11">
        <v>1990</v>
      </c>
      <c r="E11" s="1">
        <v>90</v>
      </c>
      <c r="F11" s="1">
        <v>4</v>
      </c>
      <c r="H11">
        <v>1.6</v>
      </c>
      <c r="J11" s="10">
        <f t="shared" si="0"/>
        <v>0.26450437920000003</v>
      </c>
      <c r="K11">
        <v>4</v>
      </c>
      <c r="L11">
        <v>1.7</v>
      </c>
      <c r="N11" s="10">
        <f t="shared" si="1"/>
        <v>0.23005235379999997</v>
      </c>
      <c r="O11">
        <v>3</v>
      </c>
      <c r="P11">
        <f t="shared" si="2"/>
        <v>4</v>
      </c>
      <c r="Q11" t="s">
        <v>72</v>
      </c>
      <c r="R11" t="s">
        <v>91</v>
      </c>
      <c r="S11">
        <v>35.648300999999996</v>
      </c>
      <c r="T11" s="12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71</v>
      </c>
      <c r="D12">
        <v>1990</v>
      </c>
      <c r="E12" s="1">
        <v>22.5</v>
      </c>
      <c r="F12" s="1">
        <v>4</v>
      </c>
      <c r="H12">
        <v>1.3</v>
      </c>
      <c r="J12" s="10">
        <f t="shared" si="0"/>
        <v>0.21490980810000002</v>
      </c>
      <c r="K12">
        <v>4</v>
      </c>
      <c r="L12">
        <v>1.6</v>
      </c>
      <c r="N12" s="10">
        <f t="shared" si="1"/>
        <v>0.21651986239999998</v>
      </c>
      <c r="O12">
        <v>4</v>
      </c>
      <c r="P12">
        <f t="shared" si="2"/>
        <v>5</v>
      </c>
      <c r="Q12" t="s">
        <v>72</v>
      </c>
      <c r="R12" t="s">
        <v>91</v>
      </c>
      <c r="S12">
        <v>35.648300999999996</v>
      </c>
      <c r="T12" s="12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71</v>
      </c>
      <c r="D13">
        <v>1990</v>
      </c>
      <c r="E13" s="1">
        <v>45</v>
      </c>
      <c r="F13" s="1">
        <v>4</v>
      </c>
      <c r="H13">
        <v>1.4</v>
      </c>
      <c r="J13" s="10">
        <f t="shared" si="0"/>
        <v>0.23144133179999998</v>
      </c>
      <c r="K13">
        <v>4</v>
      </c>
      <c r="L13">
        <v>1.6</v>
      </c>
      <c r="N13" s="10">
        <f t="shared" si="1"/>
        <v>0.21651986239999998</v>
      </c>
      <c r="O13">
        <v>4</v>
      </c>
      <c r="P13">
        <f t="shared" si="2"/>
        <v>5</v>
      </c>
      <c r="Q13" t="s">
        <v>72</v>
      </c>
      <c r="R13" t="s">
        <v>91</v>
      </c>
      <c r="S13">
        <v>35.648300999999996</v>
      </c>
      <c r="T13" s="12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71</v>
      </c>
      <c r="D14">
        <v>1990</v>
      </c>
      <c r="E14" s="1">
        <v>90</v>
      </c>
      <c r="F14" s="1">
        <v>4</v>
      </c>
      <c r="H14">
        <v>1.1000000000000001</v>
      </c>
      <c r="J14" s="10">
        <f>0.165315237*H14</f>
        <v>0.18184676070000003</v>
      </c>
      <c r="K14">
        <v>4</v>
      </c>
      <c r="L14">
        <v>1.6</v>
      </c>
      <c r="N14" s="10">
        <f t="shared" si="1"/>
        <v>0.21651986239999998</v>
      </c>
      <c r="O14">
        <v>4</v>
      </c>
      <c r="P14">
        <f t="shared" si="2"/>
        <v>5</v>
      </c>
      <c r="Q14" t="s">
        <v>72</v>
      </c>
      <c r="R14" t="s">
        <v>91</v>
      </c>
      <c r="S14">
        <v>35.648300999999996</v>
      </c>
      <c r="T14" s="12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53</v>
      </c>
      <c r="D15">
        <v>2015</v>
      </c>
      <c r="E15">
        <v>40</v>
      </c>
      <c r="F15">
        <v>4</v>
      </c>
      <c r="G15" t="s">
        <v>49</v>
      </c>
      <c r="H15">
        <v>0.18</v>
      </c>
      <c r="I15">
        <v>6.2E-2</v>
      </c>
      <c r="J15" s="10">
        <f>I15*SQRT(F15)</f>
        <v>0.124</v>
      </c>
      <c r="K15">
        <v>4</v>
      </c>
      <c r="L15">
        <v>0.1</v>
      </c>
      <c r="M15">
        <v>1.0999999999999999E-2</v>
      </c>
      <c r="N15" s="10">
        <f>M15*SQRT(K15)</f>
        <v>2.1999999999999999E-2</v>
      </c>
      <c r="O15">
        <v>6</v>
      </c>
      <c r="P15">
        <f t="shared" si="2"/>
        <v>7</v>
      </c>
      <c r="Q15" t="s">
        <v>54</v>
      </c>
      <c r="R15" t="s">
        <v>92</v>
      </c>
      <c r="S15" s="14">
        <v>-40.573329999999999</v>
      </c>
      <c r="T15" s="12">
        <v>-70.832499999999996</v>
      </c>
      <c r="U15" t="s">
        <v>31</v>
      </c>
      <c r="V15" t="s">
        <v>29</v>
      </c>
      <c r="W15" t="s">
        <v>29</v>
      </c>
      <c r="X15" t="s">
        <v>31</v>
      </c>
      <c r="Y15">
        <v>14.7</v>
      </c>
      <c r="Z15">
        <v>24.8</v>
      </c>
      <c r="AA15" t="s">
        <v>31</v>
      </c>
      <c r="AB15">
        <v>0.44740000000000002</v>
      </c>
    </row>
    <row r="16" spans="1:28" x14ac:dyDescent="0.2">
      <c r="A16">
        <v>10</v>
      </c>
      <c r="B16">
        <v>1</v>
      </c>
      <c r="C16" t="s">
        <v>97</v>
      </c>
      <c r="D16" t="s">
        <v>51</v>
      </c>
      <c r="E16">
        <v>50</v>
      </c>
      <c r="F16">
        <v>8</v>
      </c>
      <c r="G16" t="s">
        <v>28</v>
      </c>
      <c r="H16">
        <v>0.96</v>
      </c>
      <c r="I16">
        <v>0.26</v>
      </c>
      <c r="J16">
        <v>0.26</v>
      </c>
      <c r="K16">
        <v>8</v>
      </c>
      <c r="L16">
        <v>0.18</v>
      </c>
      <c r="M16">
        <v>0.28000000000000003</v>
      </c>
      <c r="N16">
        <v>0.26</v>
      </c>
      <c r="O16">
        <v>17</v>
      </c>
      <c r="P16">
        <f>O16+1</f>
        <v>18</v>
      </c>
      <c r="Q16" t="s">
        <v>52</v>
      </c>
      <c r="R16" t="s">
        <v>94</v>
      </c>
      <c r="S16" s="12">
        <v>50.473109999999998</v>
      </c>
      <c r="T16" s="12">
        <v>-121.0218</v>
      </c>
      <c r="U16" t="s">
        <v>29</v>
      </c>
      <c r="V16" t="s">
        <v>29</v>
      </c>
      <c r="W16" t="s">
        <v>31</v>
      </c>
      <c r="X16" t="s">
        <v>31</v>
      </c>
      <c r="Y16">
        <v>2.2999999999999998</v>
      </c>
      <c r="Z16">
        <v>44.8</v>
      </c>
      <c r="AA16" t="s">
        <v>31</v>
      </c>
      <c r="AB16">
        <v>0.46660000000000001</v>
      </c>
    </row>
    <row r="17" spans="1:28" x14ac:dyDescent="0.2">
      <c r="A17">
        <v>10</v>
      </c>
      <c r="B17">
        <v>5</v>
      </c>
      <c r="C17" t="s">
        <v>97</v>
      </c>
      <c r="D17" t="s">
        <v>51</v>
      </c>
      <c r="E17">
        <v>250</v>
      </c>
      <c r="F17">
        <v>8</v>
      </c>
      <c r="G17" t="s">
        <v>28</v>
      </c>
      <c r="H17">
        <v>0.76</v>
      </c>
      <c r="I17">
        <v>0.38</v>
      </c>
      <c r="J17">
        <v>0.38</v>
      </c>
      <c r="K17">
        <v>8</v>
      </c>
      <c r="L17">
        <v>0.18</v>
      </c>
      <c r="M17">
        <v>0.28000000000000003</v>
      </c>
      <c r="N17">
        <v>0.38</v>
      </c>
      <c r="O17">
        <v>17</v>
      </c>
      <c r="P17">
        <f t="shared" ref="P17:P25" si="3">O17+1</f>
        <v>18</v>
      </c>
      <c r="Q17" t="s">
        <v>52</v>
      </c>
      <c r="R17" t="s">
        <v>94</v>
      </c>
      <c r="S17" s="12">
        <v>50.473109999999998</v>
      </c>
      <c r="T17" s="12">
        <v>-121.0218</v>
      </c>
      <c r="U17" t="s">
        <v>29</v>
      </c>
      <c r="V17" t="s">
        <v>29</v>
      </c>
      <c r="W17" t="s">
        <v>31</v>
      </c>
      <c r="X17" t="s">
        <v>31</v>
      </c>
      <c r="Y17">
        <v>2.2999999999999998</v>
      </c>
      <c r="Z17">
        <v>44.8</v>
      </c>
      <c r="AA17" t="s">
        <v>31</v>
      </c>
      <c r="AB17">
        <v>0.46660000000000001</v>
      </c>
    </row>
    <row r="18" spans="1:28" x14ac:dyDescent="0.2">
      <c r="A18">
        <v>10</v>
      </c>
      <c r="B18">
        <v>3</v>
      </c>
      <c r="C18" t="s">
        <v>97</v>
      </c>
      <c r="D18" t="s">
        <v>51</v>
      </c>
      <c r="E18">
        <v>150</v>
      </c>
      <c r="F18">
        <v>8</v>
      </c>
      <c r="G18" t="s">
        <v>28</v>
      </c>
      <c r="H18">
        <v>0.95</v>
      </c>
      <c r="I18">
        <v>0.23</v>
      </c>
      <c r="J18">
        <v>0.23</v>
      </c>
      <c r="K18">
        <v>8</v>
      </c>
      <c r="L18">
        <v>0.18</v>
      </c>
      <c r="M18">
        <v>0.28000000000000003</v>
      </c>
      <c r="N18">
        <v>0.23</v>
      </c>
      <c r="O18">
        <v>17</v>
      </c>
      <c r="P18">
        <f t="shared" si="3"/>
        <v>18</v>
      </c>
      <c r="Q18" t="s">
        <v>52</v>
      </c>
      <c r="R18" t="s">
        <v>94</v>
      </c>
      <c r="S18" s="12">
        <v>50.473109999999998</v>
      </c>
      <c r="T18" s="12">
        <v>-121.0218</v>
      </c>
      <c r="U18" t="s">
        <v>29</v>
      </c>
      <c r="V18" t="s">
        <v>29</v>
      </c>
      <c r="W18" t="s">
        <v>31</v>
      </c>
      <c r="X18" t="s">
        <v>31</v>
      </c>
      <c r="Y18">
        <v>2.2999999999999998</v>
      </c>
      <c r="Z18">
        <v>44.8</v>
      </c>
      <c r="AA18" t="s">
        <v>31</v>
      </c>
      <c r="AB18">
        <v>0.46660000000000001</v>
      </c>
    </row>
    <row r="19" spans="1:28" x14ac:dyDescent="0.2">
      <c r="A19">
        <v>10</v>
      </c>
      <c r="B19">
        <v>10</v>
      </c>
      <c r="C19" t="s">
        <v>97</v>
      </c>
      <c r="D19" t="s">
        <v>51</v>
      </c>
      <c r="E19">
        <v>250</v>
      </c>
      <c r="F19">
        <v>8</v>
      </c>
      <c r="G19" t="s">
        <v>28</v>
      </c>
      <c r="H19">
        <v>0.93</v>
      </c>
      <c r="I19">
        <v>0.33</v>
      </c>
      <c r="J19">
        <v>0.33</v>
      </c>
      <c r="K19">
        <v>8</v>
      </c>
      <c r="L19">
        <v>0.18</v>
      </c>
      <c r="M19">
        <v>0.28000000000000003</v>
      </c>
      <c r="N19">
        <v>0.33</v>
      </c>
      <c r="O19">
        <v>17</v>
      </c>
      <c r="P19">
        <f t="shared" si="3"/>
        <v>18</v>
      </c>
      <c r="Q19" t="s">
        <v>52</v>
      </c>
      <c r="R19" t="s">
        <v>94</v>
      </c>
      <c r="S19" s="12">
        <v>50.473109999999998</v>
      </c>
      <c r="T19" s="12">
        <v>-121.0218</v>
      </c>
      <c r="U19" t="s">
        <v>29</v>
      </c>
      <c r="V19" t="s">
        <v>29</v>
      </c>
      <c r="W19" t="s">
        <v>31</v>
      </c>
      <c r="X19" t="s">
        <v>31</v>
      </c>
      <c r="Y19">
        <v>2.2999999999999998</v>
      </c>
      <c r="Z19">
        <v>44.8</v>
      </c>
      <c r="AA19" t="s">
        <v>31</v>
      </c>
      <c r="AB19">
        <v>0.46660000000000001</v>
      </c>
    </row>
    <row r="20" spans="1:28" x14ac:dyDescent="0.2">
      <c r="A20">
        <v>10</v>
      </c>
      <c r="B20">
        <v>4</v>
      </c>
      <c r="C20" t="s">
        <v>97</v>
      </c>
      <c r="D20" t="s">
        <v>51</v>
      </c>
      <c r="E20">
        <v>200</v>
      </c>
      <c r="F20">
        <v>8</v>
      </c>
      <c r="G20" t="s">
        <v>28</v>
      </c>
      <c r="H20">
        <v>0.82</v>
      </c>
      <c r="I20">
        <v>0.26</v>
      </c>
      <c r="J20">
        <v>0.26</v>
      </c>
      <c r="K20">
        <v>8</v>
      </c>
      <c r="L20">
        <v>0.18</v>
      </c>
      <c r="M20">
        <v>0.28000000000000003</v>
      </c>
      <c r="N20">
        <v>0.26</v>
      </c>
      <c r="O20">
        <v>17</v>
      </c>
      <c r="P20">
        <f t="shared" si="3"/>
        <v>18</v>
      </c>
      <c r="Q20" t="s">
        <v>52</v>
      </c>
      <c r="R20" t="s">
        <v>94</v>
      </c>
      <c r="S20" s="12">
        <v>50.473109999999998</v>
      </c>
      <c r="T20" s="12">
        <v>-121.0218</v>
      </c>
      <c r="U20" t="s">
        <v>29</v>
      </c>
      <c r="V20" t="s">
        <v>29</v>
      </c>
      <c r="W20" t="s">
        <v>31</v>
      </c>
      <c r="X20" t="s">
        <v>31</v>
      </c>
      <c r="Y20">
        <v>2.2999999999999998</v>
      </c>
      <c r="Z20">
        <v>44.8</v>
      </c>
      <c r="AA20" t="s">
        <v>31</v>
      </c>
      <c r="AB20">
        <v>0.46660000000000001</v>
      </c>
    </row>
    <row r="21" spans="1:28" x14ac:dyDescent="0.2">
      <c r="A21">
        <v>10</v>
      </c>
      <c r="B21">
        <v>2</v>
      </c>
      <c r="C21" t="s">
        <v>97</v>
      </c>
      <c r="D21" t="s">
        <v>51</v>
      </c>
      <c r="E21">
        <v>100</v>
      </c>
      <c r="F21">
        <v>8</v>
      </c>
      <c r="G21" t="s">
        <v>28</v>
      </c>
      <c r="H21">
        <v>0.92</v>
      </c>
      <c r="I21">
        <v>0.38</v>
      </c>
      <c r="J21">
        <v>0.38</v>
      </c>
      <c r="K21">
        <v>8</v>
      </c>
      <c r="L21">
        <v>0.72</v>
      </c>
      <c r="M21">
        <v>0.08</v>
      </c>
      <c r="N21">
        <v>0.38</v>
      </c>
      <c r="O21">
        <v>17</v>
      </c>
      <c r="P21">
        <f t="shared" si="3"/>
        <v>18</v>
      </c>
      <c r="Q21" t="s">
        <v>52</v>
      </c>
      <c r="R21" t="s">
        <v>94</v>
      </c>
      <c r="S21" s="12">
        <v>50.473109999999998</v>
      </c>
      <c r="T21" s="12">
        <v>-121.0218</v>
      </c>
      <c r="U21" t="s">
        <v>29</v>
      </c>
      <c r="V21" t="s">
        <v>29</v>
      </c>
      <c r="W21" t="s">
        <v>31</v>
      </c>
      <c r="X21" t="s">
        <v>31</v>
      </c>
      <c r="Y21">
        <v>2.2999999999999998</v>
      </c>
      <c r="Z21">
        <v>44.8</v>
      </c>
      <c r="AA21" t="s">
        <v>31</v>
      </c>
      <c r="AB21">
        <v>0.46660000000000001</v>
      </c>
    </row>
    <row r="22" spans="1:28" x14ac:dyDescent="0.2">
      <c r="A22">
        <v>10</v>
      </c>
      <c r="B22">
        <v>9</v>
      </c>
      <c r="C22" t="s">
        <v>97</v>
      </c>
      <c r="D22" t="s">
        <v>51</v>
      </c>
      <c r="E22">
        <v>200</v>
      </c>
      <c r="F22">
        <v>8</v>
      </c>
      <c r="G22" t="s">
        <v>28</v>
      </c>
      <c r="H22">
        <v>1.05</v>
      </c>
      <c r="I22">
        <v>0.26</v>
      </c>
      <c r="J22">
        <v>0.26</v>
      </c>
      <c r="K22">
        <v>8</v>
      </c>
      <c r="L22">
        <v>0.72</v>
      </c>
      <c r="M22">
        <v>0.08</v>
      </c>
      <c r="N22">
        <v>0.26</v>
      </c>
      <c r="O22">
        <v>17</v>
      </c>
      <c r="P22">
        <f t="shared" si="3"/>
        <v>18</v>
      </c>
      <c r="Q22" t="s">
        <v>52</v>
      </c>
      <c r="R22" t="s">
        <v>94</v>
      </c>
      <c r="S22" s="12">
        <v>50.473109999999998</v>
      </c>
      <c r="T22" s="12">
        <v>-121.0218</v>
      </c>
      <c r="U22" t="s">
        <v>29</v>
      </c>
      <c r="V22" t="s">
        <v>29</v>
      </c>
      <c r="W22" t="s">
        <v>31</v>
      </c>
      <c r="X22" t="s">
        <v>31</v>
      </c>
      <c r="Y22">
        <v>2.2999999999999998</v>
      </c>
      <c r="Z22">
        <v>44.8</v>
      </c>
      <c r="AA22" t="s">
        <v>31</v>
      </c>
      <c r="AB22">
        <v>0.46660000000000001</v>
      </c>
    </row>
    <row r="23" spans="1:28" x14ac:dyDescent="0.2">
      <c r="A23">
        <v>10</v>
      </c>
      <c r="B23">
        <v>6</v>
      </c>
      <c r="C23" t="s">
        <v>97</v>
      </c>
      <c r="D23" t="s">
        <v>51</v>
      </c>
      <c r="E23">
        <v>50</v>
      </c>
      <c r="F23">
        <v>8</v>
      </c>
      <c r="G23" t="s">
        <v>28</v>
      </c>
      <c r="H23">
        <v>0.82</v>
      </c>
      <c r="I23">
        <v>0.31</v>
      </c>
      <c r="J23">
        <v>0.31</v>
      </c>
      <c r="K23">
        <v>8</v>
      </c>
      <c r="L23">
        <v>0.72</v>
      </c>
      <c r="M23">
        <v>0.08</v>
      </c>
      <c r="N23">
        <v>0.31</v>
      </c>
      <c r="O23">
        <v>17</v>
      </c>
      <c r="P23">
        <f t="shared" si="3"/>
        <v>18</v>
      </c>
      <c r="Q23" t="s">
        <v>52</v>
      </c>
      <c r="R23" t="s">
        <v>94</v>
      </c>
      <c r="S23" s="12">
        <v>50.473109999999998</v>
      </c>
      <c r="T23" s="12">
        <v>-121.0218</v>
      </c>
      <c r="U23" t="s">
        <v>29</v>
      </c>
      <c r="V23" t="s">
        <v>29</v>
      </c>
      <c r="W23" t="s">
        <v>31</v>
      </c>
      <c r="X23" t="s">
        <v>31</v>
      </c>
      <c r="Y23">
        <v>2.2999999999999998</v>
      </c>
      <c r="Z23">
        <v>44.8</v>
      </c>
      <c r="AA23" t="s">
        <v>31</v>
      </c>
      <c r="AB23">
        <v>0.46660000000000001</v>
      </c>
    </row>
    <row r="24" spans="1:28" x14ac:dyDescent="0.2">
      <c r="A24">
        <v>10</v>
      </c>
      <c r="B24">
        <v>8</v>
      </c>
      <c r="C24" t="s">
        <v>97</v>
      </c>
      <c r="D24" t="s">
        <v>51</v>
      </c>
      <c r="E24">
        <v>150</v>
      </c>
      <c r="F24">
        <v>8</v>
      </c>
      <c r="G24" t="s">
        <v>28</v>
      </c>
      <c r="H24">
        <v>0.73</v>
      </c>
      <c r="I24">
        <v>0.34</v>
      </c>
      <c r="J24">
        <v>0.34</v>
      </c>
      <c r="K24">
        <v>8</v>
      </c>
      <c r="L24">
        <v>0.72</v>
      </c>
      <c r="M24">
        <v>0.08</v>
      </c>
      <c r="N24">
        <v>0.34</v>
      </c>
      <c r="O24">
        <v>17</v>
      </c>
      <c r="P24">
        <f t="shared" si="3"/>
        <v>18</v>
      </c>
      <c r="Q24" t="s">
        <v>52</v>
      </c>
      <c r="R24" t="s">
        <v>94</v>
      </c>
      <c r="S24" s="12">
        <v>50.473109999999998</v>
      </c>
      <c r="T24" s="12">
        <v>-121.0218</v>
      </c>
      <c r="U24" t="s">
        <v>29</v>
      </c>
      <c r="V24" t="s">
        <v>29</v>
      </c>
      <c r="W24" t="s">
        <v>31</v>
      </c>
      <c r="X24" t="s">
        <v>31</v>
      </c>
      <c r="Y24">
        <v>2.2999999999999998</v>
      </c>
      <c r="Z24">
        <v>44.8</v>
      </c>
      <c r="AA24" t="s">
        <v>31</v>
      </c>
      <c r="AB24">
        <v>0.46660000000000001</v>
      </c>
    </row>
    <row r="25" spans="1:28" x14ac:dyDescent="0.2">
      <c r="A25">
        <v>10</v>
      </c>
      <c r="B25">
        <v>7</v>
      </c>
      <c r="C25" t="s">
        <v>97</v>
      </c>
      <c r="D25" t="s">
        <v>51</v>
      </c>
      <c r="E25">
        <v>100</v>
      </c>
      <c r="F25">
        <v>8</v>
      </c>
      <c r="G25" t="s">
        <v>28</v>
      </c>
      <c r="H25">
        <v>0.9</v>
      </c>
      <c r="I25">
        <v>0.31</v>
      </c>
      <c r="J25">
        <v>0.31</v>
      </c>
      <c r="K25">
        <v>8</v>
      </c>
      <c r="L25">
        <v>0.72</v>
      </c>
      <c r="M25">
        <v>0.08</v>
      </c>
      <c r="N25">
        <v>0.31</v>
      </c>
      <c r="O25">
        <v>17</v>
      </c>
      <c r="P25">
        <f t="shared" si="3"/>
        <v>18</v>
      </c>
      <c r="Q25" t="s">
        <v>52</v>
      </c>
      <c r="R25" t="s">
        <v>94</v>
      </c>
      <c r="S25" s="12">
        <v>50.473109999999998</v>
      </c>
      <c r="T25" s="12">
        <v>-121.0218</v>
      </c>
      <c r="U25" t="s">
        <v>29</v>
      </c>
      <c r="V25" t="s">
        <v>29</v>
      </c>
      <c r="W25" t="s">
        <v>31</v>
      </c>
      <c r="X25" t="s">
        <v>31</v>
      </c>
      <c r="Y25">
        <v>2.2999999999999998</v>
      </c>
      <c r="Z25">
        <v>44.8</v>
      </c>
      <c r="AA25" t="s">
        <v>31</v>
      </c>
      <c r="AB25">
        <v>0.46660000000000001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A58"/>
  <sheetViews>
    <sheetView tabSelected="1" workbookViewId="0">
      <pane ySplit="1" topLeftCell="A3" activePane="bottomLeft" state="frozen"/>
      <selection pane="bottomLeft" activeCell="J8" sqref="J8"/>
    </sheetView>
  </sheetViews>
  <sheetFormatPr baseColWidth="10" defaultRowHeight="16" x14ac:dyDescent="0.2"/>
  <sheetData>
    <row r="1" spans="1:27" x14ac:dyDescent="0.2">
      <c r="A1" t="s">
        <v>169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13</v>
      </c>
      <c r="N1" t="s">
        <v>98</v>
      </c>
      <c r="O1" t="s">
        <v>15</v>
      </c>
      <c r="P1" t="s">
        <v>16</v>
      </c>
      <c r="Q1" t="s">
        <v>194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22</v>
      </c>
      <c r="X1" t="s">
        <v>23</v>
      </c>
      <c r="Y1" t="s">
        <v>24</v>
      </c>
      <c r="Z1" t="s">
        <v>26</v>
      </c>
      <c r="AA1" t="s">
        <v>189</v>
      </c>
    </row>
    <row r="2" spans="1:27" x14ac:dyDescent="0.2">
      <c r="A2">
        <v>33</v>
      </c>
      <c r="B2">
        <v>6</v>
      </c>
      <c r="C2" t="s">
        <v>111</v>
      </c>
      <c r="D2">
        <v>2017</v>
      </c>
      <c r="E2">
        <v>22.4</v>
      </c>
      <c r="F2">
        <v>6</v>
      </c>
      <c r="G2" t="s">
        <v>31</v>
      </c>
      <c r="H2">
        <v>75.3</v>
      </c>
      <c r="I2">
        <v>86</v>
      </c>
      <c r="J2">
        <v>6</v>
      </c>
      <c r="K2">
        <v>36.799999999999997</v>
      </c>
      <c r="L2">
        <v>37.700000000000003</v>
      </c>
      <c r="M2">
        <v>17</v>
      </c>
      <c r="N2">
        <v>18</v>
      </c>
      <c r="O2">
        <v>6.8</v>
      </c>
      <c r="P2">
        <v>38.4</v>
      </c>
      <c r="Q2" t="s">
        <v>31</v>
      </c>
      <c r="R2" t="s">
        <v>44</v>
      </c>
      <c r="S2" t="s">
        <v>31</v>
      </c>
      <c r="T2" t="s">
        <v>31</v>
      </c>
      <c r="U2" t="s">
        <v>31</v>
      </c>
      <c r="V2" t="s">
        <v>31</v>
      </c>
      <c r="W2" t="s">
        <v>113</v>
      </c>
      <c r="X2">
        <v>41.212859999999999</v>
      </c>
      <c r="Y2">
        <v>-104.85183000000001</v>
      </c>
      <c r="Z2">
        <v>0.2402</v>
      </c>
      <c r="AA2" t="s">
        <v>203</v>
      </c>
    </row>
    <row r="3" spans="1:27" x14ac:dyDescent="0.2">
      <c r="A3">
        <v>33</v>
      </c>
      <c r="B3">
        <v>7</v>
      </c>
      <c r="C3" t="s">
        <v>111</v>
      </c>
      <c r="D3">
        <v>2017</v>
      </c>
      <c r="E3">
        <v>22.4</v>
      </c>
      <c r="F3">
        <v>6</v>
      </c>
      <c r="G3" t="s">
        <v>31</v>
      </c>
      <c r="H3">
        <v>443.5</v>
      </c>
      <c r="I3">
        <v>239.1</v>
      </c>
      <c r="J3">
        <v>6</v>
      </c>
      <c r="K3">
        <v>373.3</v>
      </c>
      <c r="L3">
        <v>272.60000000000002</v>
      </c>
      <c r="M3">
        <v>22</v>
      </c>
      <c r="N3">
        <v>23</v>
      </c>
      <c r="O3">
        <v>6.8</v>
      </c>
      <c r="P3">
        <v>38.4</v>
      </c>
      <c r="Q3" t="s">
        <v>31</v>
      </c>
      <c r="R3" t="s">
        <v>44</v>
      </c>
      <c r="S3" t="s">
        <v>31</v>
      </c>
      <c r="T3" t="s">
        <v>31</v>
      </c>
      <c r="U3" t="s">
        <v>31</v>
      </c>
      <c r="V3" t="s">
        <v>31</v>
      </c>
      <c r="W3" t="s">
        <v>113</v>
      </c>
      <c r="X3">
        <v>41.212859999999999</v>
      </c>
      <c r="Y3">
        <v>-104.85183000000001</v>
      </c>
      <c r="Z3">
        <v>0.2402</v>
      </c>
      <c r="AA3" t="s">
        <v>203</v>
      </c>
    </row>
    <row r="4" spans="1:27" x14ac:dyDescent="0.2">
      <c r="A4">
        <v>36</v>
      </c>
      <c r="B4">
        <v>1</v>
      </c>
      <c r="C4" t="s">
        <v>115</v>
      </c>
      <c r="D4">
        <v>1988</v>
      </c>
      <c r="E4">
        <v>8.9600000000000009</v>
      </c>
      <c r="F4">
        <v>3</v>
      </c>
      <c r="G4" t="s">
        <v>31</v>
      </c>
      <c r="H4">
        <v>52</v>
      </c>
      <c r="J4">
        <v>3</v>
      </c>
      <c r="K4">
        <v>89</v>
      </c>
      <c r="M4">
        <v>1</v>
      </c>
      <c r="N4">
        <v>2</v>
      </c>
      <c r="O4">
        <v>11.1</v>
      </c>
      <c r="P4">
        <v>104.8</v>
      </c>
      <c r="Q4" t="s">
        <v>31</v>
      </c>
      <c r="R4" t="s">
        <v>36</v>
      </c>
      <c r="S4" t="s">
        <v>29</v>
      </c>
      <c r="T4" t="s">
        <v>31</v>
      </c>
      <c r="U4" t="s">
        <v>29</v>
      </c>
      <c r="V4" t="s">
        <v>29</v>
      </c>
      <c r="W4" t="s">
        <v>116</v>
      </c>
      <c r="X4">
        <v>39.5</v>
      </c>
      <c r="Y4">
        <v>-84.733329999999995</v>
      </c>
      <c r="Z4">
        <v>0.87609999999999999</v>
      </c>
      <c r="AA4" t="s">
        <v>158</v>
      </c>
    </row>
    <row r="5" spans="1:27" x14ac:dyDescent="0.2">
      <c r="A5">
        <v>36</v>
      </c>
      <c r="B5">
        <v>3</v>
      </c>
      <c r="C5" t="s">
        <v>115</v>
      </c>
      <c r="D5">
        <v>1988</v>
      </c>
      <c r="E5">
        <v>17.920000000000002</v>
      </c>
      <c r="F5">
        <v>3</v>
      </c>
      <c r="G5" t="s">
        <v>31</v>
      </c>
      <c r="H5">
        <v>130</v>
      </c>
      <c r="J5">
        <v>3</v>
      </c>
      <c r="K5">
        <v>161</v>
      </c>
      <c r="M5">
        <v>2</v>
      </c>
      <c r="N5">
        <v>3</v>
      </c>
      <c r="O5">
        <v>11.1</v>
      </c>
      <c r="P5">
        <v>104.8</v>
      </c>
      <c r="Q5" t="s">
        <v>31</v>
      </c>
      <c r="R5" t="s">
        <v>36</v>
      </c>
      <c r="S5" t="s">
        <v>29</v>
      </c>
      <c r="T5" t="s">
        <v>31</v>
      </c>
      <c r="U5" t="s">
        <v>29</v>
      </c>
      <c r="V5" t="s">
        <v>29</v>
      </c>
      <c r="W5" t="s">
        <v>116</v>
      </c>
      <c r="X5">
        <v>39.5</v>
      </c>
      <c r="Y5">
        <v>-84.733329999999995</v>
      </c>
      <c r="Z5">
        <v>0.87609999999999999</v>
      </c>
      <c r="AA5" t="s">
        <v>158</v>
      </c>
    </row>
    <row r="6" spans="1:27" x14ac:dyDescent="0.2">
      <c r="A6">
        <v>36</v>
      </c>
      <c r="B6">
        <v>5</v>
      </c>
      <c r="C6" t="s">
        <v>115</v>
      </c>
      <c r="D6">
        <v>1988</v>
      </c>
      <c r="E6">
        <v>26.94</v>
      </c>
      <c r="F6">
        <v>3</v>
      </c>
      <c r="G6" t="s">
        <v>31</v>
      </c>
      <c r="H6">
        <v>374</v>
      </c>
      <c r="J6">
        <v>3</v>
      </c>
      <c r="K6">
        <v>61</v>
      </c>
      <c r="M6">
        <v>3</v>
      </c>
      <c r="N6">
        <v>4</v>
      </c>
      <c r="O6">
        <v>11.1</v>
      </c>
      <c r="P6">
        <v>104.8</v>
      </c>
      <c r="Q6" t="s">
        <v>31</v>
      </c>
      <c r="R6" t="s">
        <v>36</v>
      </c>
      <c r="S6" t="s">
        <v>29</v>
      </c>
      <c r="T6" t="s">
        <v>31</v>
      </c>
      <c r="U6" t="s">
        <v>29</v>
      </c>
      <c r="V6" t="s">
        <v>29</v>
      </c>
      <c r="W6" t="s">
        <v>116</v>
      </c>
      <c r="X6">
        <v>39.5</v>
      </c>
      <c r="Y6">
        <v>-84.733329999999995</v>
      </c>
      <c r="Z6">
        <v>0.87609999999999999</v>
      </c>
      <c r="AA6" t="s">
        <v>158</v>
      </c>
    </row>
    <row r="7" spans="1:27" x14ac:dyDescent="0.2">
      <c r="A7">
        <v>17</v>
      </c>
      <c r="B7">
        <v>7</v>
      </c>
      <c r="C7" t="s">
        <v>65</v>
      </c>
      <c r="D7">
        <v>2000</v>
      </c>
      <c r="E7">
        <v>10</v>
      </c>
      <c r="F7">
        <v>3</v>
      </c>
      <c r="G7" t="s">
        <v>31</v>
      </c>
      <c r="H7">
        <v>38.700000000000003</v>
      </c>
      <c r="J7">
        <v>3</v>
      </c>
      <c r="K7">
        <v>177</v>
      </c>
      <c r="M7">
        <v>4</v>
      </c>
      <c r="N7">
        <v>5</v>
      </c>
      <c r="O7">
        <v>14.9</v>
      </c>
      <c r="P7">
        <v>74.2</v>
      </c>
      <c r="Q7" t="s">
        <v>31</v>
      </c>
      <c r="R7" t="s">
        <v>30</v>
      </c>
      <c r="S7" t="s">
        <v>29</v>
      </c>
      <c r="T7" t="s">
        <v>31</v>
      </c>
      <c r="U7" t="s">
        <v>29</v>
      </c>
      <c r="V7" t="s">
        <v>31</v>
      </c>
      <c r="W7" t="s">
        <v>66</v>
      </c>
      <c r="X7">
        <v>39.317166999999998</v>
      </c>
      <c r="Y7">
        <v>21.896909999999998</v>
      </c>
      <c r="Z7">
        <v>0.46450000000000002</v>
      </c>
      <c r="AA7" t="s">
        <v>201</v>
      </c>
    </row>
    <row r="8" spans="1:27" x14ac:dyDescent="0.2">
      <c r="A8">
        <v>17</v>
      </c>
      <c r="B8">
        <v>8</v>
      </c>
      <c r="C8" t="s">
        <v>65</v>
      </c>
      <c r="D8">
        <v>2000</v>
      </c>
      <c r="E8">
        <v>20</v>
      </c>
      <c r="F8">
        <v>3</v>
      </c>
      <c r="G8" t="s">
        <v>31</v>
      </c>
      <c r="H8">
        <v>52.3</v>
      </c>
      <c r="J8">
        <v>3</v>
      </c>
      <c r="K8">
        <v>177</v>
      </c>
      <c r="M8">
        <v>4</v>
      </c>
      <c r="N8">
        <v>5</v>
      </c>
      <c r="O8">
        <v>14.9</v>
      </c>
      <c r="P8">
        <v>74.2</v>
      </c>
      <c r="Q8" t="s">
        <v>31</v>
      </c>
      <c r="R8" t="s">
        <v>30</v>
      </c>
      <c r="S8" t="s">
        <v>29</v>
      </c>
      <c r="T8" t="s">
        <v>31</v>
      </c>
      <c r="U8" t="s">
        <v>29</v>
      </c>
      <c r="V8" t="s">
        <v>31</v>
      </c>
      <c r="W8" t="s">
        <v>66</v>
      </c>
      <c r="X8">
        <v>39.317166999999998</v>
      </c>
      <c r="Y8">
        <v>21.896909999999998</v>
      </c>
      <c r="Z8">
        <v>0.46450000000000002</v>
      </c>
      <c r="AA8" t="s">
        <v>201</v>
      </c>
    </row>
    <row r="9" spans="1:27" x14ac:dyDescent="0.2">
      <c r="A9">
        <v>17</v>
      </c>
      <c r="B9">
        <v>9</v>
      </c>
      <c r="C9" t="s">
        <v>65</v>
      </c>
      <c r="D9">
        <v>2000</v>
      </c>
      <c r="E9">
        <v>40</v>
      </c>
      <c r="F9">
        <v>3</v>
      </c>
      <c r="G9" t="s">
        <v>31</v>
      </c>
      <c r="H9">
        <v>71.099999999999994</v>
      </c>
      <c r="J9">
        <v>3</v>
      </c>
      <c r="K9">
        <v>177</v>
      </c>
      <c r="M9">
        <v>4</v>
      </c>
      <c r="N9">
        <v>5</v>
      </c>
      <c r="O9">
        <v>14.9</v>
      </c>
      <c r="P9">
        <v>74.2</v>
      </c>
      <c r="Q9" t="s">
        <v>31</v>
      </c>
      <c r="R9" t="s">
        <v>30</v>
      </c>
      <c r="S9" t="s">
        <v>29</v>
      </c>
      <c r="T9" t="s">
        <v>31</v>
      </c>
      <c r="U9" t="s">
        <v>29</v>
      </c>
      <c r="V9" t="s">
        <v>31</v>
      </c>
      <c r="W9" t="s">
        <v>66</v>
      </c>
      <c r="X9">
        <v>39.317166999999998</v>
      </c>
      <c r="Y9">
        <v>21.896909999999998</v>
      </c>
      <c r="Z9">
        <v>0.46450000000000002</v>
      </c>
      <c r="AA9" t="s">
        <v>201</v>
      </c>
    </row>
    <row r="10" spans="1:27" x14ac:dyDescent="0.2">
      <c r="A10">
        <v>17</v>
      </c>
      <c r="B10">
        <v>10</v>
      </c>
      <c r="C10" t="s">
        <v>65</v>
      </c>
      <c r="D10">
        <v>2000</v>
      </c>
      <c r="E10">
        <v>60</v>
      </c>
      <c r="F10">
        <v>3</v>
      </c>
      <c r="G10" t="s">
        <v>31</v>
      </c>
      <c r="H10">
        <v>99</v>
      </c>
      <c r="J10">
        <v>3</v>
      </c>
      <c r="K10">
        <v>177</v>
      </c>
      <c r="M10">
        <v>4</v>
      </c>
      <c r="N10">
        <v>5</v>
      </c>
      <c r="O10">
        <v>14.9</v>
      </c>
      <c r="P10">
        <v>74.2</v>
      </c>
      <c r="Q10" t="s">
        <v>31</v>
      </c>
      <c r="R10" t="s">
        <v>30</v>
      </c>
      <c r="S10" t="s">
        <v>29</v>
      </c>
      <c r="T10" t="s">
        <v>31</v>
      </c>
      <c r="U10" t="s">
        <v>29</v>
      </c>
      <c r="V10" t="s">
        <v>31</v>
      </c>
      <c r="W10" t="s">
        <v>66</v>
      </c>
      <c r="X10">
        <v>39.317166999999998</v>
      </c>
      <c r="Y10">
        <v>21.896909999999998</v>
      </c>
      <c r="Z10">
        <v>0.46450000000000002</v>
      </c>
      <c r="AA10" t="s">
        <v>201</v>
      </c>
    </row>
    <row r="11" spans="1:27" x14ac:dyDescent="0.2">
      <c r="A11">
        <v>17</v>
      </c>
      <c r="B11">
        <v>11</v>
      </c>
      <c r="C11" t="s">
        <v>65</v>
      </c>
      <c r="D11">
        <v>2000</v>
      </c>
      <c r="E11">
        <v>80</v>
      </c>
      <c r="F11">
        <v>3</v>
      </c>
      <c r="G11" t="s">
        <v>31</v>
      </c>
      <c r="H11">
        <v>122.2</v>
      </c>
      <c r="J11">
        <v>3</v>
      </c>
      <c r="K11">
        <v>177</v>
      </c>
      <c r="M11">
        <v>4</v>
      </c>
      <c r="N11">
        <v>5</v>
      </c>
      <c r="O11">
        <v>14.9</v>
      </c>
      <c r="P11">
        <v>74.2</v>
      </c>
      <c r="Q11" t="s">
        <v>31</v>
      </c>
      <c r="R11" t="s">
        <v>30</v>
      </c>
      <c r="S11" t="s">
        <v>29</v>
      </c>
      <c r="T11" t="s">
        <v>31</v>
      </c>
      <c r="U11" t="s">
        <v>29</v>
      </c>
      <c r="V11" t="s">
        <v>31</v>
      </c>
      <c r="W11" t="s">
        <v>66</v>
      </c>
      <c r="X11">
        <v>39.317166999999998</v>
      </c>
      <c r="Y11">
        <v>21.896909999999998</v>
      </c>
      <c r="Z11">
        <v>0.46450000000000002</v>
      </c>
      <c r="AA11" t="s">
        <v>201</v>
      </c>
    </row>
    <row r="12" spans="1:27" x14ac:dyDescent="0.2">
      <c r="A12">
        <v>17</v>
      </c>
      <c r="B12">
        <v>12</v>
      </c>
      <c r="C12" t="s">
        <v>65</v>
      </c>
      <c r="D12">
        <v>2000</v>
      </c>
      <c r="E12">
        <v>120</v>
      </c>
      <c r="F12">
        <v>3</v>
      </c>
      <c r="G12" t="s">
        <v>31</v>
      </c>
      <c r="H12">
        <v>142</v>
      </c>
      <c r="J12">
        <v>3</v>
      </c>
      <c r="K12">
        <v>177</v>
      </c>
      <c r="M12">
        <v>4</v>
      </c>
      <c r="N12">
        <v>5</v>
      </c>
      <c r="O12">
        <v>14.9</v>
      </c>
      <c r="P12">
        <v>74.2</v>
      </c>
      <c r="Q12" t="s">
        <v>31</v>
      </c>
      <c r="R12" t="s">
        <v>30</v>
      </c>
      <c r="S12" t="s">
        <v>29</v>
      </c>
      <c r="T12" t="s">
        <v>31</v>
      </c>
      <c r="U12" t="s">
        <v>29</v>
      </c>
      <c r="V12" t="s">
        <v>31</v>
      </c>
      <c r="W12" t="s">
        <v>66</v>
      </c>
      <c r="X12">
        <v>39.317166999999998</v>
      </c>
      <c r="Y12">
        <v>21.896909999999998</v>
      </c>
      <c r="Z12">
        <v>0.46450000000000002</v>
      </c>
      <c r="AA12" t="s">
        <v>201</v>
      </c>
    </row>
    <row r="13" spans="1:27" x14ac:dyDescent="0.2">
      <c r="A13">
        <v>10</v>
      </c>
      <c r="B13">
        <v>1</v>
      </c>
      <c r="C13" t="s">
        <v>97</v>
      </c>
      <c r="D13" t="s">
        <v>51</v>
      </c>
      <c r="E13">
        <v>50</v>
      </c>
      <c r="F13">
        <v>16</v>
      </c>
      <c r="G13" t="s">
        <v>112</v>
      </c>
      <c r="H13">
        <v>6.96</v>
      </c>
      <c r="I13">
        <v>15.1</v>
      </c>
      <c r="J13">
        <v>16</v>
      </c>
      <c r="K13">
        <v>5.34</v>
      </c>
      <c r="L13">
        <v>11.3</v>
      </c>
      <c r="M13">
        <v>17</v>
      </c>
      <c r="N13">
        <v>18</v>
      </c>
      <c r="O13">
        <v>2.2999999999999998</v>
      </c>
      <c r="P13">
        <v>44.8</v>
      </c>
      <c r="Q13" t="s">
        <v>31</v>
      </c>
      <c r="R13" t="s">
        <v>30</v>
      </c>
      <c r="S13" t="s">
        <v>29</v>
      </c>
      <c r="T13" t="s">
        <v>31</v>
      </c>
      <c r="U13" t="s">
        <v>29</v>
      </c>
      <c r="V13" t="s">
        <v>31</v>
      </c>
      <c r="W13" t="s">
        <v>52</v>
      </c>
      <c r="X13">
        <v>50.473109999999998</v>
      </c>
      <c r="Y13">
        <v>-121.0218</v>
      </c>
      <c r="Z13">
        <v>0.46660000000000001</v>
      </c>
      <c r="AA13" t="s">
        <v>203</v>
      </c>
    </row>
    <row r="14" spans="1:27" x14ac:dyDescent="0.2">
      <c r="A14">
        <v>10</v>
      </c>
      <c r="B14">
        <v>2</v>
      </c>
      <c r="C14" t="s">
        <v>97</v>
      </c>
      <c r="D14" t="s">
        <v>51</v>
      </c>
      <c r="E14">
        <v>100</v>
      </c>
      <c r="F14">
        <v>16</v>
      </c>
      <c r="G14" t="s">
        <v>112</v>
      </c>
      <c r="H14">
        <v>2.72</v>
      </c>
      <c r="I14">
        <v>7.31</v>
      </c>
      <c r="J14">
        <v>16</v>
      </c>
      <c r="K14">
        <v>5.34</v>
      </c>
      <c r="L14">
        <v>11.3</v>
      </c>
      <c r="M14">
        <v>17</v>
      </c>
      <c r="N14">
        <v>18</v>
      </c>
      <c r="O14">
        <v>2.2999999999999998</v>
      </c>
      <c r="P14">
        <v>44.8</v>
      </c>
      <c r="Q14" t="s">
        <v>31</v>
      </c>
      <c r="R14" t="s">
        <v>30</v>
      </c>
      <c r="S14" t="s">
        <v>29</v>
      </c>
      <c r="T14" t="s">
        <v>31</v>
      </c>
      <c r="U14" t="s">
        <v>29</v>
      </c>
      <c r="V14" t="s">
        <v>31</v>
      </c>
      <c r="W14" t="s">
        <v>52</v>
      </c>
      <c r="X14">
        <v>50.473109999999998</v>
      </c>
      <c r="Y14">
        <v>-121.0218</v>
      </c>
      <c r="Z14">
        <v>0.46660000000000001</v>
      </c>
      <c r="AA14" t="s">
        <v>203</v>
      </c>
    </row>
    <row r="15" spans="1:27" x14ac:dyDescent="0.2">
      <c r="A15">
        <v>10</v>
      </c>
      <c r="B15">
        <v>3</v>
      </c>
      <c r="C15" t="s">
        <v>97</v>
      </c>
      <c r="D15" t="s">
        <v>51</v>
      </c>
      <c r="E15">
        <v>150</v>
      </c>
      <c r="F15">
        <v>16</v>
      </c>
      <c r="G15" t="s">
        <v>112</v>
      </c>
      <c r="H15">
        <v>1.23</v>
      </c>
      <c r="I15">
        <v>4.16</v>
      </c>
      <c r="J15">
        <v>16</v>
      </c>
      <c r="K15">
        <v>5.34</v>
      </c>
      <c r="L15">
        <v>11.3</v>
      </c>
      <c r="M15">
        <v>17</v>
      </c>
      <c r="N15">
        <v>18</v>
      </c>
      <c r="O15">
        <v>2.2999999999999998</v>
      </c>
      <c r="P15">
        <v>44.8</v>
      </c>
      <c r="Q15" t="s">
        <v>31</v>
      </c>
      <c r="R15" t="s">
        <v>30</v>
      </c>
      <c r="S15" t="s">
        <v>29</v>
      </c>
      <c r="T15" t="s">
        <v>31</v>
      </c>
      <c r="U15" t="s">
        <v>29</v>
      </c>
      <c r="V15" t="s">
        <v>31</v>
      </c>
      <c r="W15" t="s">
        <v>52</v>
      </c>
      <c r="X15">
        <v>50.473109999999998</v>
      </c>
      <c r="Y15">
        <v>-121.0218</v>
      </c>
      <c r="Z15">
        <v>0.46660000000000001</v>
      </c>
      <c r="AA15" t="s">
        <v>203</v>
      </c>
    </row>
    <row r="16" spans="1:27" x14ac:dyDescent="0.2">
      <c r="A16">
        <v>10</v>
      </c>
      <c r="B16">
        <v>4</v>
      </c>
      <c r="C16" t="s">
        <v>97</v>
      </c>
      <c r="D16" t="s">
        <v>51</v>
      </c>
      <c r="E16">
        <v>200</v>
      </c>
      <c r="F16">
        <v>16</v>
      </c>
      <c r="G16" t="s">
        <v>112</v>
      </c>
      <c r="H16">
        <v>4.53</v>
      </c>
      <c r="I16">
        <v>13.6</v>
      </c>
      <c r="J16">
        <v>16</v>
      </c>
      <c r="K16">
        <v>5.34</v>
      </c>
      <c r="L16">
        <v>11.3</v>
      </c>
      <c r="M16">
        <v>17</v>
      </c>
      <c r="N16">
        <v>18</v>
      </c>
      <c r="O16">
        <v>2.2999999999999998</v>
      </c>
      <c r="P16">
        <v>44.8</v>
      </c>
      <c r="Q16" t="s">
        <v>31</v>
      </c>
      <c r="R16" t="s">
        <v>30</v>
      </c>
      <c r="S16" t="s">
        <v>29</v>
      </c>
      <c r="T16" t="s">
        <v>31</v>
      </c>
      <c r="U16" t="s">
        <v>29</v>
      </c>
      <c r="V16" t="s">
        <v>31</v>
      </c>
      <c r="W16" t="s">
        <v>52</v>
      </c>
      <c r="X16">
        <v>50.473109999999998</v>
      </c>
      <c r="Y16">
        <v>-121.0218</v>
      </c>
      <c r="Z16">
        <v>0.46660000000000001</v>
      </c>
      <c r="AA16" t="s">
        <v>203</v>
      </c>
    </row>
    <row r="17" spans="1:27" x14ac:dyDescent="0.2">
      <c r="A17">
        <v>10</v>
      </c>
      <c r="B17">
        <v>5</v>
      </c>
      <c r="C17" t="s">
        <v>97</v>
      </c>
      <c r="D17" t="s">
        <v>51</v>
      </c>
      <c r="E17">
        <v>250</v>
      </c>
      <c r="F17">
        <v>16</v>
      </c>
      <c r="G17" t="s">
        <v>112</v>
      </c>
      <c r="H17">
        <v>5.41</v>
      </c>
      <c r="I17">
        <v>15.7</v>
      </c>
      <c r="J17">
        <v>16</v>
      </c>
      <c r="K17">
        <v>5.34</v>
      </c>
      <c r="L17">
        <v>11.3</v>
      </c>
      <c r="M17">
        <v>17</v>
      </c>
      <c r="N17">
        <v>18</v>
      </c>
      <c r="O17">
        <v>2.2999999999999998</v>
      </c>
      <c r="P17">
        <v>44.8</v>
      </c>
      <c r="Q17" t="s">
        <v>31</v>
      </c>
      <c r="R17" t="s">
        <v>30</v>
      </c>
      <c r="S17" t="s">
        <v>29</v>
      </c>
      <c r="T17" t="s">
        <v>31</v>
      </c>
      <c r="U17" t="s">
        <v>29</v>
      </c>
      <c r="V17" t="s">
        <v>31</v>
      </c>
      <c r="W17" t="s">
        <v>52</v>
      </c>
      <c r="X17">
        <v>50.473109999999998</v>
      </c>
      <c r="Y17">
        <v>-121.0218</v>
      </c>
      <c r="Z17">
        <v>0.46660000000000001</v>
      </c>
      <c r="AA17" t="s">
        <v>203</v>
      </c>
    </row>
    <row r="18" spans="1:27" x14ac:dyDescent="0.2">
      <c r="A18">
        <v>3</v>
      </c>
      <c r="B18">
        <v>1</v>
      </c>
      <c r="C18" t="s">
        <v>34</v>
      </c>
      <c r="D18">
        <v>2010</v>
      </c>
      <c r="E18">
        <v>40</v>
      </c>
      <c r="F18">
        <v>4</v>
      </c>
      <c r="G18" t="s">
        <v>31</v>
      </c>
      <c r="H18">
        <f>0.04*100</f>
        <v>4</v>
      </c>
      <c r="J18">
        <v>4</v>
      </c>
      <c r="K18">
        <f>0.01*100</f>
        <v>1</v>
      </c>
      <c r="M18">
        <v>2</v>
      </c>
      <c r="N18">
        <v>3</v>
      </c>
      <c r="O18">
        <v>9.4</v>
      </c>
      <c r="P18">
        <v>56.5</v>
      </c>
      <c r="Q18" t="s">
        <v>29</v>
      </c>
      <c r="R18" t="s">
        <v>30</v>
      </c>
      <c r="S18" t="s">
        <v>29</v>
      </c>
      <c r="T18" t="s">
        <v>29</v>
      </c>
      <c r="U18" t="s">
        <v>31</v>
      </c>
      <c r="V18" t="s">
        <v>31</v>
      </c>
      <c r="W18" t="s">
        <v>37</v>
      </c>
      <c r="X18">
        <v>-40.573329999999999</v>
      </c>
      <c r="Y18">
        <v>-70.832499999999996</v>
      </c>
      <c r="Z18">
        <v>0.44740000000000002</v>
      </c>
      <c r="AA18" t="s">
        <v>158</v>
      </c>
    </row>
    <row r="19" spans="1:27" x14ac:dyDescent="0.2">
      <c r="A19">
        <v>3</v>
      </c>
      <c r="B19">
        <v>3</v>
      </c>
      <c r="C19" t="s">
        <v>34</v>
      </c>
      <c r="D19">
        <v>2010</v>
      </c>
      <c r="E19">
        <v>40</v>
      </c>
      <c r="F19">
        <v>4</v>
      </c>
      <c r="G19" t="s">
        <v>31</v>
      </c>
      <c r="H19">
        <f>0.01*100</f>
        <v>1</v>
      </c>
      <c r="J19">
        <v>4</v>
      </c>
      <c r="K19">
        <f>0.01*100</f>
        <v>1</v>
      </c>
      <c r="M19">
        <v>3</v>
      </c>
      <c r="N19">
        <v>4</v>
      </c>
      <c r="O19">
        <v>9.4</v>
      </c>
      <c r="P19">
        <v>56.5</v>
      </c>
      <c r="Q19" t="s">
        <v>29</v>
      </c>
      <c r="R19" t="s">
        <v>30</v>
      </c>
      <c r="S19" t="s">
        <v>29</v>
      </c>
      <c r="T19" t="s">
        <v>29</v>
      </c>
      <c r="U19" t="s">
        <v>31</v>
      </c>
      <c r="V19" t="s">
        <v>31</v>
      </c>
      <c r="W19" t="s">
        <v>37</v>
      </c>
      <c r="X19">
        <v>-40.573329999999999</v>
      </c>
      <c r="Y19">
        <v>-70.832499999999996</v>
      </c>
      <c r="Z19">
        <v>0.44740000000000002</v>
      </c>
      <c r="AA19" t="s">
        <v>158</v>
      </c>
    </row>
    <row r="20" spans="1:27" x14ac:dyDescent="0.2">
      <c r="A20">
        <v>25</v>
      </c>
      <c r="B20">
        <v>1</v>
      </c>
      <c r="C20" t="s">
        <v>79</v>
      </c>
      <c r="D20">
        <v>2010</v>
      </c>
      <c r="E20">
        <v>3.37</v>
      </c>
      <c r="F20">
        <v>6</v>
      </c>
      <c r="G20" t="s">
        <v>31</v>
      </c>
      <c r="H20">
        <f>45.3+22.8+20.9+0.9</f>
        <v>89.9</v>
      </c>
      <c r="J20">
        <v>6</v>
      </c>
      <c r="K20">
        <f>45.3+6.9+45.3+1.1+1.4</f>
        <v>100</v>
      </c>
      <c r="M20">
        <v>1</v>
      </c>
      <c r="N20">
        <v>2</v>
      </c>
      <c r="Q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153</v>
      </c>
      <c r="X20">
        <v>40.700000000000003</v>
      </c>
      <c r="Y20">
        <v>-111.916</v>
      </c>
      <c r="Z20">
        <v>0.2482</v>
      </c>
      <c r="AA20" t="s">
        <v>203</v>
      </c>
    </row>
    <row r="21" spans="1:27" x14ac:dyDescent="0.2">
      <c r="A21">
        <v>25</v>
      </c>
      <c r="B21">
        <v>2</v>
      </c>
      <c r="C21" t="s">
        <v>79</v>
      </c>
      <c r="D21">
        <v>2010</v>
      </c>
      <c r="E21">
        <v>16.850000000000001</v>
      </c>
      <c r="F21">
        <v>6</v>
      </c>
      <c r="G21" t="s">
        <v>31</v>
      </c>
      <c r="H21">
        <f>41.7+31.8+24.2+1.8+0.4</f>
        <v>99.9</v>
      </c>
      <c r="J21">
        <v>6</v>
      </c>
      <c r="K21">
        <f t="shared" ref="K21:K34" si="0">45.3+6.9+45.3+1.1+1.4</f>
        <v>100</v>
      </c>
      <c r="M21">
        <v>1</v>
      </c>
      <c r="N21">
        <v>2</v>
      </c>
      <c r="Q21" t="s">
        <v>31</v>
      </c>
      <c r="S21" t="s">
        <v>31</v>
      </c>
      <c r="T21" t="s">
        <v>31</v>
      </c>
      <c r="U21" t="s">
        <v>31</v>
      </c>
      <c r="V21" t="s">
        <v>31</v>
      </c>
      <c r="W21" t="s">
        <v>153</v>
      </c>
      <c r="X21">
        <v>40.700000000000003</v>
      </c>
      <c r="Y21">
        <v>-111.916</v>
      </c>
      <c r="Z21">
        <v>0.2482</v>
      </c>
      <c r="AA21" t="s">
        <v>203</v>
      </c>
    </row>
    <row r="22" spans="1:27" x14ac:dyDescent="0.2">
      <c r="A22">
        <v>25</v>
      </c>
      <c r="B22">
        <v>3</v>
      </c>
      <c r="C22" t="s">
        <v>79</v>
      </c>
      <c r="D22">
        <v>2010</v>
      </c>
      <c r="E22">
        <v>33.700000000000003</v>
      </c>
      <c r="F22">
        <v>6</v>
      </c>
      <c r="G22" t="s">
        <v>31</v>
      </c>
      <c r="H22">
        <f>26.7+38.7+31.4+2.6+0.5</f>
        <v>99.9</v>
      </c>
      <c r="J22">
        <v>6</v>
      </c>
      <c r="K22">
        <f t="shared" si="0"/>
        <v>100</v>
      </c>
      <c r="M22">
        <v>1</v>
      </c>
      <c r="N22">
        <v>2</v>
      </c>
      <c r="Q22" t="s">
        <v>31</v>
      </c>
      <c r="S22" t="s">
        <v>31</v>
      </c>
      <c r="T22" t="s">
        <v>31</v>
      </c>
      <c r="U22" t="s">
        <v>31</v>
      </c>
      <c r="V22" t="s">
        <v>31</v>
      </c>
      <c r="W22" t="s">
        <v>153</v>
      </c>
      <c r="X22">
        <v>40.700000000000003</v>
      </c>
      <c r="Y22">
        <v>-111.916</v>
      </c>
      <c r="Z22">
        <v>0.2482</v>
      </c>
      <c r="AA22" t="s">
        <v>203</v>
      </c>
    </row>
    <row r="23" spans="1:27" x14ac:dyDescent="0.2">
      <c r="A23">
        <v>25</v>
      </c>
      <c r="B23">
        <v>4</v>
      </c>
      <c r="C23" t="s">
        <v>79</v>
      </c>
      <c r="D23">
        <v>2010</v>
      </c>
      <c r="E23">
        <v>67.400000000000006</v>
      </c>
      <c r="F23">
        <v>6</v>
      </c>
      <c r="G23" t="s">
        <v>31</v>
      </c>
      <c r="H23">
        <f>41.6+25.7+24.3+6.5+1.9</f>
        <v>100</v>
      </c>
      <c r="J23">
        <v>6</v>
      </c>
      <c r="K23">
        <f t="shared" si="0"/>
        <v>100</v>
      </c>
      <c r="M23">
        <v>1</v>
      </c>
      <c r="N23">
        <v>2</v>
      </c>
      <c r="Q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153</v>
      </c>
      <c r="X23">
        <v>40.700000000000003</v>
      </c>
      <c r="Y23">
        <v>-111.916</v>
      </c>
      <c r="Z23">
        <v>0.2482</v>
      </c>
      <c r="AA23" t="s">
        <v>203</v>
      </c>
    </row>
    <row r="24" spans="1:27" x14ac:dyDescent="0.2">
      <c r="A24">
        <v>25</v>
      </c>
      <c r="B24">
        <v>5</v>
      </c>
      <c r="C24" t="s">
        <v>79</v>
      </c>
      <c r="D24">
        <v>2010</v>
      </c>
      <c r="E24">
        <v>1.8</v>
      </c>
      <c r="F24">
        <v>6</v>
      </c>
      <c r="G24" t="s">
        <v>31</v>
      </c>
      <c r="H24">
        <f>21.3+58.6+16.7+0.4+2.9</f>
        <v>99.90000000000002</v>
      </c>
      <c r="J24">
        <v>6</v>
      </c>
      <c r="K24">
        <f t="shared" si="0"/>
        <v>100</v>
      </c>
      <c r="M24">
        <v>1</v>
      </c>
      <c r="N24">
        <v>2</v>
      </c>
      <c r="Q24" t="s">
        <v>31</v>
      </c>
      <c r="S24" t="s">
        <v>31</v>
      </c>
      <c r="T24" t="s">
        <v>31</v>
      </c>
      <c r="U24" t="s">
        <v>31</v>
      </c>
      <c r="V24" t="s">
        <v>31</v>
      </c>
      <c r="W24" t="s">
        <v>81</v>
      </c>
      <c r="X24">
        <v>40.799999999999997</v>
      </c>
      <c r="Y24">
        <v>-111.6</v>
      </c>
      <c r="Z24">
        <v>0.34649999999999997</v>
      </c>
      <c r="AA24" t="s">
        <v>203</v>
      </c>
    </row>
    <row r="25" spans="1:27" x14ac:dyDescent="0.2">
      <c r="A25">
        <v>25</v>
      </c>
      <c r="B25">
        <v>6</v>
      </c>
      <c r="C25" t="s">
        <v>79</v>
      </c>
      <c r="D25">
        <v>2010</v>
      </c>
      <c r="E25">
        <v>9</v>
      </c>
      <c r="F25">
        <v>6</v>
      </c>
      <c r="G25" t="s">
        <v>31</v>
      </c>
      <c r="H25">
        <f>35.5+37.6+24.1+0.4+1.2+0.8+0.4</f>
        <v>100</v>
      </c>
      <c r="J25">
        <v>6</v>
      </c>
      <c r="K25">
        <f t="shared" si="0"/>
        <v>100</v>
      </c>
      <c r="M25">
        <v>1</v>
      </c>
      <c r="N25">
        <v>2</v>
      </c>
      <c r="Q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81</v>
      </c>
      <c r="X25">
        <v>40.799999999999997</v>
      </c>
      <c r="Y25">
        <v>-111.6</v>
      </c>
      <c r="Z25">
        <v>0.34649999999999997</v>
      </c>
      <c r="AA25" t="s">
        <v>203</v>
      </c>
    </row>
    <row r="26" spans="1:27" x14ac:dyDescent="0.2">
      <c r="A26">
        <v>25</v>
      </c>
      <c r="B26">
        <v>7</v>
      </c>
      <c r="C26" t="s">
        <v>79</v>
      </c>
      <c r="D26">
        <v>2010</v>
      </c>
      <c r="E26">
        <v>18</v>
      </c>
      <c r="F26">
        <v>6</v>
      </c>
      <c r="G26" t="s">
        <v>31</v>
      </c>
      <c r="H26">
        <f>52.2+25.8+17.4+2.5+0.6+1.6</f>
        <v>100.1</v>
      </c>
      <c r="J26">
        <v>6</v>
      </c>
      <c r="K26">
        <f t="shared" si="0"/>
        <v>100</v>
      </c>
      <c r="M26">
        <v>1</v>
      </c>
      <c r="N26">
        <v>2</v>
      </c>
      <c r="Q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81</v>
      </c>
      <c r="X26">
        <v>40.799999999999997</v>
      </c>
      <c r="Y26">
        <v>-111.6</v>
      </c>
      <c r="Z26">
        <v>0.34649999999999997</v>
      </c>
      <c r="AA26" t="s">
        <v>203</v>
      </c>
    </row>
    <row r="27" spans="1:27" x14ac:dyDescent="0.2">
      <c r="A27">
        <v>25</v>
      </c>
      <c r="B27">
        <v>8</v>
      </c>
      <c r="C27" t="s">
        <v>79</v>
      </c>
      <c r="D27">
        <v>2010</v>
      </c>
      <c r="E27">
        <v>36</v>
      </c>
      <c r="F27">
        <v>6</v>
      </c>
      <c r="G27" t="s">
        <v>31</v>
      </c>
      <c r="H27">
        <f>55.3+35.1+9.3+0.3</f>
        <v>100</v>
      </c>
      <c r="J27">
        <v>6</v>
      </c>
      <c r="K27">
        <f t="shared" si="0"/>
        <v>100</v>
      </c>
      <c r="M27">
        <v>1</v>
      </c>
      <c r="N27">
        <v>2</v>
      </c>
      <c r="Q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81</v>
      </c>
      <c r="X27">
        <v>40.799999999999997</v>
      </c>
      <c r="Y27">
        <v>-111.6</v>
      </c>
      <c r="Z27">
        <v>0.34649999999999997</v>
      </c>
      <c r="AA27" t="s">
        <v>203</v>
      </c>
    </row>
    <row r="28" spans="1:27" x14ac:dyDescent="0.2">
      <c r="A28">
        <v>25</v>
      </c>
      <c r="B28">
        <v>9</v>
      </c>
      <c r="C28" t="s">
        <v>79</v>
      </c>
      <c r="D28">
        <v>2010</v>
      </c>
      <c r="E28">
        <v>7.63</v>
      </c>
      <c r="F28">
        <v>6</v>
      </c>
      <c r="G28" t="s">
        <v>31</v>
      </c>
      <c r="H28">
        <f>25.7+54.8+16.5+1.7+0.9+0.4</f>
        <v>100.00000000000001</v>
      </c>
      <c r="J28">
        <v>6</v>
      </c>
      <c r="K28">
        <f t="shared" si="0"/>
        <v>100</v>
      </c>
      <c r="M28">
        <v>1</v>
      </c>
      <c r="N28">
        <v>2</v>
      </c>
      <c r="Q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82</v>
      </c>
      <c r="X28">
        <v>41</v>
      </c>
      <c r="Y28">
        <v>-112</v>
      </c>
      <c r="Z28">
        <v>0.26140000000000002</v>
      </c>
      <c r="AA28" t="s">
        <v>203</v>
      </c>
    </row>
    <row r="29" spans="1:27" x14ac:dyDescent="0.2">
      <c r="A29">
        <v>25</v>
      </c>
      <c r="B29">
        <v>10</v>
      </c>
      <c r="C29" t="s">
        <v>79</v>
      </c>
      <c r="D29">
        <v>2010</v>
      </c>
      <c r="E29">
        <v>38.15</v>
      </c>
      <c r="F29">
        <v>6</v>
      </c>
      <c r="G29" t="s">
        <v>31</v>
      </c>
      <c r="H29">
        <f>21.5+38.5+33.7+5.4+0.5+0.5</f>
        <v>100.10000000000001</v>
      </c>
      <c r="J29">
        <v>6</v>
      </c>
      <c r="K29">
        <f t="shared" si="0"/>
        <v>100</v>
      </c>
      <c r="M29">
        <v>1</v>
      </c>
      <c r="N29">
        <v>2</v>
      </c>
      <c r="Q29" t="s">
        <v>31</v>
      </c>
      <c r="S29" t="s">
        <v>31</v>
      </c>
      <c r="T29" t="s">
        <v>31</v>
      </c>
      <c r="U29" t="s">
        <v>31</v>
      </c>
      <c r="V29" t="s">
        <v>31</v>
      </c>
      <c r="W29" t="s">
        <v>82</v>
      </c>
      <c r="X29">
        <v>41</v>
      </c>
      <c r="Y29">
        <v>-112</v>
      </c>
      <c r="Z29">
        <v>0.26140000000000002</v>
      </c>
      <c r="AA29" t="s">
        <v>203</v>
      </c>
    </row>
    <row r="30" spans="1:27" x14ac:dyDescent="0.2">
      <c r="A30">
        <v>25</v>
      </c>
      <c r="B30">
        <v>11</v>
      </c>
      <c r="C30" t="s">
        <v>79</v>
      </c>
      <c r="D30">
        <v>2010</v>
      </c>
      <c r="E30">
        <v>76.3</v>
      </c>
      <c r="F30">
        <v>6</v>
      </c>
      <c r="G30" t="s">
        <v>31</v>
      </c>
      <c r="H30">
        <f>51.5+31.2+16+0.9+0.4</f>
        <v>100.00000000000001</v>
      </c>
      <c r="J30">
        <v>6</v>
      </c>
      <c r="K30">
        <f t="shared" si="0"/>
        <v>100</v>
      </c>
      <c r="M30">
        <v>1</v>
      </c>
      <c r="N30">
        <v>2</v>
      </c>
      <c r="Q30" t="s">
        <v>31</v>
      </c>
      <c r="S30" t="s">
        <v>31</v>
      </c>
      <c r="T30" t="s">
        <v>31</v>
      </c>
      <c r="U30" t="s">
        <v>31</v>
      </c>
      <c r="V30" t="s">
        <v>31</v>
      </c>
      <c r="W30" t="s">
        <v>82</v>
      </c>
      <c r="X30">
        <v>41</v>
      </c>
      <c r="Y30">
        <v>-112</v>
      </c>
      <c r="Z30">
        <v>0.26140000000000002</v>
      </c>
      <c r="AA30" t="s">
        <v>203</v>
      </c>
    </row>
    <row r="31" spans="1:27" x14ac:dyDescent="0.2">
      <c r="A31">
        <v>25</v>
      </c>
      <c r="B31">
        <v>12</v>
      </c>
      <c r="C31" t="s">
        <v>79</v>
      </c>
      <c r="D31">
        <v>2010</v>
      </c>
      <c r="E31">
        <v>152.6</v>
      </c>
      <c r="F31">
        <v>6</v>
      </c>
      <c r="G31" t="s">
        <v>31</v>
      </c>
      <c r="H31">
        <f>59.6+27+7.9+2.8+1.1+1.7</f>
        <v>100.1</v>
      </c>
      <c r="J31">
        <v>6</v>
      </c>
      <c r="K31">
        <f t="shared" si="0"/>
        <v>100</v>
      </c>
      <c r="M31">
        <v>1</v>
      </c>
      <c r="N31">
        <v>2</v>
      </c>
      <c r="Q31" t="s">
        <v>31</v>
      </c>
      <c r="S31" t="s">
        <v>31</v>
      </c>
      <c r="T31" t="s">
        <v>31</v>
      </c>
      <c r="U31" t="s">
        <v>31</v>
      </c>
      <c r="V31" t="s">
        <v>31</v>
      </c>
      <c r="W31" t="s">
        <v>82</v>
      </c>
      <c r="X31">
        <v>41</v>
      </c>
      <c r="Y31">
        <v>-112</v>
      </c>
      <c r="Z31">
        <v>0.26140000000000002</v>
      </c>
      <c r="AA31" t="s">
        <v>203</v>
      </c>
    </row>
    <row r="32" spans="1:27" x14ac:dyDescent="0.2">
      <c r="A32">
        <v>25</v>
      </c>
      <c r="B32">
        <v>13</v>
      </c>
      <c r="C32" t="s">
        <v>79</v>
      </c>
      <c r="D32">
        <v>2010</v>
      </c>
      <c r="E32">
        <v>19.760000000000002</v>
      </c>
      <c r="F32">
        <v>6</v>
      </c>
      <c r="G32" t="s">
        <v>31</v>
      </c>
      <c r="H32">
        <f>72.5+18.4+4.2+3.6</f>
        <v>98.7</v>
      </c>
      <c r="J32">
        <v>6</v>
      </c>
      <c r="K32">
        <f t="shared" si="0"/>
        <v>100</v>
      </c>
      <c r="M32">
        <v>1</v>
      </c>
      <c r="N32">
        <v>2</v>
      </c>
      <c r="Q32" t="s">
        <v>29</v>
      </c>
      <c r="S32" t="s">
        <v>31</v>
      </c>
      <c r="T32" t="s">
        <v>31</v>
      </c>
      <c r="U32" t="s">
        <v>31</v>
      </c>
      <c r="V32" t="s">
        <v>31</v>
      </c>
      <c r="W32" t="s">
        <v>154</v>
      </c>
      <c r="X32">
        <v>40.4</v>
      </c>
      <c r="Y32">
        <v>-113.2</v>
      </c>
      <c r="Z32">
        <v>9.5600000000000004E-2</v>
      </c>
      <c r="AA32" t="s">
        <v>203</v>
      </c>
    </row>
    <row r="33" spans="1:27" x14ac:dyDescent="0.2">
      <c r="A33">
        <v>25</v>
      </c>
      <c r="B33">
        <v>14</v>
      </c>
      <c r="C33" t="s">
        <v>79</v>
      </c>
      <c r="D33">
        <v>2010</v>
      </c>
      <c r="E33">
        <v>98.8</v>
      </c>
      <c r="F33">
        <v>6</v>
      </c>
      <c r="G33" t="s">
        <v>31</v>
      </c>
      <c r="H33">
        <f>51.5+35.2+10.6+1.1+1.1+0.4</f>
        <v>99.899999999999991</v>
      </c>
      <c r="J33">
        <v>6</v>
      </c>
      <c r="K33">
        <f t="shared" si="0"/>
        <v>100</v>
      </c>
      <c r="M33">
        <v>1</v>
      </c>
      <c r="N33">
        <v>2</v>
      </c>
      <c r="Q33" t="s">
        <v>29</v>
      </c>
      <c r="S33" t="s">
        <v>31</v>
      </c>
      <c r="T33" t="s">
        <v>31</v>
      </c>
      <c r="U33" t="s">
        <v>31</v>
      </c>
      <c r="V33" t="s">
        <v>31</v>
      </c>
      <c r="W33" t="s">
        <v>154</v>
      </c>
      <c r="X33">
        <v>40.4</v>
      </c>
      <c r="Y33">
        <v>-113.2</v>
      </c>
      <c r="Z33">
        <v>9.5600000000000004E-2</v>
      </c>
      <c r="AA33" t="s">
        <v>203</v>
      </c>
    </row>
    <row r="34" spans="1:27" x14ac:dyDescent="0.2">
      <c r="A34">
        <v>25</v>
      </c>
      <c r="B34">
        <v>15</v>
      </c>
      <c r="C34" t="s">
        <v>79</v>
      </c>
      <c r="D34">
        <v>2010</v>
      </c>
      <c r="E34">
        <v>197.6</v>
      </c>
      <c r="F34">
        <v>6</v>
      </c>
      <c r="G34" t="s">
        <v>31</v>
      </c>
      <c r="H34">
        <f>46.5+32+12.9+7.9+0.4+0.4</f>
        <v>100.10000000000002</v>
      </c>
      <c r="J34">
        <v>6</v>
      </c>
      <c r="K34">
        <f t="shared" si="0"/>
        <v>100</v>
      </c>
      <c r="M34">
        <v>1</v>
      </c>
      <c r="N34">
        <v>2</v>
      </c>
      <c r="Q34" t="s">
        <v>29</v>
      </c>
      <c r="S34" t="s">
        <v>31</v>
      </c>
      <c r="T34" t="s">
        <v>31</v>
      </c>
      <c r="U34" t="s">
        <v>31</v>
      </c>
      <c r="V34" t="s">
        <v>31</v>
      </c>
      <c r="W34" t="s">
        <v>154</v>
      </c>
      <c r="X34">
        <v>40.4</v>
      </c>
      <c r="Y34">
        <v>-113.2</v>
      </c>
      <c r="Z34">
        <v>9.5600000000000004E-2</v>
      </c>
      <c r="AA34" t="s">
        <v>203</v>
      </c>
    </row>
    <row r="35" spans="1:27" x14ac:dyDescent="0.2">
      <c r="A35">
        <v>1</v>
      </c>
      <c r="B35">
        <v>1</v>
      </c>
      <c r="C35" t="s">
        <v>190</v>
      </c>
      <c r="D35">
        <v>2004</v>
      </c>
      <c r="E35">
        <v>350</v>
      </c>
      <c r="F35">
        <v>2</v>
      </c>
      <c r="G35" t="s">
        <v>112</v>
      </c>
      <c r="H35">
        <f>0.07*100</f>
        <v>7.0000000000000009</v>
      </c>
      <c r="I35">
        <f>0.03*100</f>
        <v>3</v>
      </c>
      <c r="J35">
        <v>2</v>
      </c>
      <c r="K35">
        <f>0.11*100</f>
        <v>11</v>
      </c>
      <c r="L35">
        <f>0.04*100</f>
        <v>4</v>
      </c>
      <c r="M35">
        <v>5</v>
      </c>
      <c r="N35">
        <v>6</v>
      </c>
      <c r="O35">
        <v>14.5</v>
      </c>
      <c r="P35">
        <v>77.8</v>
      </c>
      <c r="Q35" t="s">
        <v>29</v>
      </c>
      <c r="R35" t="s">
        <v>30</v>
      </c>
      <c r="S35" t="s">
        <v>29</v>
      </c>
      <c r="T35" t="s">
        <v>31</v>
      </c>
      <c r="U35" t="s">
        <v>29</v>
      </c>
      <c r="V35" t="s">
        <v>31</v>
      </c>
      <c r="W35" t="s">
        <v>40</v>
      </c>
      <c r="X35">
        <v>42.036110000000001</v>
      </c>
      <c r="Y35">
        <v>2.8172199999999998</v>
      </c>
      <c r="Z35">
        <v>0.51649999999999996</v>
      </c>
      <c r="AA35" t="s">
        <v>203</v>
      </c>
    </row>
    <row r="36" spans="1:27" x14ac:dyDescent="0.2">
      <c r="A36">
        <v>15</v>
      </c>
      <c r="B36">
        <v>1</v>
      </c>
      <c r="C36" t="s">
        <v>60</v>
      </c>
      <c r="D36">
        <v>2016</v>
      </c>
      <c r="E36">
        <v>20</v>
      </c>
      <c r="F36">
        <v>4</v>
      </c>
      <c r="G36" t="s">
        <v>49</v>
      </c>
      <c r="H36">
        <f>2.4+16</f>
        <v>18.399999999999999</v>
      </c>
      <c r="I36">
        <f>1.7+2.9</f>
        <v>4.5999999999999996</v>
      </c>
      <c r="J36">
        <v>4</v>
      </c>
      <c r="K36">
        <f>0.1+10.2</f>
        <v>10.299999999999999</v>
      </c>
      <c r="L36">
        <f>0.1+3.8</f>
        <v>3.9</v>
      </c>
      <c r="M36">
        <v>8</v>
      </c>
      <c r="N36">
        <v>9</v>
      </c>
      <c r="O36">
        <v>16.100000000000001</v>
      </c>
      <c r="P36">
        <v>33.5</v>
      </c>
      <c r="Q36" t="s">
        <v>31</v>
      </c>
      <c r="R36" t="s">
        <v>44</v>
      </c>
      <c r="S36" t="s">
        <v>31</v>
      </c>
      <c r="T36" t="s">
        <v>31</v>
      </c>
      <c r="U36" t="s">
        <v>31</v>
      </c>
      <c r="V36" t="s">
        <v>31</v>
      </c>
      <c r="W36" t="s">
        <v>152</v>
      </c>
      <c r="X36">
        <v>38.183329999999998</v>
      </c>
      <c r="Y36">
        <v>-121.34083</v>
      </c>
      <c r="Z36">
        <v>0.25109999999999999</v>
      </c>
      <c r="AA36" t="s">
        <v>203</v>
      </c>
    </row>
    <row r="37" spans="1:27" x14ac:dyDescent="0.2">
      <c r="A37">
        <v>15</v>
      </c>
      <c r="B37">
        <v>2</v>
      </c>
      <c r="C37" t="s">
        <v>60</v>
      </c>
      <c r="D37">
        <v>2016</v>
      </c>
      <c r="E37">
        <v>60</v>
      </c>
      <c r="F37">
        <v>4</v>
      </c>
      <c r="G37" t="s">
        <v>49</v>
      </c>
      <c r="H37">
        <f>6.9+0.6+12.1</f>
        <v>19.600000000000001</v>
      </c>
      <c r="I37">
        <f>1.8+1.6</f>
        <v>3.4000000000000004</v>
      </c>
      <c r="J37">
        <v>4</v>
      </c>
      <c r="K37">
        <f>0.1+10.2</f>
        <v>10.299999999999999</v>
      </c>
      <c r="L37">
        <f>0.1+3.8</f>
        <v>3.9</v>
      </c>
      <c r="M37">
        <v>8</v>
      </c>
      <c r="N37">
        <v>9</v>
      </c>
      <c r="O37">
        <v>16.100000000000001</v>
      </c>
      <c r="P37">
        <v>33.5</v>
      </c>
      <c r="Q37" t="s">
        <v>31</v>
      </c>
      <c r="R37" t="s">
        <v>44</v>
      </c>
      <c r="S37" t="s">
        <v>31</v>
      </c>
      <c r="T37" t="s">
        <v>31</v>
      </c>
      <c r="U37" t="s">
        <v>31</v>
      </c>
      <c r="V37" t="s">
        <v>31</v>
      </c>
      <c r="W37" t="s">
        <v>152</v>
      </c>
      <c r="X37">
        <v>38.183329999999998</v>
      </c>
      <c r="Y37">
        <v>-121.34083</v>
      </c>
      <c r="Z37">
        <v>0.25109999999999999</v>
      </c>
      <c r="AA37" t="s">
        <v>203</v>
      </c>
    </row>
    <row r="38" spans="1:27" x14ac:dyDescent="0.2">
      <c r="A38">
        <v>13</v>
      </c>
      <c r="B38">
        <v>1</v>
      </c>
      <c r="C38" t="s">
        <v>57</v>
      </c>
      <c r="D38">
        <v>2004</v>
      </c>
      <c r="E38">
        <v>5</v>
      </c>
      <c r="F38">
        <v>4</v>
      </c>
      <c r="G38" t="s">
        <v>49</v>
      </c>
      <c r="H38" s="2">
        <v>0.20785219399537999</v>
      </c>
      <c r="I38" s="2">
        <v>6.9284064665127015E-2</v>
      </c>
      <c r="J38">
        <v>4</v>
      </c>
      <c r="K38">
        <v>0.5</v>
      </c>
      <c r="L38">
        <v>0.1</v>
      </c>
      <c r="M38">
        <v>0.17</v>
      </c>
      <c r="N38">
        <v>1</v>
      </c>
      <c r="O38">
        <v>5.3</v>
      </c>
      <c r="P38">
        <v>45.2</v>
      </c>
      <c r="Q38" t="s">
        <v>29</v>
      </c>
      <c r="R38" t="s">
        <v>36</v>
      </c>
      <c r="S38" t="s">
        <v>31</v>
      </c>
      <c r="T38" t="s">
        <v>29</v>
      </c>
      <c r="U38" t="s">
        <v>29</v>
      </c>
      <c r="V38" t="s">
        <v>31</v>
      </c>
      <c r="W38" t="s">
        <v>58</v>
      </c>
      <c r="X38">
        <v>39.36788</v>
      </c>
      <c r="Y38">
        <v>-105.24069</v>
      </c>
      <c r="Z38">
        <v>0.28749999999999998</v>
      </c>
      <c r="AA38" t="s">
        <v>203</v>
      </c>
    </row>
    <row r="39" spans="1:27" x14ac:dyDescent="0.2">
      <c r="A39">
        <v>13</v>
      </c>
      <c r="B39">
        <v>2</v>
      </c>
      <c r="C39" t="s">
        <v>57</v>
      </c>
      <c r="D39">
        <v>2004</v>
      </c>
      <c r="E39">
        <v>10</v>
      </c>
      <c r="F39">
        <v>4</v>
      </c>
      <c r="G39" t="s">
        <v>49</v>
      </c>
      <c r="H39" s="2">
        <v>0.41570438799076298</v>
      </c>
      <c r="I39" s="2">
        <v>0.17321016166281505</v>
      </c>
      <c r="J39">
        <v>4</v>
      </c>
      <c r="K39">
        <v>0.5</v>
      </c>
      <c r="L39">
        <v>0.1</v>
      </c>
      <c r="M39">
        <v>0.17</v>
      </c>
      <c r="N39">
        <v>1</v>
      </c>
      <c r="O39">
        <v>5.3</v>
      </c>
      <c r="P39">
        <v>45.2</v>
      </c>
      <c r="Q39" t="s">
        <v>29</v>
      </c>
      <c r="R39" t="s">
        <v>36</v>
      </c>
      <c r="S39" t="s">
        <v>31</v>
      </c>
      <c r="T39" t="s">
        <v>29</v>
      </c>
      <c r="U39" t="s">
        <v>29</v>
      </c>
      <c r="V39" t="s">
        <v>31</v>
      </c>
      <c r="W39" t="s">
        <v>58</v>
      </c>
      <c r="X39">
        <v>39.36788</v>
      </c>
      <c r="Y39">
        <v>-105.24069</v>
      </c>
      <c r="Z39">
        <v>0.28749999999999998</v>
      </c>
      <c r="AA39" t="s">
        <v>203</v>
      </c>
    </row>
    <row r="40" spans="1:27" x14ac:dyDescent="0.2">
      <c r="A40">
        <v>13</v>
      </c>
      <c r="B40">
        <v>3</v>
      </c>
      <c r="C40" t="s">
        <v>57</v>
      </c>
      <c r="D40">
        <v>2004</v>
      </c>
      <c r="E40">
        <v>20</v>
      </c>
      <c r="F40">
        <v>4</v>
      </c>
      <c r="G40" t="s">
        <v>49</v>
      </c>
      <c r="H40" s="2">
        <v>0.138568129330252</v>
      </c>
      <c r="I40" s="2">
        <v>6.9284064665127987E-2</v>
      </c>
      <c r="J40">
        <v>4</v>
      </c>
      <c r="K40">
        <v>0.5</v>
      </c>
      <c r="L40">
        <v>0.1</v>
      </c>
      <c r="M40">
        <v>0.17</v>
      </c>
      <c r="N40">
        <v>1</v>
      </c>
      <c r="O40">
        <v>5.3</v>
      </c>
      <c r="P40">
        <v>45.2</v>
      </c>
      <c r="Q40" t="s">
        <v>29</v>
      </c>
      <c r="R40" t="s">
        <v>36</v>
      </c>
      <c r="S40" t="s">
        <v>31</v>
      </c>
      <c r="T40" t="s">
        <v>29</v>
      </c>
      <c r="U40" t="s">
        <v>29</v>
      </c>
      <c r="V40" t="s">
        <v>31</v>
      </c>
      <c r="W40" t="s">
        <v>58</v>
      </c>
      <c r="X40">
        <v>39.36788</v>
      </c>
      <c r="Y40">
        <v>-105.24069</v>
      </c>
      <c r="Z40">
        <v>0.28749999999999998</v>
      </c>
      <c r="AA40" t="s">
        <v>203</v>
      </c>
    </row>
    <row r="41" spans="1:27" x14ac:dyDescent="0.2">
      <c r="A41">
        <v>13</v>
      </c>
      <c r="B41">
        <v>4</v>
      </c>
      <c r="C41" t="s">
        <v>57</v>
      </c>
      <c r="D41">
        <v>2004</v>
      </c>
      <c r="E41">
        <v>40</v>
      </c>
      <c r="F41">
        <v>4</v>
      </c>
      <c r="G41" t="s">
        <v>49</v>
      </c>
      <c r="H41" s="2">
        <v>0.27713625866050701</v>
      </c>
      <c r="I41" s="2">
        <v>0.10392609699769001</v>
      </c>
      <c r="J41">
        <v>4</v>
      </c>
      <c r="K41">
        <v>0.5</v>
      </c>
      <c r="L41">
        <v>0.1</v>
      </c>
      <c r="M41">
        <v>0.17</v>
      </c>
      <c r="N41">
        <v>1</v>
      </c>
      <c r="O41">
        <v>5.3</v>
      </c>
      <c r="P41">
        <v>45.2</v>
      </c>
      <c r="Q41" t="s">
        <v>29</v>
      </c>
      <c r="R41" t="s">
        <v>36</v>
      </c>
      <c r="S41" t="s">
        <v>31</v>
      </c>
      <c r="T41" t="s">
        <v>29</v>
      </c>
      <c r="U41" t="s">
        <v>29</v>
      </c>
      <c r="V41" t="s">
        <v>31</v>
      </c>
      <c r="W41" t="s">
        <v>58</v>
      </c>
      <c r="X41">
        <v>39.36788</v>
      </c>
      <c r="Y41">
        <v>-105.24069</v>
      </c>
      <c r="Z41">
        <v>0.28749999999999998</v>
      </c>
      <c r="AA41" t="s">
        <v>203</v>
      </c>
    </row>
    <row r="42" spans="1:27" x14ac:dyDescent="0.2">
      <c r="A42">
        <v>13</v>
      </c>
      <c r="B42">
        <v>5</v>
      </c>
      <c r="C42" t="s">
        <v>57</v>
      </c>
      <c r="D42">
        <v>2004</v>
      </c>
      <c r="E42">
        <v>80</v>
      </c>
      <c r="F42">
        <v>4</v>
      </c>
      <c r="G42" t="s">
        <v>49</v>
      </c>
      <c r="H42" s="2">
        <v>0.48498845265588802</v>
      </c>
      <c r="I42" s="2">
        <v>0.27713625866050701</v>
      </c>
      <c r="J42">
        <v>4</v>
      </c>
      <c r="K42">
        <v>0.5</v>
      </c>
      <c r="L42">
        <v>0.1</v>
      </c>
      <c r="M42">
        <v>0.17</v>
      </c>
      <c r="N42">
        <v>1</v>
      </c>
      <c r="O42">
        <v>5.3</v>
      </c>
      <c r="P42">
        <v>45.2</v>
      </c>
      <c r="Q42" t="s">
        <v>29</v>
      </c>
      <c r="R42" t="s">
        <v>36</v>
      </c>
      <c r="S42" t="s">
        <v>31</v>
      </c>
      <c r="T42" t="s">
        <v>29</v>
      </c>
      <c r="U42" t="s">
        <v>29</v>
      </c>
      <c r="V42" t="s">
        <v>31</v>
      </c>
      <c r="W42" t="s">
        <v>58</v>
      </c>
      <c r="X42">
        <v>39.36788</v>
      </c>
      <c r="Y42">
        <v>-105.24069</v>
      </c>
      <c r="Z42">
        <v>0.28749999999999998</v>
      </c>
      <c r="AA42" t="s">
        <v>203</v>
      </c>
    </row>
    <row r="43" spans="1:27" x14ac:dyDescent="0.2">
      <c r="A43">
        <v>13</v>
      </c>
      <c r="B43">
        <v>6</v>
      </c>
      <c r="C43" t="s">
        <v>57</v>
      </c>
      <c r="D43">
        <v>2004</v>
      </c>
      <c r="E43">
        <v>5</v>
      </c>
      <c r="F43">
        <v>4</v>
      </c>
      <c r="G43" t="s">
        <v>49</v>
      </c>
      <c r="H43" s="2">
        <v>0.31177829099306997</v>
      </c>
      <c r="I43" s="2">
        <v>0.13856812933025503</v>
      </c>
      <c r="J43">
        <v>4</v>
      </c>
      <c r="K43">
        <v>1.1000000000000001</v>
      </c>
      <c r="L43">
        <v>0.1</v>
      </c>
      <c r="M43">
        <v>1.17</v>
      </c>
      <c r="N43">
        <v>2</v>
      </c>
      <c r="O43">
        <v>5.3</v>
      </c>
      <c r="P43">
        <v>45.2</v>
      </c>
      <c r="Q43" t="s">
        <v>29</v>
      </c>
      <c r="R43" t="s">
        <v>36</v>
      </c>
      <c r="S43" t="s">
        <v>31</v>
      </c>
      <c r="T43" t="s">
        <v>29</v>
      </c>
      <c r="U43" t="s">
        <v>29</v>
      </c>
      <c r="V43" t="s">
        <v>31</v>
      </c>
      <c r="W43" t="s">
        <v>58</v>
      </c>
      <c r="X43">
        <v>39.36788</v>
      </c>
      <c r="Y43">
        <v>-105.24069</v>
      </c>
      <c r="Z43">
        <v>0.28749999999999998</v>
      </c>
      <c r="AA43" t="s">
        <v>203</v>
      </c>
    </row>
    <row r="44" spans="1:27" x14ac:dyDescent="0.2">
      <c r="A44">
        <v>13</v>
      </c>
      <c r="B44">
        <v>7</v>
      </c>
      <c r="C44" t="s">
        <v>57</v>
      </c>
      <c r="D44">
        <v>2004</v>
      </c>
      <c r="E44">
        <v>10</v>
      </c>
      <c r="F44">
        <v>4</v>
      </c>
      <c r="G44" t="s">
        <v>49</v>
      </c>
      <c r="H44" s="2">
        <v>0.41570438799076298</v>
      </c>
      <c r="I44" s="2">
        <v>0.27713625866050801</v>
      </c>
      <c r="J44">
        <v>4</v>
      </c>
      <c r="K44">
        <v>1.1000000000000001</v>
      </c>
      <c r="L44">
        <v>0.1</v>
      </c>
      <c r="M44">
        <v>1.17</v>
      </c>
      <c r="N44">
        <v>2</v>
      </c>
      <c r="O44">
        <v>5.3</v>
      </c>
      <c r="P44">
        <v>45.2</v>
      </c>
      <c r="Q44" t="s">
        <v>29</v>
      </c>
      <c r="R44" t="s">
        <v>36</v>
      </c>
      <c r="S44" t="s">
        <v>31</v>
      </c>
      <c r="T44" t="s">
        <v>29</v>
      </c>
      <c r="U44" t="s">
        <v>29</v>
      </c>
      <c r="V44" t="s">
        <v>31</v>
      </c>
      <c r="W44" t="s">
        <v>58</v>
      </c>
      <c r="X44">
        <v>39.36788</v>
      </c>
      <c r="Y44">
        <v>-105.24069</v>
      </c>
      <c r="Z44">
        <v>0.28749999999999998</v>
      </c>
      <c r="AA44" t="s">
        <v>203</v>
      </c>
    </row>
    <row r="45" spans="1:27" x14ac:dyDescent="0.2">
      <c r="A45">
        <v>13</v>
      </c>
      <c r="B45">
        <v>8</v>
      </c>
      <c r="C45" t="s">
        <v>57</v>
      </c>
      <c r="D45">
        <v>2004</v>
      </c>
      <c r="E45">
        <v>20</v>
      </c>
      <c r="F45">
        <v>4</v>
      </c>
      <c r="G45" t="s">
        <v>49</v>
      </c>
      <c r="H45" s="2">
        <v>0.27713625866050701</v>
      </c>
      <c r="I45" s="2">
        <v>0.173210161662818</v>
      </c>
      <c r="J45">
        <v>4</v>
      </c>
      <c r="K45">
        <v>1.1000000000000001</v>
      </c>
      <c r="L45">
        <v>0.1</v>
      </c>
      <c r="M45">
        <v>1.17</v>
      </c>
      <c r="N45">
        <v>2</v>
      </c>
      <c r="O45">
        <v>5.3</v>
      </c>
      <c r="P45">
        <v>45.2</v>
      </c>
      <c r="Q45" t="s">
        <v>29</v>
      </c>
      <c r="R45" t="s">
        <v>36</v>
      </c>
      <c r="S45" t="s">
        <v>31</v>
      </c>
      <c r="T45" t="s">
        <v>29</v>
      </c>
      <c r="U45" t="s">
        <v>29</v>
      </c>
      <c r="V45" t="s">
        <v>31</v>
      </c>
      <c r="W45" t="s">
        <v>58</v>
      </c>
      <c r="X45">
        <v>39.36788</v>
      </c>
      <c r="Y45">
        <v>-105.24069</v>
      </c>
      <c r="Z45">
        <v>0.28749999999999998</v>
      </c>
      <c r="AA45" t="s">
        <v>203</v>
      </c>
    </row>
    <row r="46" spans="1:27" x14ac:dyDescent="0.2">
      <c r="A46">
        <v>13</v>
      </c>
      <c r="B46">
        <v>9</v>
      </c>
      <c r="C46" t="s">
        <v>57</v>
      </c>
      <c r="D46">
        <v>2004</v>
      </c>
      <c r="E46">
        <v>40</v>
      </c>
      <c r="F46">
        <v>4</v>
      </c>
      <c r="G46" t="s">
        <v>49</v>
      </c>
      <c r="H46" s="2">
        <v>2.3556581986143099</v>
      </c>
      <c r="I46" s="2">
        <v>2.3903002309468899</v>
      </c>
      <c r="J46">
        <v>4</v>
      </c>
      <c r="K46">
        <v>1.1000000000000001</v>
      </c>
      <c r="L46">
        <v>0.1</v>
      </c>
      <c r="M46">
        <v>1.17</v>
      </c>
      <c r="N46">
        <v>2</v>
      </c>
      <c r="O46">
        <v>5.3</v>
      </c>
      <c r="P46">
        <v>45.2</v>
      </c>
      <c r="Q46" t="s">
        <v>29</v>
      </c>
      <c r="R46" t="s">
        <v>36</v>
      </c>
      <c r="S46" t="s">
        <v>31</v>
      </c>
      <c r="T46" t="s">
        <v>29</v>
      </c>
      <c r="U46" t="s">
        <v>29</v>
      </c>
      <c r="V46" t="s">
        <v>31</v>
      </c>
      <c r="W46" t="s">
        <v>58</v>
      </c>
      <c r="X46">
        <v>39.36788</v>
      </c>
      <c r="Y46">
        <v>-105.24069</v>
      </c>
      <c r="Z46">
        <v>0.28749999999999998</v>
      </c>
      <c r="AA46" t="s">
        <v>203</v>
      </c>
    </row>
    <row r="47" spans="1:27" x14ac:dyDescent="0.2">
      <c r="A47">
        <v>13</v>
      </c>
      <c r="B47">
        <v>10</v>
      </c>
      <c r="C47" t="s">
        <v>57</v>
      </c>
      <c r="D47">
        <v>2004</v>
      </c>
      <c r="E47">
        <v>80</v>
      </c>
      <c r="F47">
        <v>4</v>
      </c>
      <c r="G47" t="s">
        <v>49</v>
      </c>
      <c r="H47" s="2">
        <v>0</v>
      </c>
      <c r="I47" s="2">
        <v>0</v>
      </c>
      <c r="J47">
        <v>4</v>
      </c>
      <c r="K47">
        <v>1.1000000000000001</v>
      </c>
      <c r="L47">
        <v>0.1</v>
      </c>
      <c r="M47">
        <v>1.17</v>
      </c>
      <c r="N47">
        <v>2</v>
      </c>
      <c r="O47">
        <v>5.3</v>
      </c>
      <c r="P47">
        <v>45.2</v>
      </c>
      <c r="Q47" t="s">
        <v>29</v>
      </c>
      <c r="R47" t="s">
        <v>36</v>
      </c>
      <c r="S47" t="s">
        <v>31</v>
      </c>
      <c r="T47" t="s">
        <v>29</v>
      </c>
      <c r="U47" t="s">
        <v>29</v>
      </c>
      <c r="V47" t="s">
        <v>31</v>
      </c>
      <c r="W47" t="s">
        <v>58</v>
      </c>
      <c r="X47">
        <v>39.36788</v>
      </c>
      <c r="Y47">
        <v>-105.24069</v>
      </c>
      <c r="Z47">
        <v>0.28749999999999998</v>
      </c>
      <c r="AA47" t="s">
        <v>203</v>
      </c>
    </row>
    <row r="48" spans="1:27" x14ac:dyDescent="0.2">
      <c r="A48">
        <v>13</v>
      </c>
      <c r="B48">
        <v>11</v>
      </c>
      <c r="C48" t="s">
        <v>57</v>
      </c>
      <c r="D48">
        <v>2004</v>
      </c>
      <c r="E48">
        <v>5</v>
      </c>
      <c r="F48">
        <v>4</v>
      </c>
      <c r="G48" t="s">
        <v>49</v>
      </c>
      <c r="H48" s="2">
        <v>1.5242494226327901</v>
      </c>
      <c r="I48" s="2">
        <v>0.65819861431870996</v>
      </c>
      <c r="J48">
        <v>4</v>
      </c>
      <c r="K48" s="2">
        <v>0.69284064665127099</v>
      </c>
      <c r="L48" s="2">
        <v>0.45034642032331906</v>
      </c>
      <c r="M48">
        <v>2.17</v>
      </c>
      <c r="N48">
        <v>3</v>
      </c>
      <c r="O48">
        <v>5.3</v>
      </c>
      <c r="P48">
        <v>45.2</v>
      </c>
      <c r="Q48" t="s">
        <v>29</v>
      </c>
      <c r="R48" t="s">
        <v>36</v>
      </c>
      <c r="S48" t="s">
        <v>31</v>
      </c>
      <c r="T48" t="s">
        <v>29</v>
      </c>
      <c r="U48" t="s">
        <v>29</v>
      </c>
      <c r="V48" t="s">
        <v>31</v>
      </c>
      <c r="W48" t="s">
        <v>58</v>
      </c>
      <c r="X48">
        <v>39.36788</v>
      </c>
      <c r="Y48">
        <v>-105.24069</v>
      </c>
      <c r="Z48">
        <v>0.28749999999999998</v>
      </c>
      <c r="AA48" t="s">
        <v>203</v>
      </c>
    </row>
    <row r="49" spans="1:27" x14ac:dyDescent="0.2">
      <c r="A49">
        <v>13</v>
      </c>
      <c r="B49">
        <v>12</v>
      </c>
      <c r="C49" t="s">
        <v>57</v>
      </c>
      <c r="D49">
        <v>2004</v>
      </c>
      <c r="E49">
        <v>10</v>
      </c>
      <c r="F49">
        <v>4</v>
      </c>
      <c r="G49" t="s">
        <v>49</v>
      </c>
      <c r="H49" s="2">
        <v>0.58891454965357803</v>
      </c>
      <c r="I49" s="2">
        <v>0.27713625866050795</v>
      </c>
      <c r="J49">
        <v>4</v>
      </c>
      <c r="K49" s="2">
        <v>0.69284064665127099</v>
      </c>
      <c r="L49" s="2">
        <v>0.45034642032331906</v>
      </c>
      <c r="M49">
        <v>2.17</v>
      </c>
      <c r="N49">
        <v>3</v>
      </c>
      <c r="O49">
        <v>5.3</v>
      </c>
      <c r="P49">
        <v>45.2</v>
      </c>
      <c r="Q49" t="s">
        <v>29</v>
      </c>
      <c r="R49" t="s">
        <v>36</v>
      </c>
      <c r="S49" t="s">
        <v>31</v>
      </c>
      <c r="T49" t="s">
        <v>29</v>
      </c>
      <c r="U49" t="s">
        <v>29</v>
      </c>
      <c r="V49" t="s">
        <v>31</v>
      </c>
      <c r="W49" t="s">
        <v>58</v>
      </c>
      <c r="X49">
        <v>39.36788</v>
      </c>
      <c r="Y49">
        <v>-105.24069</v>
      </c>
      <c r="Z49">
        <v>0.28749999999999998</v>
      </c>
      <c r="AA49" t="s">
        <v>203</v>
      </c>
    </row>
    <row r="50" spans="1:27" x14ac:dyDescent="0.2">
      <c r="A50">
        <v>13</v>
      </c>
      <c r="B50">
        <v>13</v>
      </c>
      <c r="C50" t="s">
        <v>57</v>
      </c>
      <c r="D50">
        <v>2004</v>
      </c>
      <c r="E50">
        <v>20</v>
      </c>
      <c r="F50">
        <v>4</v>
      </c>
      <c r="G50" t="s">
        <v>49</v>
      </c>
      <c r="H50" s="2">
        <v>1.14318706697459</v>
      </c>
      <c r="I50" s="2">
        <v>0.86605080831408987</v>
      </c>
      <c r="J50">
        <v>4</v>
      </c>
      <c r="K50" s="2">
        <v>0.69284064665127099</v>
      </c>
      <c r="L50" s="2">
        <v>0.45034642032331906</v>
      </c>
      <c r="M50">
        <v>2.17</v>
      </c>
      <c r="N50">
        <v>3</v>
      </c>
      <c r="O50">
        <v>5.3</v>
      </c>
      <c r="P50">
        <v>45.2</v>
      </c>
      <c r="Q50" t="s">
        <v>29</v>
      </c>
      <c r="R50" t="s">
        <v>36</v>
      </c>
      <c r="S50" t="s">
        <v>31</v>
      </c>
      <c r="T50" t="s">
        <v>29</v>
      </c>
      <c r="U50" t="s">
        <v>29</v>
      </c>
      <c r="V50" t="s">
        <v>31</v>
      </c>
      <c r="W50" t="s">
        <v>58</v>
      </c>
      <c r="X50">
        <v>39.36788</v>
      </c>
      <c r="Y50">
        <v>-105.24069</v>
      </c>
      <c r="Z50">
        <v>0.28749999999999998</v>
      </c>
      <c r="AA50" t="s">
        <v>203</v>
      </c>
    </row>
    <row r="51" spans="1:27" x14ac:dyDescent="0.2">
      <c r="A51">
        <v>13</v>
      </c>
      <c r="B51">
        <v>14</v>
      </c>
      <c r="C51" t="s">
        <v>57</v>
      </c>
      <c r="D51">
        <v>2004</v>
      </c>
      <c r="E51">
        <v>40</v>
      </c>
      <c r="F51">
        <v>4</v>
      </c>
      <c r="G51" t="s">
        <v>49</v>
      </c>
      <c r="H51" s="2">
        <v>1.8706697459584301</v>
      </c>
      <c r="I51" s="2">
        <v>1.3163972286374102</v>
      </c>
      <c r="J51">
        <v>4</v>
      </c>
      <c r="K51" s="2">
        <v>0.69284064665127099</v>
      </c>
      <c r="L51" s="2">
        <v>0.45034642032331906</v>
      </c>
      <c r="M51">
        <v>2.17</v>
      </c>
      <c r="N51">
        <v>3</v>
      </c>
      <c r="O51">
        <v>5.3</v>
      </c>
      <c r="P51">
        <v>45.2</v>
      </c>
      <c r="Q51" t="s">
        <v>29</v>
      </c>
      <c r="R51" t="s">
        <v>36</v>
      </c>
      <c r="S51" t="s">
        <v>31</v>
      </c>
      <c r="T51" t="s">
        <v>29</v>
      </c>
      <c r="U51" t="s">
        <v>29</v>
      </c>
      <c r="V51" t="s">
        <v>31</v>
      </c>
      <c r="W51" t="s">
        <v>58</v>
      </c>
      <c r="X51">
        <v>39.36788</v>
      </c>
      <c r="Y51">
        <v>-105.24069</v>
      </c>
      <c r="Z51">
        <v>0.28749999999999998</v>
      </c>
      <c r="AA51" t="s">
        <v>203</v>
      </c>
    </row>
    <row r="52" spans="1:27" x14ac:dyDescent="0.2">
      <c r="A52">
        <v>13</v>
      </c>
      <c r="B52">
        <v>15</v>
      </c>
      <c r="C52" t="s">
        <v>57</v>
      </c>
      <c r="D52">
        <v>2004</v>
      </c>
      <c r="E52">
        <v>80</v>
      </c>
      <c r="F52">
        <v>4</v>
      </c>
      <c r="G52" t="s">
        <v>49</v>
      </c>
      <c r="H52" s="2">
        <v>0.27713625866050701</v>
      </c>
      <c r="I52" s="2">
        <v>0.173210161662818</v>
      </c>
      <c r="J52">
        <v>4</v>
      </c>
      <c r="K52" s="2">
        <v>0.69284064665127099</v>
      </c>
      <c r="L52" s="2">
        <v>0.45034642032331906</v>
      </c>
      <c r="M52">
        <v>2.17</v>
      </c>
      <c r="N52">
        <v>3</v>
      </c>
      <c r="O52">
        <v>5.3</v>
      </c>
      <c r="P52">
        <v>45.2</v>
      </c>
      <c r="Q52" t="s">
        <v>29</v>
      </c>
      <c r="R52" t="s">
        <v>36</v>
      </c>
      <c r="S52" t="s">
        <v>31</v>
      </c>
      <c r="T52" t="s">
        <v>29</v>
      </c>
      <c r="U52" t="s">
        <v>29</v>
      </c>
      <c r="V52" t="s">
        <v>31</v>
      </c>
      <c r="W52" t="s">
        <v>58</v>
      </c>
      <c r="X52">
        <v>39.36788</v>
      </c>
      <c r="Y52">
        <v>-105.24069</v>
      </c>
      <c r="Z52">
        <v>0.28749999999999998</v>
      </c>
      <c r="AA52" t="s">
        <v>203</v>
      </c>
    </row>
    <row r="53" spans="1:27" x14ac:dyDescent="0.2">
      <c r="A53">
        <v>13</v>
      </c>
      <c r="B53">
        <v>16</v>
      </c>
      <c r="C53" t="s">
        <v>57</v>
      </c>
      <c r="D53">
        <v>2004</v>
      </c>
      <c r="E53">
        <v>5</v>
      </c>
      <c r="F53">
        <v>4</v>
      </c>
      <c r="G53" t="s">
        <v>49</v>
      </c>
      <c r="H53" s="2">
        <v>3.5334872979214702</v>
      </c>
      <c r="I53" s="2">
        <v>1.9745958429561195</v>
      </c>
      <c r="J53">
        <v>4</v>
      </c>
      <c r="K53" s="2">
        <v>6.7</v>
      </c>
      <c r="L53" s="2">
        <v>1.4549653579676702</v>
      </c>
      <c r="M53">
        <v>3.17</v>
      </c>
      <c r="N53">
        <v>4</v>
      </c>
      <c r="O53">
        <v>5.3</v>
      </c>
      <c r="P53">
        <v>45.2</v>
      </c>
      <c r="Q53" t="s">
        <v>29</v>
      </c>
      <c r="R53" t="s">
        <v>36</v>
      </c>
      <c r="S53" t="s">
        <v>31</v>
      </c>
      <c r="T53" t="s">
        <v>29</v>
      </c>
      <c r="U53" t="s">
        <v>29</v>
      </c>
      <c r="V53" t="s">
        <v>31</v>
      </c>
      <c r="W53" t="s">
        <v>58</v>
      </c>
      <c r="X53">
        <v>39.36788</v>
      </c>
      <c r="Y53">
        <v>-105.24069</v>
      </c>
      <c r="Z53">
        <v>0.28749999999999998</v>
      </c>
      <c r="AA53" t="s">
        <v>203</v>
      </c>
    </row>
    <row r="54" spans="1:27" x14ac:dyDescent="0.2">
      <c r="A54">
        <v>13</v>
      </c>
      <c r="B54">
        <v>17</v>
      </c>
      <c r="C54" t="s">
        <v>57</v>
      </c>
      <c r="D54">
        <v>2004</v>
      </c>
      <c r="E54">
        <v>10</v>
      </c>
      <c r="F54">
        <v>4</v>
      </c>
      <c r="G54" t="s">
        <v>49</v>
      </c>
      <c r="H54" s="2">
        <v>1.6628175519630399</v>
      </c>
      <c r="I54" s="2">
        <v>1.6974595842956199</v>
      </c>
      <c r="J54">
        <v>4</v>
      </c>
      <c r="K54" s="2">
        <v>6.7</v>
      </c>
      <c r="L54" s="2">
        <v>1.4549653579676702</v>
      </c>
      <c r="M54">
        <v>3.17</v>
      </c>
      <c r="N54">
        <v>4</v>
      </c>
      <c r="O54">
        <v>5.3</v>
      </c>
      <c r="P54">
        <v>45.2</v>
      </c>
      <c r="Q54" t="s">
        <v>29</v>
      </c>
      <c r="R54" t="s">
        <v>36</v>
      </c>
      <c r="S54" t="s">
        <v>31</v>
      </c>
      <c r="T54" t="s">
        <v>29</v>
      </c>
      <c r="U54" t="s">
        <v>29</v>
      </c>
      <c r="V54" t="s">
        <v>31</v>
      </c>
      <c r="W54" t="s">
        <v>58</v>
      </c>
      <c r="X54">
        <v>39.36788</v>
      </c>
      <c r="Y54">
        <v>-105.24069</v>
      </c>
      <c r="Z54">
        <v>0.28749999999999998</v>
      </c>
      <c r="AA54" t="s">
        <v>203</v>
      </c>
    </row>
    <row r="55" spans="1:27" x14ac:dyDescent="0.2">
      <c r="A55">
        <v>13</v>
      </c>
      <c r="B55">
        <v>18</v>
      </c>
      <c r="C55" t="s">
        <v>57</v>
      </c>
      <c r="D55">
        <v>2004</v>
      </c>
      <c r="E55">
        <v>20</v>
      </c>
      <c r="F55">
        <v>4</v>
      </c>
      <c r="G55" t="s">
        <v>49</v>
      </c>
      <c r="H55" s="2">
        <v>0.31177829099306997</v>
      </c>
      <c r="I55" s="2">
        <v>0.20785219399538302</v>
      </c>
      <c r="J55">
        <v>4</v>
      </c>
      <c r="K55" s="2">
        <v>6.7</v>
      </c>
      <c r="L55" s="2">
        <v>1.4549653579676702</v>
      </c>
      <c r="M55">
        <v>3.17</v>
      </c>
      <c r="N55">
        <v>4</v>
      </c>
      <c r="O55">
        <v>5.3</v>
      </c>
      <c r="P55">
        <v>45.2</v>
      </c>
      <c r="Q55" t="s">
        <v>29</v>
      </c>
      <c r="R55" t="s">
        <v>36</v>
      </c>
      <c r="S55" t="s">
        <v>31</v>
      </c>
      <c r="T55" t="s">
        <v>29</v>
      </c>
      <c r="U55" t="s">
        <v>29</v>
      </c>
      <c r="V55" t="s">
        <v>31</v>
      </c>
      <c r="W55" t="s">
        <v>58</v>
      </c>
      <c r="X55">
        <v>39.36788</v>
      </c>
      <c r="Y55">
        <v>-105.24069</v>
      </c>
      <c r="Z55">
        <v>0.28749999999999998</v>
      </c>
      <c r="AA55" t="s">
        <v>203</v>
      </c>
    </row>
    <row r="56" spans="1:27" x14ac:dyDescent="0.2">
      <c r="A56">
        <v>13</v>
      </c>
      <c r="B56">
        <v>19</v>
      </c>
      <c r="C56" t="s">
        <v>57</v>
      </c>
      <c r="D56">
        <v>2004</v>
      </c>
      <c r="E56">
        <v>40</v>
      </c>
      <c r="F56">
        <v>4</v>
      </c>
      <c r="G56" t="s">
        <v>49</v>
      </c>
      <c r="H56" s="2">
        <v>4.5381062355658202</v>
      </c>
      <c r="I56" s="2">
        <v>1.8360277136258603</v>
      </c>
      <c r="J56">
        <v>4</v>
      </c>
      <c r="K56" s="2">
        <v>6.7</v>
      </c>
      <c r="L56" s="2">
        <v>1.4549653579676702</v>
      </c>
      <c r="M56">
        <v>3.17</v>
      </c>
      <c r="N56">
        <v>4</v>
      </c>
      <c r="O56">
        <v>5.3</v>
      </c>
      <c r="P56">
        <v>45.2</v>
      </c>
      <c r="Q56" t="s">
        <v>29</v>
      </c>
      <c r="R56" t="s">
        <v>36</v>
      </c>
      <c r="S56" t="s">
        <v>31</v>
      </c>
      <c r="T56" t="s">
        <v>29</v>
      </c>
      <c r="U56" t="s">
        <v>29</v>
      </c>
      <c r="V56" t="s">
        <v>31</v>
      </c>
      <c r="W56" t="s">
        <v>58</v>
      </c>
      <c r="X56">
        <v>39.36788</v>
      </c>
      <c r="Y56">
        <v>-105.24069</v>
      </c>
      <c r="Z56">
        <v>0.28749999999999998</v>
      </c>
      <c r="AA56" t="s">
        <v>203</v>
      </c>
    </row>
    <row r="57" spans="1:27" x14ac:dyDescent="0.2">
      <c r="A57">
        <v>13</v>
      </c>
      <c r="B57">
        <v>20</v>
      </c>
      <c r="C57" t="s">
        <v>57</v>
      </c>
      <c r="D57">
        <v>2004</v>
      </c>
      <c r="E57">
        <v>80</v>
      </c>
      <c r="F57">
        <v>4</v>
      </c>
      <c r="G57" t="s">
        <v>49</v>
      </c>
      <c r="H57" s="2">
        <v>0.76212471131639503</v>
      </c>
      <c r="I57" s="2">
        <v>0.20785219399538402</v>
      </c>
      <c r="J57">
        <v>4</v>
      </c>
      <c r="K57" s="2">
        <v>6.7</v>
      </c>
      <c r="L57" s="2">
        <v>1.4549653579676702</v>
      </c>
      <c r="M57">
        <v>3.17</v>
      </c>
      <c r="N57">
        <v>4</v>
      </c>
      <c r="O57">
        <v>5.3</v>
      </c>
      <c r="P57">
        <v>45.2</v>
      </c>
      <c r="Q57" t="s">
        <v>29</v>
      </c>
      <c r="R57" t="s">
        <v>36</v>
      </c>
      <c r="S57" t="s">
        <v>31</v>
      </c>
      <c r="T57" t="s">
        <v>29</v>
      </c>
      <c r="U57" t="s">
        <v>29</v>
      </c>
      <c r="V57" t="s">
        <v>31</v>
      </c>
      <c r="W57" t="s">
        <v>58</v>
      </c>
      <c r="X57">
        <v>39.36788</v>
      </c>
      <c r="Y57">
        <v>-105.24069</v>
      </c>
      <c r="Z57">
        <v>0.28749999999999998</v>
      </c>
      <c r="AA57" t="s">
        <v>203</v>
      </c>
    </row>
    <row r="58" spans="1:27" x14ac:dyDescent="0.2">
      <c r="A58">
        <v>11</v>
      </c>
      <c r="B58">
        <v>1</v>
      </c>
      <c r="C58" t="s">
        <v>148</v>
      </c>
      <c r="D58">
        <v>2015</v>
      </c>
      <c r="E58">
        <v>40</v>
      </c>
      <c r="F58">
        <v>4</v>
      </c>
      <c r="G58" t="s">
        <v>31</v>
      </c>
      <c r="H58">
        <v>2</v>
      </c>
      <c r="J58">
        <v>4</v>
      </c>
      <c r="K58">
        <v>1.5</v>
      </c>
      <c r="M58">
        <v>6</v>
      </c>
      <c r="N58">
        <v>7</v>
      </c>
      <c r="O58">
        <v>9.4</v>
      </c>
      <c r="P58">
        <v>56.5</v>
      </c>
      <c r="Q58" t="s">
        <v>29</v>
      </c>
      <c r="R58" t="s">
        <v>30</v>
      </c>
      <c r="S58" t="s">
        <v>29</v>
      </c>
      <c r="T58" t="s">
        <v>29</v>
      </c>
      <c r="U58" t="s">
        <v>31</v>
      </c>
      <c r="V58" t="s">
        <v>31</v>
      </c>
      <c r="W58" t="s">
        <v>54</v>
      </c>
      <c r="X58">
        <v>-40.573329999999999</v>
      </c>
      <c r="Y58">
        <v>-70.832499999999996</v>
      </c>
      <c r="Z58">
        <v>0.44740000000000002</v>
      </c>
      <c r="AA58" t="s">
        <v>159</v>
      </c>
    </row>
  </sheetData>
  <sortState xmlns:xlrd2="http://schemas.microsoft.com/office/spreadsheetml/2017/richdata2" ref="A2:AA58">
    <sortCondition ref="AA2:AA5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T653"/>
  <sheetViews>
    <sheetView zoomScaleNormal="100" workbookViewId="0">
      <pane xSplit="4" ySplit="1" topLeftCell="T42" activePane="bottomRight" state="frozen"/>
      <selection pane="topRight" activeCell="E1" sqref="E1"/>
      <selection pane="bottomLeft" activeCell="A2" sqref="A2"/>
      <selection pane="bottomRight" activeCell="K52" sqref="K52:K65"/>
    </sheetView>
  </sheetViews>
  <sheetFormatPr baseColWidth="10" defaultRowHeight="16" x14ac:dyDescent="0.2"/>
  <sheetData>
    <row r="1" spans="1:19" x14ac:dyDescent="0.2">
      <c r="A1" t="s">
        <v>169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90</v>
      </c>
      <c r="O1" t="s">
        <v>23</v>
      </c>
      <c r="P1" t="s">
        <v>24</v>
      </c>
      <c r="Q1" t="s">
        <v>25</v>
      </c>
      <c r="R1" t="s">
        <v>26</v>
      </c>
      <c r="S1" t="s">
        <v>170</v>
      </c>
    </row>
    <row r="2" spans="1:1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29</v>
      </c>
      <c r="J2" t="s">
        <v>31</v>
      </c>
      <c r="K2" t="s">
        <v>29</v>
      </c>
      <c r="L2" t="s">
        <v>31</v>
      </c>
      <c r="M2" t="s">
        <v>32</v>
      </c>
      <c r="N2" t="s">
        <v>91</v>
      </c>
      <c r="O2">
        <v>37.084159999999997</v>
      </c>
      <c r="P2">
        <v>-94.513050000000007</v>
      </c>
      <c r="Q2" t="s">
        <v>29</v>
      </c>
      <c r="R2">
        <v>0.75939999999999996</v>
      </c>
      <c r="S2" t="s">
        <v>171</v>
      </c>
    </row>
    <row r="3" spans="1:1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29</v>
      </c>
      <c r="J3" t="s">
        <v>31</v>
      </c>
      <c r="K3" t="s">
        <v>29</v>
      </c>
      <c r="L3" t="s">
        <v>31</v>
      </c>
      <c r="M3" t="s">
        <v>32</v>
      </c>
      <c r="N3" t="s">
        <v>91</v>
      </c>
      <c r="O3">
        <v>37.084159999999997</v>
      </c>
      <c r="P3">
        <v>-94.513050000000007</v>
      </c>
      <c r="Q3" t="s">
        <v>29</v>
      </c>
      <c r="R3">
        <v>0.75939999999999996</v>
      </c>
      <c r="S3" t="s">
        <v>171</v>
      </c>
    </row>
    <row r="4" spans="1:1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29</v>
      </c>
      <c r="J4" t="s">
        <v>31</v>
      </c>
      <c r="K4" t="s">
        <v>29</v>
      </c>
      <c r="L4" t="s">
        <v>31</v>
      </c>
      <c r="M4" t="s">
        <v>33</v>
      </c>
      <c r="N4" t="s">
        <v>91</v>
      </c>
      <c r="O4">
        <v>39.200000000000003</v>
      </c>
      <c r="P4">
        <v>-106.35</v>
      </c>
      <c r="Q4" t="s">
        <v>29</v>
      </c>
      <c r="R4">
        <v>0.32</v>
      </c>
      <c r="S4" t="s">
        <v>171</v>
      </c>
    </row>
    <row r="5" spans="1:1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29</v>
      </c>
      <c r="J5" t="s">
        <v>31</v>
      </c>
      <c r="K5" t="s">
        <v>29</v>
      </c>
      <c r="L5" t="s">
        <v>31</v>
      </c>
      <c r="M5" t="s">
        <v>33</v>
      </c>
      <c r="N5" t="s">
        <v>91</v>
      </c>
      <c r="O5">
        <v>39.200000000000003</v>
      </c>
      <c r="P5">
        <v>-106.35</v>
      </c>
      <c r="Q5" t="s">
        <v>29</v>
      </c>
      <c r="R5">
        <v>0.32</v>
      </c>
      <c r="S5" t="s">
        <v>171</v>
      </c>
    </row>
    <row r="6" spans="1:1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29</v>
      </c>
      <c r="J6" t="s">
        <v>31</v>
      </c>
      <c r="K6" t="s">
        <v>29</v>
      </c>
      <c r="L6" t="s">
        <v>31</v>
      </c>
      <c r="M6" t="s">
        <v>33</v>
      </c>
      <c r="N6" t="s">
        <v>91</v>
      </c>
      <c r="O6">
        <v>39.200000000000003</v>
      </c>
      <c r="P6">
        <v>-106.35</v>
      </c>
      <c r="Q6" t="s">
        <v>29</v>
      </c>
      <c r="R6">
        <v>0.32</v>
      </c>
      <c r="S6" t="s">
        <v>171</v>
      </c>
    </row>
    <row r="7" spans="1:1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29</v>
      </c>
      <c r="J7" t="s">
        <v>31</v>
      </c>
      <c r="K7" t="s">
        <v>29</v>
      </c>
      <c r="L7" t="s">
        <v>31</v>
      </c>
      <c r="M7" t="s">
        <v>33</v>
      </c>
      <c r="N7" t="s">
        <v>91</v>
      </c>
      <c r="O7">
        <v>39.200000000000003</v>
      </c>
      <c r="P7">
        <v>-106.35</v>
      </c>
      <c r="Q7" t="s">
        <v>29</v>
      </c>
      <c r="R7">
        <v>0.32</v>
      </c>
      <c r="S7" t="s">
        <v>171</v>
      </c>
    </row>
    <row r="8" spans="1:1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29</v>
      </c>
      <c r="J8" t="s">
        <v>31</v>
      </c>
      <c r="K8" t="s">
        <v>29</v>
      </c>
      <c r="L8" t="s">
        <v>31</v>
      </c>
      <c r="M8" t="s">
        <v>33</v>
      </c>
      <c r="N8" t="s">
        <v>91</v>
      </c>
      <c r="O8">
        <v>39.200000000000003</v>
      </c>
      <c r="P8">
        <v>-106.35</v>
      </c>
      <c r="Q8" t="s">
        <v>29</v>
      </c>
      <c r="R8">
        <v>0.32</v>
      </c>
      <c r="S8" t="s">
        <v>171</v>
      </c>
    </row>
    <row r="9" spans="1:19" x14ac:dyDescent="0.2">
      <c r="A9">
        <v>3</v>
      </c>
      <c r="B9">
        <v>1</v>
      </c>
      <c r="C9" t="s">
        <v>34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29</v>
      </c>
      <c r="J9" t="s">
        <v>29</v>
      </c>
      <c r="K9" t="s">
        <v>31</v>
      </c>
      <c r="L9" t="s">
        <v>31</v>
      </c>
      <c r="M9" t="s">
        <v>37</v>
      </c>
      <c r="N9" t="s">
        <v>92</v>
      </c>
      <c r="O9">
        <v>-40.573329999999999</v>
      </c>
      <c r="P9">
        <v>-70.832499999999996</v>
      </c>
      <c r="Q9" t="s">
        <v>29</v>
      </c>
      <c r="R9">
        <v>0.44740000000000002</v>
      </c>
      <c r="S9" t="s">
        <v>171</v>
      </c>
    </row>
    <row r="10" spans="1:19" x14ac:dyDescent="0.2">
      <c r="A10">
        <v>3</v>
      </c>
      <c r="B10">
        <v>2</v>
      </c>
      <c r="C10" t="s">
        <v>34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29</v>
      </c>
      <c r="J10" t="s">
        <v>29</v>
      </c>
      <c r="K10" t="s">
        <v>31</v>
      </c>
      <c r="L10" t="s">
        <v>31</v>
      </c>
      <c r="M10" t="s">
        <v>37</v>
      </c>
      <c r="N10" t="s">
        <v>92</v>
      </c>
      <c r="O10">
        <v>-40.573329999999999</v>
      </c>
      <c r="P10">
        <v>-70.832499999999996</v>
      </c>
      <c r="Q10" t="s">
        <v>29</v>
      </c>
      <c r="R10">
        <v>0.44740000000000002</v>
      </c>
      <c r="S10" t="s">
        <v>171</v>
      </c>
    </row>
    <row r="11" spans="1:19" x14ac:dyDescent="0.2">
      <c r="A11">
        <v>3</v>
      </c>
      <c r="B11">
        <v>1</v>
      </c>
      <c r="C11" t="s">
        <v>34</v>
      </c>
      <c r="D11">
        <v>2010</v>
      </c>
      <c r="E11">
        <v>40</v>
      </c>
      <c r="F11">
        <v>3</v>
      </c>
      <c r="G11">
        <v>9.4</v>
      </c>
      <c r="H11">
        <v>56.5</v>
      </c>
      <c r="I11" t="s">
        <v>29</v>
      </c>
      <c r="J11" t="s">
        <v>29</v>
      </c>
      <c r="K11" t="s">
        <v>31</v>
      </c>
      <c r="L11" t="s">
        <v>31</v>
      </c>
      <c r="M11" t="s">
        <v>37</v>
      </c>
      <c r="N11" t="s">
        <v>92</v>
      </c>
      <c r="O11">
        <v>-40.573329999999999</v>
      </c>
      <c r="P11">
        <v>-70.832499999999996</v>
      </c>
      <c r="Q11" t="s">
        <v>29</v>
      </c>
      <c r="R11">
        <v>0.44740000000000002</v>
      </c>
      <c r="S11" t="s">
        <v>172</v>
      </c>
    </row>
    <row r="12" spans="1:19" x14ac:dyDescent="0.2">
      <c r="A12">
        <v>3</v>
      </c>
      <c r="B12">
        <v>2</v>
      </c>
      <c r="C12" t="s">
        <v>34</v>
      </c>
      <c r="D12">
        <v>2010</v>
      </c>
      <c r="E12">
        <v>40</v>
      </c>
      <c r="F12">
        <v>3</v>
      </c>
      <c r="G12">
        <v>9.4</v>
      </c>
      <c r="H12">
        <v>56.5</v>
      </c>
      <c r="I12" t="s">
        <v>29</v>
      </c>
      <c r="J12" t="s">
        <v>29</v>
      </c>
      <c r="K12" t="s">
        <v>31</v>
      </c>
      <c r="L12" t="s">
        <v>31</v>
      </c>
      <c r="M12" t="s">
        <v>37</v>
      </c>
      <c r="N12" t="s">
        <v>92</v>
      </c>
      <c r="O12">
        <v>-40.573329999999999</v>
      </c>
      <c r="P12">
        <v>-70.832499999999996</v>
      </c>
      <c r="Q12" t="s">
        <v>29</v>
      </c>
      <c r="R12">
        <v>0.44740000000000002</v>
      </c>
      <c r="S12" t="s">
        <v>172</v>
      </c>
    </row>
    <row r="13" spans="1:19" x14ac:dyDescent="0.2">
      <c r="A13">
        <v>3</v>
      </c>
      <c r="B13">
        <v>3</v>
      </c>
      <c r="C13" t="s">
        <v>34</v>
      </c>
      <c r="D13">
        <v>2010</v>
      </c>
      <c r="E13">
        <v>40</v>
      </c>
      <c r="F13">
        <v>4</v>
      </c>
      <c r="G13">
        <v>9.4</v>
      </c>
      <c r="H13">
        <v>56.5</v>
      </c>
      <c r="I13" t="s">
        <v>29</v>
      </c>
      <c r="J13" t="s">
        <v>29</v>
      </c>
      <c r="K13" t="s">
        <v>31</v>
      </c>
      <c r="L13" t="s">
        <v>31</v>
      </c>
      <c r="M13" t="s">
        <v>37</v>
      </c>
      <c r="N13" t="s">
        <v>92</v>
      </c>
      <c r="O13">
        <v>-40.573329999999999</v>
      </c>
      <c r="P13">
        <v>-70.832499999999996</v>
      </c>
      <c r="Q13" t="s">
        <v>29</v>
      </c>
      <c r="R13">
        <v>0.44740000000000002</v>
      </c>
      <c r="S13" t="s">
        <v>172</v>
      </c>
    </row>
    <row r="14" spans="1:19" x14ac:dyDescent="0.2">
      <c r="A14">
        <v>3</v>
      </c>
      <c r="B14">
        <v>4</v>
      </c>
      <c r="C14" t="s">
        <v>34</v>
      </c>
      <c r="D14">
        <v>2010</v>
      </c>
      <c r="E14">
        <v>40</v>
      </c>
      <c r="F14">
        <v>4</v>
      </c>
      <c r="G14">
        <v>9.4</v>
      </c>
      <c r="H14">
        <v>56.5</v>
      </c>
      <c r="I14" t="s">
        <v>29</v>
      </c>
      <c r="J14" t="s">
        <v>29</v>
      </c>
      <c r="K14" t="s">
        <v>31</v>
      </c>
      <c r="L14" t="s">
        <v>31</v>
      </c>
      <c r="M14" t="s">
        <v>37</v>
      </c>
      <c r="N14" t="s">
        <v>92</v>
      </c>
      <c r="O14">
        <v>-40.573329999999999</v>
      </c>
      <c r="P14">
        <v>-70.832499999999996</v>
      </c>
      <c r="Q14" t="s">
        <v>29</v>
      </c>
      <c r="R14">
        <v>0.44740000000000002</v>
      </c>
      <c r="S14" t="s">
        <v>172</v>
      </c>
    </row>
    <row r="15" spans="1:19" x14ac:dyDescent="0.2">
      <c r="A15">
        <v>4</v>
      </c>
      <c r="B15">
        <v>1</v>
      </c>
      <c r="C15" t="s">
        <v>38</v>
      </c>
      <c r="D15">
        <v>2006</v>
      </c>
      <c r="E15">
        <v>60</v>
      </c>
      <c r="F15">
        <v>1</v>
      </c>
      <c r="G15">
        <v>18</v>
      </c>
      <c r="H15">
        <v>55.2</v>
      </c>
      <c r="I15" t="s">
        <v>31</v>
      </c>
      <c r="J15" t="s">
        <v>31</v>
      </c>
      <c r="K15" t="s">
        <v>31</v>
      </c>
      <c r="L15" t="s">
        <v>29</v>
      </c>
      <c r="M15" t="s">
        <v>39</v>
      </c>
      <c r="N15" t="s">
        <v>93</v>
      </c>
      <c r="O15">
        <v>37.439160000000001</v>
      </c>
      <c r="P15">
        <v>-6.21638</v>
      </c>
      <c r="Q15" t="s">
        <v>29</v>
      </c>
      <c r="R15">
        <v>0.29709999999999998</v>
      </c>
      <c r="S15" t="s">
        <v>172</v>
      </c>
    </row>
    <row r="16" spans="1:19" x14ac:dyDescent="0.2">
      <c r="A16">
        <v>4</v>
      </c>
      <c r="B16">
        <v>2</v>
      </c>
      <c r="C16" t="s">
        <v>38</v>
      </c>
      <c r="D16">
        <v>2006</v>
      </c>
      <c r="E16">
        <v>60</v>
      </c>
      <c r="F16">
        <v>1</v>
      </c>
      <c r="G16">
        <v>18</v>
      </c>
      <c r="H16">
        <v>55.2</v>
      </c>
      <c r="I16" t="s">
        <v>31</v>
      </c>
      <c r="J16" t="s">
        <v>31</v>
      </c>
      <c r="K16" t="s">
        <v>31</v>
      </c>
      <c r="L16" t="s">
        <v>29</v>
      </c>
      <c r="M16" t="s">
        <v>39</v>
      </c>
      <c r="N16" t="s">
        <v>93</v>
      </c>
      <c r="O16">
        <v>37.439160000000001</v>
      </c>
      <c r="P16">
        <v>-6.21638</v>
      </c>
      <c r="Q16" t="s">
        <v>29</v>
      </c>
      <c r="R16">
        <v>0.29709999999999998</v>
      </c>
      <c r="S16" t="s">
        <v>172</v>
      </c>
    </row>
    <row r="17" spans="1:20" x14ac:dyDescent="0.2">
      <c r="A17">
        <v>4</v>
      </c>
      <c r="B17">
        <v>3</v>
      </c>
      <c r="C17" t="s">
        <v>38</v>
      </c>
      <c r="D17">
        <v>2006</v>
      </c>
      <c r="E17">
        <v>60</v>
      </c>
      <c r="F17">
        <v>1</v>
      </c>
      <c r="G17">
        <v>18</v>
      </c>
      <c r="H17">
        <v>55.2</v>
      </c>
      <c r="I17" t="s">
        <v>31</v>
      </c>
      <c r="J17" t="s">
        <v>31</v>
      </c>
      <c r="K17" t="s">
        <v>31</v>
      </c>
      <c r="L17" t="s">
        <v>29</v>
      </c>
      <c r="M17" t="s">
        <v>39</v>
      </c>
      <c r="N17" t="s">
        <v>93</v>
      </c>
      <c r="O17">
        <v>37.439160000000001</v>
      </c>
      <c r="P17">
        <v>-6.21638</v>
      </c>
      <c r="Q17" t="s">
        <v>29</v>
      </c>
      <c r="R17">
        <v>0.29709999999999998</v>
      </c>
      <c r="S17" t="s">
        <v>172</v>
      </c>
    </row>
    <row r="18" spans="1:20" x14ac:dyDescent="0.2">
      <c r="A18">
        <v>4</v>
      </c>
      <c r="B18">
        <v>1</v>
      </c>
      <c r="C18" t="s">
        <v>38</v>
      </c>
      <c r="D18">
        <v>2006</v>
      </c>
      <c r="E18">
        <v>60</v>
      </c>
      <c r="F18">
        <v>1</v>
      </c>
      <c r="G18">
        <v>18</v>
      </c>
      <c r="H18">
        <v>55.2</v>
      </c>
      <c r="I18" t="s">
        <v>31</v>
      </c>
      <c r="J18" t="s">
        <v>31</v>
      </c>
      <c r="K18" t="s">
        <v>31</v>
      </c>
      <c r="L18" t="s">
        <v>29</v>
      </c>
      <c r="M18" t="s">
        <v>39</v>
      </c>
      <c r="N18" t="s">
        <v>93</v>
      </c>
      <c r="O18">
        <v>37.439160000000001</v>
      </c>
      <c r="P18">
        <v>-6.21638</v>
      </c>
      <c r="Q18" t="s">
        <v>29</v>
      </c>
      <c r="R18">
        <v>0.29709999999999998</v>
      </c>
      <c r="S18" t="s">
        <v>171</v>
      </c>
    </row>
    <row r="19" spans="1:20" x14ac:dyDescent="0.2">
      <c r="A19">
        <v>5</v>
      </c>
      <c r="B19">
        <v>1</v>
      </c>
      <c r="C19" t="s">
        <v>195</v>
      </c>
      <c r="D19">
        <v>2004</v>
      </c>
      <c r="E19">
        <v>350</v>
      </c>
      <c r="F19">
        <v>3</v>
      </c>
      <c r="G19">
        <v>14.5</v>
      </c>
      <c r="H19">
        <v>77.8</v>
      </c>
      <c r="I19" t="s">
        <v>31</v>
      </c>
      <c r="J19" t="s">
        <v>31</v>
      </c>
      <c r="K19" t="s">
        <v>31</v>
      </c>
      <c r="L19" t="s">
        <v>31</v>
      </c>
      <c r="M19" t="s">
        <v>40</v>
      </c>
      <c r="N19" t="s">
        <v>93</v>
      </c>
      <c r="O19">
        <v>42.036110000000001</v>
      </c>
      <c r="P19">
        <v>2.8172199999999998</v>
      </c>
      <c r="Q19" t="s">
        <v>29</v>
      </c>
      <c r="R19">
        <v>0.51649999999999996</v>
      </c>
      <c r="S19" t="s">
        <v>173</v>
      </c>
      <c r="T19" s="16">
        <f>SUMPRODUCT(1/COUNTIF(A26:A168,A26:A168))</f>
        <v>12.999999999999996</v>
      </c>
    </row>
    <row r="20" spans="1:20" x14ac:dyDescent="0.2">
      <c r="A20">
        <v>5</v>
      </c>
      <c r="B20">
        <v>1</v>
      </c>
      <c r="C20" t="s">
        <v>190</v>
      </c>
      <c r="D20">
        <v>2004</v>
      </c>
      <c r="E20">
        <v>350</v>
      </c>
      <c r="F20">
        <v>3</v>
      </c>
      <c r="G20">
        <v>14.5</v>
      </c>
      <c r="H20">
        <v>77.8</v>
      </c>
      <c r="I20" t="s">
        <v>31</v>
      </c>
      <c r="J20" t="s">
        <v>31</v>
      </c>
      <c r="K20" t="s">
        <v>31</v>
      </c>
      <c r="L20" t="s">
        <v>31</v>
      </c>
      <c r="M20" t="s">
        <v>40</v>
      </c>
      <c r="N20" t="s">
        <v>93</v>
      </c>
      <c r="O20">
        <v>42.036110000000001</v>
      </c>
      <c r="P20">
        <v>2.8172199999999998</v>
      </c>
      <c r="Q20" t="s">
        <v>29</v>
      </c>
      <c r="R20">
        <v>0.51649999999999996</v>
      </c>
      <c r="S20" t="s">
        <v>172</v>
      </c>
    </row>
    <row r="21" spans="1:20" x14ac:dyDescent="0.2">
      <c r="A21">
        <v>5</v>
      </c>
      <c r="B21">
        <v>1</v>
      </c>
      <c r="C21" t="s">
        <v>190</v>
      </c>
      <c r="D21">
        <v>2004</v>
      </c>
      <c r="E21">
        <v>350</v>
      </c>
      <c r="F21">
        <v>3</v>
      </c>
      <c r="G21">
        <v>14.5</v>
      </c>
      <c r="H21">
        <v>77.8</v>
      </c>
      <c r="I21" t="s">
        <v>31</v>
      </c>
      <c r="J21" t="s">
        <v>31</v>
      </c>
      <c r="K21" t="s">
        <v>31</v>
      </c>
      <c r="L21" t="s">
        <v>31</v>
      </c>
      <c r="M21" t="s">
        <v>40</v>
      </c>
      <c r="N21" t="s">
        <v>93</v>
      </c>
      <c r="O21">
        <v>42.036110000000001</v>
      </c>
      <c r="P21">
        <v>2.8172199999999998</v>
      </c>
      <c r="Q21" t="s">
        <v>29</v>
      </c>
      <c r="R21">
        <v>0.51649999999999996</v>
      </c>
      <c r="S21" t="s">
        <v>171</v>
      </c>
    </row>
    <row r="22" spans="1:20" x14ac:dyDescent="0.2">
      <c r="A22">
        <v>6</v>
      </c>
      <c r="B22">
        <v>1</v>
      </c>
      <c r="C22" t="s">
        <v>41</v>
      </c>
      <c r="D22">
        <v>2018</v>
      </c>
      <c r="E22">
        <v>17</v>
      </c>
      <c r="F22">
        <v>3</v>
      </c>
      <c r="G22">
        <v>2.1</v>
      </c>
      <c r="H22">
        <v>62</v>
      </c>
      <c r="I22" t="s">
        <v>31</v>
      </c>
      <c r="J22" t="s">
        <v>31</v>
      </c>
      <c r="K22" t="s">
        <v>29</v>
      </c>
      <c r="L22" t="s">
        <v>31</v>
      </c>
      <c r="M22" t="s">
        <v>42</v>
      </c>
      <c r="N22" t="s">
        <v>91</v>
      </c>
      <c r="O22">
        <v>44.793660000000003</v>
      </c>
      <c r="P22">
        <v>-118.50112</v>
      </c>
      <c r="Q22" t="s">
        <v>29</v>
      </c>
      <c r="R22">
        <v>0.50429999999999997</v>
      </c>
      <c r="S22" t="s">
        <v>171</v>
      </c>
    </row>
    <row r="23" spans="1:20" x14ac:dyDescent="0.2">
      <c r="A23">
        <v>6</v>
      </c>
      <c r="B23">
        <v>2</v>
      </c>
      <c r="C23" t="s">
        <v>41</v>
      </c>
      <c r="D23">
        <v>2018</v>
      </c>
      <c r="E23">
        <v>17</v>
      </c>
      <c r="F23">
        <v>3</v>
      </c>
      <c r="G23">
        <v>2.1</v>
      </c>
      <c r="H23">
        <v>62</v>
      </c>
      <c r="I23" t="s">
        <v>31</v>
      </c>
      <c r="J23" t="s">
        <v>31</v>
      </c>
      <c r="K23" t="s">
        <v>29</v>
      </c>
      <c r="L23" t="s">
        <v>31</v>
      </c>
      <c r="M23" t="s">
        <v>42</v>
      </c>
      <c r="N23" t="s">
        <v>91</v>
      </c>
      <c r="O23">
        <v>44.793660000000003</v>
      </c>
      <c r="P23">
        <v>-118.50112</v>
      </c>
      <c r="Q23" t="s">
        <v>29</v>
      </c>
      <c r="R23">
        <v>0.50429999999999997</v>
      </c>
      <c r="S23" t="s">
        <v>171</v>
      </c>
    </row>
    <row r="24" spans="1:20" x14ac:dyDescent="0.2">
      <c r="A24">
        <v>6</v>
      </c>
      <c r="B24">
        <v>3</v>
      </c>
      <c r="C24" t="s">
        <v>41</v>
      </c>
      <c r="D24">
        <v>2018</v>
      </c>
      <c r="E24">
        <v>17</v>
      </c>
      <c r="F24">
        <v>3</v>
      </c>
      <c r="G24">
        <v>2.1</v>
      </c>
      <c r="H24">
        <v>62</v>
      </c>
      <c r="I24" t="s">
        <v>31</v>
      </c>
      <c r="J24" t="s">
        <v>31</v>
      </c>
      <c r="K24" t="s">
        <v>29</v>
      </c>
      <c r="L24" t="s">
        <v>31</v>
      </c>
      <c r="M24" t="s">
        <v>42</v>
      </c>
      <c r="N24" t="s">
        <v>91</v>
      </c>
      <c r="O24">
        <v>44.793660000000003</v>
      </c>
      <c r="P24">
        <v>-118.50112</v>
      </c>
      <c r="Q24" t="s">
        <v>29</v>
      </c>
      <c r="R24">
        <v>0.50429999999999997</v>
      </c>
      <c r="S24" t="s">
        <v>171</v>
      </c>
    </row>
    <row r="25" spans="1:20" x14ac:dyDescent="0.2">
      <c r="A25">
        <v>6</v>
      </c>
      <c r="B25">
        <v>4</v>
      </c>
      <c r="C25" t="s">
        <v>41</v>
      </c>
      <c r="D25">
        <v>2018</v>
      </c>
      <c r="E25">
        <v>17</v>
      </c>
      <c r="F25">
        <v>3</v>
      </c>
      <c r="G25">
        <v>2.1</v>
      </c>
      <c r="H25">
        <v>62</v>
      </c>
      <c r="I25" t="s">
        <v>31</v>
      </c>
      <c r="J25" t="s">
        <v>31</v>
      </c>
      <c r="K25" t="s">
        <v>29</v>
      </c>
      <c r="L25" t="s">
        <v>31</v>
      </c>
      <c r="M25" t="s">
        <v>42</v>
      </c>
      <c r="N25" t="s">
        <v>91</v>
      </c>
      <c r="O25">
        <v>44.793660000000003</v>
      </c>
      <c r="P25">
        <v>-118.50112</v>
      </c>
      <c r="Q25" t="s">
        <v>29</v>
      </c>
      <c r="R25">
        <v>0.50429999999999997</v>
      </c>
      <c r="S25" t="s">
        <v>171</v>
      </c>
    </row>
    <row r="26" spans="1:20" x14ac:dyDescent="0.2">
      <c r="A26">
        <v>6</v>
      </c>
      <c r="B26">
        <v>5</v>
      </c>
      <c r="C26" t="s">
        <v>41</v>
      </c>
      <c r="D26">
        <v>2018</v>
      </c>
      <c r="E26">
        <v>17</v>
      </c>
      <c r="F26">
        <v>3</v>
      </c>
      <c r="G26">
        <v>2.1</v>
      </c>
      <c r="H26">
        <v>62</v>
      </c>
      <c r="I26" t="s">
        <v>31</v>
      </c>
      <c r="J26" t="s">
        <v>31</v>
      </c>
      <c r="K26" t="s">
        <v>29</v>
      </c>
      <c r="L26" t="s">
        <v>31</v>
      </c>
      <c r="M26" t="s">
        <v>42</v>
      </c>
      <c r="N26" t="s">
        <v>91</v>
      </c>
      <c r="O26">
        <v>44.793660000000003</v>
      </c>
      <c r="P26">
        <v>-118.50112</v>
      </c>
      <c r="Q26" t="s">
        <v>29</v>
      </c>
      <c r="R26">
        <v>0.50429999999999997</v>
      </c>
      <c r="S26" t="s">
        <v>171</v>
      </c>
    </row>
    <row r="27" spans="1:20" x14ac:dyDescent="0.2">
      <c r="A27">
        <v>6</v>
      </c>
      <c r="B27">
        <v>6</v>
      </c>
      <c r="C27" t="s">
        <v>41</v>
      </c>
      <c r="D27">
        <v>2018</v>
      </c>
      <c r="E27">
        <v>17</v>
      </c>
      <c r="F27">
        <v>3</v>
      </c>
      <c r="G27">
        <v>2.1</v>
      </c>
      <c r="H27">
        <v>62</v>
      </c>
      <c r="I27" t="s">
        <v>31</v>
      </c>
      <c r="J27" t="s">
        <v>31</v>
      </c>
      <c r="K27" t="s">
        <v>29</v>
      </c>
      <c r="L27" t="s">
        <v>31</v>
      </c>
      <c r="M27" t="s">
        <v>42</v>
      </c>
      <c r="N27" t="s">
        <v>91</v>
      </c>
      <c r="O27">
        <v>44.793660000000003</v>
      </c>
      <c r="P27">
        <v>-118.50112</v>
      </c>
      <c r="Q27" t="s">
        <v>29</v>
      </c>
      <c r="R27">
        <v>0.50429999999999997</v>
      </c>
      <c r="S27" t="s">
        <v>171</v>
      </c>
    </row>
    <row r="28" spans="1:20" x14ac:dyDescent="0.2">
      <c r="A28">
        <v>6</v>
      </c>
      <c r="B28">
        <v>7</v>
      </c>
      <c r="C28" t="s">
        <v>41</v>
      </c>
      <c r="D28">
        <v>2018</v>
      </c>
      <c r="E28">
        <v>17</v>
      </c>
      <c r="F28">
        <v>3</v>
      </c>
      <c r="G28">
        <v>2.1</v>
      </c>
      <c r="H28">
        <v>62</v>
      </c>
      <c r="I28" t="s">
        <v>31</v>
      </c>
      <c r="J28" t="s">
        <v>31</v>
      </c>
      <c r="K28" t="s">
        <v>29</v>
      </c>
      <c r="L28" t="s">
        <v>31</v>
      </c>
      <c r="M28" t="s">
        <v>42</v>
      </c>
      <c r="N28" t="s">
        <v>91</v>
      </c>
      <c r="O28">
        <v>44.793660000000003</v>
      </c>
      <c r="P28">
        <v>-118.50112</v>
      </c>
      <c r="Q28" t="s">
        <v>29</v>
      </c>
      <c r="R28">
        <v>0.50429999999999997</v>
      </c>
      <c r="S28" t="s">
        <v>171</v>
      </c>
    </row>
    <row r="29" spans="1:20" x14ac:dyDescent="0.2">
      <c r="A29">
        <v>6</v>
      </c>
      <c r="B29">
        <v>8</v>
      </c>
      <c r="C29" t="s">
        <v>41</v>
      </c>
      <c r="D29">
        <v>2018</v>
      </c>
      <c r="E29">
        <v>17</v>
      </c>
      <c r="F29">
        <v>3</v>
      </c>
      <c r="G29">
        <v>2.1</v>
      </c>
      <c r="H29">
        <v>62</v>
      </c>
      <c r="I29" t="s">
        <v>31</v>
      </c>
      <c r="J29" t="s">
        <v>31</v>
      </c>
      <c r="K29" t="s">
        <v>29</v>
      </c>
      <c r="L29" t="s">
        <v>31</v>
      </c>
      <c r="M29" t="s">
        <v>42</v>
      </c>
      <c r="N29" t="s">
        <v>91</v>
      </c>
      <c r="O29">
        <v>44.793660000000003</v>
      </c>
      <c r="P29">
        <v>-118.50112</v>
      </c>
      <c r="Q29" t="s">
        <v>29</v>
      </c>
      <c r="R29">
        <v>0.50429999999999997</v>
      </c>
      <c r="S29" t="s">
        <v>171</v>
      </c>
    </row>
    <row r="30" spans="1:20" x14ac:dyDescent="0.2">
      <c r="A30">
        <v>7</v>
      </c>
      <c r="B30">
        <v>1</v>
      </c>
      <c r="C30" t="s">
        <v>43</v>
      </c>
      <c r="D30">
        <v>2014</v>
      </c>
      <c r="E30">
        <v>10</v>
      </c>
      <c r="F30">
        <v>1</v>
      </c>
      <c r="G30">
        <v>16.100000000000001</v>
      </c>
      <c r="H30">
        <v>37.4</v>
      </c>
      <c r="I30" t="s">
        <v>31</v>
      </c>
      <c r="J30" t="s">
        <v>29</v>
      </c>
      <c r="K30" t="s">
        <v>29</v>
      </c>
      <c r="L30" t="s">
        <v>31</v>
      </c>
      <c r="M30" t="s">
        <v>40</v>
      </c>
      <c r="N30" t="s">
        <v>93</v>
      </c>
      <c r="O30">
        <v>41.434519000000002</v>
      </c>
      <c r="P30">
        <v>2.1908799999999999</v>
      </c>
      <c r="Q30" t="s">
        <v>31</v>
      </c>
      <c r="R30">
        <v>0.4587</v>
      </c>
      <c r="S30" t="s">
        <v>173</v>
      </c>
    </row>
    <row r="31" spans="1:20" x14ac:dyDescent="0.2">
      <c r="A31">
        <v>7</v>
      </c>
      <c r="B31">
        <v>2</v>
      </c>
      <c r="C31" t="s">
        <v>43</v>
      </c>
      <c r="D31">
        <v>2014</v>
      </c>
      <c r="E31">
        <v>10</v>
      </c>
      <c r="F31">
        <v>2</v>
      </c>
      <c r="G31">
        <v>16.100000000000001</v>
      </c>
      <c r="H31">
        <v>37.4</v>
      </c>
      <c r="I31" t="s">
        <v>31</v>
      </c>
      <c r="J31" t="s">
        <v>29</v>
      </c>
      <c r="K31" t="s">
        <v>29</v>
      </c>
      <c r="L31" t="s">
        <v>31</v>
      </c>
      <c r="M31" t="s">
        <v>40</v>
      </c>
      <c r="N31" t="s">
        <v>93</v>
      </c>
      <c r="O31">
        <v>41.434519000000002</v>
      </c>
      <c r="P31">
        <v>2.1908799999999999</v>
      </c>
      <c r="Q31" t="s">
        <v>31</v>
      </c>
      <c r="R31">
        <v>0.4587</v>
      </c>
      <c r="S31" t="s">
        <v>173</v>
      </c>
    </row>
    <row r="32" spans="1:20" x14ac:dyDescent="0.2">
      <c r="A32">
        <v>7</v>
      </c>
      <c r="B32">
        <v>3</v>
      </c>
      <c r="C32" t="s">
        <v>43</v>
      </c>
      <c r="D32">
        <v>2014</v>
      </c>
      <c r="E32">
        <v>10</v>
      </c>
      <c r="F32">
        <v>1</v>
      </c>
      <c r="G32">
        <v>16.100000000000001</v>
      </c>
      <c r="H32">
        <v>37.4</v>
      </c>
      <c r="I32" t="s">
        <v>31</v>
      </c>
      <c r="J32" t="s">
        <v>29</v>
      </c>
      <c r="K32" t="s">
        <v>29</v>
      </c>
      <c r="L32" t="s">
        <v>31</v>
      </c>
      <c r="M32" t="s">
        <v>40</v>
      </c>
      <c r="N32" t="s">
        <v>93</v>
      </c>
      <c r="O32">
        <v>41.434519000000002</v>
      </c>
      <c r="P32">
        <v>2.1908799999999999</v>
      </c>
      <c r="Q32" t="s">
        <v>31</v>
      </c>
      <c r="R32">
        <v>0.4587</v>
      </c>
      <c r="S32" t="s">
        <v>173</v>
      </c>
    </row>
    <row r="33" spans="1:19" x14ac:dyDescent="0.2">
      <c r="A33">
        <v>7</v>
      </c>
      <c r="B33">
        <v>4</v>
      </c>
      <c r="C33" t="s">
        <v>43</v>
      </c>
      <c r="D33">
        <v>2014</v>
      </c>
      <c r="E33">
        <v>10</v>
      </c>
      <c r="F33">
        <v>2</v>
      </c>
      <c r="G33">
        <v>16.100000000000001</v>
      </c>
      <c r="H33">
        <v>37.4</v>
      </c>
      <c r="I33" t="s">
        <v>31</v>
      </c>
      <c r="J33" t="s">
        <v>29</v>
      </c>
      <c r="K33" t="s">
        <v>29</v>
      </c>
      <c r="L33" t="s">
        <v>31</v>
      </c>
      <c r="M33" t="s">
        <v>40</v>
      </c>
      <c r="N33" t="s">
        <v>93</v>
      </c>
      <c r="O33">
        <v>41.434519000000002</v>
      </c>
      <c r="P33">
        <v>2.1908799999999999</v>
      </c>
      <c r="Q33" t="s">
        <v>31</v>
      </c>
      <c r="R33">
        <v>0.4587</v>
      </c>
      <c r="S33" t="s">
        <v>173</v>
      </c>
    </row>
    <row r="34" spans="1:19" x14ac:dyDescent="0.2">
      <c r="A34">
        <v>7</v>
      </c>
      <c r="B34">
        <v>5</v>
      </c>
      <c r="C34" t="s">
        <v>43</v>
      </c>
      <c r="D34">
        <v>2014</v>
      </c>
      <c r="E34">
        <v>10</v>
      </c>
      <c r="F34">
        <v>1</v>
      </c>
      <c r="G34">
        <v>16.100000000000001</v>
      </c>
      <c r="H34">
        <v>37.4</v>
      </c>
      <c r="I34" t="s">
        <v>31</v>
      </c>
      <c r="J34" t="s">
        <v>29</v>
      </c>
      <c r="K34" t="s">
        <v>29</v>
      </c>
      <c r="L34" t="s">
        <v>31</v>
      </c>
      <c r="M34" t="s">
        <v>40</v>
      </c>
      <c r="N34" t="s">
        <v>93</v>
      </c>
      <c r="O34">
        <v>41.434519000000002</v>
      </c>
      <c r="P34">
        <v>2.1908799999999999</v>
      </c>
      <c r="Q34" t="s">
        <v>31</v>
      </c>
      <c r="R34">
        <v>0.4587</v>
      </c>
      <c r="S34" t="s">
        <v>173</v>
      </c>
    </row>
    <row r="35" spans="1:19" x14ac:dyDescent="0.2">
      <c r="A35">
        <v>7</v>
      </c>
      <c r="B35">
        <v>6</v>
      </c>
      <c r="C35" t="s">
        <v>43</v>
      </c>
      <c r="D35">
        <v>2014</v>
      </c>
      <c r="E35">
        <v>10</v>
      </c>
      <c r="F35">
        <v>2</v>
      </c>
      <c r="G35">
        <v>16.100000000000001</v>
      </c>
      <c r="H35">
        <v>37.4</v>
      </c>
      <c r="I35" t="s">
        <v>31</v>
      </c>
      <c r="J35" t="s">
        <v>29</v>
      </c>
      <c r="K35" t="s">
        <v>29</v>
      </c>
      <c r="L35" t="s">
        <v>31</v>
      </c>
      <c r="M35" t="s">
        <v>40</v>
      </c>
      <c r="N35" t="s">
        <v>93</v>
      </c>
      <c r="O35">
        <v>41.434519000000002</v>
      </c>
      <c r="P35">
        <v>2.1908799999999999</v>
      </c>
      <c r="Q35" t="s">
        <v>31</v>
      </c>
      <c r="R35">
        <v>0.4587</v>
      </c>
      <c r="S35" t="s">
        <v>173</v>
      </c>
    </row>
    <row r="36" spans="1:19" x14ac:dyDescent="0.2">
      <c r="A36">
        <v>7</v>
      </c>
      <c r="B36">
        <v>1</v>
      </c>
      <c r="C36" t="s">
        <v>43</v>
      </c>
      <c r="D36">
        <v>2014</v>
      </c>
      <c r="E36">
        <v>10</v>
      </c>
      <c r="F36">
        <v>2</v>
      </c>
      <c r="G36">
        <v>16.100000000000001</v>
      </c>
      <c r="H36">
        <v>61.8</v>
      </c>
      <c r="I36" t="s">
        <v>31</v>
      </c>
      <c r="J36" t="s">
        <v>29</v>
      </c>
      <c r="K36" t="s">
        <v>29</v>
      </c>
      <c r="L36" t="s">
        <v>31</v>
      </c>
      <c r="M36" t="s">
        <v>40</v>
      </c>
      <c r="N36" t="s">
        <v>93</v>
      </c>
      <c r="O36">
        <v>41.434519000000002</v>
      </c>
      <c r="P36">
        <v>2.1908799999999999</v>
      </c>
      <c r="Q36" t="s">
        <v>31</v>
      </c>
      <c r="R36">
        <v>0.4587</v>
      </c>
      <c r="S36" t="s">
        <v>171</v>
      </c>
    </row>
    <row r="37" spans="1:19" x14ac:dyDescent="0.2">
      <c r="A37">
        <v>7</v>
      </c>
      <c r="B37">
        <v>2</v>
      </c>
      <c r="C37" t="s">
        <v>43</v>
      </c>
      <c r="D37">
        <v>2014</v>
      </c>
      <c r="E37">
        <v>10</v>
      </c>
      <c r="F37">
        <v>2</v>
      </c>
      <c r="G37">
        <v>16.100000000000001</v>
      </c>
      <c r="H37">
        <v>61.8</v>
      </c>
      <c r="I37" t="s">
        <v>31</v>
      </c>
      <c r="J37" t="s">
        <v>29</v>
      </c>
      <c r="K37" t="s">
        <v>29</v>
      </c>
      <c r="L37" t="s">
        <v>31</v>
      </c>
      <c r="M37" t="s">
        <v>40</v>
      </c>
      <c r="N37" t="s">
        <v>93</v>
      </c>
      <c r="O37">
        <v>41.434519000000002</v>
      </c>
      <c r="P37">
        <v>2.1908799999999999</v>
      </c>
      <c r="Q37" t="s">
        <v>31</v>
      </c>
      <c r="R37">
        <v>0.4587</v>
      </c>
      <c r="S37" t="s">
        <v>171</v>
      </c>
    </row>
    <row r="38" spans="1:19" x14ac:dyDescent="0.2">
      <c r="A38">
        <v>7</v>
      </c>
      <c r="B38">
        <v>3</v>
      </c>
      <c r="C38" t="s">
        <v>43</v>
      </c>
      <c r="D38">
        <v>2014</v>
      </c>
      <c r="E38">
        <v>10</v>
      </c>
      <c r="F38">
        <v>2</v>
      </c>
      <c r="G38">
        <v>16.100000000000001</v>
      </c>
      <c r="H38">
        <v>61.8</v>
      </c>
      <c r="I38" t="s">
        <v>31</v>
      </c>
      <c r="J38" t="s">
        <v>29</v>
      </c>
      <c r="K38" t="s">
        <v>29</v>
      </c>
      <c r="L38" t="s">
        <v>31</v>
      </c>
      <c r="M38" t="s">
        <v>40</v>
      </c>
      <c r="N38" t="s">
        <v>93</v>
      </c>
      <c r="O38">
        <v>41.434519000000002</v>
      </c>
      <c r="P38">
        <v>2.1908799999999999</v>
      </c>
      <c r="Q38" t="s">
        <v>31</v>
      </c>
      <c r="R38">
        <v>0.4587</v>
      </c>
      <c r="S38" t="s">
        <v>171</v>
      </c>
    </row>
    <row r="39" spans="1:19" x14ac:dyDescent="0.2">
      <c r="A39">
        <v>7</v>
      </c>
      <c r="B39">
        <v>4</v>
      </c>
      <c r="C39" t="s">
        <v>43</v>
      </c>
      <c r="D39">
        <v>2014</v>
      </c>
      <c r="E39">
        <v>10</v>
      </c>
      <c r="F39">
        <v>1</v>
      </c>
      <c r="G39">
        <v>16.100000000000001</v>
      </c>
      <c r="H39">
        <v>61.8</v>
      </c>
      <c r="I39" t="s">
        <v>31</v>
      </c>
      <c r="J39" t="s">
        <v>29</v>
      </c>
      <c r="K39" t="s">
        <v>29</v>
      </c>
      <c r="L39" t="s">
        <v>31</v>
      </c>
      <c r="M39" t="s">
        <v>40</v>
      </c>
      <c r="N39" t="s">
        <v>93</v>
      </c>
      <c r="O39">
        <v>41.434519000000002</v>
      </c>
      <c r="P39">
        <v>2.1908799999999999</v>
      </c>
      <c r="Q39" t="s">
        <v>31</v>
      </c>
      <c r="R39">
        <v>0.4587</v>
      </c>
      <c r="S39" t="s">
        <v>171</v>
      </c>
    </row>
    <row r="40" spans="1:19" x14ac:dyDescent="0.2">
      <c r="A40">
        <v>7</v>
      </c>
      <c r="B40">
        <v>5</v>
      </c>
      <c r="C40" t="s">
        <v>43</v>
      </c>
      <c r="D40">
        <v>2014</v>
      </c>
      <c r="E40">
        <v>10</v>
      </c>
      <c r="F40">
        <v>1</v>
      </c>
      <c r="G40">
        <v>16.100000000000001</v>
      </c>
      <c r="H40">
        <v>61.8</v>
      </c>
      <c r="I40" t="s">
        <v>31</v>
      </c>
      <c r="J40" t="s">
        <v>29</v>
      </c>
      <c r="K40" t="s">
        <v>29</v>
      </c>
      <c r="L40" t="s">
        <v>31</v>
      </c>
      <c r="M40" t="s">
        <v>40</v>
      </c>
      <c r="N40" t="s">
        <v>93</v>
      </c>
      <c r="O40">
        <v>41.434519000000002</v>
      </c>
      <c r="P40">
        <v>2.1908799999999999</v>
      </c>
      <c r="Q40" t="s">
        <v>31</v>
      </c>
      <c r="R40">
        <v>0.4587</v>
      </c>
      <c r="S40" t="s">
        <v>171</v>
      </c>
    </row>
    <row r="41" spans="1:19" x14ac:dyDescent="0.2">
      <c r="A41">
        <v>7</v>
      </c>
      <c r="B41">
        <v>6</v>
      </c>
      <c r="C41" t="s">
        <v>43</v>
      </c>
      <c r="D41">
        <v>2014</v>
      </c>
      <c r="E41">
        <v>10</v>
      </c>
      <c r="F41">
        <v>1</v>
      </c>
      <c r="G41">
        <v>16.100000000000001</v>
      </c>
      <c r="H41">
        <v>61.8</v>
      </c>
      <c r="I41" t="s">
        <v>31</v>
      </c>
      <c r="J41" t="s">
        <v>29</v>
      </c>
      <c r="K41" t="s">
        <v>29</v>
      </c>
      <c r="L41" t="s">
        <v>31</v>
      </c>
      <c r="M41" t="s">
        <v>40</v>
      </c>
      <c r="N41" t="s">
        <v>93</v>
      </c>
      <c r="O41">
        <v>41.434519000000002</v>
      </c>
      <c r="P41">
        <v>2.1908799999999999</v>
      </c>
      <c r="Q41" t="s">
        <v>31</v>
      </c>
      <c r="R41">
        <v>0.4587</v>
      </c>
      <c r="S41" t="s">
        <v>171</v>
      </c>
    </row>
    <row r="42" spans="1:19" x14ac:dyDescent="0.2">
      <c r="A42">
        <v>8</v>
      </c>
      <c r="B42">
        <v>1</v>
      </c>
      <c r="C42" t="s">
        <v>45</v>
      </c>
      <c r="D42">
        <v>2015</v>
      </c>
      <c r="E42">
        <v>30</v>
      </c>
      <c r="F42">
        <v>9</v>
      </c>
      <c r="G42">
        <v>18</v>
      </c>
      <c r="H42">
        <v>55.2</v>
      </c>
      <c r="I42" t="s">
        <v>29</v>
      </c>
      <c r="J42" t="s">
        <v>31</v>
      </c>
      <c r="K42" t="s">
        <v>31</v>
      </c>
      <c r="L42" t="s">
        <v>29</v>
      </c>
      <c r="M42" t="s">
        <v>47</v>
      </c>
      <c r="N42" t="s">
        <v>93</v>
      </c>
      <c r="O42">
        <v>37.439169999999997</v>
      </c>
      <c r="P42">
        <v>-6.2163899999999996</v>
      </c>
      <c r="Q42" t="s">
        <v>29</v>
      </c>
      <c r="R42">
        <v>0.29709999999999998</v>
      </c>
      <c r="S42" t="s">
        <v>171</v>
      </c>
    </row>
    <row r="43" spans="1:19" x14ac:dyDescent="0.2">
      <c r="A43">
        <v>8</v>
      </c>
      <c r="B43">
        <v>2</v>
      </c>
      <c r="C43" t="s">
        <v>45</v>
      </c>
      <c r="D43">
        <v>2015</v>
      </c>
      <c r="E43">
        <v>30</v>
      </c>
      <c r="F43">
        <v>9</v>
      </c>
      <c r="G43">
        <v>18</v>
      </c>
      <c r="H43">
        <v>55.2</v>
      </c>
      <c r="I43" t="s">
        <v>29</v>
      </c>
      <c r="J43" t="s">
        <v>31</v>
      </c>
      <c r="K43" t="s">
        <v>31</v>
      </c>
      <c r="L43" t="s">
        <v>29</v>
      </c>
      <c r="M43" t="s">
        <v>47</v>
      </c>
      <c r="N43" t="s">
        <v>93</v>
      </c>
      <c r="O43">
        <v>37.439169999999997</v>
      </c>
      <c r="P43">
        <v>-6.2163899999999996</v>
      </c>
      <c r="Q43" t="s">
        <v>29</v>
      </c>
      <c r="R43">
        <v>0.29709999999999998</v>
      </c>
      <c r="S43" t="s">
        <v>171</v>
      </c>
    </row>
    <row r="44" spans="1:19" x14ac:dyDescent="0.2">
      <c r="A44">
        <v>9</v>
      </c>
      <c r="B44">
        <v>1</v>
      </c>
      <c r="C44" t="s">
        <v>48</v>
      </c>
      <c r="D44">
        <v>2000</v>
      </c>
      <c r="E44">
        <v>65</v>
      </c>
      <c r="F44">
        <v>6</v>
      </c>
      <c r="G44">
        <v>16.100000000000001</v>
      </c>
      <c r="H44">
        <v>33.5</v>
      </c>
      <c r="I44" t="s">
        <v>31</v>
      </c>
      <c r="J44" t="s">
        <v>31</v>
      </c>
      <c r="K44" t="s">
        <v>31</v>
      </c>
      <c r="L44" t="s">
        <v>31</v>
      </c>
      <c r="M44" t="s">
        <v>50</v>
      </c>
      <c r="N44" t="s">
        <v>93</v>
      </c>
      <c r="O44">
        <v>38.183329999999998</v>
      </c>
      <c r="P44">
        <v>-1.8333299999999999</v>
      </c>
      <c r="Q44" t="s">
        <v>31</v>
      </c>
      <c r="R44">
        <v>0.20100000000000001</v>
      </c>
      <c r="S44" t="s">
        <v>172</v>
      </c>
    </row>
    <row r="45" spans="1:19" x14ac:dyDescent="0.2">
      <c r="A45">
        <v>9</v>
      </c>
      <c r="B45">
        <v>2</v>
      </c>
      <c r="C45" t="s">
        <v>48</v>
      </c>
      <c r="D45">
        <v>2000</v>
      </c>
      <c r="E45">
        <v>130</v>
      </c>
      <c r="F45">
        <v>6</v>
      </c>
      <c r="G45">
        <v>16.100000000000001</v>
      </c>
      <c r="H45">
        <v>33.5</v>
      </c>
      <c r="I45" t="s">
        <v>31</v>
      </c>
      <c r="J45" t="s">
        <v>31</v>
      </c>
      <c r="K45" t="s">
        <v>31</v>
      </c>
      <c r="L45" t="s">
        <v>31</v>
      </c>
      <c r="M45" t="s">
        <v>50</v>
      </c>
      <c r="N45" t="s">
        <v>93</v>
      </c>
      <c r="O45">
        <v>38.183329999999998</v>
      </c>
      <c r="P45">
        <v>-1.8333299999999999</v>
      </c>
      <c r="Q45" t="s">
        <v>31</v>
      </c>
      <c r="R45">
        <v>0.20100000000000001</v>
      </c>
      <c r="S45" t="s">
        <v>172</v>
      </c>
    </row>
    <row r="46" spans="1:19" x14ac:dyDescent="0.2">
      <c r="A46">
        <v>9</v>
      </c>
      <c r="B46">
        <v>3</v>
      </c>
      <c r="C46" t="s">
        <v>48</v>
      </c>
      <c r="D46">
        <v>2000</v>
      </c>
      <c r="E46">
        <v>195</v>
      </c>
      <c r="F46">
        <v>6</v>
      </c>
      <c r="G46">
        <v>16.100000000000001</v>
      </c>
      <c r="H46">
        <v>33.5</v>
      </c>
      <c r="I46" t="s">
        <v>31</v>
      </c>
      <c r="J46" t="s">
        <v>31</v>
      </c>
      <c r="K46" t="s">
        <v>31</v>
      </c>
      <c r="L46" t="s">
        <v>31</v>
      </c>
      <c r="M46" t="s">
        <v>50</v>
      </c>
      <c r="N46" t="s">
        <v>93</v>
      </c>
      <c r="O46">
        <v>38.183329999999998</v>
      </c>
      <c r="P46">
        <v>-1.8333299999999999</v>
      </c>
      <c r="Q46" t="s">
        <v>31</v>
      </c>
      <c r="R46">
        <v>0.20100000000000001</v>
      </c>
      <c r="S46" t="s">
        <v>172</v>
      </c>
    </row>
    <row r="47" spans="1:19" x14ac:dyDescent="0.2">
      <c r="A47">
        <v>9</v>
      </c>
      <c r="B47">
        <v>4</v>
      </c>
      <c r="C47" t="s">
        <v>48</v>
      </c>
      <c r="D47">
        <v>2000</v>
      </c>
      <c r="E47">
        <v>260</v>
      </c>
      <c r="F47">
        <v>6</v>
      </c>
      <c r="G47">
        <v>16.100000000000001</v>
      </c>
      <c r="H47">
        <v>33.5</v>
      </c>
      <c r="I47" t="s">
        <v>31</v>
      </c>
      <c r="J47" t="s">
        <v>31</v>
      </c>
      <c r="K47" t="s">
        <v>31</v>
      </c>
      <c r="L47" t="s">
        <v>31</v>
      </c>
      <c r="M47" t="s">
        <v>50</v>
      </c>
      <c r="N47" t="s">
        <v>93</v>
      </c>
      <c r="O47">
        <v>38.183329999999998</v>
      </c>
      <c r="P47">
        <v>-1.8333299999999999</v>
      </c>
      <c r="Q47" t="s">
        <v>31</v>
      </c>
      <c r="R47">
        <v>0.20100000000000001</v>
      </c>
      <c r="S47" t="s">
        <v>172</v>
      </c>
    </row>
    <row r="48" spans="1:19" x14ac:dyDescent="0.2">
      <c r="A48">
        <v>9</v>
      </c>
      <c r="B48">
        <v>1</v>
      </c>
      <c r="C48" t="s">
        <v>48</v>
      </c>
      <c r="D48">
        <v>2000</v>
      </c>
      <c r="E48">
        <v>195</v>
      </c>
      <c r="F48">
        <v>6</v>
      </c>
      <c r="G48">
        <v>16.100000000000001</v>
      </c>
      <c r="H48">
        <v>33.5</v>
      </c>
      <c r="I48" t="s">
        <v>31</v>
      </c>
      <c r="J48" t="s">
        <v>31</v>
      </c>
      <c r="K48" t="s">
        <v>31</v>
      </c>
      <c r="L48" t="s">
        <v>31</v>
      </c>
      <c r="M48" t="s">
        <v>50</v>
      </c>
      <c r="N48" t="s">
        <v>93</v>
      </c>
      <c r="O48">
        <v>38.183329999999998</v>
      </c>
      <c r="P48">
        <v>-1.8333299999999999</v>
      </c>
      <c r="Q48" t="s">
        <v>31</v>
      </c>
      <c r="R48">
        <v>0.20100000000000001</v>
      </c>
      <c r="S48" t="s">
        <v>171</v>
      </c>
    </row>
    <row r="49" spans="1:19" x14ac:dyDescent="0.2">
      <c r="A49">
        <v>9</v>
      </c>
      <c r="B49">
        <v>2</v>
      </c>
      <c r="C49" t="s">
        <v>48</v>
      </c>
      <c r="D49">
        <v>2000</v>
      </c>
      <c r="E49">
        <v>130</v>
      </c>
      <c r="F49">
        <v>6</v>
      </c>
      <c r="G49">
        <v>16.100000000000001</v>
      </c>
      <c r="H49">
        <v>33.5</v>
      </c>
      <c r="I49" t="s">
        <v>31</v>
      </c>
      <c r="J49" t="s">
        <v>31</v>
      </c>
      <c r="K49" t="s">
        <v>31</v>
      </c>
      <c r="L49" t="s">
        <v>31</v>
      </c>
      <c r="M49" t="s">
        <v>50</v>
      </c>
      <c r="N49" t="s">
        <v>93</v>
      </c>
      <c r="O49">
        <v>38.183329999999998</v>
      </c>
      <c r="P49">
        <v>-1.8333299999999999</v>
      </c>
      <c r="Q49" t="s">
        <v>31</v>
      </c>
      <c r="R49">
        <v>0.20100000000000001</v>
      </c>
      <c r="S49" t="s">
        <v>171</v>
      </c>
    </row>
    <row r="50" spans="1:19" x14ac:dyDescent="0.2">
      <c r="A50">
        <v>9</v>
      </c>
      <c r="B50">
        <v>3</v>
      </c>
      <c r="C50" t="s">
        <v>48</v>
      </c>
      <c r="D50">
        <v>2000</v>
      </c>
      <c r="E50">
        <v>260</v>
      </c>
      <c r="F50">
        <v>6</v>
      </c>
      <c r="G50">
        <v>16.100000000000001</v>
      </c>
      <c r="H50">
        <v>33.5</v>
      </c>
      <c r="I50" t="s">
        <v>31</v>
      </c>
      <c r="J50" t="s">
        <v>31</v>
      </c>
      <c r="K50" t="s">
        <v>31</v>
      </c>
      <c r="L50" t="s">
        <v>31</v>
      </c>
      <c r="M50" t="s">
        <v>50</v>
      </c>
      <c r="N50" t="s">
        <v>93</v>
      </c>
      <c r="O50">
        <v>38.183329999999998</v>
      </c>
      <c r="P50">
        <v>-1.8333299999999999</v>
      </c>
      <c r="Q50" t="s">
        <v>31</v>
      </c>
      <c r="R50">
        <v>0.20100000000000001</v>
      </c>
      <c r="S50" t="s">
        <v>171</v>
      </c>
    </row>
    <row r="51" spans="1:19" x14ac:dyDescent="0.2">
      <c r="A51">
        <v>9</v>
      </c>
      <c r="B51">
        <v>4</v>
      </c>
      <c r="C51" t="s">
        <v>48</v>
      </c>
      <c r="D51">
        <v>2000</v>
      </c>
      <c r="E51">
        <v>65</v>
      </c>
      <c r="F51">
        <v>6</v>
      </c>
      <c r="G51">
        <v>16.100000000000001</v>
      </c>
      <c r="H51">
        <v>33.5</v>
      </c>
      <c r="I51" t="s">
        <v>31</v>
      </c>
      <c r="J51" t="s">
        <v>31</v>
      </c>
      <c r="K51" t="s">
        <v>31</v>
      </c>
      <c r="L51" t="s">
        <v>31</v>
      </c>
      <c r="M51" t="s">
        <v>50</v>
      </c>
      <c r="N51" t="s">
        <v>93</v>
      </c>
      <c r="O51">
        <v>38.183329999999998</v>
      </c>
      <c r="P51">
        <v>-1.8333299999999999</v>
      </c>
      <c r="Q51" t="s">
        <v>31</v>
      </c>
      <c r="R51">
        <v>0.20100000000000001</v>
      </c>
      <c r="S51" t="s">
        <v>171</v>
      </c>
    </row>
    <row r="52" spans="1:19" x14ac:dyDescent="0.2">
      <c r="A52">
        <v>10</v>
      </c>
      <c r="B52">
        <v>1</v>
      </c>
      <c r="C52" t="s">
        <v>97</v>
      </c>
      <c r="D52" t="s">
        <v>51</v>
      </c>
      <c r="E52">
        <v>50</v>
      </c>
      <c r="F52">
        <v>18</v>
      </c>
      <c r="G52">
        <v>3.4</v>
      </c>
      <c r="H52">
        <v>37.4</v>
      </c>
      <c r="I52" t="s">
        <v>31</v>
      </c>
      <c r="J52" t="s">
        <v>31</v>
      </c>
      <c r="K52" s="4" t="s">
        <v>29</v>
      </c>
      <c r="L52" t="s">
        <v>31</v>
      </c>
      <c r="M52" t="s">
        <v>52</v>
      </c>
      <c r="N52" t="s">
        <v>94</v>
      </c>
      <c r="O52">
        <v>50.473109999999998</v>
      </c>
      <c r="P52">
        <v>-121.0218</v>
      </c>
      <c r="Q52" t="s">
        <v>31</v>
      </c>
      <c r="R52">
        <v>0.46660000000000001</v>
      </c>
      <c r="S52" t="s">
        <v>173</v>
      </c>
    </row>
    <row r="53" spans="1:19" x14ac:dyDescent="0.2">
      <c r="A53">
        <v>10</v>
      </c>
      <c r="B53">
        <v>5</v>
      </c>
      <c r="C53" t="s">
        <v>97</v>
      </c>
      <c r="D53" t="s">
        <v>51</v>
      </c>
      <c r="E53">
        <v>250</v>
      </c>
      <c r="F53">
        <v>18</v>
      </c>
      <c r="G53">
        <v>3.4</v>
      </c>
      <c r="H53">
        <v>37.4</v>
      </c>
      <c r="I53" t="s">
        <v>31</v>
      </c>
      <c r="J53" t="s">
        <v>31</v>
      </c>
      <c r="K53" s="4" t="s">
        <v>29</v>
      </c>
      <c r="L53" t="s">
        <v>31</v>
      </c>
      <c r="M53" t="s">
        <v>52</v>
      </c>
      <c r="N53" t="s">
        <v>94</v>
      </c>
      <c r="O53">
        <v>50.473109999999998</v>
      </c>
      <c r="P53">
        <v>-121.0218</v>
      </c>
      <c r="Q53" t="s">
        <v>31</v>
      </c>
      <c r="R53">
        <v>0.46660000000000001</v>
      </c>
      <c r="S53" t="s">
        <v>173</v>
      </c>
    </row>
    <row r="54" spans="1:19" x14ac:dyDescent="0.2">
      <c r="A54">
        <v>10</v>
      </c>
      <c r="B54">
        <v>3</v>
      </c>
      <c r="C54" t="s">
        <v>97</v>
      </c>
      <c r="D54" t="s">
        <v>51</v>
      </c>
      <c r="E54">
        <v>150</v>
      </c>
      <c r="F54">
        <v>18</v>
      </c>
      <c r="G54">
        <v>3.4</v>
      </c>
      <c r="H54">
        <v>37.4</v>
      </c>
      <c r="I54" t="s">
        <v>31</v>
      </c>
      <c r="J54" t="s">
        <v>31</v>
      </c>
      <c r="K54" s="4" t="s">
        <v>29</v>
      </c>
      <c r="L54" t="s">
        <v>31</v>
      </c>
      <c r="M54" t="s">
        <v>52</v>
      </c>
      <c r="N54" t="s">
        <v>94</v>
      </c>
      <c r="O54">
        <v>50.473109999999998</v>
      </c>
      <c r="P54">
        <v>-121.0218</v>
      </c>
      <c r="Q54" t="s">
        <v>31</v>
      </c>
      <c r="R54">
        <v>0.46660000000000001</v>
      </c>
      <c r="S54" t="s">
        <v>173</v>
      </c>
    </row>
    <row r="55" spans="1:19" x14ac:dyDescent="0.2">
      <c r="A55">
        <v>10</v>
      </c>
      <c r="B55">
        <v>10</v>
      </c>
      <c r="C55" t="s">
        <v>97</v>
      </c>
      <c r="D55" t="s">
        <v>51</v>
      </c>
      <c r="E55">
        <v>250</v>
      </c>
      <c r="F55">
        <v>18</v>
      </c>
      <c r="G55">
        <v>3.4</v>
      </c>
      <c r="H55">
        <v>37.4</v>
      </c>
      <c r="I55" t="s">
        <v>31</v>
      </c>
      <c r="J55" t="s">
        <v>31</v>
      </c>
      <c r="K55" s="4" t="s">
        <v>29</v>
      </c>
      <c r="L55" t="s">
        <v>31</v>
      </c>
      <c r="M55" t="s">
        <v>52</v>
      </c>
      <c r="N55" t="s">
        <v>94</v>
      </c>
      <c r="O55">
        <v>50.473109999999998</v>
      </c>
      <c r="P55">
        <v>-121.0218</v>
      </c>
      <c r="Q55" t="s">
        <v>31</v>
      </c>
      <c r="R55">
        <v>0.46660000000000001</v>
      </c>
      <c r="S55" t="s">
        <v>173</v>
      </c>
    </row>
    <row r="56" spans="1:19" x14ac:dyDescent="0.2">
      <c r="A56">
        <v>10</v>
      </c>
      <c r="B56">
        <v>4</v>
      </c>
      <c r="C56" t="s">
        <v>97</v>
      </c>
      <c r="D56" t="s">
        <v>51</v>
      </c>
      <c r="E56">
        <v>200</v>
      </c>
      <c r="F56">
        <v>18</v>
      </c>
      <c r="G56">
        <v>3.4</v>
      </c>
      <c r="H56">
        <v>37.4</v>
      </c>
      <c r="I56" t="s">
        <v>31</v>
      </c>
      <c r="J56" t="s">
        <v>31</v>
      </c>
      <c r="K56" s="4" t="s">
        <v>29</v>
      </c>
      <c r="L56" t="s">
        <v>31</v>
      </c>
      <c r="M56" t="s">
        <v>52</v>
      </c>
      <c r="N56" t="s">
        <v>94</v>
      </c>
      <c r="O56">
        <v>50.473109999999998</v>
      </c>
      <c r="P56">
        <v>-121.0218</v>
      </c>
      <c r="Q56" t="s">
        <v>31</v>
      </c>
      <c r="R56">
        <v>0.46660000000000001</v>
      </c>
      <c r="S56" t="s">
        <v>173</v>
      </c>
    </row>
    <row r="57" spans="1:19" x14ac:dyDescent="0.2">
      <c r="A57">
        <v>10</v>
      </c>
      <c r="B57">
        <v>2</v>
      </c>
      <c r="C57" t="s">
        <v>97</v>
      </c>
      <c r="D57" t="s">
        <v>51</v>
      </c>
      <c r="E57">
        <v>100</v>
      </c>
      <c r="F57">
        <v>18</v>
      </c>
      <c r="G57">
        <v>3.4</v>
      </c>
      <c r="H57">
        <v>37.4</v>
      </c>
      <c r="I57" t="s">
        <v>31</v>
      </c>
      <c r="J57" t="s">
        <v>31</v>
      </c>
      <c r="K57" s="4" t="s">
        <v>29</v>
      </c>
      <c r="L57" t="s">
        <v>31</v>
      </c>
      <c r="M57" t="s">
        <v>52</v>
      </c>
      <c r="N57" t="s">
        <v>94</v>
      </c>
      <c r="O57">
        <v>50.473109999999998</v>
      </c>
      <c r="P57">
        <v>-121.0218</v>
      </c>
      <c r="Q57" t="s">
        <v>31</v>
      </c>
      <c r="R57">
        <v>0.46660000000000001</v>
      </c>
      <c r="S57" t="s">
        <v>173</v>
      </c>
    </row>
    <row r="58" spans="1:19" x14ac:dyDescent="0.2">
      <c r="A58">
        <v>10</v>
      </c>
      <c r="B58">
        <v>9</v>
      </c>
      <c r="C58" t="s">
        <v>97</v>
      </c>
      <c r="D58" t="s">
        <v>51</v>
      </c>
      <c r="E58">
        <v>200</v>
      </c>
      <c r="F58">
        <v>18</v>
      </c>
      <c r="G58">
        <v>3.4</v>
      </c>
      <c r="H58">
        <v>37.4</v>
      </c>
      <c r="I58" t="s">
        <v>31</v>
      </c>
      <c r="J58" t="s">
        <v>31</v>
      </c>
      <c r="K58" s="4" t="s">
        <v>29</v>
      </c>
      <c r="L58" t="s">
        <v>31</v>
      </c>
      <c r="M58" t="s">
        <v>52</v>
      </c>
      <c r="N58" t="s">
        <v>94</v>
      </c>
      <c r="O58">
        <v>50.473109999999998</v>
      </c>
      <c r="P58">
        <v>-121.0218</v>
      </c>
      <c r="Q58" t="s">
        <v>31</v>
      </c>
      <c r="R58">
        <v>0.46660000000000001</v>
      </c>
      <c r="S58" t="s">
        <v>173</v>
      </c>
    </row>
    <row r="59" spans="1:19" x14ac:dyDescent="0.2">
      <c r="A59">
        <v>10</v>
      </c>
      <c r="B59">
        <v>6</v>
      </c>
      <c r="C59" t="s">
        <v>97</v>
      </c>
      <c r="D59" t="s">
        <v>51</v>
      </c>
      <c r="E59">
        <v>50</v>
      </c>
      <c r="F59">
        <v>18</v>
      </c>
      <c r="G59">
        <v>3.4</v>
      </c>
      <c r="H59">
        <v>37.4</v>
      </c>
      <c r="I59" t="s">
        <v>31</v>
      </c>
      <c r="J59" t="s">
        <v>31</v>
      </c>
      <c r="K59" s="4" t="s">
        <v>29</v>
      </c>
      <c r="L59" t="s">
        <v>31</v>
      </c>
      <c r="M59" t="s">
        <v>52</v>
      </c>
      <c r="N59" t="s">
        <v>94</v>
      </c>
      <c r="O59">
        <v>50.473109999999998</v>
      </c>
      <c r="P59">
        <v>-121.0218</v>
      </c>
      <c r="Q59" t="s">
        <v>31</v>
      </c>
      <c r="R59">
        <v>0.46660000000000001</v>
      </c>
      <c r="S59" t="s">
        <v>173</v>
      </c>
    </row>
    <row r="60" spans="1:19" x14ac:dyDescent="0.2">
      <c r="A60">
        <v>10</v>
      </c>
      <c r="B60">
        <v>8</v>
      </c>
      <c r="C60" t="s">
        <v>97</v>
      </c>
      <c r="D60" t="s">
        <v>51</v>
      </c>
      <c r="E60">
        <v>150</v>
      </c>
      <c r="F60">
        <v>18</v>
      </c>
      <c r="G60">
        <v>3.4</v>
      </c>
      <c r="H60">
        <v>37.4</v>
      </c>
      <c r="I60" t="s">
        <v>31</v>
      </c>
      <c r="J60" t="s">
        <v>31</v>
      </c>
      <c r="K60" s="4" t="s">
        <v>29</v>
      </c>
      <c r="L60" t="s">
        <v>31</v>
      </c>
      <c r="M60" t="s">
        <v>52</v>
      </c>
      <c r="N60" t="s">
        <v>94</v>
      </c>
      <c r="O60">
        <v>50.473109999999998</v>
      </c>
      <c r="P60">
        <v>-121.0218</v>
      </c>
      <c r="Q60" t="s">
        <v>31</v>
      </c>
      <c r="R60">
        <v>0.46660000000000001</v>
      </c>
      <c r="S60" t="s">
        <v>173</v>
      </c>
    </row>
    <row r="61" spans="1:19" x14ac:dyDescent="0.2">
      <c r="A61">
        <v>10</v>
      </c>
      <c r="B61">
        <v>7</v>
      </c>
      <c r="C61" t="s">
        <v>97</v>
      </c>
      <c r="D61" t="s">
        <v>51</v>
      </c>
      <c r="E61">
        <v>100</v>
      </c>
      <c r="F61">
        <v>18</v>
      </c>
      <c r="G61">
        <v>3.4</v>
      </c>
      <c r="H61">
        <v>37.4</v>
      </c>
      <c r="I61" t="s">
        <v>31</v>
      </c>
      <c r="J61" t="s">
        <v>31</v>
      </c>
      <c r="K61" s="4" t="s">
        <v>29</v>
      </c>
      <c r="L61" t="s">
        <v>31</v>
      </c>
      <c r="M61" t="s">
        <v>52</v>
      </c>
      <c r="N61" t="s">
        <v>94</v>
      </c>
      <c r="O61">
        <v>50.473109999999998</v>
      </c>
      <c r="P61">
        <v>-121.0218</v>
      </c>
      <c r="Q61" t="s">
        <v>31</v>
      </c>
      <c r="R61">
        <v>0.46660000000000001</v>
      </c>
      <c r="S61" t="s">
        <v>173</v>
      </c>
    </row>
    <row r="62" spans="1:19" x14ac:dyDescent="0.2">
      <c r="A62">
        <v>10</v>
      </c>
      <c r="B62">
        <v>1</v>
      </c>
      <c r="C62" t="s">
        <v>97</v>
      </c>
      <c r="D62" t="s">
        <v>51</v>
      </c>
      <c r="E62">
        <v>200</v>
      </c>
      <c r="F62">
        <v>18</v>
      </c>
      <c r="G62">
        <v>3.4</v>
      </c>
      <c r="H62">
        <v>39.200000000000003</v>
      </c>
      <c r="I62" t="s">
        <v>31</v>
      </c>
      <c r="J62" t="s">
        <v>31</v>
      </c>
      <c r="K62" s="4" t="s">
        <v>29</v>
      </c>
      <c r="L62" t="s">
        <v>31</v>
      </c>
      <c r="M62" t="s">
        <v>52</v>
      </c>
      <c r="N62" t="s">
        <v>94</v>
      </c>
      <c r="O62">
        <v>50.473109999999998</v>
      </c>
      <c r="P62">
        <v>-121.0218</v>
      </c>
      <c r="Q62" t="s">
        <v>31</v>
      </c>
      <c r="R62">
        <v>0.46660000000000001</v>
      </c>
      <c r="S62" t="s">
        <v>171</v>
      </c>
    </row>
    <row r="63" spans="1:19" x14ac:dyDescent="0.2">
      <c r="A63">
        <v>10</v>
      </c>
      <c r="B63">
        <v>2</v>
      </c>
      <c r="C63" t="s">
        <v>97</v>
      </c>
      <c r="D63" t="s">
        <v>51</v>
      </c>
      <c r="E63">
        <v>150</v>
      </c>
      <c r="F63">
        <v>18</v>
      </c>
      <c r="G63">
        <v>3.4</v>
      </c>
      <c r="H63">
        <v>39.200000000000003</v>
      </c>
      <c r="I63" t="s">
        <v>31</v>
      </c>
      <c r="J63" t="s">
        <v>31</v>
      </c>
      <c r="K63" s="4" t="s">
        <v>29</v>
      </c>
      <c r="L63" t="s">
        <v>31</v>
      </c>
      <c r="M63" t="s">
        <v>52</v>
      </c>
      <c r="N63" t="s">
        <v>94</v>
      </c>
      <c r="O63">
        <v>50.473109999999998</v>
      </c>
      <c r="P63">
        <v>-121.0218</v>
      </c>
      <c r="Q63" t="s">
        <v>31</v>
      </c>
      <c r="R63">
        <v>0.46660000000000001</v>
      </c>
      <c r="S63" t="s">
        <v>171</v>
      </c>
    </row>
    <row r="64" spans="1:19" x14ac:dyDescent="0.2">
      <c r="A64">
        <v>10</v>
      </c>
      <c r="B64">
        <v>3</v>
      </c>
      <c r="C64" t="s">
        <v>97</v>
      </c>
      <c r="D64" t="s">
        <v>51</v>
      </c>
      <c r="E64">
        <v>50</v>
      </c>
      <c r="F64">
        <v>18</v>
      </c>
      <c r="G64">
        <v>3.4</v>
      </c>
      <c r="H64">
        <v>39.200000000000003</v>
      </c>
      <c r="I64" t="s">
        <v>31</v>
      </c>
      <c r="J64" t="s">
        <v>31</v>
      </c>
      <c r="K64" s="4" t="s">
        <v>29</v>
      </c>
      <c r="L64" t="s">
        <v>31</v>
      </c>
      <c r="M64" t="s">
        <v>52</v>
      </c>
      <c r="N64" t="s">
        <v>94</v>
      </c>
      <c r="O64">
        <v>50.473109999999998</v>
      </c>
      <c r="P64">
        <v>-121.0218</v>
      </c>
      <c r="Q64" t="s">
        <v>31</v>
      </c>
      <c r="R64">
        <v>0.46660000000000001</v>
      </c>
      <c r="S64" t="s">
        <v>171</v>
      </c>
    </row>
    <row r="65" spans="1:19" x14ac:dyDescent="0.2">
      <c r="A65">
        <v>10</v>
      </c>
      <c r="B65">
        <v>4</v>
      </c>
      <c r="C65" t="s">
        <v>97</v>
      </c>
      <c r="D65" t="s">
        <v>51</v>
      </c>
      <c r="E65">
        <v>250</v>
      </c>
      <c r="F65">
        <v>18</v>
      </c>
      <c r="G65">
        <v>3.4</v>
      </c>
      <c r="H65">
        <v>39.200000000000003</v>
      </c>
      <c r="I65" t="s">
        <v>31</v>
      </c>
      <c r="J65" t="s">
        <v>31</v>
      </c>
      <c r="K65" s="4" t="s">
        <v>29</v>
      </c>
      <c r="L65" t="s">
        <v>31</v>
      </c>
      <c r="M65" t="s">
        <v>52</v>
      </c>
      <c r="N65" t="s">
        <v>94</v>
      </c>
      <c r="O65">
        <v>50.473109999999998</v>
      </c>
      <c r="P65">
        <v>-121.0218</v>
      </c>
      <c r="Q65" t="s">
        <v>31</v>
      </c>
      <c r="R65">
        <v>0.46660000000000001</v>
      </c>
      <c r="S65" t="s">
        <v>171</v>
      </c>
    </row>
    <row r="66" spans="1:19" x14ac:dyDescent="0.2">
      <c r="A66">
        <v>10</v>
      </c>
      <c r="B66">
        <v>5</v>
      </c>
      <c r="C66" t="s">
        <v>97</v>
      </c>
      <c r="D66" t="s">
        <v>51</v>
      </c>
      <c r="E66">
        <v>100</v>
      </c>
      <c r="F66">
        <v>18</v>
      </c>
      <c r="G66">
        <v>3.4</v>
      </c>
      <c r="H66">
        <v>39.200000000000003</v>
      </c>
      <c r="I66" t="s">
        <v>31</v>
      </c>
      <c r="J66" t="s">
        <v>31</v>
      </c>
      <c r="K66" t="s">
        <v>29</v>
      </c>
      <c r="L66" t="s">
        <v>31</v>
      </c>
      <c r="M66" t="s">
        <v>52</v>
      </c>
      <c r="N66" t="s">
        <v>94</v>
      </c>
      <c r="O66">
        <v>50.473109999999998</v>
      </c>
      <c r="P66">
        <v>-121.0218</v>
      </c>
      <c r="Q66" t="s">
        <v>31</v>
      </c>
      <c r="R66">
        <v>0.46660000000000001</v>
      </c>
      <c r="S66" t="s">
        <v>171</v>
      </c>
    </row>
    <row r="67" spans="1:19" x14ac:dyDescent="0.2">
      <c r="A67">
        <v>10</v>
      </c>
      <c r="B67">
        <v>6</v>
      </c>
      <c r="C67" t="s">
        <v>97</v>
      </c>
      <c r="D67" t="s">
        <v>51</v>
      </c>
      <c r="E67">
        <v>200</v>
      </c>
      <c r="F67">
        <v>18</v>
      </c>
      <c r="G67">
        <v>3.4</v>
      </c>
      <c r="H67">
        <v>39.200000000000003</v>
      </c>
      <c r="I67" t="s">
        <v>31</v>
      </c>
      <c r="J67" t="s">
        <v>31</v>
      </c>
      <c r="K67" t="s">
        <v>29</v>
      </c>
      <c r="L67" t="s">
        <v>31</v>
      </c>
      <c r="M67" t="s">
        <v>52</v>
      </c>
      <c r="N67" t="s">
        <v>94</v>
      </c>
      <c r="O67">
        <v>50.473109999999998</v>
      </c>
      <c r="P67">
        <v>-121.0218</v>
      </c>
      <c r="Q67" t="s">
        <v>31</v>
      </c>
      <c r="R67">
        <v>0.46660000000000001</v>
      </c>
      <c r="S67" t="s">
        <v>171</v>
      </c>
    </row>
    <row r="68" spans="1:19" x14ac:dyDescent="0.2">
      <c r="A68">
        <v>10</v>
      </c>
      <c r="B68">
        <v>7</v>
      </c>
      <c r="C68" t="s">
        <v>97</v>
      </c>
      <c r="D68" t="s">
        <v>51</v>
      </c>
      <c r="E68">
        <v>100</v>
      </c>
      <c r="F68">
        <v>18</v>
      </c>
      <c r="G68">
        <v>3.4</v>
      </c>
      <c r="H68">
        <v>39.200000000000003</v>
      </c>
      <c r="I68" t="s">
        <v>31</v>
      </c>
      <c r="J68" t="s">
        <v>31</v>
      </c>
      <c r="K68" t="s">
        <v>29</v>
      </c>
      <c r="L68" t="s">
        <v>31</v>
      </c>
      <c r="M68" t="s">
        <v>52</v>
      </c>
      <c r="N68" t="s">
        <v>94</v>
      </c>
      <c r="O68">
        <v>50.473109999999998</v>
      </c>
      <c r="P68">
        <v>-121.0218</v>
      </c>
      <c r="Q68" t="s">
        <v>31</v>
      </c>
      <c r="R68">
        <v>0.46660000000000001</v>
      </c>
      <c r="S68" t="s">
        <v>171</v>
      </c>
    </row>
    <row r="69" spans="1:19" x14ac:dyDescent="0.2">
      <c r="A69">
        <v>10</v>
      </c>
      <c r="B69">
        <v>8</v>
      </c>
      <c r="C69" t="s">
        <v>97</v>
      </c>
      <c r="D69" t="s">
        <v>51</v>
      </c>
      <c r="E69">
        <v>50</v>
      </c>
      <c r="F69">
        <v>18</v>
      </c>
      <c r="G69">
        <v>3.4</v>
      </c>
      <c r="H69">
        <v>39.200000000000003</v>
      </c>
      <c r="I69" t="s">
        <v>31</v>
      </c>
      <c r="J69" t="s">
        <v>31</v>
      </c>
      <c r="K69" t="s">
        <v>29</v>
      </c>
      <c r="L69" t="s">
        <v>31</v>
      </c>
      <c r="M69" t="s">
        <v>52</v>
      </c>
      <c r="N69" t="s">
        <v>94</v>
      </c>
      <c r="O69">
        <v>50.473109999999998</v>
      </c>
      <c r="P69">
        <v>-121.0218</v>
      </c>
      <c r="Q69" t="s">
        <v>31</v>
      </c>
      <c r="R69">
        <v>0.46660000000000001</v>
      </c>
      <c r="S69" t="s">
        <v>171</v>
      </c>
    </row>
    <row r="70" spans="1:19" x14ac:dyDescent="0.2">
      <c r="A70">
        <v>10</v>
      </c>
      <c r="B70">
        <v>9</v>
      </c>
      <c r="C70" t="s">
        <v>97</v>
      </c>
      <c r="D70" t="s">
        <v>51</v>
      </c>
      <c r="E70">
        <v>150</v>
      </c>
      <c r="F70">
        <v>18</v>
      </c>
      <c r="G70">
        <v>3.4</v>
      </c>
      <c r="H70">
        <v>39.200000000000003</v>
      </c>
      <c r="I70" t="s">
        <v>31</v>
      </c>
      <c r="J70" t="s">
        <v>31</v>
      </c>
      <c r="K70" t="s">
        <v>29</v>
      </c>
      <c r="L70" t="s">
        <v>31</v>
      </c>
      <c r="M70" t="s">
        <v>52</v>
      </c>
      <c r="N70" t="s">
        <v>94</v>
      </c>
      <c r="O70">
        <v>50.473109999999998</v>
      </c>
      <c r="P70">
        <v>-121.0218</v>
      </c>
      <c r="Q70" t="s">
        <v>31</v>
      </c>
      <c r="R70">
        <v>0.46660000000000001</v>
      </c>
      <c r="S70" t="s">
        <v>171</v>
      </c>
    </row>
    <row r="71" spans="1:19" x14ac:dyDescent="0.2">
      <c r="A71">
        <v>10</v>
      </c>
      <c r="B71">
        <v>10</v>
      </c>
      <c r="C71" t="s">
        <v>97</v>
      </c>
      <c r="D71" t="s">
        <v>51</v>
      </c>
      <c r="E71">
        <v>250</v>
      </c>
      <c r="F71">
        <v>18</v>
      </c>
      <c r="G71">
        <v>3.4</v>
      </c>
      <c r="H71">
        <v>39.200000000000003</v>
      </c>
      <c r="I71" t="s">
        <v>31</v>
      </c>
      <c r="J71" t="s">
        <v>31</v>
      </c>
      <c r="K71" t="s">
        <v>29</v>
      </c>
      <c r="L71" t="s">
        <v>31</v>
      </c>
      <c r="M71" t="s">
        <v>52</v>
      </c>
      <c r="N71" t="s">
        <v>94</v>
      </c>
      <c r="O71">
        <v>50.473109999999998</v>
      </c>
      <c r="P71">
        <v>-121.0218</v>
      </c>
      <c r="Q71" t="s">
        <v>31</v>
      </c>
      <c r="R71">
        <v>0.46660000000000001</v>
      </c>
      <c r="S71" t="s">
        <v>171</v>
      </c>
    </row>
    <row r="72" spans="1:19" x14ac:dyDescent="0.2">
      <c r="A72">
        <v>11</v>
      </c>
      <c r="B72">
        <v>1</v>
      </c>
      <c r="C72" t="s">
        <v>148</v>
      </c>
      <c r="D72">
        <v>2015</v>
      </c>
      <c r="E72">
        <v>40</v>
      </c>
      <c r="F72">
        <v>7</v>
      </c>
      <c r="G72">
        <v>9.4</v>
      </c>
      <c r="H72">
        <v>56.5</v>
      </c>
      <c r="I72" t="s">
        <v>29</v>
      </c>
      <c r="J72" t="s">
        <v>29</v>
      </c>
      <c r="K72" t="s">
        <v>31</v>
      </c>
      <c r="L72" t="s">
        <v>31</v>
      </c>
      <c r="M72" t="s">
        <v>54</v>
      </c>
      <c r="N72" t="s">
        <v>92</v>
      </c>
      <c r="O72">
        <v>40.573329999999999</v>
      </c>
      <c r="P72">
        <v>70.832499999999996</v>
      </c>
      <c r="Q72" t="s">
        <v>29</v>
      </c>
      <c r="R72">
        <v>8.1600000000000006E-2</v>
      </c>
      <c r="S72" t="s">
        <v>173</v>
      </c>
    </row>
    <row r="73" spans="1:19" x14ac:dyDescent="0.2">
      <c r="A73">
        <v>11</v>
      </c>
      <c r="B73">
        <v>2</v>
      </c>
      <c r="C73" t="s">
        <v>148</v>
      </c>
      <c r="D73">
        <v>2015</v>
      </c>
      <c r="E73">
        <v>40</v>
      </c>
      <c r="F73">
        <v>7</v>
      </c>
      <c r="G73">
        <v>9.4</v>
      </c>
      <c r="H73">
        <v>56.5</v>
      </c>
      <c r="I73" t="s">
        <v>29</v>
      </c>
      <c r="J73" t="s">
        <v>29</v>
      </c>
      <c r="K73" t="s">
        <v>31</v>
      </c>
      <c r="L73" t="s">
        <v>31</v>
      </c>
      <c r="M73" t="s">
        <v>54</v>
      </c>
      <c r="N73" t="s">
        <v>92</v>
      </c>
      <c r="O73">
        <v>40.573329999999999</v>
      </c>
      <c r="P73">
        <v>70.832499999999996</v>
      </c>
      <c r="Q73" t="s">
        <v>29</v>
      </c>
      <c r="R73">
        <v>8.1600000000000006E-2</v>
      </c>
      <c r="S73" t="s">
        <v>173</v>
      </c>
    </row>
    <row r="74" spans="1:19" x14ac:dyDescent="0.2">
      <c r="A74">
        <v>11</v>
      </c>
      <c r="B74">
        <v>1</v>
      </c>
      <c r="C74" t="s">
        <v>148</v>
      </c>
      <c r="D74">
        <v>2015</v>
      </c>
      <c r="E74">
        <v>40</v>
      </c>
      <c r="F74">
        <v>7</v>
      </c>
      <c r="G74">
        <v>9.4</v>
      </c>
      <c r="H74">
        <v>56.5</v>
      </c>
      <c r="I74" t="s">
        <v>29</v>
      </c>
      <c r="J74" t="s">
        <v>29</v>
      </c>
      <c r="K74" t="s">
        <v>31</v>
      </c>
      <c r="L74" t="s">
        <v>31</v>
      </c>
      <c r="M74" t="s">
        <v>54</v>
      </c>
      <c r="N74" t="s">
        <v>92</v>
      </c>
      <c r="O74">
        <v>-40.573329999999999</v>
      </c>
      <c r="P74">
        <v>-70.832499999999996</v>
      </c>
      <c r="Q74" t="s">
        <v>29</v>
      </c>
      <c r="R74">
        <v>0.44740000000000002</v>
      </c>
      <c r="S74" t="s">
        <v>171</v>
      </c>
    </row>
    <row r="75" spans="1:19" x14ac:dyDescent="0.2">
      <c r="A75">
        <v>11</v>
      </c>
      <c r="B75">
        <v>1</v>
      </c>
      <c r="C75" t="s">
        <v>148</v>
      </c>
      <c r="D75">
        <v>2015</v>
      </c>
      <c r="E75">
        <v>40</v>
      </c>
      <c r="F75">
        <v>7</v>
      </c>
      <c r="G75">
        <v>9.4</v>
      </c>
      <c r="H75">
        <v>56.5</v>
      </c>
      <c r="I75" t="s">
        <v>29</v>
      </c>
      <c r="J75" t="s">
        <v>29</v>
      </c>
      <c r="K75" t="s">
        <v>31</v>
      </c>
      <c r="L75" t="s">
        <v>31</v>
      </c>
      <c r="M75" t="s">
        <v>54</v>
      </c>
      <c r="N75" t="s">
        <v>92</v>
      </c>
      <c r="O75">
        <v>-40.573329999999999</v>
      </c>
      <c r="P75">
        <v>-70.832499999999996</v>
      </c>
      <c r="Q75" t="s">
        <v>29</v>
      </c>
      <c r="R75">
        <v>0.44740000000000002</v>
      </c>
      <c r="S75" t="s">
        <v>172</v>
      </c>
    </row>
    <row r="76" spans="1:19" x14ac:dyDescent="0.2">
      <c r="A76">
        <v>12</v>
      </c>
      <c r="B76">
        <v>1</v>
      </c>
      <c r="C76" t="s">
        <v>55</v>
      </c>
      <c r="D76">
        <v>2005</v>
      </c>
      <c r="E76">
        <v>100</v>
      </c>
      <c r="F76">
        <v>2</v>
      </c>
      <c r="G76">
        <v>13.7</v>
      </c>
      <c r="H76">
        <v>60.3</v>
      </c>
      <c r="I76" t="s">
        <v>29</v>
      </c>
      <c r="J76" t="s">
        <v>29</v>
      </c>
      <c r="K76" t="s">
        <v>31</v>
      </c>
      <c r="L76" t="s">
        <v>31</v>
      </c>
      <c r="M76" t="s">
        <v>56</v>
      </c>
      <c r="N76" t="s">
        <v>95</v>
      </c>
      <c r="O76">
        <v>43.486109999999996</v>
      </c>
      <c r="P76">
        <v>5.3016699999999997</v>
      </c>
      <c r="Q76" t="s">
        <v>31</v>
      </c>
      <c r="R76">
        <v>0.4299</v>
      </c>
      <c r="S76" t="s">
        <v>171</v>
      </c>
    </row>
    <row r="77" spans="1:19" x14ac:dyDescent="0.2">
      <c r="A77">
        <v>12</v>
      </c>
      <c r="B77">
        <v>2</v>
      </c>
      <c r="C77" t="s">
        <v>55</v>
      </c>
      <c r="D77">
        <v>2005</v>
      </c>
      <c r="E77">
        <v>100</v>
      </c>
      <c r="F77">
        <v>3</v>
      </c>
      <c r="G77">
        <v>13.7</v>
      </c>
      <c r="H77">
        <v>60.3</v>
      </c>
      <c r="I77" t="s">
        <v>29</v>
      </c>
      <c r="J77" t="s">
        <v>29</v>
      </c>
      <c r="K77" t="s">
        <v>31</v>
      </c>
      <c r="L77" t="s">
        <v>31</v>
      </c>
      <c r="M77" t="s">
        <v>56</v>
      </c>
      <c r="N77" t="s">
        <v>95</v>
      </c>
      <c r="O77">
        <v>43.486109999999996</v>
      </c>
      <c r="P77">
        <v>5.3016699999999997</v>
      </c>
      <c r="Q77" t="s">
        <v>31</v>
      </c>
      <c r="R77">
        <v>0.4299</v>
      </c>
      <c r="S77" t="s">
        <v>171</v>
      </c>
    </row>
    <row r="78" spans="1:19" x14ac:dyDescent="0.2">
      <c r="A78">
        <v>12</v>
      </c>
      <c r="B78">
        <v>3</v>
      </c>
      <c r="C78" t="s">
        <v>55</v>
      </c>
      <c r="D78">
        <v>2005</v>
      </c>
      <c r="E78">
        <v>100</v>
      </c>
      <c r="F78">
        <v>1</v>
      </c>
      <c r="G78">
        <v>13.7</v>
      </c>
      <c r="H78">
        <v>60.3</v>
      </c>
      <c r="I78" t="s">
        <v>29</v>
      </c>
      <c r="J78" t="s">
        <v>29</v>
      </c>
      <c r="K78" t="s">
        <v>31</v>
      </c>
      <c r="L78" t="s">
        <v>31</v>
      </c>
      <c r="M78" t="s">
        <v>56</v>
      </c>
      <c r="N78" t="s">
        <v>95</v>
      </c>
      <c r="O78">
        <v>43.486109999999996</v>
      </c>
      <c r="P78">
        <v>5.3016699999999997</v>
      </c>
      <c r="Q78" t="s">
        <v>31</v>
      </c>
      <c r="R78">
        <v>0.4299</v>
      </c>
      <c r="S78" t="s">
        <v>171</v>
      </c>
    </row>
    <row r="79" spans="1:19" x14ac:dyDescent="0.2">
      <c r="A79">
        <v>12</v>
      </c>
      <c r="B79">
        <v>4</v>
      </c>
      <c r="C79" t="s">
        <v>55</v>
      </c>
      <c r="D79">
        <v>2005</v>
      </c>
      <c r="E79">
        <v>50</v>
      </c>
      <c r="F79">
        <v>1</v>
      </c>
      <c r="G79">
        <v>13.7</v>
      </c>
      <c r="H79">
        <v>60.3</v>
      </c>
      <c r="I79" t="s">
        <v>29</v>
      </c>
      <c r="J79" t="s">
        <v>29</v>
      </c>
      <c r="K79" t="s">
        <v>31</v>
      </c>
      <c r="L79" t="s">
        <v>31</v>
      </c>
      <c r="M79" t="s">
        <v>56</v>
      </c>
      <c r="N79" t="s">
        <v>95</v>
      </c>
      <c r="O79">
        <v>43.486109999999996</v>
      </c>
      <c r="P79">
        <v>5.3016699999999997</v>
      </c>
      <c r="Q79" t="s">
        <v>31</v>
      </c>
      <c r="R79">
        <v>0.4299</v>
      </c>
      <c r="S79" t="s">
        <v>171</v>
      </c>
    </row>
    <row r="80" spans="1:19" x14ac:dyDescent="0.2">
      <c r="A80">
        <v>12</v>
      </c>
      <c r="B80">
        <v>5</v>
      </c>
      <c r="C80" t="s">
        <v>55</v>
      </c>
      <c r="D80">
        <v>2005</v>
      </c>
      <c r="E80">
        <v>50</v>
      </c>
      <c r="F80">
        <v>2</v>
      </c>
      <c r="G80">
        <v>13.7</v>
      </c>
      <c r="H80">
        <v>60.3</v>
      </c>
      <c r="I80" t="s">
        <v>29</v>
      </c>
      <c r="J80" t="s">
        <v>29</v>
      </c>
      <c r="K80" t="s">
        <v>31</v>
      </c>
      <c r="L80" t="s">
        <v>31</v>
      </c>
      <c r="M80" t="s">
        <v>56</v>
      </c>
      <c r="N80" t="s">
        <v>95</v>
      </c>
      <c r="O80">
        <v>43.486109999999996</v>
      </c>
      <c r="P80">
        <v>5.3016699999999997</v>
      </c>
      <c r="Q80" t="s">
        <v>31</v>
      </c>
      <c r="R80">
        <v>0.4299</v>
      </c>
      <c r="S80" t="s">
        <v>171</v>
      </c>
    </row>
    <row r="81" spans="1:19" x14ac:dyDescent="0.2">
      <c r="A81">
        <v>12</v>
      </c>
      <c r="B81">
        <v>6</v>
      </c>
      <c r="C81" t="s">
        <v>55</v>
      </c>
      <c r="D81">
        <v>2005</v>
      </c>
      <c r="E81">
        <v>50</v>
      </c>
      <c r="F81">
        <v>3</v>
      </c>
      <c r="G81">
        <v>13.7</v>
      </c>
      <c r="H81">
        <v>60.3</v>
      </c>
      <c r="I81" t="s">
        <v>29</v>
      </c>
      <c r="J81" t="s">
        <v>29</v>
      </c>
      <c r="K81" t="s">
        <v>31</v>
      </c>
      <c r="L81" t="s">
        <v>31</v>
      </c>
      <c r="M81" t="s">
        <v>56</v>
      </c>
      <c r="N81" t="s">
        <v>95</v>
      </c>
      <c r="O81">
        <v>43.486109999999996</v>
      </c>
      <c r="P81">
        <v>5.3016699999999997</v>
      </c>
      <c r="Q81" t="s">
        <v>31</v>
      </c>
      <c r="R81">
        <v>0.4299</v>
      </c>
      <c r="S81" t="s">
        <v>171</v>
      </c>
    </row>
    <row r="82" spans="1:19" x14ac:dyDescent="0.2">
      <c r="A82">
        <v>13</v>
      </c>
      <c r="B82">
        <v>1</v>
      </c>
      <c r="C82" t="s">
        <v>57</v>
      </c>
      <c r="D82">
        <v>2004</v>
      </c>
      <c r="E82">
        <v>5</v>
      </c>
      <c r="F82">
        <v>1</v>
      </c>
      <c r="G82">
        <v>5.3</v>
      </c>
      <c r="H82">
        <v>45.2</v>
      </c>
      <c r="I82" t="s">
        <v>29</v>
      </c>
      <c r="J82" t="s">
        <v>29</v>
      </c>
      <c r="K82" t="s">
        <v>29</v>
      </c>
      <c r="L82" t="s">
        <v>31</v>
      </c>
      <c r="M82" t="s">
        <v>58</v>
      </c>
      <c r="N82" t="s">
        <v>91</v>
      </c>
      <c r="O82">
        <v>39.36788</v>
      </c>
      <c r="P82">
        <v>-105.24069</v>
      </c>
      <c r="Q82" t="s">
        <v>31</v>
      </c>
      <c r="R82">
        <v>0.28749999999999998</v>
      </c>
      <c r="S82" t="s">
        <v>172</v>
      </c>
    </row>
    <row r="83" spans="1:19" x14ac:dyDescent="0.2">
      <c r="A83">
        <v>13</v>
      </c>
      <c r="B83">
        <v>2</v>
      </c>
      <c r="C83" t="s">
        <v>57</v>
      </c>
      <c r="D83">
        <v>2004</v>
      </c>
      <c r="E83">
        <v>10</v>
      </c>
      <c r="F83">
        <v>1</v>
      </c>
      <c r="G83">
        <v>5.3</v>
      </c>
      <c r="H83">
        <v>45.2</v>
      </c>
      <c r="I83" t="s">
        <v>29</v>
      </c>
      <c r="J83" t="s">
        <v>29</v>
      </c>
      <c r="K83" t="s">
        <v>29</v>
      </c>
      <c r="L83" t="s">
        <v>31</v>
      </c>
      <c r="M83" t="s">
        <v>58</v>
      </c>
      <c r="N83" t="s">
        <v>91</v>
      </c>
      <c r="O83">
        <v>39.36788</v>
      </c>
      <c r="P83">
        <v>-105.24069</v>
      </c>
      <c r="Q83" t="s">
        <v>31</v>
      </c>
      <c r="R83">
        <v>0.28749999999999998</v>
      </c>
      <c r="S83" t="s">
        <v>172</v>
      </c>
    </row>
    <row r="84" spans="1:19" x14ac:dyDescent="0.2">
      <c r="A84">
        <v>13</v>
      </c>
      <c r="B84">
        <v>3</v>
      </c>
      <c r="C84" t="s">
        <v>57</v>
      </c>
      <c r="D84">
        <v>2004</v>
      </c>
      <c r="E84">
        <v>20</v>
      </c>
      <c r="F84">
        <v>1</v>
      </c>
      <c r="G84">
        <v>5.3</v>
      </c>
      <c r="H84">
        <v>45.2</v>
      </c>
      <c r="I84" t="s">
        <v>29</v>
      </c>
      <c r="J84" t="s">
        <v>29</v>
      </c>
      <c r="K84" t="s">
        <v>29</v>
      </c>
      <c r="L84" t="s">
        <v>31</v>
      </c>
      <c r="M84" t="s">
        <v>58</v>
      </c>
      <c r="N84" t="s">
        <v>91</v>
      </c>
      <c r="O84">
        <v>39.36788</v>
      </c>
      <c r="P84">
        <v>-105.24069</v>
      </c>
      <c r="Q84" t="s">
        <v>31</v>
      </c>
      <c r="R84">
        <v>0.28749999999999998</v>
      </c>
      <c r="S84" t="s">
        <v>172</v>
      </c>
    </row>
    <row r="85" spans="1:19" x14ac:dyDescent="0.2">
      <c r="A85">
        <v>13</v>
      </c>
      <c r="B85">
        <v>4</v>
      </c>
      <c r="C85" t="s">
        <v>57</v>
      </c>
      <c r="D85">
        <v>2004</v>
      </c>
      <c r="E85">
        <v>40</v>
      </c>
      <c r="F85">
        <v>1</v>
      </c>
      <c r="G85">
        <v>5.3</v>
      </c>
      <c r="H85">
        <v>45.2</v>
      </c>
      <c r="I85" t="s">
        <v>29</v>
      </c>
      <c r="J85" t="s">
        <v>29</v>
      </c>
      <c r="K85" t="s">
        <v>29</v>
      </c>
      <c r="L85" t="s">
        <v>31</v>
      </c>
      <c r="M85" t="s">
        <v>58</v>
      </c>
      <c r="N85" t="s">
        <v>91</v>
      </c>
      <c r="O85">
        <v>39.36788</v>
      </c>
      <c r="P85">
        <v>-105.24069</v>
      </c>
      <c r="Q85" t="s">
        <v>31</v>
      </c>
      <c r="R85">
        <v>0.28749999999999998</v>
      </c>
      <c r="S85" t="s">
        <v>172</v>
      </c>
    </row>
    <row r="86" spans="1:19" x14ac:dyDescent="0.2">
      <c r="A86">
        <v>13</v>
      </c>
      <c r="B86">
        <v>5</v>
      </c>
      <c r="C86" t="s">
        <v>57</v>
      </c>
      <c r="D86">
        <v>2004</v>
      </c>
      <c r="E86">
        <v>80</v>
      </c>
      <c r="F86">
        <v>1</v>
      </c>
      <c r="G86">
        <v>5.3</v>
      </c>
      <c r="H86">
        <v>45.2</v>
      </c>
      <c r="I86" t="s">
        <v>29</v>
      </c>
      <c r="J86" t="s">
        <v>29</v>
      </c>
      <c r="K86" t="s">
        <v>29</v>
      </c>
      <c r="L86" t="s">
        <v>31</v>
      </c>
      <c r="M86" t="s">
        <v>58</v>
      </c>
      <c r="N86" t="s">
        <v>91</v>
      </c>
      <c r="O86">
        <v>39.36788</v>
      </c>
      <c r="P86">
        <v>-105.24069</v>
      </c>
      <c r="Q86" t="s">
        <v>31</v>
      </c>
      <c r="R86">
        <v>0.28749999999999998</v>
      </c>
      <c r="S86" t="s">
        <v>172</v>
      </c>
    </row>
    <row r="87" spans="1:19" x14ac:dyDescent="0.2">
      <c r="A87">
        <v>13</v>
      </c>
      <c r="B87">
        <v>6</v>
      </c>
      <c r="C87" t="s">
        <v>57</v>
      </c>
      <c r="D87">
        <v>2004</v>
      </c>
      <c r="E87">
        <v>5</v>
      </c>
      <c r="F87">
        <v>2</v>
      </c>
      <c r="G87">
        <v>5.3</v>
      </c>
      <c r="H87">
        <v>45.2</v>
      </c>
      <c r="I87" t="s">
        <v>29</v>
      </c>
      <c r="J87" t="s">
        <v>29</v>
      </c>
      <c r="K87" t="s">
        <v>29</v>
      </c>
      <c r="L87" t="s">
        <v>31</v>
      </c>
      <c r="M87" t="s">
        <v>58</v>
      </c>
      <c r="N87" t="s">
        <v>91</v>
      </c>
      <c r="O87">
        <v>39.36788</v>
      </c>
      <c r="P87">
        <v>-105.24069</v>
      </c>
      <c r="Q87" t="s">
        <v>31</v>
      </c>
      <c r="R87">
        <v>0.28749999999999998</v>
      </c>
      <c r="S87" t="s">
        <v>172</v>
      </c>
    </row>
    <row r="88" spans="1:19" x14ac:dyDescent="0.2">
      <c r="A88">
        <v>13</v>
      </c>
      <c r="B88">
        <v>7</v>
      </c>
      <c r="C88" t="s">
        <v>57</v>
      </c>
      <c r="D88">
        <v>2004</v>
      </c>
      <c r="E88">
        <v>10</v>
      </c>
      <c r="F88">
        <v>2</v>
      </c>
      <c r="G88">
        <v>5.3</v>
      </c>
      <c r="H88">
        <v>45.2</v>
      </c>
      <c r="I88" t="s">
        <v>29</v>
      </c>
      <c r="J88" t="s">
        <v>29</v>
      </c>
      <c r="K88" t="s">
        <v>29</v>
      </c>
      <c r="L88" t="s">
        <v>31</v>
      </c>
      <c r="M88" t="s">
        <v>58</v>
      </c>
      <c r="N88" t="s">
        <v>91</v>
      </c>
      <c r="O88">
        <v>39.36788</v>
      </c>
      <c r="P88">
        <v>-105.24069</v>
      </c>
      <c r="Q88" t="s">
        <v>31</v>
      </c>
      <c r="R88">
        <v>0.28749999999999998</v>
      </c>
      <c r="S88" t="s">
        <v>172</v>
      </c>
    </row>
    <row r="89" spans="1:19" x14ac:dyDescent="0.2">
      <c r="A89">
        <v>13</v>
      </c>
      <c r="B89">
        <v>8</v>
      </c>
      <c r="C89" t="s">
        <v>57</v>
      </c>
      <c r="D89">
        <v>2004</v>
      </c>
      <c r="E89">
        <v>20</v>
      </c>
      <c r="F89">
        <v>2</v>
      </c>
      <c r="G89">
        <v>5.3</v>
      </c>
      <c r="H89">
        <v>45.2</v>
      </c>
      <c r="I89" t="s">
        <v>29</v>
      </c>
      <c r="J89" t="s">
        <v>29</v>
      </c>
      <c r="K89" t="s">
        <v>29</v>
      </c>
      <c r="L89" t="s">
        <v>31</v>
      </c>
      <c r="M89" t="s">
        <v>58</v>
      </c>
      <c r="N89" t="s">
        <v>91</v>
      </c>
      <c r="O89">
        <v>39.36788</v>
      </c>
      <c r="P89">
        <v>-105.24069</v>
      </c>
      <c r="Q89" t="s">
        <v>31</v>
      </c>
      <c r="R89">
        <v>0.28749999999999998</v>
      </c>
      <c r="S89" t="s">
        <v>172</v>
      </c>
    </row>
    <row r="90" spans="1:19" x14ac:dyDescent="0.2">
      <c r="A90">
        <v>13</v>
      </c>
      <c r="B90">
        <v>9</v>
      </c>
      <c r="C90" t="s">
        <v>57</v>
      </c>
      <c r="D90">
        <v>2004</v>
      </c>
      <c r="E90">
        <v>40</v>
      </c>
      <c r="F90">
        <v>2</v>
      </c>
      <c r="G90">
        <v>5.3</v>
      </c>
      <c r="H90">
        <v>45.2</v>
      </c>
      <c r="I90" t="s">
        <v>29</v>
      </c>
      <c r="J90" t="s">
        <v>29</v>
      </c>
      <c r="K90" t="s">
        <v>29</v>
      </c>
      <c r="L90" t="s">
        <v>31</v>
      </c>
      <c r="M90" t="s">
        <v>58</v>
      </c>
      <c r="N90" t="s">
        <v>91</v>
      </c>
      <c r="O90">
        <v>39.36788</v>
      </c>
      <c r="P90">
        <v>-105.24069</v>
      </c>
      <c r="Q90" t="s">
        <v>31</v>
      </c>
      <c r="R90">
        <v>0.28749999999999998</v>
      </c>
      <c r="S90" t="s">
        <v>172</v>
      </c>
    </row>
    <row r="91" spans="1:19" x14ac:dyDescent="0.2">
      <c r="A91">
        <v>13</v>
      </c>
      <c r="B91">
        <v>10</v>
      </c>
      <c r="C91" t="s">
        <v>57</v>
      </c>
      <c r="D91">
        <v>2004</v>
      </c>
      <c r="E91">
        <v>80</v>
      </c>
      <c r="F91">
        <v>2</v>
      </c>
      <c r="G91">
        <v>5.3</v>
      </c>
      <c r="H91">
        <v>45.2</v>
      </c>
      <c r="I91" t="s">
        <v>29</v>
      </c>
      <c r="J91" t="s">
        <v>29</v>
      </c>
      <c r="K91" t="s">
        <v>29</v>
      </c>
      <c r="L91" t="s">
        <v>31</v>
      </c>
      <c r="M91" t="s">
        <v>58</v>
      </c>
      <c r="N91" t="s">
        <v>91</v>
      </c>
      <c r="O91">
        <v>39.36788</v>
      </c>
      <c r="P91">
        <v>-105.24069</v>
      </c>
      <c r="Q91" t="s">
        <v>31</v>
      </c>
      <c r="R91">
        <v>0.28749999999999998</v>
      </c>
      <c r="S91" t="s">
        <v>172</v>
      </c>
    </row>
    <row r="92" spans="1:19" x14ac:dyDescent="0.2">
      <c r="A92">
        <v>13</v>
      </c>
      <c r="B92">
        <v>11</v>
      </c>
      <c r="C92" t="s">
        <v>57</v>
      </c>
      <c r="D92">
        <v>2004</v>
      </c>
      <c r="E92">
        <v>5</v>
      </c>
      <c r="F92">
        <v>3</v>
      </c>
      <c r="G92">
        <v>5.3</v>
      </c>
      <c r="H92">
        <v>45.2</v>
      </c>
      <c r="I92" t="s">
        <v>29</v>
      </c>
      <c r="J92" t="s">
        <v>29</v>
      </c>
      <c r="K92" t="s">
        <v>29</v>
      </c>
      <c r="L92" t="s">
        <v>31</v>
      </c>
      <c r="M92" t="s">
        <v>58</v>
      </c>
      <c r="N92" t="s">
        <v>91</v>
      </c>
      <c r="O92">
        <v>39.36788</v>
      </c>
      <c r="P92">
        <v>-105.24069</v>
      </c>
      <c r="Q92" t="s">
        <v>31</v>
      </c>
      <c r="R92">
        <v>0.28749999999999998</v>
      </c>
      <c r="S92" t="s">
        <v>172</v>
      </c>
    </row>
    <row r="93" spans="1:19" x14ac:dyDescent="0.2">
      <c r="A93">
        <v>13</v>
      </c>
      <c r="B93">
        <v>12</v>
      </c>
      <c r="C93" t="s">
        <v>57</v>
      </c>
      <c r="D93">
        <v>2004</v>
      </c>
      <c r="E93">
        <v>10</v>
      </c>
      <c r="F93">
        <v>3</v>
      </c>
      <c r="G93">
        <v>5.3</v>
      </c>
      <c r="H93">
        <v>45.2</v>
      </c>
      <c r="I93" t="s">
        <v>29</v>
      </c>
      <c r="J93" t="s">
        <v>29</v>
      </c>
      <c r="K93" t="s">
        <v>29</v>
      </c>
      <c r="L93" t="s">
        <v>31</v>
      </c>
      <c r="M93" t="s">
        <v>58</v>
      </c>
      <c r="N93" t="s">
        <v>91</v>
      </c>
      <c r="O93">
        <v>39.36788</v>
      </c>
      <c r="P93">
        <v>-105.24069</v>
      </c>
      <c r="Q93" t="s">
        <v>31</v>
      </c>
      <c r="R93">
        <v>0.28749999999999998</v>
      </c>
      <c r="S93" t="s">
        <v>172</v>
      </c>
    </row>
    <row r="94" spans="1:19" x14ac:dyDescent="0.2">
      <c r="A94">
        <v>13</v>
      </c>
      <c r="B94">
        <v>13</v>
      </c>
      <c r="C94" t="s">
        <v>57</v>
      </c>
      <c r="D94">
        <v>2004</v>
      </c>
      <c r="E94">
        <v>20</v>
      </c>
      <c r="F94">
        <v>3</v>
      </c>
      <c r="G94">
        <v>5.3</v>
      </c>
      <c r="H94">
        <v>45.2</v>
      </c>
      <c r="I94" t="s">
        <v>29</v>
      </c>
      <c r="J94" t="s">
        <v>29</v>
      </c>
      <c r="K94" t="s">
        <v>29</v>
      </c>
      <c r="L94" t="s">
        <v>31</v>
      </c>
      <c r="M94" t="s">
        <v>58</v>
      </c>
      <c r="N94" t="s">
        <v>91</v>
      </c>
      <c r="O94">
        <v>39.36788</v>
      </c>
      <c r="P94">
        <v>-105.24069</v>
      </c>
      <c r="Q94" t="s">
        <v>31</v>
      </c>
      <c r="R94">
        <v>0.28749999999999998</v>
      </c>
      <c r="S94" t="s">
        <v>172</v>
      </c>
    </row>
    <row r="95" spans="1:19" x14ac:dyDescent="0.2">
      <c r="A95">
        <v>13</v>
      </c>
      <c r="B95">
        <v>14</v>
      </c>
      <c r="C95" t="s">
        <v>57</v>
      </c>
      <c r="D95">
        <v>2004</v>
      </c>
      <c r="E95">
        <v>40</v>
      </c>
      <c r="F95">
        <v>3</v>
      </c>
      <c r="G95">
        <v>5.3</v>
      </c>
      <c r="H95">
        <v>45.2</v>
      </c>
      <c r="I95" t="s">
        <v>29</v>
      </c>
      <c r="J95" t="s">
        <v>29</v>
      </c>
      <c r="K95" t="s">
        <v>29</v>
      </c>
      <c r="L95" t="s">
        <v>31</v>
      </c>
      <c r="M95" t="s">
        <v>58</v>
      </c>
      <c r="N95" t="s">
        <v>91</v>
      </c>
      <c r="O95">
        <v>39.36788</v>
      </c>
      <c r="P95">
        <v>-105.24069</v>
      </c>
      <c r="Q95" t="s">
        <v>31</v>
      </c>
      <c r="R95">
        <v>0.28749999999999998</v>
      </c>
      <c r="S95" t="s">
        <v>172</v>
      </c>
    </row>
    <row r="96" spans="1:19" x14ac:dyDescent="0.2">
      <c r="A96">
        <v>13</v>
      </c>
      <c r="B96">
        <v>15</v>
      </c>
      <c r="C96" t="s">
        <v>57</v>
      </c>
      <c r="D96">
        <v>2004</v>
      </c>
      <c r="E96">
        <v>80</v>
      </c>
      <c r="F96">
        <v>3</v>
      </c>
      <c r="G96">
        <v>5.3</v>
      </c>
      <c r="H96">
        <v>45.2</v>
      </c>
      <c r="I96" t="s">
        <v>29</v>
      </c>
      <c r="J96" t="s">
        <v>29</v>
      </c>
      <c r="K96" t="s">
        <v>29</v>
      </c>
      <c r="L96" t="s">
        <v>31</v>
      </c>
      <c r="M96" t="s">
        <v>58</v>
      </c>
      <c r="N96" t="s">
        <v>91</v>
      </c>
      <c r="O96">
        <v>39.36788</v>
      </c>
      <c r="P96">
        <v>-105.24069</v>
      </c>
      <c r="Q96" t="s">
        <v>31</v>
      </c>
      <c r="R96">
        <v>0.28749999999999998</v>
      </c>
      <c r="S96" t="s">
        <v>172</v>
      </c>
    </row>
    <row r="97" spans="1:19" x14ac:dyDescent="0.2">
      <c r="A97">
        <v>13</v>
      </c>
      <c r="B97">
        <v>16</v>
      </c>
      <c r="C97" t="s">
        <v>57</v>
      </c>
      <c r="D97">
        <v>2004</v>
      </c>
      <c r="E97">
        <v>5</v>
      </c>
      <c r="F97">
        <v>4</v>
      </c>
      <c r="G97">
        <v>5.3</v>
      </c>
      <c r="H97">
        <v>45.2</v>
      </c>
      <c r="I97" t="s">
        <v>29</v>
      </c>
      <c r="J97" t="s">
        <v>29</v>
      </c>
      <c r="K97" t="s">
        <v>29</v>
      </c>
      <c r="L97" t="s">
        <v>31</v>
      </c>
      <c r="M97" t="s">
        <v>58</v>
      </c>
      <c r="N97" t="s">
        <v>91</v>
      </c>
      <c r="O97">
        <v>39.36788</v>
      </c>
      <c r="P97">
        <v>-105.24069</v>
      </c>
      <c r="Q97" t="s">
        <v>31</v>
      </c>
      <c r="R97">
        <v>0.28749999999999998</v>
      </c>
      <c r="S97" t="s">
        <v>172</v>
      </c>
    </row>
    <row r="98" spans="1:19" x14ac:dyDescent="0.2">
      <c r="A98">
        <v>13</v>
      </c>
      <c r="B98">
        <v>17</v>
      </c>
      <c r="C98" t="s">
        <v>57</v>
      </c>
      <c r="D98">
        <v>2004</v>
      </c>
      <c r="E98">
        <v>10</v>
      </c>
      <c r="F98">
        <v>4</v>
      </c>
      <c r="G98">
        <v>5.3</v>
      </c>
      <c r="H98">
        <v>45.2</v>
      </c>
      <c r="I98" t="s">
        <v>29</v>
      </c>
      <c r="J98" t="s">
        <v>29</v>
      </c>
      <c r="K98" t="s">
        <v>29</v>
      </c>
      <c r="L98" t="s">
        <v>31</v>
      </c>
      <c r="M98" t="s">
        <v>58</v>
      </c>
      <c r="N98" t="s">
        <v>91</v>
      </c>
      <c r="O98">
        <v>39.36788</v>
      </c>
      <c r="P98">
        <v>-105.24069</v>
      </c>
      <c r="Q98" t="s">
        <v>31</v>
      </c>
      <c r="R98">
        <v>0.28749999999999998</v>
      </c>
      <c r="S98" t="s">
        <v>172</v>
      </c>
    </row>
    <row r="99" spans="1:19" x14ac:dyDescent="0.2">
      <c r="A99">
        <v>13</v>
      </c>
      <c r="B99">
        <v>18</v>
      </c>
      <c r="C99" t="s">
        <v>57</v>
      </c>
      <c r="D99">
        <v>2004</v>
      </c>
      <c r="E99">
        <v>20</v>
      </c>
      <c r="F99">
        <v>4</v>
      </c>
      <c r="G99">
        <v>5.3</v>
      </c>
      <c r="H99">
        <v>45.2</v>
      </c>
      <c r="I99" t="s">
        <v>29</v>
      </c>
      <c r="J99" t="s">
        <v>29</v>
      </c>
      <c r="K99" t="s">
        <v>29</v>
      </c>
      <c r="L99" t="s">
        <v>31</v>
      </c>
      <c r="M99" t="s">
        <v>58</v>
      </c>
      <c r="N99" t="s">
        <v>91</v>
      </c>
      <c r="O99">
        <v>39.36788</v>
      </c>
      <c r="P99">
        <v>-105.24069</v>
      </c>
      <c r="Q99" t="s">
        <v>31</v>
      </c>
      <c r="R99">
        <v>0.28749999999999998</v>
      </c>
      <c r="S99" t="s">
        <v>172</v>
      </c>
    </row>
    <row r="100" spans="1:19" x14ac:dyDescent="0.2">
      <c r="A100">
        <v>13</v>
      </c>
      <c r="B100">
        <v>19</v>
      </c>
      <c r="C100" t="s">
        <v>57</v>
      </c>
      <c r="D100">
        <v>2004</v>
      </c>
      <c r="E100">
        <v>40</v>
      </c>
      <c r="F100">
        <v>4</v>
      </c>
      <c r="G100">
        <v>5.3</v>
      </c>
      <c r="H100">
        <v>45.2</v>
      </c>
      <c r="I100" t="s">
        <v>29</v>
      </c>
      <c r="J100" t="s">
        <v>29</v>
      </c>
      <c r="K100" t="s">
        <v>29</v>
      </c>
      <c r="L100" t="s">
        <v>31</v>
      </c>
      <c r="M100" t="s">
        <v>58</v>
      </c>
      <c r="N100" t="s">
        <v>91</v>
      </c>
      <c r="O100">
        <v>39.36788</v>
      </c>
      <c r="P100">
        <v>-105.24069</v>
      </c>
      <c r="Q100" t="s">
        <v>31</v>
      </c>
      <c r="R100">
        <v>0.28749999999999998</v>
      </c>
      <c r="S100" t="s">
        <v>172</v>
      </c>
    </row>
    <row r="101" spans="1:19" x14ac:dyDescent="0.2">
      <c r="A101">
        <v>13</v>
      </c>
      <c r="B101">
        <v>20</v>
      </c>
      <c r="C101" t="s">
        <v>57</v>
      </c>
      <c r="D101">
        <v>2004</v>
      </c>
      <c r="E101">
        <v>80</v>
      </c>
      <c r="F101">
        <v>4</v>
      </c>
      <c r="G101">
        <v>5.3</v>
      </c>
      <c r="H101">
        <v>45.2</v>
      </c>
      <c r="I101" t="s">
        <v>29</v>
      </c>
      <c r="J101" t="s">
        <v>29</v>
      </c>
      <c r="K101" t="s">
        <v>29</v>
      </c>
      <c r="L101" t="s">
        <v>31</v>
      </c>
      <c r="M101" t="s">
        <v>58</v>
      </c>
      <c r="N101" t="s">
        <v>91</v>
      </c>
      <c r="O101">
        <v>39.36788</v>
      </c>
      <c r="P101">
        <v>-105.24069</v>
      </c>
      <c r="Q101" t="s">
        <v>31</v>
      </c>
      <c r="R101">
        <v>0.28749999999999998</v>
      </c>
      <c r="S101" t="s">
        <v>172</v>
      </c>
    </row>
    <row r="102" spans="1:19" x14ac:dyDescent="0.2">
      <c r="A102">
        <v>13</v>
      </c>
      <c r="B102">
        <v>16</v>
      </c>
      <c r="C102" t="s">
        <v>57</v>
      </c>
      <c r="D102">
        <v>2004</v>
      </c>
      <c r="E102">
        <v>5</v>
      </c>
      <c r="F102">
        <v>1</v>
      </c>
      <c r="G102">
        <v>5.3</v>
      </c>
      <c r="H102">
        <v>45.2</v>
      </c>
      <c r="I102" t="s">
        <v>29</v>
      </c>
      <c r="J102" t="s">
        <v>29</v>
      </c>
      <c r="K102" t="s">
        <v>29</v>
      </c>
      <c r="L102" t="s">
        <v>31</v>
      </c>
      <c r="M102" t="s">
        <v>58</v>
      </c>
      <c r="N102" t="s">
        <v>91</v>
      </c>
      <c r="O102">
        <v>39.36788</v>
      </c>
      <c r="P102">
        <v>-105.24069</v>
      </c>
      <c r="Q102" t="s">
        <v>31</v>
      </c>
      <c r="R102">
        <v>0.28749999999999998</v>
      </c>
      <c r="S102" t="s">
        <v>171</v>
      </c>
    </row>
    <row r="103" spans="1:19" x14ac:dyDescent="0.2">
      <c r="A103">
        <v>13</v>
      </c>
      <c r="B103">
        <v>17</v>
      </c>
      <c r="C103" t="s">
        <v>57</v>
      </c>
      <c r="D103">
        <v>2004</v>
      </c>
      <c r="E103">
        <v>10</v>
      </c>
      <c r="F103">
        <v>1</v>
      </c>
      <c r="G103">
        <v>5.3</v>
      </c>
      <c r="H103">
        <v>45.2</v>
      </c>
      <c r="I103" t="s">
        <v>29</v>
      </c>
      <c r="J103" t="s">
        <v>29</v>
      </c>
      <c r="K103" t="s">
        <v>29</v>
      </c>
      <c r="L103" t="s">
        <v>31</v>
      </c>
      <c r="M103" t="s">
        <v>58</v>
      </c>
      <c r="N103" t="s">
        <v>91</v>
      </c>
      <c r="O103">
        <v>39.36788</v>
      </c>
      <c r="P103">
        <v>-105.24069</v>
      </c>
      <c r="Q103" t="s">
        <v>31</v>
      </c>
      <c r="R103">
        <v>0.28749999999999998</v>
      </c>
      <c r="S103" t="s">
        <v>171</v>
      </c>
    </row>
    <row r="104" spans="1:19" x14ac:dyDescent="0.2">
      <c r="A104">
        <v>13</v>
      </c>
      <c r="B104">
        <v>18</v>
      </c>
      <c r="C104" t="s">
        <v>57</v>
      </c>
      <c r="D104">
        <v>2004</v>
      </c>
      <c r="E104">
        <v>20</v>
      </c>
      <c r="F104">
        <v>1</v>
      </c>
      <c r="G104">
        <v>5.3</v>
      </c>
      <c r="H104">
        <v>45.2</v>
      </c>
      <c r="I104" t="s">
        <v>29</v>
      </c>
      <c r="J104" t="s">
        <v>29</v>
      </c>
      <c r="K104" t="s">
        <v>29</v>
      </c>
      <c r="L104" t="s">
        <v>31</v>
      </c>
      <c r="M104" t="s">
        <v>58</v>
      </c>
      <c r="N104" t="s">
        <v>91</v>
      </c>
      <c r="O104">
        <v>39.36788</v>
      </c>
      <c r="P104">
        <v>-105.24069</v>
      </c>
      <c r="Q104" t="s">
        <v>31</v>
      </c>
      <c r="R104">
        <v>0.28749999999999998</v>
      </c>
      <c r="S104" t="s">
        <v>171</v>
      </c>
    </row>
    <row r="105" spans="1:19" x14ac:dyDescent="0.2">
      <c r="A105">
        <v>13</v>
      </c>
      <c r="B105">
        <v>19</v>
      </c>
      <c r="C105" t="s">
        <v>57</v>
      </c>
      <c r="D105">
        <v>2004</v>
      </c>
      <c r="E105">
        <v>40</v>
      </c>
      <c r="F105">
        <v>1</v>
      </c>
      <c r="G105">
        <v>5.3</v>
      </c>
      <c r="H105">
        <v>45.2</v>
      </c>
      <c r="I105" t="s">
        <v>29</v>
      </c>
      <c r="J105" t="s">
        <v>29</v>
      </c>
      <c r="K105" t="s">
        <v>29</v>
      </c>
      <c r="L105" t="s">
        <v>31</v>
      </c>
      <c r="M105" t="s">
        <v>58</v>
      </c>
      <c r="N105" t="s">
        <v>91</v>
      </c>
      <c r="O105">
        <v>39.36788</v>
      </c>
      <c r="P105">
        <v>-105.24069</v>
      </c>
      <c r="Q105" t="s">
        <v>31</v>
      </c>
      <c r="R105">
        <v>0.28749999999999998</v>
      </c>
      <c r="S105" t="s">
        <v>171</v>
      </c>
    </row>
    <row r="106" spans="1:19" x14ac:dyDescent="0.2">
      <c r="A106">
        <v>13</v>
      </c>
      <c r="B106">
        <v>20</v>
      </c>
      <c r="C106" t="s">
        <v>57</v>
      </c>
      <c r="D106">
        <v>2004</v>
      </c>
      <c r="E106">
        <v>80</v>
      </c>
      <c r="F106">
        <v>1</v>
      </c>
      <c r="G106">
        <v>5.3</v>
      </c>
      <c r="H106">
        <v>45.2</v>
      </c>
      <c r="I106" t="s">
        <v>29</v>
      </c>
      <c r="J106" t="s">
        <v>29</v>
      </c>
      <c r="K106" t="s">
        <v>29</v>
      </c>
      <c r="L106" t="s">
        <v>31</v>
      </c>
      <c r="M106" t="s">
        <v>58</v>
      </c>
      <c r="N106" t="s">
        <v>91</v>
      </c>
      <c r="O106">
        <v>39.36788</v>
      </c>
      <c r="P106">
        <v>-105.24069</v>
      </c>
      <c r="Q106" t="s">
        <v>31</v>
      </c>
      <c r="R106">
        <v>0.28749999999999998</v>
      </c>
      <c r="S106" t="s">
        <v>171</v>
      </c>
    </row>
    <row r="107" spans="1:19" x14ac:dyDescent="0.2">
      <c r="A107">
        <v>13</v>
      </c>
      <c r="B107">
        <v>1</v>
      </c>
      <c r="C107" t="s">
        <v>57</v>
      </c>
      <c r="D107">
        <v>2004</v>
      </c>
      <c r="E107">
        <v>10</v>
      </c>
      <c r="F107">
        <v>3</v>
      </c>
      <c r="G107">
        <v>5.3</v>
      </c>
      <c r="H107">
        <v>45.2</v>
      </c>
      <c r="I107" t="s">
        <v>29</v>
      </c>
      <c r="J107" t="s">
        <v>29</v>
      </c>
      <c r="K107" t="s">
        <v>29</v>
      </c>
      <c r="L107" t="s">
        <v>31</v>
      </c>
      <c r="M107" t="s">
        <v>58</v>
      </c>
      <c r="N107" t="s">
        <v>91</v>
      </c>
      <c r="O107">
        <v>39.36788</v>
      </c>
      <c r="P107">
        <v>-105.24069</v>
      </c>
      <c r="Q107" t="s">
        <v>31</v>
      </c>
      <c r="R107">
        <v>0.28749999999999998</v>
      </c>
      <c r="S107" t="s">
        <v>171</v>
      </c>
    </row>
    <row r="108" spans="1:19" x14ac:dyDescent="0.2">
      <c r="A108">
        <v>13</v>
      </c>
      <c r="B108">
        <v>2</v>
      </c>
      <c r="C108" t="s">
        <v>57</v>
      </c>
      <c r="D108">
        <v>2004</v>
      </c>
      <c r="E108">
        <v>20</v>
      </c>
      <c r="F108">
        <v>4</v>
      </c>
      <c r="G108">
        <v>5.3</v>
      </c>
      <c r="H108">
        <v>45.2</v>
      </c>
      <c r="I108" t="s">
        <v>29</v>
      </c>
      <c r="J108" t="s">
        <v>29</v>
      </c>
      <c r="K108" t="s">
        <v>29</v>
      </c>
      <c r="L108" t="s">
        <v>31</v>
      </c>
      <c r="M108" t="s">
        <v>58</v>
      </c>
      <c r="N108" t="s">
        <v>91</v>
      </c>
      <c r="O108">
        <v>39.36788</v>
      </c>
      <c r="P108">
        <v>-105.24069</v>
      </c>
      <c r="Q108" t="s">
        <v>31</v>
      </c>
      <c r="R108">
        <v>0.28749999999999998</v>
      </c>
      <c r="S108" t="s">
        <v>171</v>
      </c>
    </row>
    <row r="109" spans="1:19" x14ac:dyDescent="0.2">
      <c r="A109">
        <v>13</v>
      </c>
      <c r="B109">
        <v>3</v>
      </c>
      <c r="C109" t="s">
        <v>57</v>
      </c>
      <c r="D109">
        <v>2004</v>
      </c>
      <c r="E109">
        <v>40</v>
      </c>
      <c r="F109">
        <v>4</v>
      </c>
      <c r="G109">
        <v>5.3</v>
      </c>
      <c r="H109">
        <v>45.2</v>
      </c>
      <c r="I109" t="s">
        <v>29</v>
      </c>
      <c r="J109" t="s">
        <v>29</v>
      </c>
      <c r="K109" t="s">
        <v>29</v>
      </c>
      <c r="L109" t="s">
        <v>31</v>
      </c>
      <c r="M109" t="s">
        <v>58</v>
      </c>
      <c r="N109" t="s">
        <v>91</v>
      </c>
      <c r="O109">
        <v>39.36788</v>
      </c>
      <c r="P109">
        <v>-105.24069</v>
      </c>
      <c r="Q109" t="s">
        <v>31</v>
      </c>
      <c r="R109">
        <v>0.28749999999999998</v>
      </c>
      <c r="S109" t="s">
        <v>171</v>
      </c>
    </row>
    <row r="110" spans="1:19" x14ac:dyDescent="0.2">
      <c r="A110">
        <v>13</v>
      </c>
      <c r="B110">
        <v>4</v>
      </c>
      <c r="C110" t="s">
        <v>57</v>
      </c>
      <c r="D110">
        <v>2004</v>
      </c>
      <c r="E110">
        <v>10</v>
      </c>
      <c r="F110">
        <v>2</v>
      </c>
      <c r="G110">
        <v>5.3</v>
      </c>
      <c r="H110">
        <v>45.2</v>
      </c>
      <c r="I110" t="s">
        <v>29</v>
      </c>
      <c r="J110" t="s">
        <v>29</v>
      </c>
      <c r="K110" t="s">
        <v>29</v>
      </c>
      <c r="L110" t="s">
        <v>31</v>
      </c>
      <c r="M110" t="s">
        <v>58</v>
      </c>
      <c r="N110" t="s">
        <v>91</v>
      </c>
      <c r="O110">
        <v>39.36788</v>
      </c>
      <c r="P110">
        <v>-105.24069</v>
      </c>
      <c r="Q110" t="s">
        <v>31</v>
      </c>
      <c r="R110">
        <v>0.28749999999999998</v>
      </c>
      <c r="S110" t="s">
        <v>171</v>
      </c>
    </row>
    <row r="111" spans="1:19" x14ac:dyDescent="0.2">
      <c r="A111">
        <v>13</v>
      </c>
      <c r="B111">
        <v>5</v>
      </c>
      <c r="C111" t="s">
        <v>57</v>
      </c>
      <c r="D111">
        <v>2004</v>
      </c>
      <c r="E111">
        <v>40</v>
      </c>
      <c r="F111">
        <v>3</v>
      </c>
      <c r="G111">
        <v>5.3</v>
      </c>
      <c r="H111">
        <v>45.2</v>
      </c>
      <c r="I111" t="s">
        <v>29</v>
      </c>
      <c r="J111" t="s">
        <v>29</v>
      </c>
      <c r="K111" t="s">
        <v>29</v>
      </c>
      <c r="L111" t="s">
        <v>31</v>
      </c>
      <c r="M111" t="s">
        <v>58</v>
      </c>
      <c r="N111" t="s">
        <v>91</v>
      </c>
      <c r="O111">
        <v>39.36788</v>
      </c>
      <c r="P111">
        <v>-105.24069</v>
      </c>
      <c r="Q111" t="s">
        <v>31</v>
      </c>
      <c r="R111">
        <v>0.28749999999999998</v>
      </c>
      <c r="S111" t="s">
        <v>171</v>
      </c>
    </row>
    <row r="112" spans="1:19" x14ac:dyDescent="0.2">
      <c r="A112">
        <v>13</v>
      </c>
      <c r="B112">
        <v>6</v>
      </c>
      <c r="C112" t="s">
        <v>57</v>
      </c>
      <c r="D112">
        <v>2004</v>
      </c>
      <c r="E112">
        <v>5</v>
      </c>
      <c r="F112">
        <v>3</v>
      </c>
      <c r="G112">
        <v>5.3</v>
      </c>
      <c r="H112">
        <v>45.2</v>
      </c>
      <c r="I112" t="s">
        <v>29</v>
      </c>
      <c r="J112" t="s">
        <v>29</v>
      </c>
      <c r="K112" t="s">
        <v>29</v>
      </c>
      <c r="L112" t="s">
        <v>31</v>
      </c>
      <c r="M112" t="s">
        <v>58</v>
      </c>
      <c r="N112" t="s">
        <v>91</v>
      </c>
      <c r="O112">
        <v>39.36788</v>
      </c>
      <c r="P112">
        <v>-105.24069</v>
      </c>
      <c r="Q112" t="s">
        <v>31</v>
      </c>
      <c r="R112">
        <v>0.28749999999999998</v>
      </c>
      <c r="S112" t="s">
        <v>171</v>
      </c>
    </row>
    <row r="113" spans="1:19" x14ac:dyDescent="0.2">
      <c r="A113">
        <v>13</v>
      </c>
      <c r="B113">
        <v>7</v>
      </c>
      <c r="C113" t="s">
        <v>57</v>
      </c>
      <c r="D113">
        <v>2004</v>
      </c>
      <c r="E113">
        <v>5</v>
      </c>
      <c r="F113">
        <v>4</v>
      </c>
      <c r="G113">
        <v>5.3</v>
      </c>
      <c r="H113">
        <v>45.2</v>
      </c>
      <c r="I113" t="s">
        <v>29</v>
      </c>
      <c r="J113" t="s">
        <v>29</v>
      </c>
      <c r="K113" t="s">
        <v>29</v>
      </c>
      <c r="L113" t="s">
        <v>31</v>
      </c>
      <c r="M113" t="s">
        <v>58</v>
      </c>
      <c r="N113" t="s">
        <v>91</v>
      </c>
      <c r="O113">
        <v>39.36788</v>
      </c>
      <c r="P113">
        <v>-105.24069</v>
      </c>
      <c r="Q113" t="s">
        <v>31</v>
      </c>
      <c r="R113">
        <v>0.28749999999999998</v>
      </c>
      <c r="S113" t="s">
        <v>171</v>
      </c>
    </row>
    <row r="114" spans="1:19" x14ac:dyDescent="0.2">
      <c r="A114">
        <v>13</v>
      </c>
      <c r="B114">
        <v>8</v>
      </c>
      <c r="C114" t="s">
        <v>57</v>
      </c>
      <c r="D114">
        <v>2004</v>
      </c>
      <c r="E114">
        <v>40</v>
      </c>
      <c r="F114">
        <v>2</v>
      </c>
      <c r="G114">
        <v>5.3</v>
      </c>
      <c r="H114">
        <v>45.2</v>
      </c>
      <c r="I114" t="s">
        <v>29</v>
      </c>
      <c r="J114" t="s">
        <v>29</v>
      </c>
      <c r="K114" t="s">
        <v>29</v>
      </c>
      <c r="L114" t="s">
        <v>31</v>
      </c>
      <c r="M114" t="s">
        <v>58</v>
      </c>
      <c r="N114" t="s">
        <v>91</v>
      </c>
      <c r="O114">
        <v>39.36788</v>
      </c>
      <c r="P114">
        <v>-105.24069</v>
      </c>
      <c r="Q114" t="s">
        <v>31</v>
      </c>
      <c r="R114">
        <v>0.28749999999999998</v>
      </c>
      <c r="S114" t="s">
        <v>171</v>
      </c>
    </row>
    <row r="115" spans="1:19" x14ac:dyDescent="0.2">
      <c r="A115">
        <v>13</v>
      </c>
      <c r="B115">
        <v>9</v>
      </c>
      <c r="C115" t="s">
        <v>57</v>
      </c>
      <c r="D115">
        <v>2004</v>
      </c>
      <c r="E115">
        <v>80</v>
      </c>
      <c r="F115">
        <v>2</v>
      </c>
      <c r="G115">
        <v>5.3</v>
      </c>
      <c r="H115">
        <v>45.2</v>
      </c>
      <c r="I115" t="s">
        <v>29</v>
      </c>
      <c r="J115" t="s">
        <v>29</v>
      </c>
      <c r="K115" t="s">
        <v>29</v>
      </c>
      <c r="L115" t="s">
        <v>31</v>
      </c>
      <c r="M115" t="s">
        <v>58</v>
      </c>
      <c r="N115" t="s">
        <v>91</v>
      </c>
      <c r="O115">
        <v>39.36788</v>
      </c>
      <c r="P115">
        <v>-105.24069</v>
      </c>
      <c r="Q115" t="s">
        <v>31</v>
      </c>
      <c r="R115">
        <v>0.28749999999999998</v>
      </c>
      <c r="S115" t="s">
        <v>171</v>
      </c>
    </row>
    <row r="116" spans="1:19" x14ac:dyDescent="0.2">
      <c r="A116">
        <v>13</v>
      </c>
      <c r="B116">
        <v>10</v>
      </c>
      <c r="C116" t="s">
        <v>57</v>
      </c>
      <c r="D116">
        <v>2004</v>
      </c>
      <c r="E116">
        <v>80</v>
      </c>
      <c r="F116">
        <v>4</v>
      </c>
      <c r="G116">
        <v>5.3</v>
      </c>
      <c r="H116">
        <v>45.2</v>
      </c>
      <c r="I116" t="s">
        <v>29</v>
      </c>
      <c r="J116" t="s">
        <v>29</v>
      </c>
      <c r="K116" t="s">
        <v>29</v>
      </c>
      <c r="L116" t="s">
        <v>31</v>
      </c>
      <c r="M116" t="s">
        <v>58</v>
      </c>
      <c r="N116" t="s">
        <v>91</v>
      </c>
      <c r="O116">
        <v>39.36788</v>
      </c>
      <c r="P116">
        <v>-105.24069</v>
      </c>
      <c r="Q116" t="s">
        <v>31</v>
      </c>
      <c r="R116">
        <v>0.28749999999999998</v>
      </c>
      <c r="S116" t="s">
        <v>171</v>
      </c>
    </row>
    <row r="117" spans="1:19" x14ac:dyDescent="0.2">
      <c r="A117">
        <v>13</v>
      </c>
      <c r="B117">
        <v>11</v>
      </c>
      <c r="C117" t="s">
        <v>57</v>
      </c>
      <c r="D117">
        <v>2004</v>
      </c>
      <c r="E117">
        <v>80</v>
      </c>
      <c r="F117">
        <v>3</v>
      </c>
      <c r="G117">
        <v>5.3</v>
      </c>
      <c r="H117">
        <v>45.2</v>
      </c>
      <c r="I117" t="s">
        <v>29</v>
      </c>
      <c r="J117" t="s">
        <v>29</v>
      </c>
      <c r="K117" t="s">
        <v>29</v>
      </c>
      <c r="L117" t="s">
        <v>31</v>
      </c>
      <c r="M117" t="s">
        <v>58</v>
      </c>
      <c r="N117" t="s">
        <v>91</v>
      </c>
      <c r="O117">
        <v>39.36788</v>
      </c>
      <c r="P117">
        <v>-105.24069</v>
      </c>
      <c r="Q117" t="s">
        <v>31</v>
      </c>
      <c r="R117">
        <v>0.28749999999999998</v>
      </c>
      <c r="S117" t="s">
        <v>171</v>
      </c>
    </row>
    <row r="118" spans="1:19" x14ac:dyDescent="0.2">
      <c r="A118">
        <v>13</v>
      </c>
      <c r="B118">
        <v>12</v>
      </c>
      <c r="C118" t="s">
        <v>57</v>
      </c>
      <c r="D118">
        <v>2004</v>
      </c>
      <c r="E118">
        <v>5</v>
      </c>
      <c r="F118">
        <v>2</v>
      </c>
      <c r="G118">
        <v>5.3</v>
      </c>
      <c r="H118">
        <v>45.2</v>
      </c>
      <c r="I118" t="s">
        <v>29</v>
      </c>
      <c r="J118" t="s">
        <v>29</v>
      </c>
      <c r="K118" t="s">
        <v>29</v>
      </c>
      <c r="L118" t="s">
        <v>31</v>
      </c>
      <c r="M118" t="s">
        <v>58</v>
      </c>
      <c r="N118" t="s">
        <v>91</v>
      </c>
      <c r="O118">
        <v>39.36788</v>
      </c>
      <c r="P118">
        <v>-105.24069</v>
      </c>
      <c r="Q118" t="s">
        <v>31</v>
      </c>
      <c r="R118">
        <v>0.28749999999999998</v>
      </c>
      <c r="S118" t="s">
        <v>171</v>
      </c>
    </row>
    <row r="119" spans="1:19" x14ac:dyDescent="0.2">
      <c r="A119">
        <v>13</v>
      </c>
      <c r="B119">
        <v>13</v>
      </c>
      <c r="C119" t="s">
        <v>57</v>
      </c>
      <c r="D119">
        <v>2004</v>
      </c>
      <c r="E119">
        <v>20</v>
      </c>
      <c r="F119">
        <v>2</v>
      </c>
      <c r="G119">
        <v>5.3</v>
      </c>
      <c r="H119">
        <v>45.2</v>
      </c>
      <c r="I119" t="s">
        <v>29</v>
      </c>
      <c r="J119" t="s">
        <v>29</v>
      </c>
      <c r="K119" t="s">
        <v>29</v>
      </c>
      <c r="L119" t="s">
        <v>31</v>
      </c>
      <c r="M119" t="s">
        <v>58</v>
      </c>
      <c r="N119" t="s">
        <v>91</v>
      </c>
      <c r="O119">
        <v>39.36788</v>
      </c>
      <c r="P119">
        <v>-105.24069</v>
      </c>
      <c r="Q119" t="s">
        <v>31</v>
      </c>
      <c r="R119">
        <v>0.28749999999999998</v>
      </c>
      <c r="S119" t="s">
        <v>171</v>
      </c>
    </row>
    <row r="120" spans="1:19" x14ac:dyDescent="0.2">
      <c r="A120">
        <v>13</v>
      </c>
      <c r="B120">
        <v>14</v>
      </c>
      <c r="C120" t="s">
        <v>57</v>
      </c>
      <c r="D120">
        <v>2004</v>
      </c>
      <c r="E120">
        <v>20</v>
      </c>
      <c r="F120">
        <v>3</v>
      </c>
      <c r="G120">
        <v>5.3</v>
      </c>
      <c r="H120">
        <v>45.2</v>
      </c>
      <c r="I120" t="s">
        <v>29</v>
      </c>
      <c r="J120" t="s">
        <v>29</v>
      </c>
      <c r="K120" t="s">
        <v>29</v>
      </c>
      <c r="L120" t="s">
        <v>31</v>
      </c>
      <c r="M120" t="s">
        <v>58</v>
      </c>
      <c r="N120" t="s">
        <v>91</v>
      </c>
      <c r="O120">
        <v>39.36788</v>
      </c>
      <c r="P120">
        <v>-105.24069</v>
      </c>
      <c r="Q120" t="s">
        <v>31</v>
      </c>
      <c r="R120">
        <v>0.28749999999999998</v>
      </c>
      <c r="S120" t="s">
        <v>171</v>
      </c>
    </row>
    <row r="121" spans="1:19" x14ac:dyDescent="0.2">
      <c r="A121">
        <v>13</v>
      </c>
      <c r="B121">
        <v>15</v>
      </c>
      <c r="C121" t="s">
        <v>57</v>
      </c>
      <c r="D121">
        <v>2004</v>
      </c>
      <c r="E121">
        <v>10</v>
      </c>
      <c r="F121">
        <v>4</v>
      </c>
      <c r="G121">
        <v>5.3</v>
      </c>
      <c r="H121">
        <v>45.2</v>
      </c>
      <c r="I121" t="s">
        <v>29</v>
      </c>
      <c r="J121" t="s">
        <v>29</v>
      </c>
      <c r="K121" t="s">
        <v>29</v>
      </c>
      <c r="L121" t="s">
        <v>31</v>
      </c>
      <c r="M121" t="s">
        <v>58</v>
      </c>
      <c r="N121" t="s">
        <v>91</v>
      </c>
      <c r="O121">
        <v>39.36788</v>
      </c>
      <c r="P121">
        <v>-105.24069</v>
      </c>
      <c r="Q121" t="s">
        <v>31</v>
      </c>
      <c r="R121">
        <v>0.28749999999999998</v>
      </c>
      <c r="S121" t="s">
        <v>171</v>
      </c>
    </row>
    <row r="122" spans="1:19" x14ac:dyDescent="0.2">
      <c r="A122">
        <v>14</v>
      </c>
      <c r="B122">
        <v>1</v>
      </c>
      <c r="C122" t="s">
        <v>59</v>
      </c>
      <c r="D122">
        <v>2014</v>
      </c>
      <c r="E122">
        <v>20</v>
      </c>
      <c r="F122">
        <v>5</v>
      </c>
      <c r="G122">
        <v>4.2</v>
      </c>
      <c r="H122">
        <v>41.1</v>
      </c>
      <c r="I122" t="s">
        <v>31</v>
      </c>
      <c r="J122" t="s">
        <v>31</v>
      </c>
      <c r="K122" t="s">
        <v>31</v>
      </c>
      <c r="L122" t="s">
        <v>31</v>
      </c>
      <c r="M122" t="s">
        <v>52</v>
      </c>
      <c r="N122" t="s">
        <v>94</v>
      </c>
      <c r="O122">
        <v>51.25</v>
      </c>
      <c r="P122">
        <v>-121.11666</v>
      </c>
      <c r="Q122" t="s">
        <v>31</v>
      </c>
      <c r="R122">
        <v>0.44390000000000002</v>
      </c>
      <c r="S122" t="s">
        <v>171</v>
      </c>
    </row>
    <row r="123" spans="1:19" x14ac:dyDescent="0.2">
      <c r="A123">
        <v>15</v>
      </c>
      <c r="B123">
        <v>1</v>
      </c>
      <c r="C123" t="s">
        <v>60</v>
      </c>
      <c r="D123">
        <v>2016</v>
      </c>
      <c r="E123">
        <v>60</v>
      </c>
      <c r="F123">
        <v>9</v>
      </c>
      <c r="G123">
        <v>4.0999999999999996</v>
      </c>
      <c r="H123">
        <v>40.700000000000003</v>
      </c>
      <c r="I123" t="s">
        <v>31</v>
      </c>
      <c r="J123" t="s">
        <v>31</v>
      </c>
      <c r="K123" t="s">
        <v>31</v>
      </c>
      <c r="L123" t="s">
        <v>31</v>
      </c>
      <c r="M123" t="s">
        <v>62</v>
      </c>
      <c r="N123" t="s">
        <v>94</v>
      </c>
      <c r="O123">
        <v>50.687779999999997</v>
      </c>
      <c r="P123">
        <v>-121.34083</v>
      </c>
      <c r="Q123" t="s">
        <v>31</v>
      </c>
      <c r="R123">
        <v>0.26579999999999998</v>
      </c>
      <c r="S123" t="s">
        <v>171</v>
      </c>
    </row>
    <row r="124" spans="1:19" x14ac:dyDescent="0.2">
      <c r="A124">
        <v>15</v>
      </c>
      <c r="B124">
        <v>2</v>
      </c>
      <c r="C124" t="s">
        <v>60</v>
      </c>
      <c r="D124">
        <v>2016</v>
      </c>
      <c r="E124">
        <v>20</v>
      </c>
      <c r="F124">
        <v>9</v>
      </c>
      <c r="G124">
        <v>4.0999999999999996</v>
      </c>
      <c r="H124">
        <v>40.700000000000003</v>
      </c>
      <c r="I124" t="s">
        <v>31</v>
      </c>
      <c r="J124" t="s">
        <v>31</v>
      </c>
      <c r="K124" t="s">
        <v>31</v>
      </c>
      <c r="L124" t="s">
        <v>31</v>
      </c>
      <c r="M124" t="s">
        <v>62</v>
      </c>
      <c r="N124" t="s">
        <v>94</v>
      </c>
      <c r="O124">
        <v>50.687779999999997</v>
      </c>
      <c r="P124">
        <v>-121.34083</v>
      </c>
      <c r="Q124" t="s">
        <v>31</v>
      </c>
      <c r="R124">
        <v>0.26579999999999998</v>
      </c>
      <c r="S124" t="s">
        <v>171</v>
      </c>
    </row>
    <row r="125" spans="1:19" x14ac:dyDescent="0.2">
      <c r="A125">
        <v>16</v>
      </c>
      <c r="B125">
        <v>1</v>
      </c>
      <c r="C125" t="s">
        <v>63</v>
      </c>
      <c r="D125">
        <v>2011</v>
      </c>
      <c r="E125">
        <v>48.7</v>
      </c>
      <c r="F125">
        <v>11</v>
      </c>
      <c r="G125">
        <v>8.6999999999999993</v>
      </c>
      <c r="H125">
        <v>53.2</v>
      </c>
      <c r="I125" t="s">
        <v>31</v>
      </c>
      <c r="J125" t="s">
        <v>31</v>
      </c>
      <c r="K125" t="s">
        <v>29</v>
      </c>
      <c r="L125" t="s">
        <v>31</v>
      </c>
      <c r="M125" t="s">
        <v>64</v>
      </c>
      <c r="N125" t="s">
        <v>91</v>
      </c>
      <c r="O125">
        <v>40.52187</v>
      </c>
      <c r="P125">
        <v>-112.14612</v>
      </c>
      <c r="Q125" t="s">
        <v>29</v>
      </c>
      <c r="R125">
        <v>0.3347</v>
      </c>
      <c r="S125" t="s">
        <v>173</v>
      </c>
    </row>
    <row r="126" spans="1:19" x14ac:dyDescent="0.2">
      <c r="A126">
        <v>16</v>
      </c>
      <c r="B126">
        <v>1</v>
      </c>
      <c r="C126" t="s">
        <v>63</v>
      </c>
      <c r="D126">
        <v>2011</v>
      </c>
      <c r="E126">
        <v>34</v>
      </c>
      <c r="F126">
        <v>11</v>
      </c>
      <c r="G126">
        <v>8.6999999999999993</v>
      </c>
      <c r="H126">
        <v>53.2</v>
      </c>
      <c r="I126" t="s">
        <v>31</v>
      </c>
      <c r="J126" t="s">
        <v>31</v>
      </c>
      <c r="K126" t="s">
        <v>29</v>
      </c>
      <c r="L126" t="s">
        <v>31</v>
      </c>
      <c r="M126" t="s">
        <v>64</v>
      </c>
      <c r="N126" t="s">
        <v>91</v>
      </c>
      <c r="O126">
        <v>40.52187</v>
      </c>
      <c r="P126">
        <v>-112.14612</v>
      </c>
      <c r="Q126" t="s">
        <v>29</v>
      </c>
      <c r="R126">
        <v>0.3347</v>
      </c>
      <c r="S126" t="s">
        <v>171</v>
      </c>
    </row>
    <row r="127" spans="1:19" x14ac:dyDescent="0.2">
      <c r="A127">
        <v>16</v>
      </c>
      <c r="B127">
        <v>2</v>
      </c>
      <c r="C127" t="s">
        <v>63</v>
      </c>
      <c r="D127">
        <v>2011</v>
      </c>
      <c r="E127">
        <v>45</v>
      </c>
      <c r="F127">
        <v>11</v>
      </c>
      <c r="G127">
        <v>8.6999999999999993</v>
      </c>
      <c r="H127">
        <v>53.2</v>
      </c>
      <c r="I127" t="s">
        <v>31</v>
      </c>
      <c r="J127" t="s">
        <v>31</v>
      </c>
      <c r="K127" t="s">
        <v>29</v>
      </c>
      <c r="L127" t="s">
        <v>31</v>
      </c>
      <c r="M127" t="s">
        <v>64</v>
      </c>
      <c r="N127" t="s">
        <v>91</v>
      </c>
      <c r="O127">
        <v>40.52187</v>
      </c>
      <c r="P127">
        <v>-112.14612</v>
      </c>
      <c r="Q127" t="s">
        <v>29</v>
      </c>
      <c r="R127">
        <v>0.3347</v>
      </c>
      <c r="S127" t="s">
        <v>171</v>
      </c>
    </row>
    <row r="128" spans="1:19" x14ac:dyDescent="0.2">
      <c r="A128">
        <v>16</v>
      </c>
      <c r="B128">
        <v>3</v>
      </c>
      <c r="C128" t="s">
        <v>63</v>
      </c>
      <c r="D128">
        <v>2011</v>
      </c>
      <c r="E128">
        <v>67</v>
      </c>
      <c r="F128">
        <v>11</v>
      </c>
      <c r="G128">
        <v>8.6999999999999993</v>
      </c>
      <c r="H128">
        <v>53.2</v>
      </c>
      <c r="I128" t="s">
        <v>31</v>
      </c>
      <c r="J128" t="s">
        <v>31</v>
      </c>
      <c r="K128" t="s">
        <v>29</v>
      </c>
      <c r="L128" t="s">
        <v>31</v>
      </c>
      <c r="M128" t="s">
        <v>64</v>
      </c>
      <c r="N128" t="s">
        <v>91</v>
      </c>
      <c r="O128">
        <v>40.52187</v>
      </c>
      <c r="P128">
        <v>-112.14612</v>
      </c>
      <c r="Q128" t="s">
        <v>29</v>
      </c>
      <c r="R128">
        <v>0.3347</v>
      </c>
      <c r="S128" t="s">
        <v>171</v>
      </c>
    </row>
    <row r="129" spans="1:19" x14ac:dyDescent="0.2">
      <c r="A129">
        <v>17</v>
      </c>
      <c r="B129">
        <v>1</v>
      </c>
      <c r="C129" t="s">
        <v>65</v>
      </c>
      <c r="D129">
        <v>2000</v>
      </c>
      <c r="E129">
        <v>10</v>
      </c>
      <c r="F129">
        <v>2</v>
      </c>
      <c r="G129">
        <v>14.9</v>
      </c>
      <c r="H129">
        <v>74.2</v>
      </c>
      <c r="I129" t="s">
        <v>31</v>
      </c>
      <c r="J129" t="s">
        <v>31</v>
      </c>
      <c r="K129" t="s">
        <v>29</v>
      </c>
      <c r="L129" t="s">
        <v>31</v>
      </c>
      <c r="M129" t="s">
        <v>66</v>
      </c>
      <c r="N129" t="s">
        <v>96</v>
      </c>
      <c r="O129">
        <v>39.317166999999998</v>
      </c>
      <c r="P129">
        <v>21.896909999999998</v>
      </c>
      <c r="Q129" t="s">
        <v>29</v>
      </c>
      <c r="R129">
        <v>0.46450000000000002</v>
      </c>
      <c r="S129" t="s">
        <v>172</v>
      </c>
    </row>
    <row r="130" spans="1:19" x14ac:dyDescent="0.2">
      <c r="A130">
        <v>17</v>
      </c>
      <c r="B130">
        <v>2</v>
      </c>
      <c r="C130" t="s">
        <v>65</v>
      </c>
      <c r="D130">
        <v>2000</v>
      </c>
      <c r="E130">
        <v>20</v>
      </c>
      <c r="F130">
        <v>2</v>
      </c>
      <c r="G130">
        <v>14.9</v>
      </c>
      <c r="H130">
        <v>74.2</v>
      </c>
      <c r="I130" t="s">
        <v>31</v>
      </c>
      <c r="J130" t="s">
        <v>31</v>
      </c>
      <c r="K130" t="s">
        <v>29</v>
      </c>
      <c r="L130" t="s">
        <v>31</v>
      </c>
      <c r="M130" t="s">
        <v>66</v>
      </c>
      <c r="N130" t="s">
        <v>96</v>
      </c>
      <c r="O130">
        <v>39.317166999999998</v>
      </c>
      <c r="P130">
        <v>21.896909999999998</v>
      </c>
      <c r="Q130" t="s">
        <v>29</v>
      </c>
      <c r="R130">
        <v>0.46450000000000002</v>
      </c>
      <c r="S130" t="s">
        <v>172</v>
      </c>
    </row>
    <row r="131" spans="1:19" x14ac:dyDescent="0.2">
      <c r="A131">
        <v>17</v>
      </c>
      <c r="B131">
        <v>3</v>
      </c>
      <c r="C131" t="s">
        <v>65</v>
      </c>
      <c r="D131">
        <v>2000</v>
      </c>
      <c r="E131">
        <v>40</v>
      </c>
      <c r="F131">
        <v>2</v>
      </c>
      <c r="G131">
        <v>14.9</v>
      </c>
      <c r="H131">
        <v>74.2</v>
      </c>
      <c r="I131" t="s">
        <v>31</v>
      </c>
      <c r="J131" t="s">
        <v>31</v>
      </c>
      <c r="K131" t="s">
        <v>29</v>
      </c>
      <c r="L131" t="s">
        <v>31</v>
      </c>
      <c r="M131" t="s">
        <v>66</v>
      </c>
      <c r="N131" t="s">
        <v>96</v>
      </c>
      <c r="O131">
        <v>39.317166999999998</v>
      </c>
      <c r="P131">
        <v>21.896909999999998</v>
      </c>
      <c r="Q131" t="s">
        <v>29</v>
      </c>
      <c r="R131">
        <v>0.46450000000000002</v>
      </c>
      <c r="S131" t="s">
        <v>172</v>
      </c>
    </row>
    <row r="132" spans="1:19" x14ac:dyDescent="0.2">
      <c r="A132">
        <v>17</v>
      </c>
      <c r="B132">
        <v>4</v>
      </c>
      <c r="C132" t="s">
        <v>65</v>
      </c>
      <c r="D132">
        <v>2000</v>
      </c>
      <c r="E132">
        <v>60</v>
      </c>
      <c r="F132">
        <v>2</v>
      </c>
      <c r="G132">
        <v>14.9</v>
      </c>
      <c r="H132">
        <v>74.2</v>
      </c>
      <c r="I132" t="s">
        <v>31</v>
      </c>
      <c r="J132" t="s">
        <v>31</v>
      </c>
      <c r="K132" t="s">
        <v>29</v>
      </c>
      <c r="L132" t="s">
        <v>31</v>
      </c>
      <c r="M132" t="s">
        <v>66</v>
      </c>
      <c r="N132" t="s">
        <v>96</v>
      </c>
      <c r="O132">
        <v>39.317166999999998</v>
      </c>
      <c r="P132">
        <v>21.896909999999998</v>
      </c>
      <c r="Q132" t="s">
        <v>29</v>
      </c>
      <c r="R132">
        <v>0.46450000000000002</v>
      </c>
      <c r="S132" t="s">
        <v>172</v>
      </c>
    </row>
    <row r="133" spans="1:19" x14ac:dyDescent="0.2">
      <c r="A133">
        <v>17</v>
      </c>
      <c r="B133">
        <v>5</v>
      </c>
      <c r="C133" t="s">
        <v>65</v>
      </c>
      <c r="D133">
        <v>2000</v>
      </c>
      <c r="E133">
        <v>80</v>
      </c>
      <c r="F133">
        <v>2</v>
      </c>
      <c r="G133">
        <v>14.9</v>
      </c>
      <c r="H133">
        <v>74.2</v>
      </c>
      <c r="I133" t="s">
        <v>31</v>
      </c>
      <c r="J133" t="s">
        <v>31</v>
      </c>
      <c r="K133" t="s">
        <v>29</v>
      </c>
      <c r="L133" t="s">
        <v>31</v>
      </c>
      <c r="M133" t="s">
        <v>66</v>
      </c>
      <c r="N133" t="s">
        <v>96</v>
      </c>
      <c r="O133">
        <v>39.317166999999998</v>
      </c>
      <c r="P133">
        <v>21.896909999999998</v>
      </c>
      <c r="Q133" t="s">
        <v>29</v>
      </c>
      <c r="R133">
        <v>0.46450000000000002</v>
      </c>
      <c r="S133" t="s">
        <v>172</v>
      </c>
    </row>
    <row r="134" spans="1:19" x14ac:dyDescent="0.2">
      <c r="A134">
        <v>17</v>
      </c>
      <c r="B134">
        <v>6</v>
      </c>
      <c r="C134" t="s">
        <v>65</v>
      </c>
      <c r="D134">
        <v>2000</v>
      </c>
      <c r="E134">
        <v>120</v>
      </c>
      <c r="F134">
        <v>2</v>
      </c>
      <c r="G134">
        <v>14.9</v>
      </c>
      <c r="H134">
        <v>74.2</v>
      </c>
      <c r="I134" t="s">
        <v>31</v>
      </c>
      <c r="J134" t="s">
        <v>31</v>
      </c>
      <c r="K134" t="s">
        <v>29</v>
      </c>
      <c r="L134" t="s">
        <v>31</v>
      </c>
      <c r="M134" t="s">
        <v>66</v>
      </c>
      <c r="N134" t="s">
        <v>96</v>
      </c>
      <c r="O134">
        <v>39.317166999999998</v>
      </c>
      <c r="P134">
        <v>21.896909999999998</v>
      </c>
      <c r="Q134" t="s">
        <v>29</v>
      </c>
      <c r="R134">
        <v>0.46450000000000002</v>
      </c>
      <c r="S134" t="s">
        <v>172</v>
      </c>
    </row>
    <row r="135" spans="1:19" x14ac:dyDescent="0.2">
      <c r="A135">
        <v>17</v>
      </c>
      <c r="B135">
        <v>7</v>
      </c>
      <c r="C135" t="s">
        <v>65</v>
      </c>
      <c r="D135">
        <v>2000</v>
      </c>
      <c r="E135">
        <v>10</v>
      </c>
      <c r="F135">
        <v>5</v>
      </c>
      <c r="G135">
        <v>14.9</v>
      </c>
      <c r="H135">
        <v>74.2</v>
      </c>
      <c r="I135" t="s">
        <v>31</v>
      </c>
      <c r="J135" t="s">
        <v>31</v>
      </c>
      <c r="K135" t="s">
        <v>29</v>
      </c>
      <c r="L135" t="s">
        <v>31</v>
      </c>
      <c r="M135" t="s">
        <v>66</v>
      </c>
      <c r="N135" t="s">
        <v>96</v>
      </c>
      <c r="O135">
        <v>39.317166999999998</v>
      </c>
      <c r="P135">
        <v>21.896909999999998</v>
      </c>
      <c r="Q135" t="s">
        <v>29</v>
      </c>
      <c r="R135">
        <v>0.46450000000000002</v>
      </c>
      <c r="S135" t="s">
        <v>172</v>
      </c>
    </row>
    <row r="136" spans="1:19" x14ac:dyDescent="0.2">
      <c r="A136">
        <v>17</v>
      </c>
      <c r="B136">
        <v>8</v>
      </c>
      <c r="C136" t="s">
        <v>65</v>
      </c>
      <c r="D136">
        <v>2000</v>
      </c>
      <c r="E136">
        <v>20</v>
      </c>
      <c r="F136">
        <v>5</v>
      </c>
      <c r="G136">
        <v>14.9</v>
      </c>
      <c r="H136">
        <v>74.2</v>
      </c>
      <c r="I136" t="s">
        <v>31</v>
      </c>
      <c r="J136" t="s">
        <v>31</v>
      </c>
      <c r="K136" t="s">
        <v>29</v>
      </c>
      <c r="L136" t="s">
        <v>31</v>
      </c>
      <c r="M136" t="s">
        <v>66</v>
      </c>
      <c r="N136" t="s">
        <v>96</v>
      </c>
      <c r="O136">
        <v>39.317166999999998</v>
      </c>
      <c r="P136">
        <v>21.896909999999998</v>
      </c>
      <c r="Q136" t="s">
        <v>29</v>
      </c>
      <c r="R136">
        <v>0.46450000000000002</v>
      </c>
      <c r="S136" t="s">
        <v>172</v>
      </c>
    </row>
    <row r="137" spans="1:19" x14ac:dyDescent="0.2">
      <c r="A137">
        <v>17</v>
      </c>
      <c r="B137">
        <v>9</v>
      </c>
      <c r="C137" t="s">
        <v>65</v>
      </c>
      <c r="D137">
        <v>2000</v>
      </c>
      <c r="E137">
        <v>40</v>
      </c>
      <c r="F137">
        <v>5</v>
      </c>
      <c r="G137">
        <v>14.9</v>
      </c>
      <c r="H137">
        <v>74.2</v>
      </c>
      <c r="I137" t="s">
        <v>31</v>
      </c>
      <c r="J137" t="s">
        <v>31</v>
      </c>
      <c r="K137" t="s">
        <v>29</v>
      </c>
      <c r="L137" t="s">
        <v>31</v>
      </c>
      <c r="M137" t="s">
        <v>66</v>
      </c>
      <c r="N137" t="s">
        <v>96</v>
      </c>
      <c r="O137">
        <v>39.317166999999998</v>
      </c>
      <c r="P137">
        <v>21.896909999999998</v>
      </c>
      <c r="Q137" t="s">
        <v>29</v>
      </c>
      <c r="R137">
        <v>0.46450000000000002</v>
      </c>
      <c r="S137" t="s">
        <v>172</v>
      </c>
    </row>
    <row r="138" spans="1:19" x14ac:dyDescent="0.2">
      <c r="A138">
        <v>17</v>
      </c>
      <c r="B138">
        <v>10</v>
      </c>
      <c r="C138" t="s">
        <v>65</v>
      </c>
      <c r="D138">
        <v>2000</v>
      </c>
      <c r="E138">
        <v>60</v>
      </c>
      <c r="F138">
        <v>5</v>
      </c>
      <c r="G138">
        <v>14.9</v>
      </c>
      <c r="H138">
        <v>74.2</v>
      </c>
      <c r="I138" t="s">
        <v>31</v>
      </c>
      <c r="J138" t="s">
        <v>31</v>
      </c>
      <c r="K138" t="s">
        <v>29</v>
      </c>
      <c r="L138" t="s">
        <v>31</v>
      </c>
      <c r="M138" t="s">
        <v>66</v>
      </c>
      <c r="N138" t="s">
        <v>96</v>
      </c>
      <c r="O138">
        <v>39.317166999999998</v>
      </c>
      <c r="P138">
        <v>21.896909999999998</v>
      </c>
      <c r="Q138" t="s">
        <v>29</v>
      </c>
      <c r="R138">
        <v>0.46450000000000002</v>
      </c>
      <c r="S138" t="s">
        <v>172</v>
      </c>
    </row>
    <row r="139" spans="1:19" x14ac:dyDescent="0.2">
      <c r="A139">
        <v>17</v>
      </c>
      <c r="B139">
        <v>11</v>
      </c>
      <c r="C139" t="s">
        <v>65</v>
      </c>
      <c r="D139">
        <v>2000</v>
      </c>
      <c r="E139">
        <v>80</v>
      </c>
      <c r="F139">
        <v>5</v>
      </c>
      <c r="G139">
        <v>14.9</v>
      </c>
      <c r="H139">
        <v>74.2</v>
      </c>
      <c r="I139" t="s">
        <v>31</v>
      </c>
      <c r="J139" t="s">
        <v>31</v>
      </c>
      <c r="K139" t="s">
        <v>29</v>
      </c>
      <c r="L139" t="s">
        <v>31</v>
      </c>
      <c r="M139" t="s">
        <v>66</v>
      </c>
      <c r="N139" t="s">
        <v>96</v>
      </c>
      <c r="O139">
        <v>39.317166999999998</v>
      </c>
      <c r="P139">
        <v>21.896909999999998</v>
      </c>
      <c r="Q139" t="s">
        <v>29</v>
      </c>
      <c r="R139">
        <v>0.46450000000000002</v>
      </c>
      <c r="S139" t="s">
        <v>172</v>
      </c>
    </row>
    <row r="140" spans="1:19" x14ac:dyDescent="0.2">
      <c r="A140">
        <v>17</v>
      </c>
      <c r="B140">
        <v>12</v>
      </c>
      <c r="C140" t="s">
        <v>65</v>
      </c>
      <c r="D140">
        <v>2000</v>
      </c>
      <c r="E140">
        <v>120</v>
      </c>
      <c r="F140">
        <v>5</v>
      </c>
      <c r="G140">
        <v>14.9</v>
      </c>
      <c r="H140">
        <v>74.2</v>
      </c>
      <c r="I140" t="s">
        <v>31</v>
      </c>
      <c r="J140" t="s">
        <v>31</v>
      </c>
      <c r="K140" t="s">
        <v>29</v>
      </c>
      <c r="L140" t="s">
        <v>31</v>
      </c>
      <c r="M140" t="s">
        <v>66</v>
      </c>
      <c r="N140" t="s">
        <v>96</v>
      </c>
      <c r="O140">
        <v>39.317166999999998</v>
      </c>
      <c r="P140">
        <v>21.896909999999998</v>
      </c>
      <c r="Q140" t="s">
        <v>29</v>
      </c>
      <c r="R140">
        <v>0.46450000000000002</v>
      </c>
      <c r="S140" t="s">
        <v>172</v>
      </c>
    </row>
    <row r="141" spans="1:19" x14ac:dyDescent="0.2">
      <c r="A141">
        <v>17</v>
      </c>
      <c r="B141">
        <v>1</v>
      </c>
      <c r="C141" t="s">
        <v>65</v>
      </c>
      <c r="D141">
        <v>2000</v>
      </c>
      <c r="E141">
        <v>10</v>
      </c>
      <c r="F141">
        <v>2</v>
      </c>
      <c r="G141">
        <v>14.9</v>
      </c>
      <c r="H141">
        <v>74.2</v>
      </c>
      <c r="I141" t="s">
        <v>35</v>
      </c>
      <c r="J141" t="s">
        <v>31</v>
      </c>
      <c r="K141" t="s">
        <v>29</v>
      </c>
      <c r="L141" t="s">
        <v>31</v>
      </c>
      <c r="M141" t="s">
        <v>66</v>
      </c>
      <c r="N141" t="s">
        <v>96</v>
      </c>
      <c r="O141">
        <v>39.317166999999998</v>
      </c>
      <c r="P141">
        <v>21.896909999999998</v>
      </c>
      <c r="Q141" t="s">
        <v>29</v>
      </c>
      <c r="R141">
        <v>0.46450000000000002</v>
      </c>
      <c r="S141" t="s">
        <v>171</v>
      </c>
    </row>
    <row r="142" spans="1:19" x14ac:dyDescent="0.2">
      <c r="A142">
        <v>17</v>
      </c>
      <c r="B142">
        <v>2</v>
      </c>
      <c r="C142" t="s">
        <v>65</v>
      </c>
      <c r="D142">
        <v>2000</v>
      </c>
      <c r="E142">
        <v>20</v>
      </c>
      <c r="F142">
        <v>2</v>
      </c>
      <c r="G142">
        <v>14.9</v>
      </c>
      <c r="H142">
        <v>74.2</v>
      </c>
      <c r="I142" t="s">
        <v>35</v>
      </c>
      <c r="J142" t="s">
        <v>31</v>
      </c>
      <c r="K142" t="s">
        <v>29</v>
      </c>
      <c r="L142" t="s">
        <v>31</v>
      </c>
      <c r="M142" t="s">
        <v>66</v>
      </c>
      <c r="N142" t="s">
        <v>96</v>
      </c>
      <c r="O142">
        <v>39.317166999999998</v>
      </c>
      <c r="P142">
        <v>21.896909999999998</v>
      </c>
      <c r="Q142" t="s">
        <v>29</v>
      </c>
      <c r="R142">
        <v>0.46450000000000002</v>
      </c>
      <c r="S142" t="s">
        <v>171</v>
      </c>
    </row>
    <row r="143" spans="1:19" x14ac:dyDescent="0.2">
      <c r="A143">
        <v>17</v>
      </c>
      <c r="B143">
        <v>3</v>
      </c>
      <c r="C143" t="s">
        <v>65</v>
      </c>
      <c r="D143">
        <v>2000</v>
      </c>
      <c r="E143">
        <v>40</v>
      </c>
      <c r="F143">
        <v>2</v>
      </c>
      <c r="G143">
        <v>14.9</v>
      </c>
      <c r="H143">
        <v>74.2</v>
      </c>
      <c r="I143" t="s">
        <v>35</v>
      </c>
      <c r="J143" t="s">
        <v>31</v>
      </c>
      <c r="K143" t="s">
        <v>29</v>
      </c>
      <c r="L143" t="s">
        <v>31</v>
      </c>
      <c r="M143" t="s">
        <v>66</v>
      </c>
      <c r="N143" t="s">
        <v>96</v>
      </c>
      <c r="O143">
        <v>39.317166999999998</v>
      </c>
      <c r="P143">
        <v>21.896909999999998</v>
      </c>
      <c r="Q143" t="s">
        <v>29</v>
      </c>
      <c r="R143">
        <v>0.46450000000000002</v>
      </c>
      <c r="S143" t="s">
        <v>171</v>
      </c>
    </row>
    <row r="144" spans="1:19" x14ac:dyDescent="0.2">
      <c r="A144">
        <v>17</v>
      </c>
      <c r="B144">
        <v>4</v>
      </c>
      <c r="C144" t="s">
        <v>65</v>
      </c>
      <c r="D144">
        <v>2000</v>
      </c>
      <c r="E144">
        <v>60</v>
      </c>
      <c r="F144">
        <v>2</v>
      </c>
      <c r="G144">
        <v>14.9</v>
      </c>
      <c r="H144">
        <v>74.2</v>
      </c>
      <c r="I144" t="s">
        <v>35</v>
      </c>
      <c r="J144" t="s">
        <v>31</v>
      </c>
      <c r="K144" t="s">
        <v>29</v>
      </c>
      <c r="L144" t="s">
        <v>31</v>
      </c>
      <c r="M144" t="s">
        <v>66</v>
      </c>
      <c r="N144" t="s">
        <v>96</v>
      </c>
      <c r="O144">
        <v>39.317166999999998</v>
      </c>
      <c r="P144">
        <v>21.896909999999998</v>
      </c>
      <c r="Q144" t="s">
        <v>29</v>
      </c>
      <c r="R144">
        <v>0.46450000000000002</v>
      </c>
      <c r="S144" t="s">
        <v>171</v>
      </c>
    </row>
    <row r="145" spans="1:19" x14ac:dyDescent="0.2">
      <c r="A145">
        <v>17</v>
      </c>
      <c r="B145">
        <v>5</v>
      </c>
      <c r="C145" t="s">
        <v>65</v>
      </c>
      <c r="D145">
        <v>2000</v>
      </c>
      <c r="E145">
        <v>80</v>
      </c>
      <c r="F145">
        <v>2</v>
      </c>
      <c r="G145">
        <v>14.9</v>
      </c>
      <c r="H145">
        <v>74.2</v>
      </c>
      <c r="I145" t="s">
        <v>35</v>
      </c>
      <c r="J145" t="s">
        <v>31</v>
      </c>
      <c r="K145" t="s">
        <v>29</v>
      </c>
      <c r="L145" t="s">
        <v>31</v>
      </c>
      <c r="M145" t="s">
        <v>66</v>
      </c>
      <c r="N145" t="s">
        <v>96</v>
      </c>
      <c r="O145">
        <v>39.317166999999998</v>
      </c>
      <c r="P145">
        <v>21.896909999999998</v>
      </c>
      <c r="Q145" t="s">
        <v>29</v>
      </c>
      <c r="R145">
        <v>0.46450000000000002</v>
      </c>
      <c r="S145" t="s">
        <v>171</v>
      </c>
    </row>
    <row r="146" spans="1:19" x14ac:dyDescent="0.2">
      <c r="A146">
        <v>17</v>
      </c>
      <c r="B146">
        <v>6</v>
      </c>
      <c r="C146" t="s">
        <v>65</v>
      </c>
      <c r="D146">
        <v>2000</v>
      </c>
      <c r="E146">
        <v>120</v>
      </c>
      <c r="F146">
        <v>2</v>
      </c>
      <c r="G146">
        <v>14.9</v>
      </c>
      <c r="H146">
        <v>74.2</v>
      </c>
      <c r="I146" t="s">
        <v>35</v>
      </c>
      <c r="J146" t="s">
        <v>31</v>
      </c>
      <c r="K146" t="s">
        <v>29</v>
      </c>
      <c r="L146" t="s">
        <v>31</v>
      </c>
      <c r="M146" t="s">
        <v>66</v>
      </c>
      <c r="N146" t="s">
        <v>96</v>
      </c>
      <c r="O146">
        <v>39.317166999999998</v>
      </c>
      <c r="P146">
        <v>21.896909999999998</v>
      </c>
      <c r="Q146" t="s">
        <v>29</v>
      </c>
      <c r="R146">
        <v>0.46450000000000002</v>
      </c>
      <c r="S146" t="s">
        <v>171</v>
      </c>
    </row>
    <row r="147" spans="1:19" x14ac:dyDescent="0.2">
      <c r="A147">
        <v>17</v>
      </c>
      <c r="B147">
        <v>7</v>
      </c>
      <c r="C147" t="s">
        <v>65</v>
      </c>
      <c r="D147">
        <v>2000</v>
      </c>
      <c r="E147">
        <v>10</v>
      </c>
      <c r="F147">
        <v>5</v>
      </c>
      <c r="G147">
        <v>14.9</v>
      </c>
      <c r="H147">
        <v>74.2</v>
      </c>
      <c r="I147" t="s">
        <v>35</v>
      </c>
      <c r="J147" t="s">
        <v>31</v>
      </c>
      <c r="K147" t="s">
        <v>29</v>
      </c>
      <c r="L147" t="s">
        <v>31</v>
      </c>
      <c r="M147" t="s">
        <v>66</v>
      </c>
      <c r="N147" t="s">
        <v>96</v>
      </c>
      <c r="O147">
        <v>39.317166999999998</v>
      </c>
      <c r="P147">
        <v>21.896909999999998</v>
      </c>
      <c r="Q147" t="s">
        <v>29</v>
      </c>
      <c r="R147">
        <v>0.46450000000000002</v>
      </c>
      <c r="S147" t="s">
        <v>171</v>
      </c>
    </row>
    <row r="148" spans="1:19" x14ac:dyDescent="0.2">
      <c r="A148">
        <v>17</v>
      </c>
      <c r="B148">
        <v>8</v>
      </c>
      <c r="C148" t="s">
        <v>65</v>
      </c>
      <c r="D148">
        <v>2000</v>
      </c>
      <c r="E148">
        <v>20</v>
      </c>
      <c r="F148">
        <v>5</v>
      </c>
      <c r="G148">
        <v>14.9</v>
      </c>
      <c r="H148">
        <v>74.2</v>
      </c>
      <c r="I148" t="s">
        <v>35</v>
      </c>
      <c r="J148" t="s">
        <v>31</v>
      </c>
      <c r="K148" t="s">
        <v>29</v>
      </c>
      <c r="L148" t="s">
        <v>31</v>
      </c>
      <c r="M148" t="s">
        <v>66</v>
      </c>
      <c r="N148" t="s">
        <v>96</v>
      </c>
      <c r="O148">
        <v>39.317166999999998</v>
      </c>
      <c r="P148">
        <v>21.896909999999998</v>
      </c>
      <c r="Q148" t="s">
        <v>29</v>
      </c>
      <c r="R148">
        <v>0.46450000000000002</v>
      </c>
      <c r="S148" t="s">
        <v>171</v>
      </c>
    </row>
    <row r="149" spans="1:19" x14ac:dyDescent="0.2">
      <c r="A149">
        <v>17</v>
      </c>
      <c r="B149">
        <v>9</v>
      </c>
      <c r="C149" t="s">
        <v>65</v>
      </c>
      <c r="D149">
        <v>2000</v>
      </c>
      <c r="E149">
        <v>40</v>
      </c>
      <c r="F149">
        <v>5</v>
      </c>
      <c r="G149">
        <v>14.9</v>
      </c>
      <c r="H149">
        <v>74.2</v>
      </c>
      <c r="I149" t="s">
        <v>35</v>
      </c>
      <c r="J149" t="s">
        <v>31</v>
      </c>
      <c r="K149" t="s">
        <v>29</v>
      </c>
      <c r="L149" t="s">
        <v>31</v>
      </c>
      <c r="M149" t="s">
        <v>66</v>
      </c>
      <c r="N149" t="s">
        <v>96</v>
      </c>
      <c r="O149">
        <v>39.317166999999998</v>
      </c>
      <c r="P149">
        <v>21.896909999999998</v>
      </c>
      <c r="Q149" t="s">
        <v>29</v>
      </c>
      <c r="R149">
        <v>0.46450000000000002</v>
      </c>
      <c r="S149" t="s">
        <v>171</v>
      </c>
    </row>
    <row r="150" spans="1:19" x14ac:dyDescent="0.2">
      <c r="A150">
        <v>17</v>
      </c>
      <c r="B150">
        <v>10</v>
      </c>
      <c r="C150" t="s">
        <v>65</v>
      </c>
      <c r="D150">
        <v>2000</v>
      </c>
      <c r="E150">
        <v>60</v>
      </c>
      <c r="F150">
        <v>5</v>
      </c>
      <c r="G150">
        <v>14.9</v>
      </c>
      <c r="H150">
        <v>74.2</v>
      </c>
      <c r="I150" t="s">
        <v>35</v>
      </c>
      <c r="J150" t="s">
        <v>31</v>
      </c>
      <c r="K150" t="s">
        <v>29</v>
      </c>
      <c r="L150" t="s">
        <v>31</v>
      </c>
      <c r="M150" t="s">
        <v>66</v>
      </c>
      <c r="N150" t="s">
        <v>96</v>
      </c>
      <c r="O150">
        <v>39.317166999999998</v>
      </c>
      <c r="P150">
        <v>21.896909999999998</v>
      </c>
      <c r="Q150" t="s">
        <v>29</v>
      </c>
      <c r="R150">
        <v>0.46450000000000002</v>
      </c>
      <c r="S150" t="s">
        <v>171</v>
      </c>
    </row>
    <row r="151" spans="1:19" x14ac:dyDescent="0.2">
      <c r="A151">
        <v>17</v>
      </c>
      <c r="B151">
        <v>11</v>
      </c>
      <c r="C151" t="s">
        <v>65</v>
      </c>
      <c r="D151">
        <v>2000</v>
      </c>
      <c r="E151">
        <v>80</v>
      </c>
      <c r="F151">
        <v>5</v>
      </c>
      <c r="G151">
        <v>14.9</v>
      </c>
      <c r="H151">
        <v>74.2</v>
      </c>
      <c r="I151" t="s">
        <v>35</v>
      </c>
      <c r="J151" t="s">
        <v>31</v>
      </c>
      <c r="K151" t="s">
        <v>29</v>
      </c>
      <c r="L151" t="s">
        <v>31</v>
      </c>
      <c r="M151" t="s">
        <v>66</v>
      </c>
      <c r="N151" t="s">
        <v>96</v>
      </c>
      <c r="O151">
        <v>39.317166999999998</v>
      </c>
      <c r="P151">
        <v>21.896909999999998</v>
      </c>
      <c r="Q151" t="s">
        <v>29</v>
      </c>
      <c r="R151">
        <v>0.46450000000000002</v>
      </c>
      <c r="S151" t="s">
        <v>171</v>
      </c>
    </row>
    <row r="152" spans="1:19" x14ac:dyDescent="0.2">
      <c r="A152">
        <v>17</v>
      </c>
      <c r="B152">
        <v>12</v>
      </c>
      <c r="C152" t="s">
        <v>65</v>
      </c>
      <c r="D152">
        <v>2000</v>
      </c>
      <c r="E152">
        <v>120</v>
      </c>
      <c r="F152">
        <v>5</v>
      </c>
      <c r="G152">
        <v>14.9</v>
      </c>
      <c r="H152">
        <v>74.2</v>
      </c>
      <c r="I152" t="s">
        <v>35</v>
      </c>
      <c r="J152" t="s">
        <v>31</v>
      </c>
      <c r="K152" t="s">
        <v>29</v>
      </c>
      <c r="L152" t="s">
        <v>31</v>
      </c>
      <c r="M152" t="s">
        <v>66</v>
      </c>
      <c r="N152" t="s">
        <v>96</v>
      </c>
      <c r="O152">
        <v>39.317166999999998</v>
      </c>
      <c r="P152">
        <v>21.896909999999998</v>
      </c>
      <c r="Q152" t="s">
        <v>29</v>
      </c>
      <c r="R152">
        <v>0.46450000000000002</v>
      </c>
      <c r="S152" t="s">
        <v>171</v>
      </c>
    </row>
    <row r="153" spans="1:19" x14ac:dyDescent="0.2">
      <c r="A153">
        <v>18</v>
      </c>
      <c r="B153">
        <v>1</v>
      </c>
      <c r="C153" t="s">
        <v>67</v>
      </c>
      <c r="D153">
        <v>1997</v>
      </c>
      <c r="E153">
        <v>6.5</v>
      </c>
      <c r="F153">
        <v>2</v>
      </c>
      <c r="G153">
        <v>16.100000000000001</v>
      </c>
      <c r="H153">
        <v>37.4</v>
      </c>
      <c r="I153" t="s">
        <v>31</v>
      </c>
      <c r="J153" t="s">
        <v>31</v>
      </c>
      <c r="K153" t="s">
        <v>31</v>
      </c>
      <c r="L153" t="s">
        <v>31</v>
      </c>
      <c r="M153" t="s">
        <v>68</v>
      </c>
      <c r="N153" t="s">
        <v>93</v>
      </c>
      <c r="O153">
        <v>38.206281699999998</v>
      </c>
      <c r="P153">
        <v>-1.0434985000000001</v>
      </c>
      <c r="Q153" t="s">
        <v>31</v>
      </c>
      <c r="R153">
        <v>0.18459999999999999</v>
      </c>
      <c r="S153" t="s">
        <v>173</v>
      </c>
    </row>
    <row r="154" spans="1:19" x14ac:dyDescent="0.2">
      <c r="A154">
        <v>18</v>
      </c>
      <c r="B154">
        <v>2</v>
      </c>
      <c r="C154" t="s">
        <v>67</v>
      </c>
      <c r="D154">
        <v>1997</v>
      </c>
      <c r="E154">
        <v>13</v>
      </c>
      <c r="F154">
        <v>2</v>
      </c>
      <c r="G154">
        <v>16.100000000000001</v>
      </c>
      <c r="H154">
        <v>37.4</v>
      </c>
      <c r="I154" t="s">
        <v>31</v>
      </c>
      <c r="J154" t="s">
        <v>31</v>
      </c>
      <c r="K154" t="s">
        <v>31</v>
      </c>
      <c r="L154" t="s">
        <v>31</v>
      </c>
      <c r="M154" t="s">
        <v>68</v>
      </c>
      <c r="N154" t="s">
        <v>93</v>
      </c>
      <c r="O154">
        <v>38.206281699999998</v>
      </c>
      <c r="P154">
        <v>-1.0434985000000001</v>
      </c>
      <c r="Q154" t="s">
        <v>31</v>
      </c>
      <c r="R154">
        <v>0.18459999999999999</v>
      </c>
      <c r="S154" t="s">
        <v>173</v>
      </c>
    </row>
    <row r="155" spans="1:19" x14ac:dyDescent="0.2">
      <c r="A155">
        <v>18</v>
      </c>
      <c r="B155">
        <v>3</v>
      </c>
      <c r="C155" t="s">
        <v>67</v>
      </c>
      <c r="D155">
        <v>1997</v>
      </c>
      <c r="E155">
        <v>19.5</v>
      </c>
      <c r="F155">
        <v>2</v>
      </c>
      <c r="G155">
        <v>16.100000000000001</v>
      </c>
      <c r="H155">
        <v>37.4</v>
      </c>
      <c r="I155" t="s">
        <v>31</v>
      </c>
      <c r="J155" t="s">
        <v>31</v>
      </c>
      <c r="K155" t="s">
        <v>31</v>
      </c>
      <c r="L155" t="s">
        <v>31</v>
      </c>
      <c r="M155" t="s">
        <v>68</v>
      </c>
      <c r="N155" t="s">
        <v>93</v>
      </c>
      <c r="O155">
        <v>38.206281699999998</v>
      </c>
      <c r="P155">
        <v>-1.0434985000000001</v>
      </c>
      <c r="Q155" t="s">
        <v>31</v>
      </c>
      <c r="R155">
        <v>0.18459999999999999</v>
      </c>
      <c r="S155" t="s">
        <v>173</v>
      </c>
    </row>
    <row r="156" spans="1:19" x14ac:dyDescent="0.2">
      <c r="A156">
        <v>18</v>
      </c>
      <c r="B156">
        <v>4</v>
      </c>
      <c r="C156" t="s">
        <v>67</v>
      </c>
      <c r="D156">
        <v>1997</v>
      </c>
      <c r="E156">
        <v>26</v>
      </c>
      <c r="F156">
        <v>2</v>
      </c>
      <c r="G156">
        <v>16.100000000000001</v>
      </c>
      <c r="H156">
        <v>37.4</v>
      </c>
      <c r="I156" t="s">
        <v>31</v>
      </c>
      <c r="J156" t="s">
        <v>31</v>
      </c>
      <c r="K156" t="s">
        <v>31</v>
      </c>
      <c r="L156" t="s">
        <v>31</v>
      </c>
      <c r="M156" t="s">
        <v>68</v>
      </c>
      <c r="N156" t="s">
        <v>93</v>
      </c>
      <c r="O156">
        <v>38.206281699999998</v>
      </c>
      <c r="P156">
        <v>-1.0434985000000001</v>
      </c>
      <c r="Q156" t="s">
        <v>31</v>
      </c>
      <c r="R156">
        <v>0.18459999999999999</v>
      </c>
      <c r="S156" t="s">
        <v>173</v>
      </c>
    </row>
    <row r="157" spans="1:19" x14ac:dyDescent="0.2">
      <c r="A157">
        <v>18</v>
      </c>
      <c r="B157">
        <v>5</v>
      </c>
      <c r="C157" t="s">
        <v>67</v>
      </c>
      <c r="D157">
        <v>1997</v>
      </c>
      <c r="E157">
        <v>6.5</v>
      </c>
      <c r="F157">
        <v>3</v>
      </c>
      <c r="G157">
        <v>16.100000000000001</v>
      </c>
      <c r="H157">
        <v>37.4</v>
      </c>
      <c r="I157" t="s">
        <v>31</v>
      </c>
      <c r="J157" t="s">
        <v>31</v>
      </c>
      <c r="K157" t="s">
        <v>31</v>
      </c>
      <c r="L157" t="s">
        <v>31</v>
      </c>
      <c r="M157" t="s">
        <v>68</v>
      </c>
      <c r="N157" t="s">
        <v>93</v>
      </c>
      <c r="O157">
        <v>38.206281699999998</v>
      </c>
      <c r="P157">
        <v>-1.0434985000000001</v>
      </c>
      <c r="Q157" t="s">
        <v>31</v>
      </c>
      <c r="R157">
        <v>0.18459999999999999</v>
      </c>
      <c r="S157" t="s">
        <v>173</v>
      </c>
    </row>
    <row r="158" spans="1:19" x14ac:dyDescent="0.2">
      <c r="A158">
        <v>18</v>
      </c>
      <c r="B158">
        <v>6</v>
      </c>
      <c r="C158" t="s">
        <v>67</v>
      </c>
      <c r="D158">
        <v>1997</v>
      </c>
      <c r="E158">
        <v>13</v>
      </c>
      <c r="F158">
        <v>3</v>
      </c>
      <c r="G158">
        <v>16.100000000000001</v>
      </c>
      <c r="H158">
        <v>37.4</v>
      </c>
      <c r="I158" t="s">
        <v>31</v>
      </c>
      <c r="J158" t="s">
        <v>31</v>
      </c>
      <c r="K158" t="s">
        <v>31</v>
      </c>
      <c r="L158" t="s">
        <v>31</v>
      </c>
      <c r="M158" t="s">
        <v>68</v>
      </c>
      <c r="N158" t="s">
        <v>93</v>
      </c>
      <c r="O158">
        <v>38.206281699999998</v>
      </c>
      <c r="P158">
        <v>-1.0434985000000001</v>
      </c>
      <c r="Q158" t="s">
        <v>31</v>
      </c>
      <c r="R158">
        <v>0.18459999999999999</v>
      </c>
      <c r="S158" t="s">
        <v>173</v>
      </c>
    </row>
    <row r="159" spans="1:19" x14ac:dyDescent="0.2">
      <c r="A159">
        <v>18</v>
      </c>
      <c r="B159">
        <v>7</v>
      </c>
      <c r="C159" t="s">
        <v>67</v>
      </c>
      <c r="D159">
        <v>1997</v>
      </c>
      <c r="E159">
        <v>19.5</v>
      </c>
      <c r="F159">
        <v>3</v>
      </c>
      <c r="G159">
        <v>16.100000000000001</v>
      </c>
      <c r="H159">
        <v>37.4</v>
      </c>
      <c r="I159" t="s">
        <v>31</v>
      </c>
      <c r="J159" t="s">
        <v>31</v>
      </c>
      <c r="K159" t="s">
        <v>31</v>
      </c>
      <c r="L159" t="s">
        <v>31</v>
      </c>
      <c r="M159" t="s">
        <v>68</v>
      </c>
      <c r="N159" t="s">
        <v>93</v>
      </c>
      <c r="O159">
        <v>38.206281699999998</v>
      </c>
      <c r="P159">
        <v>-1.0434985000000001</v>
      </c>
      <c r="Q159" t="s">
        <v>31</v>
      </c>
      <c r="R159">
        <v>0.18459999999999999</v>
      </c>
      <c r="S159" t="s">
        <v>173</v>
      </c>
    </row>
    <row r="160" spans="1:19" x14ac:dyDescent="0.2">
      <c r="A160">
        <v>18</v>
      </c>
      <c r="B160">
        <v>8</v>
      </c>
      <c r="C160" t="s">
        <v>67</v>
      </c>
      <c r="D160">
        <v>1997</v>
      </c>
      <c r="E160">
        <v>26</v>
      </c>
      <c r="F160">
        <v>3</v>
      </c>
      <c r="G160">
        <v>16.100000000000001</v>
      </c>
      <c r="H160">
        <v>37.4</v>
      </c>
      <c r="I160" t="s">
        <v>31</v>
      </c>
      <c r="J160" t="s">
        <v>31</v>
      </c>
      <c r="K160" t="s">
        <v>31</v>
      </c>
      <c r="L160" t="s">
        <v>31</v>
      </c>
      <c r="M160" t="s">
        <v>68</v>
      </c>
      <c r="N160" t="s">
        <v>93</v>
      </c>
      <c r="O160">
        <v>38.206281699999998</v>
      </c>
      <c r="P160">
        <v>-1.0434985000000001</v>
      </c>
      <c r="Q160" t="s">
        <v>31</v>
      </c>
      <c r="R160">
        <v>0.18459999999999999</v>
      </c>
      <c r="S160" t="s">
        <v>173</v>
      </c>
    </row>
    <row r="161" spans="1:19" x14ac:dyDescent="0.2">
      <c r="A161">
        <v>18</v>
      </c>
      <c r="B161">
        <v>9</v>
      </c>
      <c r="C161" t="s">
        <v>67</v>
      </c>
      <c r="D161">
        <v>1997</v>
      </c>
      <c r="E161">
        <v>6.5</v>
      </c>
      <c r="F161">
        <v>4</v>
      </c>
      <c r="G161">
        <v>16.100000000000001</v>
      </c>
      <c r="H161">
        <v>37.4</v>
      </c>
      <c r="I161" t="s">
        <v>31</v>
      </c>
      <c r="J161" t="s">
        <v>31</v>
      </c>
      <c r="K161" t="s">
        <v>31</v>
      </c>
      <c r="L161" t="s">
        <v>31</v>
      </c>
      <c r="M161" t="s">
        <v>68</v>
      </c>
      <c r="N161" t="s">
        <v>93</v>
      </c>
      <c r="O161">
        <v>38.206281699999998</v>
      </c>
      <c r="P161">
        <v>-1.0434985000000001</v>
      </c>
      <c r="Q161" t="s">
        <v>31</v>
      </c>
      <c r="R161">
        <v>0.18459999999999999</v>
      </c>
      <c r="S161" t="s">
        <v>173</v>
      </c>
    </row>
    <row r="162" spans="1:19" x14ac:dyDescent="0.2">
      <c r="A162">
        <v>18</v>
      </c>
      <c r="B162">
        <v>10</v>
      </c>
      <c r="C162" t="s">
        <v>67</v>
      </c>
      <c r="D162">
        <v>1997</v>
      </c>
      <c r="E162">
        <v>13</v>
      </c>
      <c r="F162">
        <v>4</v>
      </c>
      <c r="G162">
        <v>16.100000000000001</v>
      </c>
      <c r="H162">
        <v>37.4</v>
      </c>
      <c r="I162" t="s">
        <v>31</v>
      </c>
      <c r="J162" t="s">
        <v>31</v>
      </c>
      <c r="K162" t="s">
        <v>31</v>
      </c>
      <c r="L162" t="s">
        <v>31</v>
      </c>
      <c r="M162" t="s">
        <v>68</v>
      </c>
      <c r="N162" t="s">
        <v>93</v>
      </c>
      <c r="O162">
        <v>38.206281699999998</v>
      </c>
      <c r="P162">
        <v>-1.0434985000000001</v>
      </c>
      <c r="Q162" t="s">
        <v>31</v>
      </c>
      <c r="R162">
        <v>0.18459999999999999</v>
      </c>
      <c r="S162" t="s">
        <v>173</v>
      </c>
    </row>
    <row r="163" spans="1:19" x14ac:dyDescent="0.2">
      <c r="A163">
        <v>18</v>
      </c>
      <c r="B163">
        <v>11</v>
      </c>
      <c r="C163" t="s">
        <v>67</v>
      </c>
      <c r="D163">
        <v>1997</v>
      </c>
      <c r="E163">
        <v>19.5</v>
      </c>
      <c r="F163">
        <v>4</v>
      </c>
      <c r="G163">
        <v>16.100000000000001</v>
      </c>
      <c r="H163">
        <v>37.4</v>
      </c>
      <c r="I163" t="s">
        <v>31</v>
      </c>
      <c r="J163" t="s">
        <v>31</v>
      </c>
      <c r="K163" t="s">
        <v>31</v>
      </c>
      <c r="L163" t="s">
        <v>31</v>
      </c>
      <c r="M163" t="s">
        <v>68</v>
      </c>
      <c r="N163" t="s">
        <v>93</v>
      </c>
      <c r="O163">
        <v>38.206281699999998</v>
      </c>
      <c r="P163">
        <v>-1.0434985000000001</v>
      </c>
      <c r="Q163" t="s">
        <v>31</v>
      </c>
      <c r="R163">
        <v>0.18459999999999999</v>
      </c>
      <c r="S163" t="s">
        <v>173</v>
      </c>
    </row>
    <row r="164" spans="1:19" x14ac:dyDescent="0.2">
      <c r="A164">
        <v>18</v>
      </c>
      <c r="B164">
        <v>12</v>
      </c>
      <c r="C164" t="s">
        <v>67</v>
      </c>
      <c r="D164">
        <v>1997</v>
      </c>
      <c r="E164">
        <v>26</v>
      </c>
      <c r="F164">
        <v>4</v>
      </c>
      <c r="G164">
        <v>16.100000000000001</v>
      </c>
      <c r="H164">
        <v>37.4</v>
      </c>
      <c r="I164" t="s">
        <v>31</v>
      </c>
      <c r="J164" t="s">
        <v>31</v>
      </c>
      <c r="K164" t="s">
        <v>31</v>
      </c>
      <c r="L164" t="s">
        <v>31</v>
      </c>
      <c r="M164" t="s">
        <v>68</v>
      </c>
      <c r="N164" t="s">
        <v>93</v>
      </c>
      <c r="O164">
        <v>38.206281699999998</v>
      </c>
      <c r="P164">
        <v>-1.0434985000000001</v>
      </c>
      <c r="Q164" t="s">
        <v>31</v>
      </c>
      <c r="R164">
        <v>0.18459999999999999</v>
      </c>
      <c r="S164" t="s">
        <v>173</v>
      </c>
    </row>
    <row r="165" spans="1:19" x14ac:dyDescent="0.2">
      <c r="A165">
        <v>18</v>
      </c>
      <c r="B165">
        <v>13</v>
      </c>
      <c r="C165" t="s">
        <v>67</v>
      </c>
      <c r="D165">
        <v>1997</v>
      </c>
      <c r="E165">
        <v>6.5</v>
      </c>
      <c r="F165">
        <v>5</v>
      </c>
      <c r="G165">
        <v>16.100000000000001</v>
      </c>
      <c r="H165">
        <v>37.4</v>
      </c>
      <c r="I165" t="s">
        <v>31</v>
      </c>
      <c r="J165" t="s">
        <v>31</v>
      </c>
      <c r="K165" t="s">
        <v>31</v>
      </c>
      <c r="L165" t="s">
        <v>31</v>
      </c>
      <c r="M165" t="s">
        <v>68</v>
      </c>
      <c r="N165" t="s">
        <v>93</v>
      </c>
      <c r="O165">
        <v>38.206281699999998</v>
      </c>
      <c r="P165">
        <v>-1.0434985000000001</v>
      </c>
      <c r="Q165" t="s">
        <v>31</v>
      </c>
      <c r="R165">
        <v>0.18459999999999999</v>
      </c>
      <c r="S165" t="s">
        <v>173</v>
      </c>
    </row>
    <row r="166" spans="1:19" x14ac:dyDescent="0.2">
      <c r="A166">
        <v>18</v>
      </c>
      <c r="B166">
        <v>14</v>
      </c>
      <c r="C166" t="s">
        <v>67</v>
      </c>
      <c r="D166">
        <v>1997</v>
      </c>
      <c r="E166">
        <v>13</v>
      </c>
      <c r="F166">
        <v>5</v>
      </c>
      <c r="G166">
        <v>16.100000000000001</v>
      </c>
      <c r="H166">
        <v>37.4</v>
      </c>
      <c r="I166" t="s">
        <v>31</v>
      </c>
      <c r="J166" t="s">
        <v>31</v>
      </c>
      <c r="K166" t="s">
        <v>31</v>
      </c>
      <c r="L166" t="s">
        <v>31</v>
      </c>
      <c r="M166" t="s">
        <v>68</v>
      </c>
      <c r="N166" t="s">
        <v>93</v>
      </c>
      <c r="O166">
        <v>38.206281699999998</v>
      </c>
      <c r="P166">
        <v>-1.0434985000000001</v>
      </c>
      <c r="Q166" t="s">
        <v>31</v>
      </c>
      <c r="R166">
        <v>0.18459999999999999</v>
      </c>
      <c r="S166" t="s">
        <v>173</v>
      </c>
    </row>
    <row r="167" spans="1:19" x14ac:dyDescent="0.2">
      <c r="A167">
        <v>18</v>
      </c>
      <c r="B167">
        <v>15</v>
      </c>
      <c r="C167" t="s">
        <v>67</v>
      </c>
      <c r="D167">
        <v>1997</v>
      </c>
      <c r="E167">
        <v>19.5</v>
      </c>
      <c r="F167">
        <v>5</v>
      </c>
      <c r="G167">
        <v>16.100000000000001</v>
      </c>
      <c r="H167">
        <v>37.4</v>
      </c>
      <c r="I167" t="s">
        <v>31</v>
      </c>
      <c r="J167" t="s">
        <v>31</v>
      </c>
      <c r="K167" t="s">
        <v>31</v>
      </c>
      <c r="L167" t="s">
        <v>31</v>
      </c>
      <c r="M167" t="s">
        <v>68</v>
      </c>
      <c r="N167" t="s">
        <v>93</v>
      </c>
      <c r="O167">
        <v>38.206281699999998</v>
      </c>
      <c r="P167">
        <v>-1.0434985000000001</v>
      </c>
      <c r="Q167" t="s">
        <v>31</v>
      </c>
      <c r="R167">
        <v>0.18459999999999999</v>
      </c>
      <c r="S167" t="s">
        <v>173</v>
      </c>
    </row>
    <row r="168" spans="1:19" x14ac:dyDescent="0.2">
      <c r="A168">
        <v>18</v>
      </c>
      <c r="B168">
        <v>16</v>
      </c>
      <c r="C168" t="s">
        <v>67</v>
      </c>
      <c r="D168">
        <v>1997</v>
      </c>
      <c r="E168">
        <v>26</v>
      </c>
      <c r="F168">
        <v>5</v>
      </c>
      <c r="G168">
        <v>16.100000000000001</v>
      </c>
      <c r="H168">
        <v>37.4</v>
      </c>
      <c r="I168" t="s">
        <v>31</v>
      </c>
      <c r="J168" t="s">
        <v>31</v>
      </c>
      <c r="K168" t="s">
        <v>31</v>
      </c>
      <c r="L168" t="s">
        <v>31</v>
      </c>
      <c r="M168" t="s">
        <v>68</v>
      </c>
      <c r="N168" t="s">
        <v>93</v>
      </c>
      <c r="O168">
        <v>38.206281699999998</v>
      </c>
      <c r="P168">
        <v>-1.0434985000000001</v>
      </c>
      <c r="Q168" t="s">
        <v>31</v>
      </c>
      <c r="R168">
        <v>0.18459999999999999</v>
      </c>
      <c r="S168" t="s">
        <v>173</v>
      </c>
    </row>
    <row r="169" spans="1:19" x14ac:dyDescent="0.2">
      <c r="A169">
        <v>18</v>
      </c>
      <c r="B169">
        <v>1</v>
      </c>
      <c r="C169" t="s">
        <v>67</v>
      </c>
      <c r="D169">
        <v>1997</v>
      </c>
      <c r="E169">
        <v>6.5</v>
      </c>
      <c r="F169">
        <v>2</v>
      </c>
      <c r="G169">
        <v>16.100000000000001</v>
      </c>
      <c r="H169">
        <v>36.1</v>
      </c>
      <c r="I169" t="s">
        <v>31</v>
      </c>
      <c r="J169" t="s">
        <v>31</v>
      </c>
      <c r="K169" t="s">
        <v>31</v>
      </c>
      <c r="L169" t="s">
        <v>31</v>
      </c>
      <c r="M169" t="s">
        <v>68</v>
      </c>
      <c r="N169" t="s">
        <v>93</v>
      </c>
      <c r="O169">
        <v>38.206281699999998</v>
      </c>
      <c r="P169">
        <v>-1.0434985000000001</v>
      </c>
      <c r="Q169" t="s">
        <v>31</v>
      </c>
      <c r="R169">
        <v>0.18459999999999999</v>
      </c>
      <c r="S169" t="s">
        <v>172</v>
      </c>
    </row>
    <row r="170" spans="1:19" x14ac:dyDescent="0.2">
      <c r="A170">
        <v>18</v>
      </c>
      <c r="B170">
        <v>2</v>
      </c>
      <c r="C170" t="s">
        <v>67</v>
      </c>
      <c r="D170">
        <v>1997</v>
      </c>
      <c r="E170">
        <v>13</v>
      </c>
      <c r="F170">
        <v>2</v>
      </c>
      <c r="G170">
        <v>16.100000000000001</v>
      </c>
      <c r="H170">
        <v>36.1</v>
      </c>
      <c r="I170" t="s">
        <v>31</v>
      </c>
      <c r="J170" t="s">
        <v>31</v>
      </c>
      <c r="K170" t="s">
        <v>31</v>
      </c>
      <c r="L170" t="s">
        <v>31</v>
      </c>
      <c r="M170" t="s">
        <v>68</v>
      </c>
      <c r="N170" t="s">
        <v>93</v>
      </c>
      <c r="O170">
        <v>38.206281699999998</v>
      </c>
      <c r="P170">
        <v>-1.0434985000000001</v>
      </c>
      <c r="Q170" t="s">
        <v>31</v>
      </c>
      <c r="R170">
        <v>0.18459999999999999</v>
      </c>
      <c r="S170" t="s">
        <v>172</v>
      </c>
    </row>
    <row r="171" spans="1:19" x14ac:dyDescent="0.2">
      <c r="A171">
        <v>18</v>
      </c>
      <c r="B171">
        <v>3</v>
      </c>
      <c r="C171" t="s">
        <v>67</v>
      </c>
      <c r="D171">
        <v>1997</v>
      </c>
      <c r="E171">
        <v>19.5</v>
      </c>
      <c r="F171">
        <v>2</v>
      </c>
      <c r="G171">
        <v>16.100000000000001</v>
      </c>
      <c r="H171">
        <v>36.1</v>
      </c>
      <c r="I171" t="s">
        <v>31</v>
      </c>
      <c r="J171" t="s">
        <v>31</v>
      </c>
      <c r="K171" t="s">
        <v>31</v>
      </c>
      <c r="L171" t="s">
        <v>31</v>
      </c>
      <c r="M171" t="s">
        <v>68</v>
      </c>
      <c r="N171" t="s">
        <v>93</v>
      </c>
      <c r="O171">
        <v>38.206281699999998</v>
      </c>
      <c r="P171">
        <v>-1.0434985000000001</v>
      </c>
      <c r="Q171" t="s">
        <v>31</v>
      </c>
      <c r="R171">
        <v>0.18459999999999999</v>
      </c>
      <c r="S171" t="s">
        <v>172</v>
      </c>
    </row>
    <row r="172" spans="1:19" x14ac:dyDescent="0.2">
      <c r="A172">
        <v>18</v>
      </c>
      <c r="B172">
        <v>4</v>
      </c>
      <c r="C172" t="s">
        <v>67</v>
      </c>
      <c r="D172">
        <v>1997</v>
      </c>
      <c r="E172">
        <v>26</v>
      </c>
      <c r="F172">
        <v>2</v>
      </c>
      <c r="G172">
        <v>16.100000000000001</v>
      </c>
      <c r="H172">
        <v>36.1</v>
      </c>
      <c r="I172" t="s">
        <v>31</v>
      </c>
      <c r="J172" t="s">
        <v>31</v>
      </c>
      <c r="K172" t="s">
        <v>31</v>
      </c>
      <c r="L172" t="s">
        <v>31</v>
      </c>
      <c r="M172" t="s">
        <v>68</v>
      </c>
      <c r="N172" t="s">
        <v>93</v>
      </c>
      <c r="O172">
        <v>38.206281699999998</v>
      </c>
      <c r="P172">
        <v>-1.0434985000000001</v>
      </c>
      <c r="Q172" t="s">
        <v>31</v>
      </c>
      <c r="R172">
        <v>0.18459999999999999</v>
      </c>
      <c r="S172" t="s">
        <v>172</v>
      </c>
    </row>
    <row r="173" spans="1:19" x14ac:dyDescent="0.2">
      <c r="A173">
        <v>18</v>
      </c>
      <c r="B173">
        <v>5</v>
      </c>
      <c r="C173" t="s">
        <v>67</v>
      </c>
      <c r="D173">
        <v>1997</v>
      </c>
      <c r="E173">
        <v>6.5</v>
      </c>
      <c r="F173">
        <v>3</v>
      </c>
      <c r="G173">
        <v>16.100000000000001</v>
      </c>
      <c r="H173">
        <v>36.1</v>
      </c>
      <c r="I173" t="s">
        <v>31</v>
      </c>
      <c r="J173" t="s">
        <v>31</v>
      </c>
      <c r="K173" t="s">
        <v>31</v>
      </c>
      <c r="L173" t="s">
        <v>31</v>
      </c>
      <c r="M173" t="s">
        <v>68</v>
      </c>
      <c r="N173" t="s">
        <v>93</v>
      </c>
      <c r="O173">
        <v>38.206281699999998</v>
      </c>
      <c r="P173">
        <v>-1.0434985000000001</v>
      </c>
      <c r="Q173" t="s">
        <v>31</v>
      </c>
      <c r="R173">
        <v>0.18459999999999999</v>
      </c>
      <c r="S173" t="s">
        <v>172</v>
      </c>
    </row>
    <row r="174" spans="1:19" x14ac:dyDescent="0.2">
      <c r="A174">
        <v>18</v>
      </c>
      <c r="B174">
        <v>6</v>
      </c>
      <c r="C174" t="s">
        <v>67</v>
      </c>
      <c r="D174">
        <v>1997</v>
      </c>
      <c r="E174">
        <v>13</v>
      </c>
      <c r="F174">
        <v>3</v>
      </c>
      <c r="G174">
        <v>16.100000000000001</v>
      </c>
      <c r="H174">
        <v>36.1</v>
      </c>
      <c r="I174" t="s">
        <v>31</v>
      </c>
      <c r="J174" t="s">
        <v>31</v>
      </c>
      <c r="K174" t="s">
        <v>31</v>
      </c>
      <c r="L174" t="s">
        <v>31</v>
      </c>
      <c r="M174" t="s">
        <v>68</v>
      </c>
      <c r="N174" t="s">
        <v>93</v>
      </c>
      <c r="O174">
        <v>38.206281699999998</v>
      </c>
      <c r="P174">
        <v>-1.0434985000000001</v>
      </c>
      <c r="Q174" t="s">
        <v>31</v>
      </c>
      <c r="R174">
        <v>0.18459999999999999</v>
      </c>
      <c r="S174" t="s">
        <v>172</v>
      </c>
    </row>
    <row r="175" spans="1:19" x14ac:dyDescent="0.2">
      <c r="A175">
        <v>18</v>
      </c>
      <c r="B175">
        <v>7</v>
      </c>
      <c r="C175" t="s">
        <v>67</v>
      </c>
      <c r="D175">
        <v>1997</v>
      </c>
      <c r="E175">
        <v>19.5</v>
      </c>
      <c r="F175">
        <v>3</v>
      </c>
      <c r="G175">
        <v>16.100000000000001</v>
      </c>
      <c r="H175">
        <v>36.1</v>
      </c>
      <c r="I175" t="s">
        <v>31</v>
      </c>
      <c r="J175" t="s">
        <v>31</v>
      </c>
      <c r="K175" t="s">
        <v>31</v>
      </c>
      <c r="L175" t="s">
        <v>31</v>
      </c>
      <c r="M175" t="s">
        <v>68</v>
      </c>
      <c r="N175" t="s">
        <v>93</v>
      </c>
      <c r="O175">
        <v>38.206281699999998</v>
      </c>
      <c r="P175">
        <v>-1.0434985000000001</v>
      </c>
      <c r="Q175" t="s">
        <v>31</v>
      </c>
      <c r="R175">
        <v>0.18459999999999999</v>
      </c>
      <c r="S175" t="s">
        <v>172</v>
      </c>
    </row>
    <row r="176" spans="1:19" x14ac:dyDescent="0.2">
      <c r="A176">
        <v>18</v>
      </c>
      <c r="B176">
        <v>8</v>
      </c>
      <c r="C176" t="s">
        <v>67</v>
      </c>
      <c r="D176">
        <v>1997</v>
      </c>
      <c r="E176">
        <v>26</v>
      </c>
      <c r="F176">
        <v>3</v>
      </c>
      <c r="G176">
        <v>16.100000000000001</v>
      </c>
      <c r="H176">
        <v>36.1</v>
      </c>
      <c r="I176" t="s">
        <v>31</v>
      </c>
      <c r="J176" t="s">
        <v>31</v>
      </c>
      <c r="K176" t="s">
        <v>31</v>
      </c>
      <c r="L176" t="s">
        <v>31</v>
      </c>
      <c r="M176" t="s">
        <v>68</v>
      </c>
      <c r="N176" t="s">
        <v>93</v>
      </c>
      <c r="O176">
        <v>38.206281699999998</v>
      </c>
      <c r="P176">
        <v>-1.0434985000000001</v>
      </c>
      <c r="Q176" t="s">
        <v>31</v>
      </c>
      <c r="R176">
        <v>0.18459999999999999</v>
      </c>
      <c r="S176" t="s">
        <v>172</v>
      </c>
    </row>
    <row r="177" spans="1:19" x14ac:dyDescent="0.2">
      <c r="A177">
        <v>18</v>
      </c>
      <c r="B177">
        <v>9</v>
      </c>
      <c r="C177" t="s">
        <v>67</v>
      </c>
      <c r="D177">
        <v>1997</v>
      </c>
      <c r="E177">
        <v>6.5</v>
      </c>
      <c r="F177">
        <v>4</v>
      </c>
      <c r="G177">
        <v>16.100000000000001</v>
      </c>
      <c r="H177">
        <v>36.1</v>
      </c>
      <c r="I177" t="s">
        <v>31</v>
      </c>
      <c r="J177" t="s">
        <v>31</v>
      </c>
      <c r="K177" t="s">
        <v>31</v>
      </c>
      <c r="L177" t="s">
        <v>31</v>
      </c>
      <c r="M177" t="s">
        <v>68</v>
      </c>
      <c r="N177" t="s">
        <v>93</v>
      </c>
      <c r="O177">
        <v>38.206281699999998</v>
      </c>
      <c r="P177">
        <v>-1.0434985000000001</v>
      </c>
      <c r="Q177" t="s">
        <v>31</v>
      </c>
      <c r="R177">
        <v>0.18459999999999999</v>
      </c>
      <c r="S177" t="s">
        <v>172</v>
      </c>
    </row>
    <row r="178" spans="1:19" x14ac:dyDescent="0.2">
      <c r="A178">
        <v>18</v>
      </c>
      <c r="B178">
        <v>10</v>
      </c>
      <c r="C178" t="s">
        <v>67</v>
      </c>
      <c r="D178">
        <v>1997</v>
      </c>
      <c r="E178">
        <v>13</v>
      </c>
      <c r="F178">
        <v>4</v>
      </c>
      <c r="G178">
        <v>16.100000000000001</v>
      </c>
      <c r="H178">
        <v>36.1</v>
      </c>
      <c r="I178" t="s">
        <v>31</v>
      </c>
      <c r="J178" t="s">
        <v>31</v>
      </c>
      <c r="K178" t="s">
        <v>31</v>
      </c>
      <c r="L178" t="s">
        <v>31</v>
      </c>
      <c r="M178" t="s">
        <v>68</v>
      </c>
      <c r="N178" t="s">
        <v>93</v>
      </c>
      <c r="O178">
        <v>38.206281699999998</v>
      </c>
      <c r="P178">
        <v>-1.0434985000000001</v>
      </c>
      <c r="Q178" t="s">
        <v>31</v>
      </c>
      <c r="R178">
        <v>0.18459999999999999</v>
      </c>
      <c r="S178" t="s">
        <v>172</v>
      </c>
    </row>
    <row r="179" spans="1:19" x14ac:dyDescent="0.2">
      <c r="A179">
        <v>18</v>
      </c>
      <c r="B179">
        <v>11</v>
      </c>
      <c r="C179" t="s">
        <v>67</v>
      </c>
      <c r="D179">
        <v>1997</v>
      </c>
      <c r="E179">
        <v>19.5</v>
      </c>
      <c r="F179">
        <v>4</v>
      </c>
      <c r="G179">
        <v>16.100000000000001</v>
      </c>
      <c r="H179">
        <v>36.1</v>
      </c>
      <c r="I179" t="s">
        <v>31</v>
      </c>
      <c r="J179" t="s">
        <v>31</v>
      </c>
      <c r="K179" t="s">
        <v>31</v>
      </c>
      <c r="L179" t="s">
        <v>31</v>
      </c>
      <c r="M179" t="s">
        <v>68</v>
      </c>
      <c r="N179" t="s">
        <v>93</v>
      </c>
      <c r="O179">
        <v>38.206281699999998</v>
      </c>
      <c r="P179">
        <v>-1.0434985000000001</v>
      </c>
      <c r="Q179" t="s">
        <v>31</v>
      </c>
      <c r="R179">
        <v>0.18459999999999999</v>
      </c>
      <c r="S179" t="s">
        <v>172</v>
      </c>
    </row>
    <row r="180" spans="1:19" x14ac:dyDescent="0.2">
      <c r="A180">
        <v>18</v>
      </c>
      <c r="B180">
        <v>12</v>
      </c>
      <c r="C180" t="s">
        <v>67</v>
      </c>
      <c r="D180">
        <v>1997</v>
      </c>
      <c r="E180">
        <v>26</v>
      </c>
      <c r="F180">
        <v>4</v>
      </c>
      <c r="G180">
        <v>16.100000000000001</v>
      </c>
      <c r="H180">
        <v>36.1</v>
      </c>
      <c r="I180" t="s">
        <v>31</v>
      </c>
      <c r="J180" t="s">
        <v>31</v>
      </c>
      <c r="K180" t="s">
        <v>31</v>
      </c>
      <c r="L180" t="s">
        <v>31</v>
      </c>
      <c r="M180" t="s">
        <v>68</v>
      </c>
      <c r="N180" t="s">
        <v>93</v>
      </c>
      <c r="O180">
        <v>38.206281699999998</v>
      </c>
      <c r="P180">
        <v>-1.0434985000000001</v>
      </c>
      <c r="Q180" t="s">
        <v>31</v>
      </c>
      <c r="R180">
        <v>0.18459999999999999</v>
      </c>
      <c r="S180" t="s">
        <v>172</v>
      </c>
    </row>
    <row r="181" spans="1:19" x14ac:dyDescent="0.2">
      <c r="A181">
        <v>18</v>
      </c>
      <c r="B181">
        <v>13</v>
      </c>
      <c r="C181" t="s">
        <v>67</v>
      </c>
      <c r="D181">
        <v>1997</v>
      </c>
      <c r="E181">
        <v>6.5</v>
      </c>
      <c r="F181">
        <v>5</v>
      </c>
      <c r="G181">
        <v>16.100000000000001</v>
      </c>
      <c r="H181">
        <v>36.1</v>
      </c>
      <c r="I181" t="s">
        <v>31</v>
      </c>
      <c r="J181" t="s">
        <v>31</v>
      </c>
      <c r="K181" t="s">
        <v>31</v>
      </c>
      <c r="L181" t="s">
        <v>31</v>
      </c>
      <c r="M181" t="s">
        <v>68</v>
      </c>
      <c r="N181" t="s">
        <v>93</v>
      </c>
      <c r="O181">
        <v>38.206281699999998</v>
      </c>
      <c r="P181">
        <v>-1.0434985000000001</v>
      </c>
      <c r="Q181" t="s">
        <v>31</v>
      </c>
      <c r="R181">
        <v>0.18459999999999999</v>
      </c>
      <c r="S181" t="s">
        <v>172</v>
      </c>
    </row>
    <row r="182" spans="1:19" x14ac:dyDescent="0.2">
      <c r="A182">
        <v>18</v>
      </c>
      <c r="B182">
        <v>14</v>
      </c>
      <c r="C182" t="s">
        <v>67</v>
      </c>
      <c r="D182">
        <v>1997</v>
      </c>
      <c r="E182">
        <v>13</v>
      </c>
      <c r="F182">
        <v>5</v>
      </c>
      <c r="G182">
        <v>16.100000000000001</v>
      </c>
      <c r="H182">
        <v>36.1</v>
      </c>
      <c r="I182" t="s">
        <v>31</v>
      </c>
      <c r="J182" t="s">
        <v>31</v>
      </c>
      <c r="K182" t="s">
        <v>31</v>
      </c>
      <c r="L182" t="s">
        <v>31</v>
      </c>
      <c r="M182" t="s">
        <v>68</v>
      </c>
      <c r="N182" t="s">
        <v>93</v>
      </c>
      <c r="O182">
        <v>38.206281699999998</v>
      </c>
      <c r="P182">
        <v>-1.0434985000000001</v>
      </c>
      <c r="Q182" t="s">
        <v>31</v>
      </c>
      <c r="R182">
        <v>0.18459999999999999</v>
      </c>
      <c r="S182" t="s">
        <v>172</v>
      </c>
    </row>
    <row r="183" spans="1:19" x14ac:dyDescent="0.2">
      <c r="A183">
        <v>18</v>
      </c>
      <c r="B183">
        <v>15</v>
      </c>
      <c r="C183" t="s">
        <v>67</v>
      </c>
      <c r="D183">
        <v>1997</v>
      </c>
      <c r="E183">
        <v>19.5</v>
      </c>
      <c r="F183">
        <v>5</v>
      </c>
      <c r="G183">
        <v>16.100000000000001</v>
      </c>
      <c r="H183">
        <v>36.1</v>
      </c>
      <c r="I183" t="s">
        <v>31</v>
      </c>
      <c r="J183" t="s">
        <v>31</v>
      </c>
      <c r="K183" t="s">
        <v>31</v>
      </c>
      <c r="L183" t="s">
        <v>31</v>
      </c>
      <c r="M183" t="s">
        <v>68</v>
      </c>
      <c r="N183" t="s">
        <v>93</v>
      </c>
      <c r="O183">
        <v>38.206281699999998</v>
      </c>
      <c r="P183">
        <v>-1.0434985000000001</v>
      </c>
      <c r="Q183" t="s">
        <v>31</v>
      </c>
      <c r="R183">
        <v>0.18459999999999999</v>
      </c>
      <c r="S183" t="s">
        <v>172</v>
      </c>
    </row>
    <row r="184" spans="1:19" x14ac:dyDescent="0.2">
      <c r="A184">
        <v>18</v>
      </c>
      <c r="B184">
        <v>16</v>
      </c>
      <c r="C184" t="s">
        <v>67</v>
      </c>
      <c r="D184">
        <v>1997</v>
      </c>
      <c r="E184">
        <v>26</v>
      </c>
      <c r="F184">
        <v>5</v>
      </c>
      <c r="G184">
        <v>16.100000000000001</v>
      </c>
      <c r="H184">
        <v>36.1</v>
      </c>
      <c r="I184" t="s">
        <v>31</v>
      </c>
      <c r="J184" t="s">
        <v>31</v>
      </c>
      <c r="K184" t="s">
        <v>31</v>
      </c>
      <c r="L184" t="s">
        <v>31</v>
      </c>
      <c r="M184" t="s">
        <v>68</v>
      </c>
      <c r="N184" t="s">
        <v>93</v>
      </c>
      <c r="O184">
        <v>38.206281699999998</v>
      </c>
      <c r="P184">
        <v>-1.0434985000000001</v>
      </c>
      <c r="Q184" t="s">
        <v>31</v>
      </c>
      <c r="R184">
        <v>0.18459999999999999</v>
      </c>
      <c r="S184" t="s">
        <v>172</v>
      </c>
    </row>
    <row r="185" spans="1:19" x14ac:dyDescent="0.2">
      <c r="A185">
        <v>18</v>
      </c>
      <c r="B185">
        <v>17</v>
      </c>
      <c r="C185" t="s">
        <v>67</v>
      </c>
      <c r="D185">
        <v>1997</v>
      </c>
      <c r="E185">
        <v>6.5</v>
      </c>
      <c r="F185">
        <v>6</v>
      </c>
      <c r="G185">
        <v>16.100000000000001</v>
      </c>
      <c r="H185">
        <v>36.1</v>
      </c>
      <c r="I185" t="s">
        <v>31</v>
      </c>
      <c r="J185" t="s">
        <v>31</v>
      </c>
      <c r="K185" t="s">
        <v>31</v>
      </c>
      <c r="L185" t="s">
        <v>31</v>
      </c>
      <c r="M185" t="s">
        <v>68</v>
      </c>
      <c r="N185" t="s">
        <v>93</v>
      </c>
      <c r="O185">
        <v>38.206281699999998</v>
      </c>
      <c r="P185">
        <v>-1.0434985000000001</v>
      </c>
      <c r="Q185" t="s">
        <v>31</v>
      </c>
      <c r="R185">
        <v>0.18459999999999999</v>
      </c>
      <c r="S185" t="s">
        <v>172</v>
      </c>
    </row>
    <row r="186" spans="1:19" x14ac:dyDescent="0.2">
      <c r="A186">
        <v>18</v>
      </c>
      <c r="B186">
        <v>18</v>
      </c>
      <c r="C186" t="s">
        <v>67</v>
      </c>
      <c r="D186">
        <v>1997</v>
      </c>
      <c r="E186">
        <v>13</v>
      </c>
      <c r="F186">
        <v>6</v>
      </c>
      <c r="G186">
        <v>16.100000000000001</v>
      </c>
      <c r="H186">
        <v>36.1</v>
      </c>
      <c r="I186" t="s">
        <v>31</v>
      </c>
      <c r="J186" t="s">
        <v>31</v>
      </c>
      <c r="K186" t="s">
        <v>31</v>
      </c>
      <c r="L186" t="s">
        <v>31</v>
      </c>
      <c r="M186" t="s">
        <v>68</v>
      </c>
      <c r="N186" t="s">
        <v>93</v>
      </c>
      <c r="O186">
        <v>38.206281699999998</v>
      </c>
      <c r="P186">
        <v>-1.0434985000000001</v>
      </c>
      <c r="Q186" t="s">
        <v>31</v>
      </c>
      <c r="R186">
        <v>0.18459999999999999</v>
      </c>
      <c r="S186" t="s">
        <v>172</v>
      </c>
    </row>
    <row r="187" spans="1:19" x14ac:dyDescent="0.2">
      <c r="A187">
        <v>18</v>
      </c>
      <c r="B187">
        <v>19</v>
      </c>
      <c r="C187" t="s">
        <v>67</v>
      </c>
      <c r="D187">
        <v>1997</v>
      </c>
      <c r="E187">
        <v>19.5</v>
      </c>
      <c r="F187">
        <v>6</v>
      </c>
      <c r="G187">
        <v>16.100000000000001</v>
      </c>
      <c r="H187">
        <v>36.1</v>
      </c>
      <c r="I187" t="s">
        <v>31</v>
      </c>
      <c r="J187" t="s">
        <v>31</v>
      </c>
      <c r="K187" t="s">
        <v>31</v>
      </c>
      <c r="L187" t="s">
        <v>31</v>
      </c>
      <c r="M187" t="s">
        <v>68</v>
      </c>
      <c r="N187" t="s">
        <v>93</v>
      </c>
      <c r="O187">
        <v>38.206281699999998</v>
      </c>
      <c r="P187">
        <v>-1.0434985000000001</v>
      </c>
      <c r="Q187" t="s">
        <v>31</v>
      </c>
      <c r="R187">
        <v>0.18459999999999999</v>
      </c>
      <c r="S187" t="s">
        <v>172</v>
      </c>
    </row>
    <row r="188" spans="1:19" x14ac:dyDescent="0.2">
      <c r="A188">
        <v>18</v>
      </c>
      <c r="B188">
        <v>20</v>
      </c>
      <c r="C188" t="s">
        <v>67</v>
      </c>
      <c r="D188">
        <v>1997</v>
      </c>
      <c r="E188">
        <v>26</v>
      </c>
      <c r="F188">
        <v>6</v>
      </c>
      <c r="G188">
        <v>16.100000000000001</v>
      </c>
      <c r="H188">
        <v>36.1</v>
      </c>
      <c r="I188" t="s">
        <v>31</v>
      </c>
      <c r="J188" t="s">
        <v>31</v>
      </c>
      <c r="K188" t="s">
        <v>31</v>
      </c>
      <c r="L188" t="s">
        <v>31</v>
      </c>
      <c r="M188" t="s">
        <v>68</v>
      </c>
      <c r="N188" t="s">
        <v>93</v>
      </c>
      <c r="O188">
        <v>38.206281699999998</v>
      </c>
      <c r="P188">
        <v>-1.0434985000000001</v>
      </c>
      <c r="Q188" t="s">
        <v>31</v>
      </c>
      <c r="R188">
        <v>0.18459999999999999</v>
      </c>
      <c r="S188" t="s">
        <v>172</v>
      </c>
    </row>
    <row r="189" spans="1:19" x14ac:dyDescent="0.2">
      <c r="A189">
        <v>18</v>
      </c>
      <c r="B189">
        <v>1</v>
      </c>
      <c r="C189" t="s">
        <v>67</v>
      </c>
      <c r="D189">
        <v>1997</v>
      </c>
      <c r="E189">
        <v>6.5</v>
      </c>
      <c r="F189">
        <v>2</v>
      </c>
      <c r="G189">
        <v>16.100000000000001</v>
      </c>
      <c r="H189">
        <v>36.1</v>
      </c>
      <c r="I189" t="s">
        <v>35</v>
      </c>
      <c r="J189" t="s">
        <v>31</v>
      </c>
      <c r="K189" t="s">
        <v>31</v>
      </c>
      <c r="L189" t="s">
        <v>31</v>
      </c>
      <c r="M189" t="s">
        <v>68</v>
      </c>
      <c r="N189" t="s">
        <v>93</v>
      </c>
      <c r="O189">
        <v>38.206281699999998</v>
      </c>
      <c r="P189">
        <v>-1.0434985000000001</v>
      </c>
      <c r="Q189" t="s">
        <v>31</v>
      </c>
      <c r="R189">
        <v>0.18459999999999999</v>
      </c>
      <c r="S189" t="s">
        <v>171</v>
      </c>
    </row>
    <row r="190" spans="1:19" x14ac:dyDescent="0.2">
      <c r="A190">
        <v>18</v>
      </c>
      <c r="B190">
        <v>2</v>
      </c>
      <c r="C190" t="s">
        <v>67</v>
      </c>
      <c r="D190">
        <v>1997</v>
      </c>
      <c r="E190">
        <v>13</v>
      </c>
      <c r="F190">
        <v>2</v>
      </c>
      <c r="G190">
        <v>16.100000000000001</v>
      </c>
      <c r="H190">
        <v>36.1</v>
      </c>
      <c r="I190" t="s">
        <v>35</v>
      </c>
      <c r="J190" t="s">
        <v>31</v>
      </c>
      <c r="K190" t="s">
        <v>31</v>
      </c>
      <c r="L190" t="s">
        <v>31</v>
      </c>
      <c r="M190" t="s">
        <v>68</v>
      </c>
      <c r="N190" t="s">
        <v>93</v>
      </c>
      <c r="O190">
        <v>38.206281699999998</v>
      </c>
      <c r="P190">
        <v>-1.0434985000000001</v>
      </c>
      <c r="Q190" t="s">
        <v>31</v>
      </c>
      <c r="R190">
        <v>0.18459999999999999</v>
      </c>
      <c r="S190" t="s">
        <v>171</v>
      </c>
    </row>
    <row r="191" spans="1:19" x14ac:dyDescent="0.2">
      <c r="A191">
        <v>18</v>
      </c>
      <c r="B191">
        <v>3</v>
      </c>
      <c r="C191" t="s">
        <v>67</v>
      </c>
      <c r="D191">
        <v>1997</v>
      </c>
      <c r="E191">
        <v>19.5</v>
      </c>
      <c r="F191">
        <v>2</v>
      </c>
      <c r="G191">
        <v>16.100000000000001</v>
      </c>
      <c r="H191">
        <v>36.1</v>
      </c>
      <c r="I191" t="s">
        <v>35</v>
      </c>
      <c r="J191" t="s">
        <v>31</v>
      </c>
      <c r="K191" t="s">
        <v>31</v>
      </c>
      <c r="L191" t="s">
        <v>31</v>
      </c>
      <c r="M191" t="s">
        <v>68</v>
      </c>
      <c r="N191" t="s">
        <v>93</v>
      </c>
      <c r="O191">
        <v>38.206281699999998</v>
      </c>
      <c r="P191">
        <v>-1.0434985000000001</v>
      </c>
      <c r="Q191" t="s">
        <v>31</v>
      </c>
      <c r="R191">
        <v>0.18459999999999999</v>
      </c>
      <c r="S191" t="s">
        <v>171</v>
      </c>
    </row>
    <row r="192" spans="1:19" x14ac:dyDescent="0.2">
      <c r="A192">
        <v>18</v>
      </c>
      <c r="B192">
        <v>4</v>
      </c>
      <c r="C192" t="s">
        <v>67</v>
      </c>
      <c r="D192">
        <v>1997</v>
      </c>
      <c r="E192">
        <v>26</v>
      </c>
      <c r="F192">
        <v>2</v>
      </c>
      <c r="G192">
        <v>16.100000000000001</v>
      </c>
      <c r="H192">
        <v>36.1</v>
      </c>
      <c r="I192" t="s">
        <v>35</v>
      </c>
      <c r="J192" t="s">
        <v>31</v>
      </c>
      <c r="K192" t="s">
        <v>31</v>
      </c>
      <c r="L192" t="s">
        <v>31</v>
      </c>
      <c r="M192" t="s">
        <v>68</v>
      </c>
      <c r="N192" t="s">
        <v>93</v>
      </c>
      <c r="O192">
        <v>38.206281699999998</v>
      </c>
      <c r="P192">
        <v>-1.0434985000000001</v>
      </c>
      <c r="Q192" t="s">
        <v>31</v>
      </c>
      <c r="R192">
        <v>0.18459999999999999</v>
      </c>
      <c r="S192" t="s">
        <v>171</v>
      </c>
    </row>
    <row r="193" spans="1:19" x14ac:dyDescent="0.2">
      <c r="A193">
        <v>18</v>
      </c>
      <c r="B193">
        <v>5</v>
      </c>
      <c r="C193" t="s">
        <v>67</v>
      </c>
      <c r="D193">
        <v>1997</v>
      </c>
      <c r="E193">
        <v>6.5</v>
      </c>
      <c r="F193">
        <v>3</v>
      </c>
      <c r="G193">
        <v>16.100000000000001</v>
      </c>
      <c r="H193">
        <v>36.1</v>
      </c>
      <c r="I193" t="s">
        <v>35</v>
      </c>
      <c r="J193" t="s">
        <v>31</v>
      </c>
      <c r="K193" t="s">
        <v>31</v>
      </c>
      <c r="L193" t="s">
        <v>31</v>
      </c>
      <c r="M193" t="s">
        <v>68</v>
      </c>
      <c r="N193" t="s">
        <v>93</v>
      </c>
      <c r="O193">
        <v>38.206281699999998</v>
      </c>
      <c r="P193">
        <v>-1.0434985000000001</v>
      </c>
      <c r="Q193" t="s">
        <v>31</v>
      </c>
      <c r="R193">
        <v>0.18459999999999999</v>
      </c>
      <c r="S193" t="s">
        <v>171</v>
      </c>
    </row>
    <row r="194" spans="1:19" x14ac:dyDescent="0.2">
      <c r="A194">
        <v>18</v>
      </c>
      <c r="B194">
        <v>6</v>
      </c>
      <c r="C194" t="s">
        <v>67</v>
      </c>
      <c r="D194">
        <v>1997</v>
      </c>
      <c r="E194">
        <v>13</v>
      </c>
      <c r="F194">
        <v>3</v>
      </c>
      <c r="G194">
        <v>16.100000000000001</v>
      </c>
      <c r="H194">
        <v>36.1</v>
      </c>
      <c r="I194" t="s">
        <v>35</v>
      </c>
      <c r="J194" t="s">
        <v>31</v>
      </c>
      <c r="K194" t="s">
        <v>31</v>
      </c>
      <c r="L194" t="s">
        <v>31</v>
      </c>
      <c r="M194" t="s">
        <v>68</v>
      </c>
      <c r="N194" t="s">
        <v>93</v>
      </c>
      <c r="O194">
        <v>38.206281699999998</v>
      </c>
      <c r="P194">
        <v>-1.0434985000000001</v>
      </c>
      <c r="Q194" t="s">
        <v>31</v>
      </c>
      <c r="R194">
        <v>0.18459999999999999</v>
      </c>
      <c r="S194" t="s">
        <v>171</v>
      </c>
    </row>
    <row r="195" spans="1:19" x14ac:dyDescent="0.2">
      <c r="A195">
        <v>18</v>
      </c>
      <c r="B195">
        <v>7</v>
      </c>
      <c r="C195" t="s">
        <v>67</v>
      </c>
      <c r="D195">
        <v>1997</v>
      </c>
      <c r="E195">
        <v>19.5</v>
      </c>
      <c r="F195">
        <v>3</v>
      </c>
      <c r="G195">
        <v>16.100000000000001</v>
      </c>
      <c r="H195">
        <v>36.1</v>
      </c>
      <c r="I195" t="s">
        <v>35</v>
      </c>
      <c r="J195" t="s">
        <v>31</v>
      </c>
      <c r="K195" t="s">
        <v>31</v>
      </c>
      <c r="L195" t="s">
        <v>31</v>
      </c>
      <c r="M195" t="s">
        <v>68</v>
      </c>
      <c r="N195" t="s">
        <v>93</v>
      </c>
      <c r="O195">
        <v>38.206281699999998</v>
      </c>
      <c r="P195">
        <v>-1.0434985000000001</v>
      </c>
      <c r="Q195" t="s">
        <v>31</v>
      </c>
      <c r="R195">
        <v>0.18459999999999999</v>
      </c>
      <c r="S195" t="s">
        <v>171</v>
      </c>
    </row>
    <row r="196" spans="1:19" x14ac:dyDescent="0.2">
      <c r="A196">
        <v>18</v>
      </c>
      <c r="B196">
        <v>8</v>
      </c>
      <c r="C196" t="s">
        <v>67</v>
      </c>
      <c r="D196">
        <v>1997</v>
      </c>
      <c r="E196">
        <v>26</v>
      </c>
      <c r="F196">
        <v>3</v>
      </c>
      <c r="G196">
        <v>16.100000000000001</v>
      </c>
      <c r="H196">
        <v>36.1</v>
      </c>
      <c r="I196" t="s">
        <v>35</v>
      </c>
      <c r="J196" t="s">
        <v>31</v>
      </c>
      <c r="K196" t="s">
        <v>31</v>
      </c>
      <c r="L196" t="s">
        <v>31</v>
      </c>
      <c r="M196" t="s">
        <v>68</v>
      </c>
      <c r="N196" t="s">
        <v>93</v>
      </c>
      <c r="O196">
        <v>38.206281699999998</v>
      </c>
      <c r="P196">
        <v>-1.0434985000000001</v>
      </c>
      <c r="Q196" t="s">
        <v>31</v>
      </c>
      <c r="R196">
        <v>0.18459999999999999</v>
      </c>
      <c r="S196" t="s">
        <v>171</v>
      </c>
    </row>
    <row r="197" spans="1:19" x14ac:dyDescent="0.2">
      <c r="A197">
        <v>18</v>
      </c>
      <c r="B197">
        <v>9</v>
      </c>
      <c r="C197" t="s">
        <v>67</v>
      </c>
      <c r="D197">
        <v>1997</v>
      </c>
      <c r="E197">
        <v>6.5</v>
      </c>
      <c r="F197">
        <v>4</v>
      </c>
      <c r="G197">
        <v>16.100000000000001</v>
      </c>
      <c r="H197">
        <v>36.1</v>
      </c>
      <c r="I197" t="s">
        <v>35</v>
      </c>
      <c r="J197" t="s">
        <v>31</v>
      </c>
      <c r="K197" t="s">
        <v>31</v>
      </c>
      <c r="L197" t="s">
        <v>31</v>
      </c>
      <c r="M197" t="s">
        <v>68</v>
      </c>
      <c r="N197" t="s">
        <v>93</v>
      </c>
      <c r="O197">
        <v>38.206281699999998</v>
      </c>
      <c r="P197">
        <v>-1.0434985000000001</v>
      </c>
      <c r="Q197" t="s">
        <v>31</v>
      </c>
      <c r="R197">
        <v>0.18459999999999999</v>
      </c>
      <c r="S197" t="s">
        <v>171</v>
      </c>
    </row>
    <row r="198" spans="1:19" x14ac:dyDescent="0.2">
      <c r="A198">
        <v>18</v>
      </c>
      <c r="B198">
        <v>10</v>
      </c>
      <c r="C198" t="s">
        <v>67</v>
      </c>
      <c r="D198">
        <v>1997</v>
      </c>
      <c r="E198">
        <v>13</v>
      </c>
      <c r="F198">
        <v>4</v>
      </c>
      <c r="G198">
        <v>16.100000000000001</v>
      </c>
      <c r="H198">
        <v>36.1</v>
      </c>
      <c r="I198" t="s">
        <v>35</v>
      </c>
      <c r="J198" t="s">
        <v>31</v>
      </c>
      <c r="K198" t="s">
        <v>31</v>
      </c>
      <c r="L198" t="s">
        <v>31</v>
      </c>
      <c r="M198" t="s">
        <v>68</v>
      </c>
      <c r="N198" t="s">
        <v>93</v>
      </c>
      <c r="O198">
        <v>38.206281699999998</v>
      </c>
      <c r="P198">
        <v>-1.0434985000000001</v>
      </c>
      <c r="Q198" t="s">
        <v>31</v>
      </c>
      <c r="R198">
        <v>0.18459999999999999</v>
      </c>
      <c r="S198" t="s">
        <v>171</v>
      </c>
    </row>
    <row r="199" spans="1:19" x14ac:dyDescent="0.2">
      <c r="A199">
        <v>18</v>
      </c>
      <c r="B199">
        <v>11</v>
      </c>
      <c r="C199" t="s">
        <v>67</v>
      </c>
      <c r="D199">
        <v>1997</v>
      </c>
      <c r="E199">
        <v>19.5</v>
      </c>
      <c r="F199">
        <v>4</v>
      </c>
      <c r="G199">
        <v>16.100000000000001</v>
      </c>
      <c r="H199">
        <v>36.1</v>
      </c>
      <c r="I199" t="s">
        <v>35</v>
      </c>
      <c r="J199" t="s">
        <v>31</v>
      </c>
      <c r="K199" t="s">
        <v>31</v>
      </c>
      <c r="L199" t="s">
        <v>31</v>
      </c>
      <c r="M199" t="s">
        <v>68</v>
      </c>
      <c r="N199" t="s">
        <v>93</v>
      </c>
      <c r="O199">
        <v>38.206281699999998</v>
      </c>
      <c r="P199">
        <v>-1.0434985000000001</v>
      </c>
      <c r="Q199" t="s">
        <v>31</v>
      </c>
      <c r="R199">
        <v>0.18459999999999999</v>
      </c>
      <c r="S199" t="s">
        <v>171</v>
      </c>
    </row>
    <row r="200" spans="1:19" x14ac:dyDescent="0.2">
      <c r="A200">
        <v>18</v>
      </c>
      <c r="B200">
        <v>12</v>
      </c>
      <c r="C200" t="s">
        <v>67</v>
      </c>
      <c r="D200">
        <v>1997</v>
      </c>
      <c r="E200">
        <v>26</v>
      </c>
      <c r="F200">
        <v>4</v>
      </c>
      <c r="G200">
        <v>16.100000000000001</v>
      </c>
      <c r="H200">
        <v>36.1</v>
      </c>
      <c r="I200" t="s">
        <v>35</v>
      </c>
      <c r="J200" t="s">
        <v>31</v>
      </c>
      <c r="K200" t="s">
        <v>31</v>
      </c>
      <c r="L200" t="s">
        <v>31</v>
      </c>
      <c r="M200" t="s">
        <v>68</v>
      </c>
      <c r="N200" t="s">
        <v>93</v>
      </c>
      <c r="O200">
        <v>38.206281699999998</v>
      </c>
      <c r="P200">
        <v>-1.0434985000000001</v>
      </c>
      <c r="Q200" t="s">
        <v>31</v>
      </c>
      <c r="R200">
        <v>0.18459999999999999</v>
      </c>
      <c r="S200" t="s">
        <v>171</v>
      </c>
    </row>
    <row r="201" spans="1:19" x14ac:dyDescent="0.2">
      <c r="A201">
        <v>18</v>
      </c>
      <c r="B201">
        <v>13</v>
      </c>
      <c r="C201" t="s">
        <v>67</v>
      </c>
      <c r="D201">
        <v>1997</v>
      </c>
      <c r="E201">
        <v>6.5</v>
      </c>
      <c r="F201">
        <v>5</v>
      </c>
      <c r="G201">
        <v>16.100000000000001</v>
      </c>
      <c r="H201">
        <v>36.1</v>
      </c>
      <c r="I201" t="s">
        <v>35</v>
      </c>
      <c r="J201" t="s">
        <v>31</v>
      </c>
      <c r="K201" t="s">
        <v>31</v>
      </c>
      <c r="L201" t="s">
        <v>31</v>
      </c>
      <c r="M201" t="s">
        <v>68</v>
      </c>
      <c r="N201" t="s">
        <v>93</v>
      </c>
      <c r="O201">
        <v>38.206281699999998</v>
      </c>
      <c r="P201">
        <v>-1.0434985000000001</v>
      </c>
      <c r="Q201" t="s">
        <v>31</v>
      </c>
      <c r="R201">
        <v>0.18459999999999999</v>
      </c>
      <c r="S201" t="s">
        <v>171</v>
      </c>
    </row>
    <row r="202" spans="1:19" x14ac:dyDescent="0.2">
      <c r="A202">
        <v>18</v>
      </c>
      <c r="B202">
        <v>14</v>
      </c>
      <c r="C202" t="s">
        <v>67</v>
      </c>
      <c r="D202">
        <v>1997</v>
      </c>
      <c r="E202">
        <v>13</v>
      </c>
      <c r="F202">
        <v>5</v>
      </c>
      <c r="G202">
        <v>16.100000000000001</v>
      </c>
      <c r="H202">
        <v>36.1</v>
      </c>
      <c r="I202" t="s">
        <v>35</v>
      </c>
      <c r="J202" t="s">
        <v>31</v>
      </c>
      <c r="K202" t="s">
        <v>31</v>
      </c>
      <c r="L202" t="s">
        <v>31</v>
      </c>
      <c r="M202" t="s">
        <v>68</v>
      </c>
      <c r="N202" t="s">
        <v>93</v>
      </c>
      <c r="O202">
        <v>38.206281699999998</v>
      </c>
      <c r="P202">
        <v>-1.0434985000000001</v>
      </c>
      <c r="Q202" t="s">
        <v>31</v>
      </c>
      <c r="R202">
        <v>0.18459999999999999</v>
      </c>
      <c r="S202" t="s">
        <v>171</v>
      </c>
    </row>
    <row r="203" spans="1:19" x14ac:dyDescent="0.2">
      <c r="A203">
        <v>18</v>
      </c>
      <c r="B203">
        <v>15</v>
      </c>
      <c r="C203" t="s">
        <v>67</v>
      </c>
      <c r="D203">
        <v>1997</v>
      </c>
      <c r="E203">
        <v>19.5</v>
      </c>
      <c r="F203">
        <v>5</v>
      </c>
      <c r="G203">
        <v>16.100000000000001</v>
      </c>
      <c r="H203">
        <v>36.1</v>
      </c>
      <c r="I203" t="s">
        <v>35</v>
      </c>
      <c r="J203" t="s">
        <v>31</v>
      </c>
      <c r="K203" t="s">
        <v>31</v>
      </c>
      <c r="L203" t="s">
        <v>31</v>
      </c>
      <c r="M203" t="s">
        <v>68</v>
      </c>
      <c r="N203" t="s">
        <v>93</v>
      </c>
      <c r="O203">
        <v>38.206281699999998</v>
      </c>
      <c r="P203">
        <v>-1.0434985000000001</v>
      </c>
      <c r="Q203" t="s">
        <v>31</v>
      </c>
      <c r="R203">
        <v>0.18459999999999999</v>
      </c>
      <c r="S203" t="s">
        <v>171</v>
      </c>
    </row>
    <row r="204" spans="1:19" x14ac:dyDescent="0.2">
      <c r="A204">
        <v>18</v>
      </c>
      <c r="B204">
        <v>16</v>
      </c>
      <c r="C204" t="s">
        <v>67</v>
      </c>
      <c r="D204">
        <v>1997</v>
      </c>
      <c r="E204">
        <v>26</v>
      </c>
      <c r="F204">
        <v>5</v>
      </c>
      <c r="G204">
        <v>16.100000000000001</v>
      </c>
      <c r="H204">
        <v>36.1</v>
      </c>
      <c r="I204" t="s">
        <v>35</v>
      </c>
      <c r="J204" t="s">
        <v>31</v>
      </c>
      <c r="K204" t="s">
        <v>31</v>
      </c>
      <c r="L204" t="s">
        <v>31</v>
      </c>
      <c r="M204" t="s">
        <v>68</v>
      </c>
      <c r="N204" t="s">
        <v>93</v>
      </c>
      <c r="O204">
        <v>38.206281699999998</v>
      </c>
      <c r="P204">
        <v>-1.0434985000000001</v>
      </c>
      <c r="Q204" t="s">
        <v>31</v>
      </c>
      <c r="R204">
        <v>0.18459999999999999</v>
      </c>
      <c r="S204" t="s">
        <v>171</v>
      </c>
    </row>
    <row r="205" spans="1:19" x14ac:dyDescent="0.2">
      <c r="A205">
        <v>18</v>
      </c>
      <c r="B205">
        <v>17</v>
      </c>
      <c r="C205" t="s">
        <v>67</v>
      </c>
      <c r="D205">
        <v>1997</v>
      </c>
      <c r="E205">
        <v>6.5</v>
      </c>
      <c r="F205">
        <v>6</v>
      </c>
      <c r="G205">
        <v>16.100000000000001</v>
      </c>
      <c r="H205">
        <v>36.1</v>
      </c>
      <c r="I205" t="s">
        <v>35</v>
      </c>
      <c r="J205" t="s">
        <v>31</v>
      </c>
      <c r="K205" t="s">
        <v>31</v>
      </c>
      <c r="L205" t="s">
        <v>31</v>
      </c>
      <c r="M205" t="s">
        <v>68</v>
      </c>
      <c r="N205" t="s">
        <v>93</v>
      </c>
      <c r="O205">
        <v>38.206281699999998</v>
      </c>
      <c r="P205">
        <v>-1.0434985000000001</v>
      </c>
      <c r="Q205" t="s">
        <v>31</v>
      </c>
      <c r="R205">
        <v>0.18459999999999999</v>
      </c>
      <c r="S205" t="s">
        <v>171</v>
      </c>
    </row>
    <row r="206" spans="1:19" x14ac:dyDescent="0.2">
      <c r="A206">
        <v>18</v>
      </c>
      <c r="B206">
        <v>18</v>
      </c>
      <c r="C206" t="s">
        <v>67</v>
      </c>
      <c r="D206">
        <v>1997</v>
      </c>
      <c r="E206">
        <v>13</v>
      </c>
      <c r="F206">
        <v>6</v>
      </c>
      <c r="G206">
        <v>16.100000000000001</v>
      </c>
      <c r="H206">
        <v>36.1</v>
      </c>
      <c r="I206" t="s">
        <v>35</v>
      </c>
      <c r="J206" t="s">
        <v>31</v>
      </c>
      <c r="K206" t="s">
        <v>31</v>
      </c>
      <c r="L206" t="s">
        <v>31</v>
      </c>
      <c r="M206" t="s">
        <v>68</v>
      </c>
      <c r="N206" t="s">
        <v>93</v>
      </c>
      <c r="O206">
        <v>38.206281699999998</v>
      </c>
      <c r="P206">
        <v>-1.0434985000000001</v>
      </c>
      <c r="Q206" t="s">
        <v>31</v>
      </c>
      <c r="R206">
        <v>0.18459999999999999</v>
      </c>
      <c r="S206" t="s">
        <v>171</v>
      </c>
    </row>
    <row r="207" spans="1:19" x14ac:dyDescent="0.2">
      <c r="A207">
        <v>18</v>
      </c>
      <c r="B207">
        <v>19</v>
      </c>
      <c r="C207" t="s">
        <v>67</v>
      </c>
      <c r="D207">
        <v>1997</v>
      </c>
      <c r="E207">
        <v>19.5</v>
      </c>
      <c r="F207">
        <v>6</v>
      </c>
      <c r="G207">
        <v>16.100000000000001</v>
      </c>
      <c r="H207">
        <v>36.1</v>
      </c>
      <c r="I207" t="s">
        <v>35</v>
      </c>
      <c r="J207" t="s">
        <v>31</v>
      </c>
      <c r="K207" t="s">
        <v>31</v>
      </c>
      <c r="L207" t="s">
        <v>31</v>
      </c>
      <c r="M207" t="s">
        <v>68</v>
      </c>
      <c r="N207" t="s">
        <v>93</v>
      </c>
      <c r="O207">
        <v>38.206281699999998</v>
      </c>
      <c r="P207">
        <v>-1.0434985000000001</v>
      </c>
      <c r="Q207" t="s">
        <v>31</v>
      </c>
      <c r="R207">
        <v>0.18459999999999999</v>
      </c>
      <c r="S207" t="s">
        <v>171</v>
      </c>
    </row>
    <row r="208" spans="1:19" x14ac:dyDescent="0.2">
      <c r="A208">
        <v>18</v>
      </c>
      <c r="B208">
        <v>20</v>
      </c>
      <c r="C208" t="s">
        <v>67</v>
      </c>
      <c r="D208">
        <v>1997</v>
      </c>
      <c r="E208">
        <v>26</v>
      </c>
      <c r="F208">
        <v>6</v>
      </c>
      <c r="G208">
        <v>16.100000000000001</v>
      </c>
      <c r="H208">
        <v>36.1</v>
      </c>
      <c r="I208" t="s">
        <v>35</v>
      </c>
      <c r="J208" t="s">
        <v>31</v>
      </c>
      <c r="K208" t="s">
        <v>31</v>
      </c>
      <c r="L208" t="s">
        <v>31</v>
      </c>
      <c r="M208" t="s">
        <v>68</v>
      </c>
      <c r="N208" t="s">
        <v>93</v>
      </c>
      <c r="O208">
        <v>38.206281699999998</v>
      </c>
      <c r="P208">
        <v>-1.0434985000000001</v>
      </c>
      <c r="Q208" t="s">
        <v>31</v>
      </c>
      <c r="R208">
        <v>0.18459999999999999</v>
      </c>
      <c r="S208" t="s">
        <v>171</v>
      </c>
    </row>
    <row r="209" spans="1:19" x14ac:dyDescent="0.2">
      <c r="A209">
        <v>19</v>
      </c>
      <c r="B209">
        <v>1</v>
      </c>
      <c r="C209" t="s">
        <v>69</v>
      </c>
      <c r="D209">
        <v>2011</v>
      </c>
      <c r="E209">
        <v>0.5</v>
      </c>
      <c r="F209">
        <v>2</v>
      </c>
      <c r="G209">
        <v>17.399999999999999</v>
      </c>
      <c r="H209">
        <v>52.5</v>
      </c>
      <c r="I209" t="s">
        <v>29</v>
      </c>
      <c r="J209" t="s">
        <v>31</v>
      </c>
      <c r="K209" t="s">
        <v>29</v>
      </c>
      <c r="L209" t="s">
        <v>31</v>
      </c>
      <c r="M209" t="s">
        <v>70</v>
      </c>
      <c r="N209" t="s">
        <v>93</v>
      </c>
      <c r="O209">
        <v>37.912779999999998</v>
      </c>
      <c r="P209">
        <v>-4.1044400000000003</v>
      </c>
      <c r="Q209" t="s">
        <v>31</v>
      </c>
      <c r="R209">
        <v>0.27300000000000002</v>
      </c>
      <c r="S209" t="s">
        <v>171</v>
      </c>
    </row>
    <row r="210" spans="1:19" x14ac:dyDescent="0.2">
      <c r="A210">
        <v>19</v>
      </c>
      <c r="B210">
        <v>2</v>
      </c>
      <c r="C210" t="s">
        <v>69</v>
      </c>
      <c r="D210">
        <v>2011</v>
      </c>
      <c r="E210">
        <v>2</v>
      </c>
      <c r="F210">
        <v>2</v>
      </c>
      <c r="G210">
        <v>17.399999999999999</v>
      </c>
      <c r="H210">
        <v>52.5</v>
      </c>
      <c r="I210" t="s">
        <v>29</v>
      </c>
      <c r="J210" t="s">
        <v>31</v>
      </c>
      <c r="K210" t="s">
        <v>29</v>
      </c>
      <c r="L210" t="s">
        <v>31</v>
      </c>
      <c r="M210" t="s">
        <v>70</v>
      </c>
      <c r="N210" t="s">
        <v>93</v>
      </c>
      <c r="O210">
        <v>37.912779999999998</v>
      </c>
      <c r="P210">
        <v>-4.1044400000000003</v>
      </c>
      <c r="Q210" t="s">
        <v>31</v>
      </c>
      <c r="R210">
        <v>0.27300000000000002</v>
      </c>
      <c r="S210" t="s">
        <v>171</v>
      </c>
    </row>
    <row r="211" spans="1:19" x14ac:dyDescent="0.2">
      <c r="A211">
        <v>19</v>
      </c>
      <c r="B211">
        <v>3</v>
      </c>
      <c r="C211" t="s">
        <v>69</v>
      </c>
      <c r="D211">
        <v>2011</v>
      </c>
      <c r="E211">
        <v>4</v>
      </c>
      <c r="F211">
        <v>2</v>
      </c>
      <c r="G211">
        <v>17.399999999999999</v>
      </c>
      <c r="H211">
        <v>52.5</v>
      </c>
      <c r="I211" t="s">
        <v>29</v>
      </c>
      <c r="J211" t="s">
        <v>31</v>
      </c>
      <c r="K211" t="s">
        <v>29</v>
      </c>
      <c r="L211" t="s">
        <v>31</v>
      </c>
      <c r="M211" t="s">
        <v>70</v>
      </c>
      <c r="N211" t="s">
        <v>93</v>
      </c>
      <c r="O211">
        <v>37.912779999999998</v>
      </c>
      <c r="P211">
        <v>-4.1044400000000003</v>
      </c>
      <c r="Q211" t="s">
        <v>31</v>
      </c>
      <c r="R211">
        <v>0.27300000000000002</v>
      </c>
      <c r="S211" t="s">
        <v>171</v>
      </c>
    </row>
    <row r="212" spans="1:19" x14ac:dyDescent="0.2">
      <c r="A212">
        <v>19</v>
      </c>
      <c r="B212">
        <v>4</v>
      </c>
      <c r="C212" t="s">
        <v>69</v>
      </c>
      <c r="D212">
        <v>2011</v>
      </c>
      <c r="E212">
        <v>4</v>
      </c>
      <c r="F212">
        <v>2</v>
      </c>
      <c r="G212">
        <v>17.399999999999999</v>
      </c>
      <c r="H212">
        <v>52.5</v>
      </c>
      <c r="I212" t="s">
        <v>29</v>
      </c>
      <c r="J212" t="s">
        <v>31</v>
      </c>
      <c r="K212" t="s">
        <v>29</v>
      </c>
      <c r="L212" t="s">
        <v>31</v>
      </c>
      <c r="M212" t="s">
        <v>70</v>
      </c>
      <c r="N212" t="s">
        <v>93</v>
      </c>
      <c r="O212">
        <v>37.912779999999998</v>
      </c>
      <c r="P212">
        <v>-4.1044400000000003</v>
      </c>
      <c r="Q212" t="s">
        <v>31</v>
      </c>
      <c r="R212">
        <v>0.27300000000000002</v>
      </c>
      <c r="S212" t="s">
        <v>171</v>
      </c>
    </row>
    <row r="213" spans="1:19" x14ac:dyDescent="0.2">
      <c r="A213">
        <v>19</v>
      </c>
      <c r="B213">
        <v>5</v>
      </c>
      <c r="C213" t="s">
        <v>69</v>
      </c>
      <c r="D213">
        <v>2011</v>
      </c>
      <c r="E213">
        <v>0.5</v>
      </c>
      <c r="F213">
        <v>3</v>
      </c>
      <c r="G213">
        <v>17.399999999999999</v>
      </c>
      <c r="H213">
        <v>52.5</v>
      </c>
      <c r="I213" t="s">
        <v>29</v>
      </c>
      <c r="J213" t="s">
        <v>31</v>
      </c>
      <c r="K213" t="s">
        <v>29</v>
      </c>
      <c r="L213" t="s">
        <v>31</v>
      </c>
      <c r="M213" t="s">
        <v>70</v>
      </c>
      <c r="N213" t="s">
        <v>93</v>
      </c>
      <c r="O213">
        <v>37.912779999999998</v>
      </c>
      <c r="P213">
        <v>-4.1044400000000003</v>
      </c>
      <c r="Q213" t="s">
        <v>31</v>
      </c>
      <c r="R213">
        <v>0.27300000000000002</v>
      </c>
      <c r="S213" t="s">
        <v>171</v>
      </c>
    </row>
    <row r="214" spans="1:19" x14ac:dyDescent="0.2">
      <c r="A214">
        <v>19</v>
      </c>
      <c r="B214">
        <v>6</v>
      </c>
      <c r="C214" t="s">
        <v>69</v>
      </c>
      <c r="D214">
        <v>2011</v>
      </c>
      <c r="E214">
        <v>2</v>
      </c>
      <c r="F214">
        <v>3</v>
      </c>
      <c r="G214">
        <v>17.399999999999999</v>
      </c>
      <c r="H214">
        <v>52.5</v>
      </c>
      <c r="I214" t="s">
        <v>29</v>
      </c>
      <c r="J214" t="s">
        <v>31</v>
      </c>
      <c r="K214" t="s">
        <v>29</v>
      </c>
      <c r="L214" t="s">
        <v>31</v>
      </c>
      <c r="M214" t="s">
        <v>70</v>
      </c>
      <c r="N214" t="s">
        <v>93</v>
      </c>
      <c r="O214">
        <v>37.912779999999998</v>
      </c>
      <c r="P214">
        <v>-4.1044400000000003</v>
      </c>
      <c r="Q214" t="s">
        <v>31</v>
      </c>
      <c r="R214">
        <v>0.27300000000000002</v>
      </c>
      <c r="S214" t="s">
        <v>171</v>
      </c>
    </row>
    <row r="215" spans="1:19" x14ac:dyDescent="0.2">
      <c r="A215">
        <v>19</v>
      </c>
      <c r="B215">
        <v>7</v>
      </c>
      <c r="C215" t="s">
        <v>69</v>
      </c>
      <c r="D215">
        <v>2011</v>
      </c>
      <c r="E215">
        <v>4</v>
      </c>
      <c r="F215">
        <v>3</v>
      </c>
      <c r="G215">
        <v>17.399999999999999</v>
      </c>
      <c r="H215">
        <v>52.5</v>
      </c>
      <c r="I215" t="s">
        <v>29</v>
      </c>
      <c r="J215" t="s">
        <v>31</v>
      </c>
      <c r="K215" t="s">
        <v>29</v>
      </c>
      <c r="L215" t="s">
        <v>31</v>
      </c>
      <c r="M215" t="s">
        <v>70</v>
      </c>
      <c r="N215" t="s">
        <v>93</v>
      </c>
      <c r="O215">
        <v>37.912779999999998</v>
      </c>
      <c r="P215">
        <v>-4.1044400000000003</v>
      </c>
      <c r="Q215" t="s">
        <v>31</v>
      </c>
      <c r="R215">
        <v>0.27300000000000002</v>
      </c>
      <c r="S215" t="s">
        <v>171</v>
      </c>
    </row>
    <row r="216" spans="1:19" x14ac:dyDescent="0.2">
      <c r="A216">
        <v>19</v>
      </c>
      <c r="B216">
        <v>8</v>
      </c>
      <c r="C216" t="s">
        <v>69</v>
      </c>
      <c r="D216">
        <v>2011</v>
      </c>
      <c r="E216">
        <v>4</v>
      </c>
      <c r="F216">
        <v>3</v>
      </c>
      <c r="G216">
        <v>17.399999999999999</v>
      </c>
      <c r="H216">
        <v>52.5</v>
      </c>
      <c r="I216" t="s">
        <v>29</v>
      </c>
      <c r="J216" t="s">
        <v>31</v>
      </c>
      <c r="K216" t="s">
        <v>29</v>
      </c>
      <c r="L216" t="s">
        <v>31</v>
      </c>
      <c r="M216" t="s">
        <v>70</v>
      </c>
      <c r="N216" t="s">
        <v>93</v>
      </c>
      <c r="O216">
        <v>37.912779999999998</v>
      </c>
      <c r="P216">
        <v>-4.1044400000000003</v>
      </c>
      <c r="Q216" t="s">
        <v>31</v>
      </c>
      <c r="R216">
        <v>0.27300000000000002</v>
      </c>
      <c r="S216" t="s">
        <v>171</v>
      </c>
    </row>
    <row r="217" spans="1:19" x14ac:dyDescent="0.2">
      <c r="A217">
        <v>19</v>
      </c>
      <c r="B217">
        <v>9</v>
      </c>
      <c r="C217" t="s">
        <v>69</v>
      </c>
      <c r="D217">
        <v>2011</v>
      </c>
      <c r="E217">
        <v>0.5</v>
      </c>
      <c r="F217">
        <v>2</v>
      </c>
      <c r="G217">
        <v>17.399999999999999</v>
      </c>
      <c r="H217">
        <v>52.5</v>
      </c>
      <c r="I217" t="s">
        <v>29</v>
      </c>
      <c r="J217" t="s">
        <v>31</v>
      </c>
      <c r="K217" t="s">
        <v>29</v>
      </c>
      <c r="L217" t="s">
        <v>31</v>
      </c>
      <c r="M217" t="s">
        <v>70</v>
      </c>
      <c r="N217" t="s">
        <v>93</v>
      </c>
      <c r="O217">
        <v>37.912779999999998</v>
      </c>
      <c r="P217">
        <v>-4.1044400000000003</v>
      </c>
      <c r="Q217" t="s">
        <v>31</v>
      </c>
      <c r="R217">
        <v>0.27300000000000002</v>
      </c>
      <c r="S217" t="s">
        <v>171</v>
      </c>
    </row>
    <row r="218" spans="1:19" x14ac:dyDescent="0.2">
      <c r="A218">
        <v>19</v>
      </c>
      <c r="B218">
        <v>10</v>
      </c>
      <c r="C218" t="s">
        <v>69</v>
      </c>
      <c r="D218">
        <v>2011</v>
      </c>
      <c r="E218">
        <v>2</v>
      </c>
      <c r="F218">
        <v>2</v>
      </c>
      <c r="G218">
        <v>17.399999999999999</v>
      </c>
      <c r="H218">
        <v>52.5</v>
      </c>
      <c r="I218" t="s">
        <v>29</v>
      </c>
      <c r="J218" t="s">
        <v>31</v>
      </c>
      <c r="K218" t="s">
        <v>29</v>
      </c>
      <c r="L218" t="s">
        <v>31</v>
      </c>
      <c r="M218" t="s">
        <v>70</v>
      </c>
      <c r="N218" t="s">
        <v>93</v>
      </c>
      <c r="O218">
        <v>37.912779999999998</v>
      </c>
      <c r="P218">
        <v>-4.1044400000000003</v>
      </c>
      <c r="Q218" t="s">
        <v>31</v>
      </c>
      <c r="R218">
        <v>0.27300000000000002</v>
      </c>
      <c r="S218" t="s">
        <v>171</v>
      </c>
    </row>
    <row r="219" spans="1:19" x14ac:dyDescent="0.2">
      <c r="A219">
        <v>19</v>
      </c>
      <c r="B219">
        <v>11</v>
      </c>
      <c r="C219" t="s">
        <v>69</v>
      </c>
      <c r="D219">
        <v>2011</v>
      </c>
      <c r="E219">
        <v>4</v>
      </c>
      <c r="F219">
        <v>2</v>
      </c>
      <c r="G219">
        <v>17.399999999999999</v>
      </c>
      <c r="H219">
        <v>52.5</v>
      </c>
      <c r="I219" t="s">
        <v>29</v>
      </c>
      <c r="J219" t="s">
        <v>31</v>
      </c>
      <c r="K219" t="s">
        <v>29</v>
      </c>
      <c r="L219" t="s">
        <v>31</v>
      </c>
      <c r="M219" t="s">
        <v>70</v>
      </c>
      <c r="N219" t="s">
        <v>93</v>
      </c>
      <c r="O219">
        <v>37.912779999999998</v>
      </c>
      <c r="P219">
        <v>-4.1044400000000003</v>
      </c>
      <c r="Q219" t="s">
        <v>31</v>
      </c>
      <c r="R219">
        <v>0.27300000000000002</v>
      </c>
      <c r="S219" t="s">
        <v>171</v>
      </c>
    </row>
    <row r="220" spans="1:19" x14ac:dyDescent="0.2">
      <c r="A220">
        <v>19</v>
      </c>
      <c r="B220">
        <v>12</v>
      </c>
      <c r="C220" t="s">
        <v>69</v>
      </c>
      <c r="D220">
        <v>2011</v>
      </c>
      <c r="E220">
        <v>0.5</v>
      </c>
      <c r="F220">
        <v>3</v>
      </c>
      <c r="G220">
        <v>17.399999999999999</v>
      </c>
      <c r="H220">
        <v>52.5</v>
      </c>
      <c r="I220" t="s">
        <v>29</v>
      </c>
      <c r="J220" t="s">
        <v>31</v>
      </c>
      <c r="K220" t="s">
        <v>29</v>
      </c>
      <c r="L220" t="s">
        <v>31</v>
      </c>
      <c r="M220" t="s">
        <v>70</v>
      </c>
      <c r="N220" t="s">
        <v>93</v>
      </c>
      <c r="O220">
        <v>37.912779999999998</v>
      </c>
      <c r="P220">
        <v>-4.1044400000000003</v>
      </c>
      <c r="Q220" t="s">
        <v>31</v>
      </c>
      <c r="R220">
        <v>0.27300000000000002</v>
      </c>
      <c r="S220" t="s">
        <v>171</v>
      </c>
    </row>
    <row r="221" spans="1:19" x14ac:dyDescent="0.2">
      <c r="A221">
        <v>19</v>
      </c>
      <c r="B221">
        <v>13</v>
      </c>
      <c r="C221" t="s">
        <v>69</v>
      </c>
      <c r="D221">
        <v>2011</v>
      </c>
      <c r="E221">
        <v>2</v>
      </c>
      <c r="F221">
        <v>3</v>
      </c>
      <c r="G221">
        <v>17.399999999999999</v>
      </c>
      <c r="H221">
        <v>52.5</v>
      </c>
      <c r="I221" t="s">
        <v>29</v>
      </c>
      <c r="J221" t="s">
        <v>31</v>
      </c>
      <c r="K221" t="s">
        <v>29</v>
      </c>
      <c r="L221" t="s">
        <v>31</v>
      </c>
      <c r="M221" t="s">
        <v>70</v>
      </c>
      <c r="N221" t="s">
        <v>93</v>
      </c>
      <c r="O221">
        <v>37.912779999999998</v>
      </c>
      <c r="P221">
        <v>-4.1044400000000003</v>
      </c>
      <c r="Q221" t="s">
        <v>31</v>
      </c>
      <c r="R221">
        <v>0.27300000000000002</v>
      </c>
      <c r="S221" t="s">
        <v>171</v>
      </c>
    </row>
    <row r="222" spans="1:19" x14ac:dyDescent="0.2">
      <c r="A222">
        <v>19</v>
      </c>
      <c r="B222">
        <v>14</v>
      </c>
      <c r="C222" t="s">
        <v>69</v>
      </c>
      <c r="D222">
        <v>2011</v>
      </c>
      <c r="E222">
        <v>4</v>
      </c>
      <c r="F222">
        <v>3</v>
      </c>
      <c r="G222">
        <v>17.399999999999999</v>
      </c>
      <c r="H222">
        <v>52.5</v>
      </c>
      <c r="I222" t="s">
        <v>29</v>
      </c>
      <c r="J222" t="s">
        <v>31</v>
      </c>
      <c r="K222" t="s">
        <v>29</v>
      </c>
      <c r="L222" t="s">
        <v>31</v>
      </c>
      <c r="M222" t="s">
        <v>70</v>
      </c>
      <c r="N222" t="s">
        <v>93</v>
      </c>
      <c r="O222">
        <v>37.912779999999998</v>
      </c>
      <c r="P222">
        <v>-4.1044400000000003</v>
      </c>
      <c r="Q222" t="s">
        <v>31</v>
      </c>
      <c r="R222">
        <v>0.27300000000000002</v>
      </c>
      <c r="S222" t="s">
        <v>171</v>
      </c>
    </row>
    <row r="223" spans="1:19" x14ac:dyDescent="0.2">
      <c r="A223">
        <v>19</v>
      </c>
      <c r="B223">
        <v>15</v>
      </c>
      <c r="C223" t="s">
        <v>69</v>
      </c>
      <c r="D223">
        <v>2011</v>
      </c>
      <c r="E223">
        <v>4</v>
      </c>
      <c r="F223">
        <v>3</v>
      </c>
      <c r="G223">
        <v>17.399999999999999</v>
      </c>
      <c r="H223">
        <v>52.5</v>
      </c>
      <c r="I223" t="s">
        <v>29</v>
      </c>
      <c r="J223" t="s">
        <v>31</v>
      </c>
      <c r="K223" t="s">
        <v>29</v>
      </c>
      <c r="L223" t="s">
        <v>31</v>
      </c>
      <c r="M223" t="s">
        <v>70</v>
      </c>
      <c r="N223" t="s">
        <v>93</v>
      </c>
      <c r="O223">
        <v>37.912779999999998</v>
      </c>
      <c r="P223">
        <v>-4.1044400000000003</v>
      </c>
      <c r="Q223" t="s">
        <v>31</v>
      </c>
      <c r="R223">
        <v>0.27300000000000002</v>
      </c>
      <c r="S223" t="s">
        <v>171</v>
      </c>
    </row>
    <row r="224" spans="1:19" x14ac:dyDescent="0.2">
      <c r="A224">
        <v>20</v>
      </c>
      <c r="B224">
        <v>1</v>
      </c>
      <c r="C224" t="s">
        <v>71</v>
      </c>
      <c r="D224">
        <v>1990</v>
      </c>
      <c r="E224">
        <v>22.5</v>
      </c>
      <c r="F224">
        <v>2</v>
      </c>
      <c r="G224">
        <v>10.4</v>
      </c>
      <c r="H224">
        <v>36.700000000000003</v>
      </c>
      <c r="I224" t="s">
        <v>31</v>
      </c>
      <c r="J224" t="s">
        <v>31</v>
      </c>
      <c r="K224" t="s">
        <v>31</v>
      </c>
      <c r="L224" t="s">
        <v>31</v>
      </c>
      <c r="M224" t="s">
        <v>72</v>
      </c>
      <c r="N224" t="s">
        <v>91</v>
      </c>
      <c r="O224">
        <v>35.648300999999996</v>
      </c>
      <c r="P224">
        <v>-106.58593999999999</v>
      </c>
      <c r="Q224" t="s">
        <v>31</v>
      </c>
      <c r="R224">
        <v>0.26140000000000002</v>
      </c>
      <c r="S224" t="s">
        <v>173</v>
      </c>
    </row>
    <row r="225" spans="1:19" x14ac:dyDescent="0.2">
      <c r="A225">
        <v>20</v>
      </c>
      <c r="B225">
        <v>2</v>
      </c>
      <c r="C225" t="s">
        <v>71</v>
      </c>
      <c r="D225">
        <v>1990</v>
      </c>
      <c r="E225">
        <v>45</v>
      </c>
      <c r="F225">
        <v>2</v>
      </c>
      <c r="G225">
        <v>10.4</v>
      </c>
      <c r="H225">
        <v>36.700000000000003</v>
      </c>
      <c r="I225" t="s">
        <v>31</v>
      </c>
      <c r="J225" t="s">
        <v>31</v>
      </c>
      <c r="K225" t="s">
        <v>31</v>
      </c>
      <c r="L225" t="s">
        <v>31</v>
      </c>
      <c r="M225" t="s">
        <v>72</v>
      </c>
      <c r="N225" t="s">
        <v>91</v>
      </c>
      <c r="O225">
        <v>35.648300999999996</v>
      </c>
      <c r="P225">
        <v>-106.58593999999999</v>
      </c>
      <c r="Q225" t="s">
        <v>31</v>
      </c>
      <c r="R225">
        <v>0.26140000000000002</v>
      </c>
      <c r="S225" t="s">
        <v>173</v>
      </c>
    </row>
    <row r="226" spans="1:19" x14ac:dyDescent="0.2">
      <c r="A226">
        <v>20</v>
      </c>
      <c r="B226">
        <v>3</v>
      </c>
      <c r="C226" t="s">
        <v>71</v>
      </c>
      <c r="D226">
        <v>1990</v>
      </c>
      <c r="E226">
        <v>90</v>
      </c>
      <c r="F226">
        <v>2</v>
      </c>
      <c r="G226">
        <v>10.4</v>
      </c>
      <c r="H226">
        <v>36.700000000000003</v>
      </c>
      <c r="I226" t="s">
        <v>31</v>
      </c>
      <c r="J226" t="s">
        <v>31</v>
      </c>
      <c r="K226" t="s">
        <v>31</v>
      </c>
      <c r="L226" t="s">
        <v>31</v>
      </c>
      <c r="M226" t="s">
        <v>72</v>
      </c>
      <c r="N226" t="s">
        <v>91</v>
      </c>
      <c r="O226">
        <v>35.648300999999996</v>
      </c>
      <c r="P226">
        <v>-106.58593999999999</v>
      </c>
      <c r="Q226" t="s">
        <v>31</v>
      </c>
      <c r="R226">
        <v>0.26140000000000002</v>
      </c>
      <c r="S226" t="s">
        <v>173</v>
      </c>
    </row>
    <row r="227" spans="1:19" x14ac:dyDescent="0.2">
      <c r="A227">
        <v>20</v>
      </c>
      <c r="B227">
        <v>4</v>
      </c>
      <c r="C227" t="s">
        <v>71</v>
      </c>
      <c r="D227">
        <v>1990</v>
      </c>
      <c r="E227">
        <v>22.5</v>
      </c>
      <c r="F227">
        <v>3</v>
      </c>
      <c r="G227">
        <v>10.4</v>
      </c>
      <c r="H227">
        <v>36.700000000000003</v>
      </c>
      <c r="I227" t="s">
        <v>31</v>
      </c>
      <c r="J227" t="s">
        <v>31</v>
      </c>
      <c r="K227" t="s">
        <v>31</v>
      </c>
      <c r="L227" t="s">
        <v>31</v>
      </c>
      <c r="M227" t="s">
        <v>72</v>
      </c>
      <c r="N227" t="s">
        <v>91</v>
      </c>
      <c r="O227">
        <v>35.648300999999996</v>
      </c>
      <c r="P227">
        <v>-106.58593999999999</v>
      </c>
      <c r="Q227" t="s">
        <v>31</v>
      </c>
      <c r="R227">
        <v>0.26140000000000002</v>
      </c>
      <c r="S227" t="s">
        <v>173</v>
      </c>
    </row>
    <row r="228" spans="1:19" x14ac:dyDescent="0.2">
      <c r="A228">
        <v>20</v>
      </c>
      <c r="B228">
        <v>5</v>
      </c>
      <c r="C228" t="s">
        <v>71</v>
      </c>
      <c r="D228">
        <v>1990</v>
      </c>
      <c r="E228">
        <v>45</v>
      </c>
      <c r="F228">
        <v>3</v>
      </c>
      <c r="G228">
        <v>10.4</v>
      </c>
      <c r="H228">
        <v>36.700000000000003</v>
      </c>
      <c r="I228" t="s">
        <v>31</v>
      </c>
      <c r="J228" t="s">
        <v>31</v>
      </c>
      <c r="K228" t="s">
        <v>31</v>
      </c>
      <c r="L228" t="s">
        <v>31</v>
      </c>
      <c r="M228" t="s">
        <v>72</v>
      </c>
      <c r="N228" t="s">
        <v>91</v>
      </c>
      <c r="O228">
        <v>35.648300999999996</v>
      </c>
      <c r="P228">
        <v>-106.58593999999999</v>
      </c>
      <c r="Q228" t="s">
        <v>31</v>
      </c>
      <c r="R228">
        <v>0.26140000000000002</v>
      </c>
      <c r="S228" t="s">
        <v>173</v>
      </c>
    </row>
    <row r="229" spans="1:19" x14ac:dyDescent="0.2">
      <c r="A229">
        <v>20</v>
      </c>
      <c r="B229">
        <v>6</v>
      </c>
      <c r="C229" t="s">
        <v>71</v>
      </c>
      <c r="D229">
        <v>1990</v>
      </c>
      <c r="E229">
        <v>90</v>
      </c>
      <c r="F229">
        <v>3</v>
      </c>
      <c r="G229">
        <v>10.4</v>
      </c>
      <c r="H229">
        <v>36.700000000000003</v>
      </c>
      <c r="I229" t="s">
        <v>31</v>
      </c>
      <c r="J229" t="s">
        <v>31</v>
      </c>
      <c r="K229" t="s">
        <v>31</v>
      </c>
      <c r="L229" t="s">
        <v>31</v>
      </c>
      <c r="M229" t="s">
        <v>72</v>
      </c>
      <c r="N229" t="s">
        <v>91</v>
      </c>
      <c r="O229">
        <v>35.648300999999996</v>
      </c>
      <c r="P229">
        <v>-106.58593999999999</v>
      </c>
      <c r="Q229" t="s">
        <v>31</v>
      </c>
      <c r="R229">
        <v>0.26140000000000002</v>
      </c>
      <c r="S229" t="s">
        <v>173</v>
      </c>
    </row>
    <row r="230" spans="1:19" x14ac:dyDescent="0.2">
      <c r="A230">
        <v>20</v>
      </c>
      <c r="B230">
        <v>7</v>
      </c>
      <c r="C230" t="s">
        <v>71</v>
      </c>
      <c r="D230">
        <v>1990</v>
      </c>
      <c r="E230">
        <v>22.5</v>
      </c>
      <c r="F230">
        <v>4</v>
      </c>
      <c r="G230">
        <v>10.4</v>
      </c>
      <c r="H230">
        <v>36.700000000000003</v>
      </c>
      <c r="I230" t="s">
        <v>31</v>
      </c>
      <c r="J230" t="s">
        <v>31</v>
      </c>
      <c r="K230" t="s">
        <v>31</v>
      </c>
      <c r="L230" t="s">
        <v>31</v>
      </c>
      <c r="M230" t="s">
        <v>72</v>
      </c>
      <c r="N230" t="s">
        <v>91</v>
      </c>
      <c r="O230">
        <v>35.648300999999996</v>
      </c>
      <c r="P230">
        <v>-106.58593999999999</v>
      </c>
      <c r="Q230" t="s">
        <v>31</v>
      </c>
      <c r="R230">
        <v>0.26140000000000002</v>
      </c>
      <c r="S230" t="s">
        <v>173</v>
      </c>
    </row>
    <row r="231" spans="1:19" x14ac:dyDescent="0.2">
      <c r="A231">
        <v>20</v>
      </c>
      <c r="B231">
        <v>8</v>
      </c>
      <c r="C231" t="s">
        <v>71</v>
      </c>
      <c r="D231">
        <v>1990</v>
      </c>
      <c r="E231">
        <v>45</v>
      </c>
      <c r="F231">
        <v>4</v>
      </c>
      <c r="G231">
        <v>10.4</v>
      </c>
      <c r="H231">
        <v>36.700000000000003</v>
      </c>
      <c r="I231" t="s">
        <v>31</v>
      </c>
      <c r="J231" t="s">
        <v>31</v>
      </c>
      <c r="K231" t="s">
        <v>31</v>
      </c>
      <c r="L231" t="s">
        <v>31</v>
      </c>
      <c r="M231" t="s">
        <v>72</v>
      </c>
      <c r="N231" t="s">
        <v>91</v>
      </c>
      <c r="O231">
        <v>35.648300999999996</v>
      </c>
      <c r="P231">
        <v>-106.58593999999999</v>
      </c>
      <c r="Q231" t="s">
        <v>31</v>
      </c>
      <c r="R231">
        <v>0.26140000000000002</v>
      </c>
      <c r="S231" t="s">
        <v>173</v>
      </c>
    </row>
    <row r="232" spans="1:19" x14ac:dyDescent="0.2">
      <c r="A232">
        <v>20</v>
      </c>
      <c r="B232">
        <v>9</v>
      </c>
      <c r="C232" t="s">
        <v>71</v>
      </c>
      <c r="D232">
        <v>1990</v>
      </c>
      <c r="E232">
        <v>90</v>
      </c>
      <c r="F232">
        <v>4</v>
      </c>
      <c r="G232">
        <v>10.4</v>
      </c>
      <c r="H232">
        <v>36.700000000000003</v>
      </c>
      <c r="I232" t="s">
        <v>31</v>
      </c>
      <c r="J232" t="s">
        <v>31</v>
      </c>
      <c r="K232" t="s">
        <v>31</v>
      </c>
      <c r="L232" t="s">
        <v>31</v>
      </c>
      <c r="M232" t="s">
        <v>72</v>
      </c>
      <c r="N232" t="s">
        <v>91</v>
      </c>
      <c r="O232">
        <v>35.648300999999996</v>
      </c>
      <c r="P232">
        <v>-106.58593999999999</v>
      </c>
      <c r="Q232" t="s">
        <v>31</v>
      </c>
      <c r="R232">
        <v>0.26140000000000002</v>
      </c>
      <c r="S232" t="s">
        <v>173</v>
      </c>
    </row>
    <row r="233" spans="1:19" x14ac:dyDescent="0.2">
      <c r="A233">
        <v>20</v>
      </c>
      <c r="B233">
        <v>10</v>
      </c>
      <c r="C233" t="s">
        <v>71</v>
      </c>
      <c r="D233">
        <v>1990</v>
      </c>
      <c r="E233">
        <v>22.5</v>
      </c>
      <c r="F233">
        <v>5</v>
      </c>
      <c r="G233">
        <v>10.4</v>
      </c>
      <c r="H233">
        <v>36.700000000000003</v>
      </c>
      <c r="I233" t="s">
        <v>31</v>
      </c>
      <c r="J233" t="s">
        <v>31</v>
      </c>
      <c r="K233" t="s">
        <v>31</v>
      </c>
      <c r="L233" t="s">
        <v>31</v>
      </c>
      <c r="M233" t="s">
        <v>72</v>
      </c>
      <c r="N233" t="s">
        <v>91</v>
      </c>
      <c r="O233">
        <v>35.648300999999996</v>
      </c>
      <c r="P233">
        <v>-106.58593999999999</v>
      </c>
      <c r="Q233" t="s">
        <v>31</v>
      </c>
      <c r="R233">
        <v>0.26140000000000002</v>
      </c>
      <c r="S233" t="s">
        <v>173</v>
      </c>
    </row>
    <row r="234" spans="1:19" x14ac:dyDescent="0.2">
      <c r="A234">
        <v>20</v>
      </c>
      <c r="B234">
        <v>11</v>
      </c>
      <c r="C234" t="s">
        <v>71</v>
      </c>
      <c r="D234">
        <v>1990</v>
      </c>
      <c r="E234">
        <v>45</v>
      </c>
      <c r="F234">
        <v>5</v>
      </c>
      <c r="G234">
        <v>10.4</v>
      </c>
      <c r="H234">
        <v>36.700000000000003</v>
      </c>
      <c r="I234" t="s">
        <v>31</v>
      </c>
      <c r="J234" t="s">
        <v>31</v>
      </c>
      <c r="K234" t="s">
        <v>31</v>
      </c>
      <c r="L234" t="s">
        <v>31</v>
      </c>
      <c r="M234" t="s">
        <v>72</v>
      </c>
      <c r="N234" t="s">
        <v>91</v>
      </c>
      <c r="O234">
        <v>35.648300999999996</v>
      </c>
      <c r="P234">
        <v>-106.58593999999999</v>
      </c>
      <c r="Q234" t="s">
        <v>31</v>
      </c>
      <c r="R234">
        <v>0.26140000000000002</v>
      </c>
      <c r="S234" t="s">
        <v>173</v>
      </c>
    </row>
    <row r="235" spans="1:19" x14ac:dyDescent="0.2">
      <c r="A235">
        <v>20</v>
      </c>
      <c r="B235">
        <v>12</v>
      </c>
      <c r="C235" t="s">
        <v>71</v>
      </c>
      <c r="D235">
        <v>1990</v>
      </c>
      <c r="E235">
        <v>90</v>
      </c>
      <c r="F235">
        <v>5</v>
      </c>
      <c r="G235">
        <v>10.4</v>
      </c>
      <c r="H235">
        <v>36.700000000000003</v>
      </c>
      <c r="I235" t="s">
        <v>31</v>
      </c>
      <c r="J235" t="s">
        <v>31</v>
      </c>
      <c r="K235" t="s">
        <v>31</v>
      </c>
      <c r="L235" t="s">
        <v>31</v>
      </c>
      <c r="M235" t="s">
        <v>72</v>
      </c>
      <c r="N235" t="s">
        <v>91</v>
      </c>
      <c r="O235">
        <v>35.648300999999996</v>
      </c>
      <c r="P235">
        <v>-106.58593999999999</v>
      </c>
      <c r="Q235" t="s">
        <v>31</v>
      </c>
      <c r="R235">
        <v>0.26140000000000002</v>
      </c>
      <c r="S235" t="s">
        <v>173</v>
      </c>
    </row>
    <row r="236" spans="1:19" x14ac:dyDescent="0.2">
      <c r="A236">
        <v>20</v>
      </c>
      <c r="B236">
        <v>1</v>
      </c>
      <c r="C236" t="s">
        <v>71</v>
      </c>
      <c r="D236">
        <v>1990</v>
      </c>
      <c r="E236">
        <v>22.5</v>
      </c>
      <c r="F236">
        <v>1</v>
      </c>
      <c r="G236">
        <v>10.4</v>
      </c>
      <c r="H236">
        <v>36.700000000000003</v>
      </c>
      <c r="I236" t="s">
        <v>31</v>
      </c>
      <c r="J236" t="s">
        <v>31</v>
      </c>
      <c r="K236" t="s">
        <v>31</v>
      </c>
      <c r="L236" t="s">
        <v>31</v>
      </c>
      <c r="M236" t="s">
        <v>72</v>
      </c>
      <c r="N236" t="s">
        <v>91</v>
      </c>
      <c r="O236">
        <v>35.648300999999996</v>
      </c>
      <c r="P236">
        <v>-106.58593999999999</v>
      </c>
      <c r="Q236" t="s">
        <v>31</v>
      </c>
      <c r="R236">
        <v>0.26140000000000002</v>
      </c>
      <c r="S236" t="s">
        <v>172</v>
      </c>
    </row>
    <row r="237" spans="1:19" x14ac:dyDescent="0.2">
      <c r="A237">
        <v>20</v>
      </c>
      <c r="B237">
        <v>2</v>
      </c>
      <c r="C237" t="s">
        <v>71</v>
      </c>
      <c r="D237">
        <v>1990</v>
      </c>
      <c r="E237">
        <v>45</v>
      </c>
      <c r="F237">
        <v>1</v>
      </c>
      <c r="G237">
        <v>10.4</v>
      </c>
      <c r="H237">
        <v>36.700000000000003</v>
      </c>
      <c r="I237" t="s">
        <v>31</v>
      </c>
      <c r="J237" t="s">
        <v>31</v>
      </c>
      <c r="K237" t="s">
        <v>31</v>
      </c>
      <c r="L237" t="s">
        <v>31</v>
      </c>
      <c r="M237" t="s">
        <v>72</v>
      </c>
      <c r="N237" t="s">
        <v>91</v>
      </c>
      <c r="O237">
        <v>35.648300999999996</v>
      </c>
      <c r="P237">
        <v>-106.58593999999999</v>
      </c>
      <c r="Q237" t="s">
        <v>31</v>
      </c>
      <c r="R237">
        <v>0.26140000000000002</v>
      </c>
      <c r="S237" t="s">
        <v>172</v>
      </c>
    </row>
    <row r="238" spans="1:19" x14ac:dyDescent="0.2">
      <c r="A238">
        <v>20</v>
      </c>
      <c r="B238">
        <v>3</v>
      </c>
      <c r="C238" t="s">
        <v>71</v>
      </c>
      <c r="D238">
        <v>1990</v>
      </c>
      <c r="E238">
        <v>90</v>
      </c>
      <c r="F238">
        <v>1</v>
      </c>
      <c r="G238">
        <v>10.4</v>
      </c>
      <c r="H238">
        <v>36.700000000000003</v>
      </c>
      <c r="I238" t="s">
        <v>31</v>
      </c>
      <c r="J238" t="s">
        <v>31</v>
      </c>
      <c r="K238" t="s">
        <v>31</v>
      </c>
      <c r="L238" t="s">
        <v>31</v>
      </c>
      <c r="M238" t="s">
        <v>72</v>
      </c>
      <c r="N238" t="s">
        <v>91</v>
      </c>
      <c r="O238">
        <v>35.648300999999996</v>
      </c>
      <c r="P238">
        <v>-106.58593999999999</v>
      </c>
      <c r="Q238" t="s">
        <v>31</v>
      </c>
      <c r="R238">
        <v>0.26140000000000002</v>
      </c>
      <c r="S238" t="s">
        <v>172</v>
      </c>
    </row>
    <row r="239" spans="1:19" x14ac:dyDescent="0.2">
      <c r="A239">
        <v>20</v>
      </c>
      <c r="B239">
        <v>4</v>
      </c>
      <c r="C239" t="s">
        <v>71</v>
      </c>
      <c r="D239">
        <v>1990</v>
      </c>
      <c r="E239">
        <v>22.5</v>
      </c>
      <c r="F239">
        <v>3</v>
      </c>
      <c r="G239">
        <v>10.4</v>
      </c>
      <c r="H239">
        <v>36.700000000000003</v>
      </c>
      <c r="I239" t="s">
        <v>31</v>
      </c>
      <c r="J239" t="s">
        <v>31</v>
      </c>
      <c r="K239" t="s">
        <v>31</v>
      </c>
      <c r="L239" t="s">
        <v>31</v>
      </c>
      <c r="M239" t="s">
        <v>72</v>
      </c>
      <c r="N239" t="s">
        <v>91</v>
      </c>
      <c r="O239">
        <v>35.648300999999996</v>
      </c>
      <c r="P239">
        <v>-106.58593999999999</v>
      </c>
      <c r="Q239" t="s">
        <v>31</v>
      </c>
      <c r="R239">
        <v>0.26140000000000002</v>
      </c>
      <c r="S239" t="s">
        <v>172</v>
      </c>
    </row>
    <row r="240" spans="1:19" x14ac:dyDescent="0.2">
      <c r="A240">
        <v>20</v>
      </c>
      <c r="B240">
        <v>5</v>
      </c>
      <c r="C240" t="s">
        <v>71</v>
      </c>
      <c r="D240">
        <v>1990</v>
      </c>
      <c r="E240">
        <v>45</v>
      </c>
      <c r="F240">
        <v>3</v>
      </c>
      <c r="G240">
        <v>10.4</v>
      </c>
      <c r="H240">
        <v>36.700000000000003</v>
      </c>
      <c r="I240" t="s">
        <v>31</v>
      </c>
      <c r="J240" t="s">
        <v>31</v>
      </c>
      <c r="K240" t="s">
        <v>31</v>
      </c>
      <c r="L240" t="s">
        <v>31</v>
      </c>
      <c r="M240" t="s">
        <v>72</v>
      </c>
      <c r="N240" t="s">
        <v>91</v>
      </c>
      <c r="O240">
        <v>35.648300999999996</v>
      </c>
      <c r="P240">
        <v>-106.58593999999999</v>
      </c>
      <c r="Q240" t="s">
        <v>31</v>
      </c>
      <c r="R240">
        <v>0.26140000000000002</v>
      </c>
      <c r="S240" t="s">
        <v>172</v>
      </c>
    </row>
    <row r="241" spans="1:19" x14ac:dyDescent="0.2">
      <c r="A241">
        <v>20</v>
      </c>
      <c r="B241">
        <v>6</v>
      </c>
      <c r="C241" t="s">
        <v>71</v>
      </c>
      <c r="D241">
        <v>1990</v>
      </c>
      <c r="E241">
        <v>90</v>
      </c>
      <c r="F241">
        <v>3</v>
      </c>
      <c r="G241">
        <v>10.4</v>
      </c>
      <c r="H241">
        <v>36.700000000000003</v>
      </c>
      <c r="I241" t="s">
        <v>31</v>
      </c>
      <c r="J241" t="s">
        <v>31</v>
      </c>
      <c r="K241" t="s">
        <v>31</v>
      </c>
      <c r="L241" t="s">
        <v>31</v>
      </c>
      <c r="M241" t="s">
        <v>72</v>
      </c>
      <c r="N241" t="s">
        <v>91</v>
      </c>
      <c r="O241">
        <v>35.648300999999996</v>
      </c>
      <c r="P241">
        <v>-106.58593999999999</v>
      </c>
      <c r="Q241" t="s">
        <v>31</v>
      </c>
      <c r="R241">
        <v>0.26140000000000002</v>
      </c>
      <c r="S241" t="s">
        <v>172</v>
      </c>
    </row>
    <row r="242" spans="1:19" x14ac:dyDescent="0.2">
      <c r="A242">
        <v>20</v>
      </c>
      <c r="B242">
        <v>7</v>
      </c>
      <c r="C242" t="s">
        <v>71</v>
      </c>
      <c r="D242">
        <v>1990</v>
      </c>
      <c r="E242">
        <v>22.5</v>
      </c>
      <c r="F242">
        <v>4</v>
      </c>
      <c r="G242">
        <v>10.4</v>
      </c>
      <c r="H242">
        <v>36.700000000000003</v>
      </c>
      <c r="I242" t="s">
        <v>31</v>
      </c>
      <c r="J242" t="s">
        <v>31</v>
      </c>
      <c r="K242" t="s">
        <v>31</v>
      </c>
      <c r="L242" t="s">
        <v>31</v>
      </c>
      <c r="M242" t="s">
        <v>72</v>
      </c>
      <c r="N242" t="s">
        <v>91</v>
      </c>
      <c r="O242">
        <v>35.648300999999996</v>
      </c>
      <c r="P242">
        <v>-106.58593999999999</v>
      </c>
      <c r="Q242" t="s">
        <v>31</v>
      </c>
      <c r="R242">
        <v>0.26140000000000002</v>
      </c>
      <c r="S242" t="s">
        <v>172</v>
      </c>
    </row>
    <row r="243" spans="1:19" x14ac:dyDescent="0.2">
      <c r="A243">
        <v>20</v>
      </c>
      <c r="B243">
        <v>8</v>
      </c>
      <c r="C243" t="s">
        <v>71</v>
      </c>
      <c r="D243">
        <v>1990</v>
      </c>
      <c r="E243">
        <v>45</v>
      </c>
      <c r="F243">
        <v>4</v>
      </c>
      <c r="G243">
        <v>10.4</v>
      </c>
      <c r="H243">
        <v>36.700000000000003</v>
      </c>
      <c r="I243" t="s">
        <v>31</v>
      </c>
      <c r="J243" t="s">
        <v>31</v>
      </c>
      <c r="K243" t="s">
        <v>31</v>
      </c>
      <c r="L243" t="s">
        <v>31</v>
      </c>
      <c r="M243" t="s">
        <v>72</v>
      </c>
      <c r="N243" t="s">
        <v>91</v>
      </c>
      <c r="O243">
        <v>35.648300999999996</v>
      </c>
      <c r="P243">
        <v>-106.58593999999999</v>
      </c>
      <c r="Q243" t="s">
        <v>31</v>
      </c>
      <c r="R243">
        <v>0.26140000000000002</v>
      </c>
      <c r="S243" t="s">
        <v>172</v>
      </c>
    </row>
    <row r="244" spans="1:19" x14ac:dyDescent="0.2">
      <c r="A244">
        <v>20</v>
      </c>
      <c r="B244">
        <v>9</v>
      </c>
      <c r="C244" t="s">
        <v>71</v>
      </c>
      <c r="D244">
        <v>1990</v>
      </c>
      <c r="E244">
        <v>90</v>
      </c>
      <c r="F244">
        <v>4</v>
      </c>
      <c r="G244">
        <v>10.4</v>
      </c>
      <c r="H244">
        <v>36.700000000000003</v>
      </c>
      <c r="I244" t="s">
        <v>31</v>
      </c>
      <c r="J244" t="s">
        <v>31</v>
      </c>
      <c r="K244" t="s">
        <v>31</v>
      </c>
      <c r="L244" t="s">
        <v>31</v>
      </c>
      <c r="M244" t="s">
        <v>72</v>
      </c>
      <c r="N244" t="s">
        <v>91</v>
      </c>
      <c r="O244">
        <v>35.648300999999996</v>
      </c>
      <c r="P244">
        <v>-106.58593999999999</v>
      </c>
      <c r="Q244" t="s">
        <v>31</v>
      </c>
      <c r="R244">
        <v>0.26140000000000002</v>
      </c>
      <c r="S244" t="s">
        <v>172</v>
      </c>
    </row>
    <row r="245" spans="1:19" x14ac:dyDescent="0.2">
      <c r="A245">
        <v>20</v>
      </c>
      <c r="B245">
        <v>10</v>
      </c>
      <c r="C245" t="s">
        <v>71</v>
      </c>
      <c r="D245">
        <v>1990</v>
      </c>
      <c r="E245">
        <v>22.5</v>
      </c>
      <c r="F245">
        <v>5</v>
      </c>
      <c r="G245">
        <v>10.4</v>
      </c>
      <c r="H245">
        <v>36.700000000000003</v>
      </c>
      <c r="I245" t="s">
        <v>31</v>
      </c>
      <c r="J245" t="s">
        <v>31</v>
      </c>
      <c r="K245" t="s">
        <v>31</v>
      </c>
      <c r="L245" t="s">
        <v>31</v>
      </c>
      <c r="M245" t="s">
        <v>72</v>
      </c>
      <c r="N245" t="s">
        <v>91</v>
      </c>
      <c r="O245">
        <v>35.648300999999996</v>
      </c>
      <c r="P245">
        <v>-106.58593999999999</v>
      </c>
      <c r="Q245" t="s">
        <v>31</v>
      </c>
      <c r="R245">
        <v>0.26140000000000002</v>
      </c>
      <c r="S245" t="s">
        <v>172</v>
      </c>
    </row>
    <row r="246" spans="1:19" x14ac:dyDescent="0.2">
      <c r="A246">
        <v>20</v>
      </c>
      <c r="B246">
        <v>11</v>
      </c>
      <c r="C246" t="s">
        <v>71</v>
      </c>
      <c r="D246">
        <v>1990</v>
      </c>
      <c r="E246">
        <v>45</v>
      </c>
      <c r="F246">
        <v>5</v>
      </c>
      <c r="G246">
        <v>10.4</v>
      </c>
      <c r="H246">
        <v>36.700000000000003</v>
      </c>
      <c r="I246" t="s">
        <v>31</v>
      </c>
      <c r="J246" t="s">
        <v>31</v>
      </c>
      <c r="K246" t="s">
        <v>31</v>
      </c>
      <c r="L246" t="s">
        <v>31</v>
      </c>
      <c r="M246" t="s">
        <v>72</v>
      </c>
      <c r="N246" t="s">
        <v>91</v>
      </c>
      <c r="O246">
        <v>35.648300999999996</v>
      </c>
      <c r="P246">
        <v>-106.58593999999999</v>
      </c>
      <c r="Q246" t="s">
        <v>31</v>
      </c>
      <c r="R246">
        <v>0.26140000000000002</v>
      </c>
      <c r="S246" t="s">
        <v>172</v>
      </c>
    </row>
    <row r="247" spans="1:19" x14ac:dyDescent="0.2">
      <c r="A247">
        <v>20</v>
      </c>
      <c r="B247">
        <v>12</v>
      </c>
      <c r="C247" t="s">
        <v>71</v>
      </c>
      <c r="D247">
        <v>1990</v>
      </c>
      <c r="E247">
        <v>90</v>
      </c>
      <c r="F247">
        <v>5</v>
      </c>
      <c r="G247">
        <v>10.4</v>
      </c>
      <c r="H247">
        <v>36.700000000000003</v>
      </c>
      <c r="I247" t="s">
        <v>31</v>
      </c>
      <c r="J247" t="s">
        <v>31</v>
      </c>
      <c r="K247" t="s">
        <v>31</v>
      </c>
      <c r="L247" t="s">
        <v>31</v>
      </c>
      <c r="M247" t="s">
        <v>72</v>
      </c>
      <c r="N247" t="s">
        <v>91</v>
      </c>
      <c r="O247">
        <v>35.648300999999996</v>
      </c>
      <c r="P247">
        <v>-106.58593999999999</v>
      </c>
      <c r="Q247" t="s">
        <v>31</v>
      </c>
      <c r="R247">
        <v>0.26140000000000002</v>
      </c>
      <c r="S247" t="s">
        <v>172</v>
      </c>
    </row>
    <row r="248" spans="1:19" x14ac:dyDescent="0.2">
      <c r="A248">
        <v>20</v>
      </c>
      <c r="B248">
        <v>1</v>
      </c>
      <c r="C248" t="s">
        <v>71</v>
      </c>
      <c r="D248">
        <v>1990</v>
      </c>
      <c r="E248">
        <v>22.5</v>
      </c>
      <c r="F248">
        <v>2</v>
      </c>
      <c r="G248">
        <v>10.4</v>
      </c>
      <c r="H248">
        <v>36.700000000000003</v>
      </c>
      <c r="I248" t="s">
        <v>35</v>
      </c>
      <c r="J248" t="s">
        <v>31</v>
      </c>
      <c r="K248" t="s">
        <v>31</v>
      </c>
      <c r="L248" t="s">
        <v>31</v>
      </c>
      <c r="M248" t="s">
        <v>72</v>
      </c>
      <c r="N248" t="s">
        <v>91</v>
      </c>
      <c r="O248">
        <v>35.648300999999996</v>
      </c>
      <c r="P248">
        <v>-106.58593999999999</v>
      </c>
      <c r="Q248" t="s">
        <v>31</v>
      </c>
      <c r="R248">
        <v>0.26140000000000002</v>
      </c>
      <c r="S248" t="s">
        <v>171</v>
      </c>
    </row>
    <row r="249" spans="1:19" x14ac:dyDescent="0.2">
      <c r="A249">
        <v>20</v>
      </c>
      <c r="B249">
        <v>2</v>
      </c>
      <c r="C249" t="s">
        <v>71</v>
      </c>
      <c r="D249">
        <v>1990</v>
      </c>
      <c r="E249">
        <v>45</v>
      </c>
      <c r="F249">
        <v>2</v>
      </c>
      <c r="G249">
        <v>10.4</v>
      </c>
      <c r="H249">
        <v>36.700000000000003</v>
      </c>
      <c r="I249" t="s">
        <v>35</v>
      </c>
      <c r="J249" t="s">
        <v>31</v>
      </c>
      <c r="K249" t="s">
        <v>31</v>
      </c>
      <c r="L249" t="s">
        <v>31</v>
      </c>
      <c r="M249" t="s">
        <v>72</v>
      </c>
      <c r="N249" t="s">
        <v>91</v>
      </c>
      <c r="O249">
        <v>35.648300999999996</v>
      </c>
      <c r="P249">
        <v>-106.58593999999999</v>
      </c>
      <c r="Q249" t="s">
        <v>31</v>
      </c>
      <c r="R249">
        <v>0.26140000000000002</v>
      </c>
      <c r="S249" t="s">
        <v>171</v>
      </c>
    </row>
    <row r="250" spans="1:19" x14ac:dyDescent="0.2">
      <c r="A250">
        <v>20</v>
      </c>
      <c r="B250">
        <v>3</v>
      </c>
      <c r="C250" t="s">
        <v>71</v>
      </c>
      <c r="D250">
        <v>1990</v>
      </c>
      <c r="E250">
        <v>90</v>
      </c>
      <c r="F250">
        <v>2</v>
      </c>
      <c r="G250">
        <v>10.4</v>
      </c>
      <c r="H250">
        <v>36.700000000000003</v>
      </c>
      <c r="I250" t="s">
        <v>35</v>
      </c>
      <c r="J250" t="s">
        <v>31</v>
      </c>
      <c r="K250" t="s">
        <v>31</v>
      </c>
      <c r="L250" t="s">
        <v>31</v>
      </c>
      <c r="M250" t="s">
        <v>72</v>
      </c>
      <c r="N250" t="s">
        <v>91</v>
      </c>
      <c r="O250">
        <v>35.648300999999996</v>
      </c>
      <c r="P250">
        <v>-106.58593999999999</v>
      </c>
      <c r="Q250" t="s">
        <v>31</v>
      </c>
      <c r="R250">
        <v>0.26140000000000002</v>
      </c>
      <c r="S250" t="s">
        <v>171</v>
      </c>
    </row>
    <row r="251" spans="1:19" x14ac:dyDescent="0.2">
      <c r="A251">
        <v>20</v>
      </c>
      <c r="B251">
        <v>4</v>
      </c>
      <c r="C251" t="s">
        <v>71</v>
      </c>
      <c r="D251">
        <v>1990</v>
      </c>
      <c r="E251">
        <v>22.5</v>
      </c>
      <c r="F251">
        <v>3</v>
      </c>
      <c r="G251">
        <v>10.4</v>
      </c>
      <c r="H251">
        <v>36.700000000000003</v>
      </c>
      <c r="I251" t="s">
        <v>35</v>
      </c>
      <c r="J251" t="s">
        <v>31</v>
      </c>
      <c r="K251" t="s">
        <v>31</v>
      </c>
      <c r="L251" t="s">
        <v>31</v>
      </c>
      <c r="M251" t="s">
        <v>72</v>
      </c>
      <c r="N251" t="s">
        <v>91</v>
      </c>
      <c r="O251">
        <v>35.648300999999996</v>
      </c>
      <c r="P251">
        <v>-106.58593999999999</v>
      </c>
      <c r="Q251" t="s">
        <v>31</v>
      </c>
      <c r="R251">
        <v>0.26140000000000002</v>
      </c>
      <c r="S251" t="s">
        <v>171</v>
      </c>
    </row>
    <row r="252" spans="1:19" x14ac:dyDescent="0.2">
      <c r="A252">
        <v>20</v>
      </c>
      <c r="B252">
        <v>5</v>
      </c>
      <c r="C252" t="s">
        <v>71</v>
      </c>
      <c r="D252">
        <v>1990</v>
      </c>
      <c r="E252">
        <v>45</v>
      </c>
      <c r="F252">
        <v>3</v>
      </c>
      <c r="G252">
        <v>10.4</v>
      </c>
      <c r="H252">
        <v>36.700000000000003</v>
      </c>
      <c r="I252" t="s">
        <v>35</v>
      </c>
      <c r="J252" t="s">
        <v>31</v>
      </c>
      <c r="K252" t="s">
        <v>31</v>
      </c>
      <c r="L252" t="s">
        <v>31</v>
      </c>
      <c r="M252" t="s">
        <v>72</v>
      </c>
      <c r="N252" t="s">
        <v>91</v>
      </c>
      <c r="O252">
        <v>35.648300999999996</v>
      </c>
      <c r="P252">
        <v>-106.58593999999999</v>
      </c>
      <c r="Q252" t="s">
        <v>31</v>
      </c>
      <c r="R252">
        <v>0.26140000000000002</v>
      </c>
      <c r="S252" t="s">
        <v>171</v>
      </c>
    </row>
    <row r="253" spans="1:19" x14ac:dyDescent="0.2">
      <c r="A253">
        <v>20</v>
      </c>
      <c r="B253">
        <v>6</v>
      </c>
      <c r="C253" t="s">
        <v>71</v>
      </c>
      <c r="D253">
        <v>1990</v>
      </c>
      <c r="E253">
        <v>90</v>
      </c>
      <c r="F253">
        <v>3</v>
      </c>
      <c r="G253">
        <v>10.4</v>
      </c>
      <c r="H253">
        <v>36.700000000000003</v>
      </c>
      <c r="I253" t="s">
        <v>35</v>
      </c>
      <c r="J253" t="s">
        <v>31</v>
      </c>
      <c r="K253" t="s">
        <v>31</v>
      </c>
      <c r="L253" t="s">
        <v>31</v>
      </c>
      <c r="M253" t="s">
        <v>72</v>
      </c>
      <c r="N253" t="s">
        <v>91</v>
      </c>
      <c r="O253">
        <v>35.648300999999996</v>
      </c>
      <c r="P253">
        <v>-106.58593999999999</v>
      </c>
      <c r="Q253" t="s">
        <v>31</v>
      </c>
      <c r="R253">
        <v>0.26140000000000002</v>
      </c>
      <c r="S253" t="s">
        <v>171</v>
      </c>
    </row>
    <row r="254" spans="1:19" x14ac:dyDescent="0.2">
      <c r="A254">
        <v>20</v>
      </c>
      <c r="B254">
        <v>7</v>
      </c>
      <c r="C254" t="s">
        <v>71</v>
      </c>
      <c r="D254">
        <v>1990</v>
      </c>
      <c r="E254">
        <v>22.5</v>
      </c>
      <c r="F254">
        <v>4</v>
      </c>
      <c r="G254">
        <v>10.4</v>
      </c>
      <c r="H254">
        <v>36.700000000000003</v>
      </c>
      <c r="I254" t="s">
        <v>35</v>
      </c>
      <c r="J254" t="s">
        <v>31</v>
      </c>
      <c r="K254" t="s">
        <v>31</v>
      </c>
      <c r="L254" t="s">
        <v>31</v>
      </c>
      <c r="M254" t="s">
        <v>72</v>
      </c>
      <c r="N254" t="s">
        <v>91</v>
      </c>
      <c r="O254">
        <v>35.648300999999996</v>
      </c>
      <c r="P254">
        <v>-106.58593999999999</v>
      </c>
      <c r="Q254" t="s">
        <v>31</v>
      </c>
      <c r="R254">
        <v>0.26140000000000002</v>
      </c>
      <c r="S254" t="s">
        <v>171</v>
      </c>
    </row>
    <row r="255" spans="1:19" x14ac:dyDescent="0.2">
      <c r="A255">
        <v>20</v>
      </c>
      <c r="B255">
        <v>8</v>
      </c>
      <c r="C255" t="s">
        <v>71</v>
      </c>
      <c r="D255">
        <v>1990</v>
      </c>
      <c r="E255">
        <v>45</v>
      </c>
      <c r="F255">
        <v>4</v>
      </c>
      <c r="G255">
        <v>10.4</v>
      </c>
      <c r="H255">
        <v>36.700000000000003</v>
      </c>
      <c r="I255" t="s">
        <v>35</v>
      </c>
      <c r="J255" t="s">
        <v>31</v>
      </c>
      <c r="K255" t="s">
        <v>31</v>
      </c>
      <c r="L255" t="s">
        <v>31</v>
      </c>
      <c r="M255" t="s">
        <v>72</v>
      </c>
      <c r="N255" t="s">
        <v>91</v>
      </c>
      <c r="O255">
        <v>35.648300999999996</v>
      </c>
      <c r="P255">
        <v>-106.58593999999999</v>
      </c>
      <c r="Q255" t="s">
        <v>31</v>
      </c>
      <c r="R255">
        <v>0.26140000000000002</v>
      </c>
      <c r="S255" t="s">
        <v>171</v>
      </c>
    </row>
    <row r="256" spans="1:19" x14ac:dyDescent="0.2">
      <c r="A256">
        <v>20</v>
      </c>
      <c r="B256">
        <v>9</v>
      </c>
      <c r="C256" t="s">
        <v>71</v>
      </c>
      <c r="D256">
        <v>1990</v>
      </c>
      <c r="E256">
        <v>90</v>
      </c>
      <c r="F256">
        <v>4</v>
      </c>
      <c r="G256">
        <v>10.4</v>
      </c>
      <c r="H256">
        <v>36.700000000000003</v>
      </c>
      <c r="I256" t="s">
        <v>35</v>
      </c>
      <c r="J256" t="s">
        <v>31</v>
      </c>
      <c r="K256" t="s">
        <v>31</v>
      </c>
      <c r="L256" t="s">
        <v>31</v>
      </c>
      <c r="M256" t="s">
        <v>72</v>
      </c>
      <c r="N256" t="s">
        <v>91</v>
      </c>
      <c r="O256">
        <v>35.648300999999996</v>
      </c>
      <c r="P256">
        <v>-106.58593999999999</v>
      </c>
      <c r="Q256" t="s">
        <v>31</v>
      </c>
      <c r="R256">
        <v>0.26140000000000002</v>
      </c>
      <c r="S256" t="s">
        <v>171</v>
      </c>
    </row>
    <row r="257" spans="1:19" x14ac:dyDescent="0.2">
      <c r="A257">
        <v>20</v>
      </c>
      <c r="B257">
        <v>10</v>
      </c>
      <c r="C257" t="s">
        <v>71</v>
      </c>
      <c r="D257">
        <v>1990</v>
      </c>
      <c r="E257">
        <v>22.5</v>
      </c>
      <c r="F257">
        <v>5</v>
      </c>
      <c r="G257">
        <v>10.4</v>
      </c>
      <c r="H257">
        <v>36.700000000000003</v>
      </c>
      <c r="I257" t="s">
        <v>35</v>
      </c>
      <c r="J257" t="s">
        <v>31</v>
      </c>
      <c r="K257" t="s">
        <v>31</v>
      </c>
      <c r="L257" t="s">
        <v>31</v>
      </c>
      <c r="M257" t="s">
        <v>72</v>
      </c>
      <c r="N257" t="s">
        <v>91</v>
      </c>
      <c r="O257">
        <v>35.648300999999996</v>
      </c>
      <c r="P257">
        <v>-106.58593999999999</v>
      </c>
      <c r="Q257" t="s">
        <v>31</v>
      </c>
      <c r="R257">
        <v>0.26140000000000002</v>
      </c>
      <c r="S257" t="s">
        <v>171</v>
      </c>
    </row>
    <row r="258" spans="1:19" x14ac:dyDescent="0.2">
      <c r="A258">
        <v>20</v>
      </c>
      <c r="B258">
        <v>11</v>
      </c>
      <c r="C258" t="s">
        <v>71</v>
      </c>
      <c r="D258">
        <v>1990</v>
      </c>
      <c r="E258">
        <v>45</v>
      </c>
      <c r="F258">
        <v>5</v>
      </c>
      <c r="G258">
        <v>10.4</v>
      </c>
      <c r="H258">
        <v>36.700000000000003</v>
      </c>
      <c r="I258" t="s">
        <v>35</v>
      </c>
      <c r="J258" t="s">
        <v>31</v>
      </c>
      <c r="K258" t="s">
        <v>31</v>
      </c>
      <c r="L258" t="s">
        <v>31</v>
      </c>
      <c r="M258" t="s">
        <v>72</v>
      </c>
      <c r="N258" t="s">
        <v>91</v>
      </c>
      <c r="O258">
        <v>35.648300999999996</v>
      </c>
      <c r="P258">
        <v>-106.58593999999999</v>
      </c>
      <c r="Q258" t="s">
        <v>31</v>
      </c>
      <c r="R258">
        <v>0.26140000000000002</v>
      </c>
      <c r="S258" t="s">
        <v>171</v>
      </c>
    </row>
    <row r="259" spans="1:19" x14ac:dyDescent="0.2">
      <c r="A259">
        <v>20</v>
      </c>
      <c r="B259">
        <v>12</v>
      </c>
      <c r="C259" t="s">
        <v>71</v>
      </c>
      <c r="D259">
        <v>1990</v>
      </c>
      <c r="E259">
        <v>90</v>
      </c>
      <c r="F259">
        <v>5</v>
      </c>
      <c r="G259">
        <v>10.4</v>
      </c>
      <c r="H259">
        <v>36.700000000000003</v>
      </c>
      <c r="I259" t="s">
        <v>35</v>
      </c>
      <c r="J259" t="s">
        <v>31</v>
      </c>
      <c r="K259" t="s">
        <v>31</v>
      </c>
      <c r="L259" t="s">
        <v>31</v>
      </c>
      <c r="M259" t="s">
        <v>72</v>
      </c>
      <c r="N259" t="s">
        <v>91</v>
      </c>
      <c r="O259">
        <v>35.648300999999996</v>
      </c>
      <c r="P259">
        <v>-106.58593999999999</v>
      </c>
      <c r="Q259" t="s">
        <v>31</v>
      </c>
      <c r="R259">
        <v>0.26140000000000002</v>
      </c>
      <c r="S259" t="s">
        <v>171</v>
      </c>
    </row>
    <row r="260" spans="1:19" x14ac:dyDescent="0.2">
      <c r="A260">
        <v>21</v>
      </c>
      <c r="B260">
        <v>1</v>
      </c>
      <c r="C260" t="s">
        <v>73</v>
      </c>
      <c r="D260">
        <v>2010</v>
      </c>
      <c r="E260">
        <v>2.5</v>
      </c>
      <c r="F260">
        <v>14</v>
      </c>
      <c r="G260">
        <v>7.8</v>
      </c>
      <c r="H260">
        <v>37.4</v>
      </c>
      <c r="I260" t="s">
        <v>35</v>
      </c>
      <c r="J260" t="s">
        <v>31</v>
      </c>
      <c r="K260" t="s">
        <v>31</v>
      </c>
      <c r="L260" t="s">
        <v>31</v>
      </c>
      <c r="M260" t="s">
        <v>74</v>
      </c>
      <c r="N260" t="s">
        <v>91</v>
      </c>
      <c r="O260">
        <v>40.89611</v>
      </c>
      <c r="P260">
        <v>-104.87444000000001</v>
      </c>
      <c r="Q260" t="s">
        <v>31</v>
      </c>
      <c r="R260">
        <v>0.22450000000000001</v>
      </c>
      <c r="S260" t="s">
        <v>171</v>
      </c>
    </row>
    <row r="261" spans="1:19" x14ac:dyDescent="0.2">
      <c r="A261">
        <v>21</v>
      </c>
      <c r="B261">
        <v>2</v>
      </c>
      <c r="C261" t="s">
        <v>73</v>
      </c>
      <c r="D261">
        <v>2010</v>
      </c>
      <c r="E261">
        <v>5</v>
      </c>
      <c r="F261">
        <v>14</v>
      </c>
      <c r="G261">
        <v>7.8</v>
      </c>
      <c r="H261">
        <v>37.4</v>
      </c>
      <c r="I261" t="s">
        <v>35</v>
      </c>
      <c r="J261" t="s">
        <v>31</v>
      </c>
      <c r="K261" t="s">
        <v>31</v>
      </c>
      <c r="L261" t="s">
        <v>31</v>
      </c>
      <c r="M261" t="s">
        <v>74</v>
      </c>
      <c r="N261" t="s">
        <v>91</v>
      </c>
      <c r="O261">
        <v>40.89611</v>
      </c>
      <c r="P261">
        <v>-104.87444000000001</v>
      </c>
      <c r="Q261" t="s">
        <v>31</v>
      </c>
      <c r="R261">
        <v>0.22450000000000001</v>
      </c>
      <c r="S261" t="s">
        <v>171</v>
      </c>
    </row>
    <row r="262" spans="1:19" x14ac:dyDescent="0.2">
      <c r="A262">
        <v>21</v>
      </c>
      <c r="B262">
        <v>3</v>
      </c>
      <c r="C262" t="s">
        <v>73</v>
      </c>
      <c r="D262">
        <v>2010</v>
      </c>
      <c r="E262">
        <v>10</v>
      </c>
      <c r="F262">
        <v>14</v>
      </c>
      <c r="G262">
        <v>7.8</v>
      </c>
      <c r="H262">
        <v>37.4</v>
      </c>
      <c r="I262" t="s">
        <v>35</v>
      </c>
      <c r="J262" t="s">
        <v>31</v>
      </c>
      <c r="K262" t="s">
        <v>31</v>
      </c>
      <c r="L262" t="s">
        <v>31</v>
      </c>
      <c r="M262" t="s">
        <v>74</v>
      </c>
      <c r="N262" t="s">
        <v>91</v>
      </c>
      <c r="O262">
        <v>40.89611</v>
      </c>
      <c r="P262">
        <v>-104.87444000000001</v>
      </c>
      <c r="Q262" t="s">
        <v>31</v>
      </c>
      <c r="R262">
        <v>0.22450000000000001</v>
      </c>
      <c r="S262" t="s">
        <v>171</v>
      </c>
    </row>
    <row r="263" spans="1:19" x14ac:dyDescent="0.2">
      <c r="A263">
        <v>21</v>
      </c>
      <c r="B263">
        <v>4</v>
      </c>
      <c r="C263" t="s">
        <v>73</v>
      </c>
      <c r="D263">
        <v>2010</v>
      </c>
      <c r="E263">
        <v>21</v>
      </c>
      <c r="F263">
        <v>14</v>
      </c>
      <c r="G263">
        <v>7.8</v>
      </c>
      <c r="H263">
        <v>37.4</v>
      </c>
      <c r="I263" t="s">
        <v>35</v>
      </c>
      <c r="J263" t="s">
        <v>31</v>
      </c>
      <c r="K263" t="s">
        <v>31</v>
      </c>
      <c r="L263" t="s">
        <v>31</v>
      </c>
      <c r="M263" t="s">
        <v>74</v>
      </c>
      <c r="N263" t="s">
        <v>91</v>
      </c>
      <c r="O263">
        <v>40.89611</v>
      </c>
      <c r="P263">
        <v>-104.87444000000001</v>
      </c>
      <c r="Q263" t="s">
        <v>31</v>
      </c>
      <c r="R263">
        <v>0.22450000000000001</v>
      </c>
      <c r="S263" t="s">
        <v>171</v>
      </c>
    </row>
    <row r="264" spans="1:19" x14ac:dyDescent="0.2">
      <c r="A264">
        <v>21</v>
      </c>
      <c r="B264">
        <v>5</v>
      </c>
      <c r="C264" t="s">
        <v>73</v>
      </c>
      <c r="D264">
        <v>2010</v>
      </c>
      <c r="E264">
        <v>30</v>
      </c>
      <c r="F264">
        <v>14</v>
      </c>
      <c r="G264">
        <v>7.8</v>
      </c>
      <c r="H264">
        <v>37.4</v>
      </c>
      <c r="I264" t="s">
        <v>35</v>
      </c>
      <c r="J264" t="s">
        <v>31</v>
      </c>
      <c r="K264" t="s">
        <v>31</v>
      </c>
      <c r="L264" t="s">
        <v>31</v>
      </c>
      <c r="M264" t="s">
        <v>74</v>
      </c>
      <c r="N264" t="s">
        <v>91</v>
      </c>
      <c r="O264">
        <v>40.89611</v>
      </c>
      <c r="P264">
        <v>-104.87444000000001</v>
      </c>
      <c r="Q264" t="s">
        <v>31</v>
      </c>
      <c r="R264">
        <v>0.22450000000000001</v>
      </c>
      <c r="S264" t="s">
        <v>171</v>
      </c>
    </row>
    <row r="265" spans="1:19" x14ac:dyDescent="0.2">
      <c r="A265">
        <v>21</v>
      </c>
      <c r="B265">
        <v>6</v>
      </c>
      <c r="C265" t="s">
        <v>73</v>
      </c>
      <c r="D265">
        <v>2010</v>
      </c>
      <c r="E265">
        <v>2.5</v>
      </c>
      <c r="F265">
        <v>15</v>
      </c>
      <c r="G265">
        <v>7.8</v>
      </c>
      <c r="H265">
        <v>37.4</v>
      </c>
      <c r="I265" t="s">
        <v>35</v>
      </c>
      <c r="J265" t="s">
        <v>31</v>
      </c>
      <c r="K265" t="s">
        <v>31</v>
      </c>
      <c r="L265" t="s">
        <v>31</v>
      </c>
      <c r="M265" t="s">
        <v>74</v>
      </c>
      <c r="N265" t="s">
        <v>91</v>
      </c>
      <c r="O265">
        <v>40.89611</v>
      </c>
      <c r="P265">
        <v>-104.87444000000001</v>
      </c>
      <c r="Q265" t="s">
        <v>31</v>
      </c>
      <c r="R265">
        <v>0.22450000000000001</v>
      </c>
      <c r="S265" t="s">
        <v>171</v>
      </c>
    </row>
    <row r="266" spans="1:19" x14ac:dyDescent="0.2">
      <c r="A266">
        <v>21</v>
      </c>
      <c r="B266">
        <v>7</v>
      </c>
      <c r="C266" t="s">
        <v>73</v>
      </c>
      <c r="D266">
        <v>2010</v>
      </c>
      <c r="E266">
        <v>5</v>
      </c>
      <c r="F266">
        <v>15</v>
      </c>
      <c r="G266">
        <v>7.8</v>
      </c>
      <c r="H266">
        <v>37.4</v>
      </c>
      <c r="I266" t="s">
        <v>35</v>
      </c>
      <c r="J266" t="s">
        <v>31</v>
      </c>
      <c r="K266" t="s">
        <v>31</v>
      </c>
      <c r="L266" t="s">
        <v>31</v>
      </c>
      <c r="M266" t="s">
        <v>74</v>
      </c>
      <c r="N266" t="s">
        <v>91</v>
      </c>
      <c r="O266">
        <v>40.89611</v>
      </c>
      <c r="P266">
        <v>-104.87444000000001</v>
      </c>
      <c r="Q266" t="s">
        <v>31</v>
      </c>
      <c r="R266">
        <v>0.22450000000000001</v>
      </c>
      <c r="S266" t="s">
        <v>171</v>
      </c>
    </row>
    <row r="267" spans="1:19" x14ac:dyDescent="0.2">
      <c r="A267">
        <v>21</v>
      </c>
      <c r="B267">
        <v>8</v>
      </c>
      <c r="C267" t="s">
        <v>73</v>
      </c>
      <c r="D267">
        <v>2010</v>
      </c>
      <c r="E267">
        <v>10</v>
      </c>
      <c r="F267">
        <v>15</v>
      </c>
      <c r="G267">
        <v>7.8</v>
      </c>
      <c r="H267">
        <v>37.4</v>
      </c>
      <c r="I267" t="s">
        <v>35</v>
      </c>
      <c r="J267" t="s">
        <v>31</v>
      </c>
      <c r="K267" t="s">
        <v>31</v>
      </c>
      <c r="L267" t="s">
        <v>31</v>
      </c>
      <c r="M267" t="s">
        <v>74</v>
      </c>
      <c r="N267" t="s">
        <v>91</v>
      </c>
      <c r="O267">
        <v>40.89611</v>
      </c>
      <c r="P267">
        <v>-104.87444000000001</v>
      </c>
      <c r="Q267" t="s">
        <v>31</v>
      </c>
      <c r="R267">
        <v>0.22450000000000001</v>
      </c>
      <c r="S267" t="s">
        <v>171</v>
      </c>
    </row>
    <row r="268" spans="1:19" x14ac:dyDescent="0.2">
      <c r="A268">
        <v>21</v>
      </c>
      <c r="B268">
        <v>9</v>
      </c>
      <c r="C268" t="s">
        <v>73</v>
      </c>
      <c r="D268">
        <v>2010</v>
      </c>
      <c r="E268">
        <v>21</v>
      </c>
      <c r="F268">
        <v>15</v>
      </c>
      <c r="G268">
        <v>7.8</v>
      </c>
      <c r="H268">
        <v>37.4</v>
      </c>
      <c r="I268" t="s">
        <v>35</v>
      </c>
      <c r="J268" t="s">
        <v>31</v>
      </c>
      <c r="K268" t="s">
        <v>31</v>
      </c>
      <c r="L268" t="s">
        <v>31</v>
      </c>
      <c r="M268" t="s">
        <v>74</v>
      </c>
      <c r="N268" t="s">
        <v>91</v>
      </c>
      <c r="O268">
        <v>40.89611</v>
      </c>
      <c r="P268">
        <v>-104.87444000000001</v>
      </c>
      <c r="Q268" t="s">
        <v>31</v>
      </c>
      <c r="R268">
        <v>0.22450000000000001</v>
      </c>
      <c r="S268" t="s">
        <v>171</v>
      </c>
    </row>
    <row r="269" spans="1:19" x14ac:dyDescent="0.2">
      <c r="A269">
        <v>21</v>
      </c>
      <c r="B269">
        <v>10</v>
      </c>
      <c r="C269" t="s">
        <v>73</v>
      </c>
      <c r="D269">
        <v>2010</v>
      </c>
      <c r="E269">
        <v>30</v>
      </c>
      <c r="F269">
        <v>15</v>
      </c>
      <c r="G269">
        <v>7.8</v>
      </c>
      <c r="H269">
        <v>37.4</v>
      </c>
      <c r="I269" t="s">
        <v>35</v>
      </c>
      <c r="J269" t="s">
        <v>31</v>
      </c>
      <c r="K269" t="s">
        <v>31</v>
      </c>
      <c r="L269" t="s">
        <v>31</v>
      </c>
      <c r="M269" t="s">
        <v>74</v>
      </c>
      <c r="N269" t="s">
        <v>91</v>
      </c>
      <c r="O269">
        <v>40.89611</v>
      </c>
      <c r="P269">
        <v>-104.87444000000001</v>
      </c>
      <c r="Q269" t="s">
        <v>31</v>
      </c>
      <c r="R269">
        <v>0.22450000000000001</v>
      </c>
      <c r="S269" t="s">
        <v>171</v>
      </c>
    </row>
    <row r="270" spans="1:19" x14ac:dyDescent="0.2">
      <c r="A270">
        <v>21</v>
      </c>
      <c r="B270">
        <v>11</v>
      </c>
      <c r="C270" t="s">
        <v>73</v>
      </c>
      <c r="D270">
        <v>2010</v>
      </c>
      <c r="E270">
        <v>5</v>
      </c>
      <c r="F270">
        <v>14</v>
      </c>
      <c r="G270">
        <v>7.8</v>
      </c>
      <c r="H270">
        <v>37.4</v>
      </c>
      <c r="I270" t="s">
        <v>35</v>
      </c>
      <c r="J270" t="s">
        <v>31</v>
      </c>
      <c r="K270" t="s">
        <v>31</v>
      </c>
      <c r="L270" t="s">
        <v>29</v>
      </c>
      <c r="M270" t="s">
        <v>74</v>
      </c>
      <c r="N270" t="s">
        <v>91</v>
      </c>
      <c r="O270">
        <v>40.89611</v>
      </c>
      <c r="P270">
        <v>-104.87444000000001</v>
      </c>
      <c r="Q270" t="s">
        <v>31</v>
      </c>
      <c r="R270">
        <v>0.22450000000000001</v>
      </c>
      <c r="S270" t="s">
        <v>171</v>
      </c>
    </row>
    <row r="271" spans="1:19" x14ac:dyDescent="0.2">
      <c r="A271">
        <v>21</v>
      </c>
      <c r="B271">
        <v>12</v>
      </c>
      <c r="C271" t="s">
        <v>73</v>
      </c>
      <c r="D271">
        <v>2010</v>
      </c>
      <c r="E271">
        <v>10</v>
      </c>
      <c r="F271">
        <v>14</v>
      </c>
      <c r="G271">
        <v>7.8</v>
      </c>
      <c r="H271">
        <v>37.4</v>
      </c>
      <c r="I271" t="s">
        <v>35</v>
      </c>
      <c r="J271" t="s">
        <v>31</v>
      </c>
      <c r="K271" t="s">
        <v>31</v>
      </c>
      <c r="L271" t="s">
        <v>29</v>
      </c>
      <c r="M271" t="s">
        <v>74</v>
      </c>
      <c r="N271" t="s">
        <v>91</v>
      </c>
      <c r="O271">
        <v>40.89611</v>
      </c>
      <c r="P271">
        <v>-104.87444000000001</v>
      </c>
      <c r="Q271" t="s">
        <v>31</v>
      </c>
      <c r="R271">
        <v>0.22450000000000001</v>
      </c>
      <c r="S271" t="s">
        <v>171</v>
      </c>
    </row>
    <row r="272" spans="1:19" x14ac:dyDescent="0.2">
      <c r="A272">
        <v>21</v>
      </c>
      <c r="B272">
        <v>13</v>
      </c>
      <c r="C272" t="s">
        <v>73</v>
      </c>
      <c r="D272">
        <v>2010</v>
      </c>
      <c r="E272">
        <v>20</v>
      </c>
      <c r="F272">
        <v>14</v>
      </c>
      <c r="G272">
        <v>7.8</v>
      </c>
      <c r="H272">
        <v>37.4</v>
      </c>
      <c r="I272" t="s">
        <v>35</v>
      </c>
      <c r="J272" t="s">
        <v>31</v>
      </c>
      <c r="K272" t="s">
        <v>31</v>
      </c>
      <c r="L272" t="s">
        <v>29</v>
      </c>
      <c r="M272" t="s">
        <v>74</v>
      </c>
      <c r="N272" t="s">
        <v>91</v>
      </c>
      <c r="O272">
        <v>40.89611</v>
      </c>
      <c r="P272">
        <v>-104.87444000000001</v>
      </c>
      <c r="Q272" t="s">
        <v>31</v>
      </c>
      <c r="R272">
        <v>0.22450000000000001</v>
      </c>
      <c r="S272" t="s">
        <v>171</v>
      </c>
    </row>
    <row r="273" spans="1:19" x14ac:dyDescent="0.2">
      <c r="A273">
        <v>21</v>
      </c>
      <c r="B273">
        <v>14</v>
      </c>
      <c r="C273" t="s">
        <v>73</v>
      </c>
      <c r="D273">
        <v>2010</v>
      </c>
      <c r="E273">
        <v>42</v>
      </c>
      <c r="F273">
        <v>14</v>
      </c>
      <c r="G273">
        <v>7.8</v>
      </c>
      <c r="H273">
        <v>37.4</v>
      </c>
      <c r="I273" t="s">
        <v>35</v>
      </c>
      <c r="J273" t="s">
        <v>31</v>
      </c>
      <c r="K273" t="s">
        <v>31</v>
      </c>
      <c r="L273" t="s">
        <v>29</v>
      </c>
      <c r="M273" t="s">
        <v>74</v>
      </c>
      <c r="N273" t="s">
        <v>91</v>
      </c>
      <c r="O273">
        <v>40.89611</v>
      </c>
      <c r="P273">
        <v>-104.87444000000001</v>
      </c>
      <c r="Q273" t="s">
        <v>31</v>
      </c>
      <c r="R273">
        <v>0.22450000000000001</v>
      </c>
      <c r="S273" t="s">
        <v>171</v>
      </c>
    </row>
    <row r="274" spans="1:19" x14ac:dyDescent="0.2">
      <c r="A274">
        <v>21</v>
      </c>
      <c r="B274">
        <v>15</v>
      </c>
      <c r="C274" t="s">
        <v>73</v>
      </c>
      <c r="D274">
        <v>2010</v>
      </c>
      <c r="E274">
        <v>60</v>
      </c>
      <c r="F274">
        <v>14</v>
      </c>
      <c r="G274">
        <v>7.8</v>
      </c>
      <c r="H274">
        <v>37.4</v>
      </c>
      <c r="I274" t="s">
        <v>35</v>
      </c>
      <c r="J274" t="s">
        <v>31</v>
      </c>
      <c r="K274" t="s">
        <v>31</v>
      </c>
      <c r="L274" t="s">
        <v>29</v>
      </c>
      <c r="M274" t="s">
        <v>74</v>
      </c>
      <c r="N274" t="s">
        <v>91</v>
      </c>
      <c r="O274">
        <v>40.89611</v>
      </c>
      <c r="P274">
        <v>-104.87444000000001</v>
      </c>
      <c r="Q274" t="s">
        <v>31</v>
      </c>
      <c r="R274">
        <v>0.22450000000000001</v>
      </c>
      <c r="S274" t="s">
        <v>171</v>
      </c>
    </row>
    <row r="275" spans="1:19" x14ac:dyDescent="0.2">
      <c r="A275">
        <v>21</v>
      </c>
      <c r="B275">
        <v>16</v>
      </c>
      <c r="C275" t="s">
        <v>73</v>
      </c>
      <c r="D275">
        <v>2010</v>
      </c>
      <c r="E275">
        <v>10</v>
      </c>
      <c r="F275">
        <v>15</v>
      </c>
      <c r="G275">
        <v>7.8</v>
      </c>
      <c r="H275">
        <v>37.4</v>
      </c>
      <c r="I275" t="s">
        <v>35</v>
      </c>
      <c r="J275" t="s">
        <v>31</v>
      </c>
      <c r="K275" t="s">
        <v>31</v>
      </c>
      <c r="L275" t="s">
        <v>29</v>
      </c>
      <c r="M275" t="s">
        <v>74</v>
      </c>
      <c r="N275" t="s">
        <v>91</v>
      </c>
      <c r="O275">
        <v>40.89611</v>
      </c>
      <c r="P275">
        <v>-104.87444000000001</v>
      </c>
      <c r="Q275" t="s">
        <v>31</v>
      </c>
      <c r="R275">
        <v>0.22450000000000001</v>
      </c>
      <c r="S275" t="s">
        <v>171</v>
      </c>
    </row>
    <row r="276" spans="1:19" x14ac:dyDescent="0.2">
      <c r="A276">
        <v>21</v>
      </c>
      <c r="B276">
        <v>17</v>
      </c>
      <c r="C276" t="s">
        <v>73</v>
      </c>
      <c r="D276">
        <v>2010</v>
      </c>
      <c r="E276">
        <v>20</v>
      </c>
      <c r="F276">
        <v>15</v>
      </c>
      <c r="G276">
        <v>7.8</v>
      </c>
      <c r="H276">
        <v>37.4</v>
      </c>
      <c r="I276" t="s">
        <v>35</v>
      </c>
      <c r="J276" t="s">
        <v>31</v>
      </c>
      <c r="K276" t="s">
        <v>31</v>
      </c>
      <c r="L276" t="s">
        <v>29</v>
      </c>
      <c r="M276" t="s">
        <v>74</v>
      </c>
      <c r="N276" t="s">
        <v>91</v>
      </c>
      <c r="O276">
        <v>40.89611</v>
      </c>
      <c r="P276">
        <v>-104.87444000000001</v>
      </c>
      <c r="Q276" t="s">
        <v>31</v>
      </c>
      <c r="R276">
        <v>0.22450000000000001</v>
      </c>
      <c r="S276" t="s">
        <v>171</v>
      </c>
    </row>
    <row r="277" spans="1:19" x14ac:dyDescent="0.2">
      <c r="A277">
        <v>21</v>
      </c>
      <c r="B277">
        <v>18</v>
      </c>
      <c r="C277" t="s">
        <v>73</v>
      </c>
      <c r="D277">
        <v>2010</v>
      </c>
      <c r="E277">
        <v>40</v>
      </c>
      <c r="F277">
        <v>15</v>
      </c>
      <c r="G277">
        <v>7.8</v>
      </c>
      <c r="H277">
        <v>37.4</v>
      </c>
      <c r="I277" t="s">
        <v>35</v>
      </c>
      <c r="J277" t="s">
        <v>31</v>
      </c>
      <c r="K277" t="s">
        <v>31</v>
      </c>
      <c r="L277" t="s">
        <v>29</v>
      </c>
      <c r="M277" t="s">
        <v>74</v>
      </c>
      <c r="N277" t="s">
        <v>91</v>
      </c>
      <c r="O277">
        <v>40.89611</v>
      </c>
      <c r="P277">
        <v>-104.87444000000001</v>
      </c>
      <c r="Q277" t="s">
        <v>31</v>
      </c>
      <c r="R277">
        <v>0.22450000000000001</v>
      </c>
      <c r="S277" t="s">
        <v>171</v>
      </c>
    </row>
    <row r="278" spans="1:19" x14ac:dyDescent="0.2">
      <c r="A278">
        <v>21</v>
      </c>
      <c r="B278">
        <v>19</v>
      </c>
      <c r="C278" t="s">
        <v>73</v>
      </c>
      <c r="D278">
        <v>2010</v>
      </c>
      <c r="E278">
        <v>84</v>
      </c>
      <c r="F278">
        <v>15</v>
      </c>
      <c r="G278">
        <v>7.8</v>
      </c>
      <c r="H278">
        <v>37.4</v>
      </c>
      <c r="I278" t="s">
        <v>35</v>
      </c>
      <c r="J278" t="s">
        <v>31</v>
      </c>
      <c r="K278" t="s">
        <v>31</v>
      </c>
      <c r="L278" t="s">
        <v>29</v>
      </c>
      <c r="M278" t="s">
        <v>74</v>
      </c>
      <c r="N278" t="s">
        <v>91</v>
      </c>
      <c r="O278">
        <v>40.89611</v>
      </c>
      <c r="P278">
        <v>-104.87444000000001</v>
      </c>
      <c r="Q278" t="s">
        <v>31</v>
      </c>
      <c r="R278">
        <v>0.22450000000000001</v>
      </c>
      <c r="S278" t="s">
        <v>171</v>
      </c>
    </row>
    <row r="279" spans="1:19" x14ac:dyDescent="0.2">
      <c r="A279">
        <v>21</v>
      </c>
      <c r="B279">
        <v>20</v>
      </c>
      <c r="C279" t="s">
        <v>73</v>
      </c>
      <c r="D279">
        <v>2010</v>
      </c>
      <c r="E279">
        <v>120</v>
      </c>
      <c r="F279">
        <v>15</v>
      </c>
      <c r="G279">
        <v>7.8</v>
      </c>
      <c r="H279">
        <v>37.4</v>
      </c>
      <c r="I279" t="s">
        <v>35</v>
      </c>
      <c r="J279" t="s">
        <v>31</v>
      </c>
      <c r="K279" t="s">
        <v>31</v>
      </c>
      <c r="L279" t="s">
        <v>29</v>
      </c>
      <c r="M279" t="s">
        <v>74</v>
      </c>
      <c r="N279" t="s">
        <v>91</v>
      </c>
      <c r="O279">
        <v>40.89611</v>
      </c>
      <c r="P279">
        <v>-104.87444000000001</v>
      </c>
      <c r="Q279" t="s">
        <v>31</v>
      </c>
      <c r="R279">
        <v>0.22450000000000001</v>
      </c>
      <c r="S279" t="s">
        <v>171</v>
      </c>
    </row>
    <row r="280" spans="1:19" x14ac:dyDescent="0.2">
      <c r="A280">
        <v>22</v>
      </c>
      <c r="B280">
        <v>1</v>
      </c>
      <c r="C280" t="s">
        <v>75</v>
      </c>
      <c r="D280">
        <v>2003</v>
      </c>
      <c r="E280">
        <v>40</v>
      </c>
      <c r="F280">
        <v>2</v>
      </c>
      <c r="G280">
        <v>13.8</v>
      </c>
      <c r="H280">
        <v>44.4</v>
      </c>
      <c r="I280" t="s">
        <v>31</v>
      </c>
      <c r="J280" t="s">
        <v>31</v>
      </c>
      <c r="K280" t="s">
        <v>31</v>
      </c>
      <c r="L280" t="s">
        <v>31</v>
      </c>
      <c r="M280" t="s">
        <v>76</v>
      </c>
      <c r="N280" t="s">
        <v>93</v>
      </c>
      <c r="O280">
        <v>40.418889999999998</v>
      </c>
      <c r="P280">
        <v>-3.6919400000000002</v>
      </c>
      <c r="Q280" t="s">
        <v>31</v>
      </c>
      <c r="R280">
        <v>0.27779999999999999</v>
      </c>
      <c r="S280" t="s">
        <v>172</v>
      </c>
    </row>
    <row r="281" spans="1:19" x14ac:dyDescent="0.2">
      <c r="A281">
        <v>22</v>
      </c>
      <c r="B281">
        <v>2</v>
      </c>
      <c r="C281" t="s">
        <v>75</v>
      </c>
      <c r="D281">
        <v>2003</v>
      </c>
      <c r="E281">
        <v>80</v>
      </c>
      <c r="F281">
        <v>2</v>
      </c>
      <c r="G281">
        <v>13.8</v>
      </c>
      <c r="H281">
        <v>44.4</v>
      </c>
      <c r="I281" t="s">
        <v>31</v>
      </c>
      <c r="J281" t="s">
        <v>31</v>
      </c>
      <c r="K281" t="s">
        <v>31</v>
      </c>
      <c r="L281" t="s">
        <v>31</v>
      </c>
      <c r="M281" t="s">
        <v>76</v>
      </c>
      <c r="N281" t="s">
        <v>93</v>
      </c>
      <c r="O281">
        <v>40.418889999999998</v>
      </c>
      <c r="P281">
        <v>-3.6919400000000002</v>
      </c>
      <c r="Q281" t="s">
        <v>31</v>
      </c>
      <c r="R281">
        <v>0.27779999999999999</v>
      </c>
      <c r="S281" t="s">
        <v>172</v>
      </c>
    </row>
    <row r="282" spans="1:19" x14ac:dyDescent="0.2">
      <c r="A282">
        <v>22</v>
      </c>
      <c r="B282">
        <v>3</v>
      </c>
      <c r="C282" t="s">
        <v>75</v>
      </c>
      <c r="D282">
        <v>2003</v>
      </c>
      <c r="E282">
        <v>120</v>
      </c>
      <c r="F282">
        <v>2</v>
      </c>
      <c r="G282">
        <v>13.8</v>
      </c>
      <c r="H282">
        <v>44.4</v>
      </c>
      <c r="I282" t="s">
        <v>31</v>
      </c>
      <c r="J282" t="s">
        <v>31</v>
      </c>
      <c r="K282" t="s">
        <v>31</v>
      </c>
      <c r="L282" t="s">
        <v>31</v>
      </c>
      <c r="M282" t="s">
        <v>76</v>
      </c>
      <c r="N282" t="s">
        <v>93</v>
      </c>
      <c r="O282">
        <v>40.418889999999998</v>
      </c>
      <c r="P282">
        <v>-3.6919400000000002</v>
      </c>
      <c r="Q282" t="s">
        <v>31</v>
      </c>
      <c r="R282">
        <v>0.27779999999999999</v>
      </c>
      <c r="S282" t="s">
        <v>172</v>
      </c>
    </row>
    <row r="283" spans="1:19" x14ac:dyDescent="0.2">
      <c r="A283">
        <v>22</v>
      </c>
      <c r="B283">
        <v>4</v>
      </c>
      <c r="C283" t="s">
        <v>75</v>
      </c>
      <c r="D283">
        <v>2003</v>
      </c>
      <c r="E283">
        <v>40</v>
      </c>
      <c r="F283">
        <v>3</v>
      </c>
      <c r="G283">
        <v>13.8</v>
      </c>
      <c r="H283">
        <v>44.4</v>
      </c>
      <c r="I283" t="s">
        <v>31</v>
      </c>
      <c r="J283" t="s">
        <v>31</v>
      </c>
      <c r="K283" t="s">
        <v>31</v>
      </c>
      <c r="L283" t="s">
        <v>31</v>
      </c>
      <c r="M283" t="s">
        <v>76</v>
      </c>
      <c r="N283" t="s">
        <v>93</v>
      </c>
      <c r="O283">
        <v>40.418889999999998</v>
      </c>
      <c r="P283">
        <v>-3.6919400000000002</v>
      </c>
      <c r="Q283" t="s">
        <v>31</v>
      </c>
      <c r="R283">
        <v>0.27779999999999999</v>
      </c>
      <c r="S283" t="s">
        <v>172</v>
      </c>
    </row>
    <row r="284" spans="1:19" x14ac:dyDescent="0.2">
      <c r="A284">
        <v>22</v>
      </c>
      <c r="B284">
        <v>5</v>
      </c>
      <c r="C284" t="s">
        <v>75</v>
      </c>
      <c r="D284">
        <v>2003</v>
      </c>
      <c r="E284">
        <v>80</v>
      </c>
      <c r="F284">
        <v>3</v>
      </c>
      <c r="G284">
        <v>13.8</v>
      </c>
      <c r="H284">
        <v>44.4</v>
      </c>
      <c r="I284" t="s">
        <v>31</v>
      </c>
      <c r="J284" t="s">
        <v>31</v>
      </c>
      <c r="K284" t="s">
        <v>31</v>
      </c>
      <c r="L284" t="s">
        <v>31</v>
      </c>
      <c r="M284" t="s">
        <v>76</v>
      </c>
      <c r="N284" t="s">
        <v>93</v>
      </c>
      <c r="O284">
        <v>40.418889999999998</v>
      </c>
      <c r="P284">
        <v>-3.6919400000000002</v>
      </c>
      <c r="Q284" t="s">
        <v>31</v>
      </c>
      <c r="R284">
        <v>0.27779999999999999</v>
      </c>
      <c r="S284" t="s">
        <v>172</v>
      </c>
    </row>
    <row r="285" spans="1:19" x14ac:dyDescent="0.2">
      <c r="A285">
        <v>22</v>
      </c>
      <c r="B285">
        <v>6</v>
      </c>
      <c r="C285" t="s">
        <v>75</v>
      </c>
      <c r="D285">
        <v>2003</v>
      </c>
      <c r="E285">
        <v>120</v>
      </c>
      <c r="F285">
        <v>3</v>
      </c>
      <c r="G285">
        <v>13.8</v>
      </c>
      <c r="H285">
        <v>44.4</v>
      </c>
      <c r="I285" t="s">
        <v>31</v>
      </c>
      <c r="J285" t="s">
        <v>31</v>
      </c>
      <c r="K285" t="s">
        <v>31</v>
      </c>
      <c r="L285" t="s">
        <v>31</v>
      </c>
      <c r="M285" t="s">
        <v>76</v>
      </c>
      <c r="N285" t="s">
        <v>93</v>
      </c>
      <c r="O285">
        <v>40.418889999999998</v>
      </c>
      <c r="P285">
        <v>-3.6919400000000002</v>
      </c>
      <c r="Q285" t="s">
        <v>31</v>
      </c>
      <c r="R285">
        <v>0.27779999999999999</v>
      </c>
      <c r="S285" t="s">
        <v>172</v>
      </c>
    </row>
    <row r="286" spans="1:19" x14ac:dyDescent="0.2">
      <c r="A286">
        <v>22</v>
      </c>
      <c r="B286">
        <v>7</v>
      </c>
      <c r="C286" t="s">
        <v>75</v>
      </c>
      <c r="D286">
        <v>2003</v>
      </c>
      <c r="E286">
        <v>40</v>
      </c>
      <c r="F286">
        <v>4</v>
      </c>
      <c r="G286">
        <v>13.8</v>
      </c>
      <c r="H286">
        <v>44.4</v>
      </c>
      <c r="I286" t="s">
        <v>31</v>
      </c>
      <c r="J286" t="s">
        <v>31</v>
      </c>
      <c r="K286" t="s">
        <v>31</v>
      </c>
      <c r="L286" t="s">
        <v>31</v>
      </c>
      <c r="M286" t="s">
        <v>76</v>
      </c>
      <c r="N286" t="s">
        <v>93</v>
      </c>
      <c r="O286">
        <v>40.418889999999998</v>
      </c>
      <c r="P286">
        <v>-3.6919400000000002</v>
      </c>
      <c r="Q286" t="s">
        <v>31</v>
      </c>
      <c r="R286">
        <v>0.27779999999999999</v>
      </c>
      <c r="S286" t="s">
        <v>172</v>
      </c>
    </row>
    <row r="287" spans="1:19" x14ac:dyDescent="0.2">
      <c r="A287">
        <v>22</v>
      </c>
      <c r="B287">
        <v>8</v>
      </c>
      <c r="C287" t="s">
        <v>75</v>
      </c>
      <c r="D287">
        <v>2003</v>
      </c>
      <c r="E287">
        <v>80</v>
      </c>
      <c r="F287">
        <v>4</v>
      </c>
      <c r="G287">
        <v>13.8</v>
      </c>
      <c r="H287">
        <v>44.4</v>
      </c>
      <c r="I287" t="s">
        <v>31</v>
      </c>
      <c r="J287" t="s">
        <v>31</v>
      </c>
      <c r="K287" t="s">
        <v>31</v>
      </c>
      <c r="L287" t="s">
        <v>31</v>
      </c>
      <c r="M287" t="s">
        <v>76</v>
      </c>
      <c r="N287" t="s">
        <v>93</v>
      </c>
      <c r="O287">
        <v>40.418889999999998</v>
      </c>
      <c r="P287">
        <v>-3.6919400000000002</v>
      </c>
      <c r="Q287" t="s">
        <v>31</v>
      </c>
      <c r="R287">
        <v>0.27779999999999999</v>
      </c>
      <c r="S287" t="s">
        <v>172</v>
      </c>
    </row>
    <row r="288" spans="1:19" x14ac:dyDescent="0.2">
      <c r="A288">
        <v>22</v>
      </c>
      <c r="B288">
        <v>9</v>
      </c>
      <c r="C288" t="s">
        <v>75</v>
      </c>
      <c r="D288">
        <v>2003</v>
      </c>
      <c r="E288">
        <v>80</v>
      </c>
      <c r="F288">
        <v>4</v>
      </c>
      <c r="G288">
        <v>13.8</v>
      </c>
      <c r="H288">
        <v>44.4</v>
      </c>
      <c r="I288" t="s">
        <v>31</v>
      </c>
      <c r="J288" t="s">
        <v>31</v>
      </c>
      <c r="K288" t="s">
        <v>31</v>
      </c>
      <c r="L288" t="s">
        <v>31</v>
      </c>
      <c r="M288" t="s">
        <v>76</v>
      </c>
      <c r="N288" t="s">
        <v>93</v>
      </c>
      <c r="O288">
        <v>40.418889999999998</v>
      </c>
      <c r="P288">
        <v>-3.6919400000000002</v>
      </c>
      <c r="Q288" t="s">
        <v>31</v>
      </c>
      <c r="R288">
        <v>0.27779999999999999</v>
      </c>
      <c r="S288" t="s">
        <v>172</v>
      </c>
    </row>
    <row r="289" spans="1:19" x14ac:dyDescent="0.2">
      <c r="A289">
        <v>22</v>
      </c>
      <c r="B289">
        <v>1</v>
      </c>
      <c r="C289" t="s">
        <v>75</v>
      </c>
      <c r="D289">
        <v>2003</v>
      </c>
      <c r="E289">
        <v>40</v>
      </c>
      <c r="F289">
        <v>2</v>
      </c>
      <c r="G289">
        <v>13.8</v>
      </c>
      <c r="H289">
        <v>44.4</v>
      </c>
      <c r="I289" t="s">
        <v>35</v>
      </c>
      <c r="J289" t="s">
        <v>31</v>
      </c>
      <c r="K289" t="s">
        <v>31</v>
      </c>
      <c r="L289" t="s">
        <v>31</v>
      </c>
      <c r="M289" t="s">
        <v>76</v>
      </c>
      <c r="N289" t="s">
        <v>93</v>
      </c>
      <c r="O289">
        <v>40.418889999999998</v>
      </c>
      <c r="P289">
        <v>-3.6919400000000002</v>
      </c>
      <c r="Q289" t="s">
        <v>31</v>
      </c>
      <c r="R289">
        <v>0.27779999999999999</v>
      </c>
      <c r="S289" t="s">
        <v>171</v>
      </c>
    </row>
    <row r="290" spans="1:19" x14ac:dyDescent="0.2">
      <c r="A290">
        <v>22</v>
      </c>
      <c r="B290">
        <v>2</v>
      </c>
      <c r="C290" t="s">
        <v>75</v>
      </c>
      <c r="D290">
        <v>2003</v>
      </c>
      <c r="E290">
        <v>80</v>
      </c>
      <c r="F290">
        <v>2</v>
      </c>
      <c r="G290">
        <v>13.8</v>
      </c>
      <c r="H290">
        <v>44.4</v>
      </c>
      <c r="I290" t="s">
        <v>35</v>
      </c>
      <c r="J290" t="s">
        <v>31</v>
      </c>
      <c r="K290" t="s">
        <v>31</v>
      </c>
      <c r="L290" t="s">
        <v>31</v>
      </c>
      <c r="M290" t="s">
        <v>76</v>
      </c>
      <c r="N290" t="s">
        <v>93</v>
      </c>
      <c r="O290">
        <v>40.418889999999998</v>
      </c>
      <c r="P290">
        <v>-3.6919400000000002</v>
      </c>
      <c r="Q290" t="s">
        <v>31</v>
      </c>
      <c r="R290">
        <v>0.27779999999999999</v>
      </c>
      <c r="S290" t="s">
        <v>171</v>
      </c>
    </row>
    <row r="291" spans="1:19" x14ac:dyDescent="0.2">
      <c r="A291">
        <v>22</v>
      </c>
      <c r="B291">
        <v>3</v>
      </c>
      <c r="C291" t="s">
        <v>75</v>
      </c>
      <c r="D291">
        <v>2003</v>
      </c>
      <c r="E291">
        <v>120</v>
      </c>
      <c r="F291">
        <v>2</v>
      </c>
      <c r="G291">
        <v>13.8</v>
      </c>
      <c r="H291">
        <v>44.4</v>
      </c>
      <c r="I291" t="s">
        <v>35</v>
      </c>
      <c r="J291" t="s">
        <v>31</v>
      </c>
      <c r="K291" t="s">
        <v>31</v>
      </c>
      <c r="L291" t="s">
        <v>31</v>
      </c>
      <c r="M291" t="s">
        <v>76</v>
      </c>
      <c r="N291" t="s">
        <v>93</v>
      </c>
      <c r="O291">
        <v>40.418889999999998</v>
      </c>
      <c r="P291">
        <v>-3.6919400000000002</v>
      </c>
      <c r="Q291" t="s">
        <v>31</v>
      </c>
      <c r="R291">
        <v>0.27779999999999999</v>
      </c>
      <c r="S291" t="s">
        <v>171</v>
      </c>
    </row>
    <row r="292" spans="1:19" x14ac:dyDescent="0.2">
      <c r="A292">
        <v>22</v>
      </c>
      <c r="B292">
        <v>4</v>
      </c>
      <c r="C292" t="s">
        <v>75</v>
      </c>
      <c r="D292">
        <v>2003</v>
      </c>
      <c r="E292">
        <v>40</v>
      </c>
      <c r="F292">
        <v>3</v>
      </c>
      <c r="G292">
        <v>13.8</v>
      </c>
      <c r="H292">
        <v>44.4</v>
      </c>
      <c r="I292" t="s">
        <v>35</v>
      </c>
      <c r="J292" t="s">
        <v>31</v>
      </c>
      <c r="K292" t="s">
        <v>31</v>
      </c>
      <c r="L292" t="s">
        <v>31</v>
      </c>
      <c r="M292" t="s">
        <v>76</v>
      </c>
      <c r="N292" t="s">
        <v>93</v>
      </c>
      <c r="O292">
        <v>40.418889999999998</v>
      </c>
      <c r="P292">
        <v>-3.6919400000000002</v>
      </c>
      <c r="Q292" t="s">
        <v>31</v>
      </c>
      <c r="R292">
        <v>0.27779999999999999</v>
      </c>
      <c r="S292" t="s">
        <v>171</v>
      </c>
    </row>
    <row r="293" spans="1:19" x14ac:dyDescent="0.2">
      <c r="A293">
        <v>22</v>
      </c>
      <c r="B293">
        <v>5</v>
      </c>
      <c r="C293" t="s">
        <v>75</v>
      </c>
      <c r="D293">
        <v>2003</v>
      </c>
      <c r="E293">
        <v>80</v>
      </c>
      <c r="F293">
        <v>3</v>
      </c>
      <c r="G293">
        <v>13.8</v>
      </c>
      <c r="H293">
        <v>44.4</v>
      </c>
      <c r="I293" t="s">
        <v>35</v>
      </c>
      <c r="J293" t="s">
        <v>31</v>
      </c>
      <c r="K293" t="s">
        <v>31</v>
      </c>
      <c r="L293" t="s">
        <v>31</v>
      </c>
      <c r="M293" t="s">
        <v>76</v>
      </c>
      <c r="N293" t="s">
        <v>93</v>
      </c>
      <c r="O293">
        <v>40.418889999999998</v>
      </c>
      <c r="P293">
        <v>-3.6919400000000002</v>
      </c>
      <c r="Q293" t="s">
        <v>31</v>
      </c>
      <c r="R293">
        <v>0.27779999999999999</v>
      </c>
      <c r="S293" t="s">
        <v>171</v>
      </c>
    </row>
    <row r="294" spans="1:19" x14ac:dyDescent="0.2">
      <c r="A294">
        <v>22</v>
      </c>
      <c r="B294">
        <v>6</v>
      </c>
      <c r="C294" t="s">
        <v>75</v>
      </c>
      <c r="D294">
        <v>2003</v>
      </c>
      <c r="E294">
        <v>120</v>
      </c>
      <c r="F294">
        <v>3</v>
      </c>
      <c r="G294">
        <v>13.8</v>
      </c>
      <c r="H294">
        <v>44.4</v>
      </c>
      <c r="I294" t="s">
        <v>35</v>
      </c>
      <c r="J294" t="s">
        <v>31</v>
      </c>
      <c r="K294" t="s">
        <v>31</v>
      </c>
      <c r="L294" t="s">
        <v>31</v>
      </c>
      <c r="M294" t="s">
        <v>76</v>
      </c>
      <c r="N294" t="s">
        <v>93</v>
      </c>
      <c r="O294">
        <v>40.418889999999998</v>
      </c>
      <c r="P294">
        <v>-3.6919400000000002</v>
      </c>
      <c r="Q294" t="s">
        <v>31</v>
      </c>
      <c r="R294">
        <v>0.27779999999999999</v>
      </c>
      <c r="S294" t="s">
        <v>171</v>
      </c>
    </row>
    <row r="295" spans="1:19" x14ac:dyDescent="0.2">
      <c r="A295">
        <v>22</v>
      </c>
      <c r="B295">
        <v>7</v>
      </c>
      <c r="C295" t="s">
        <v>75</v>
      </c>
      <c r="D295">
        <v>2003</v>
      </c>
      <c r="E295">
        <v>40</v>
      </c>
      <c r="F295">
        <v>4</v>
      </c>
      <c r="G295">
        <v>13.8</v>
      </c>
      <c r="H295">
        <v>44.4</v>
      </c>
      <c r="I295" t="s">
        <v>35</v>
      </c>
      <c r="J295" t="s">
        <v>31</v>
      </c>
      <c r="K295" t="s">
        <v>31</v>
      </c>
      <c r="L295" t="s">
        <v>31</v>
      </c>
      <c r="M295" t="s">
        <v>76</v>
      </c>
      <c r="N295" t="s">
        <v>93</v>
      </c>
      <c r="O295">
        <v>40.418889999999998</v>
      </c>
      <c r="P295">
        <v>-3.6919400000000002</v>
      </c>
      <c r="Q295" t="s">
        <v>31</v>
      </c>
      <c r="R295">
        <v>0.27779999999999999</v>
      </c>
      <c r="S295" t="s">
        <v>171</v>
      </c>
    </row>
    <row r="296" spans="1:19" x14ac:dyDescent="0.2">
      <c r="A296">
        <v>22</v>
      </c>
      <c r="B296">
        <v>8</v>
      </c>
      <c r="C296" t="s">
        <v>75</v>
      </c>
      <c r="D296">
        <v>2003</v>
      </c>
      <c r="E296">
        <v>80</v>
      </c>
      <c r="F296">
        <v>4</v>
      </c>
      <c r="G296">
        <v>13.8</v>
      </c>
      <c r="H296">
        <v>44.4</v>
      </c>
      <c r="I296" t="s">
        <v>35</v>
      </c>
      <c r="J296" t="s">
        <v>31</v>
      </c>
      <c r="K296" t="s">
        <v>31</v>
      </c>
      <c r="L296" t="s">
        <v>31</v>
      </c>
      <c r="M296" t="s">
        <v>76</v>
      </c>
      <c r="N296" t="s">
        <v>93</v>
      </c>
      <c r="O296">
        <v>40.418889999999998</v>
      </c>
      <c r="P296">
        <v>-3.6919400000000002</v>
      </c>
      <c r="Q296" t="s">
        <v>31</v>
      </c>
      <c r="R296">
        <v>0.27779999999999999</v>
      </c>
      <c r="S296" t="s">
        <v>171</v>
      </c>
    </row>
    <row r="297" spans="1:19" x14ac:dyDescent="0.2">
      <c r="A297">
        <v>22</v>
      </c>
      <c r="B297">
        <v>9</v>
      </c>
      <c r="C297" t="s">
        <v>75</v>
      </c>
      <c r="D297">
        <v>2003</v>
      </c>
      <c r="E297">
        <v>80</v>
      </c>
      <c r="F297">
        <v>4</v>
      </c>
      <c r="G297">
        <v>13.8</v>
      </c>
      <c r="H297">
        <v>44.4</v>
      </c>
      <c r="I297" t="s">
        <v>35</v>
      </c>
      <c r="J297" t="s">
        <v>31</v>
      </c>
      <c r="K297" t="s">
        <v>31</v>
      </c>
      <c r="L297" t="s">
        <v>31</v>
      </c>
      <c r="M297" t="s">
        <v>76</v>
      </c>
      <c r="N297" t="s">
        <v>93</v>
      </c>
      <c r="O297">
        <v>40.418889999999998</v>
      </c>
      <c r="P297">
        <v>-3.6919400000000002</v>
      </c>
      <c r="Q297" t="s">
        <v>31</v>
      </c>
      <c r="R297">
        <v>0.27779999999999999</v>
      </c>
      <c r="S297" t="s">
        <v>171</v>
      </c>
    </row>
    <row r="298" spans="1:19" x14ac:dyDescent="0.2">
      <c r="A298">
        <v>23</v>
      </c>
      <c r="B298">
        <v>3</v>
      </c>
      <c r="C298" t="s">
        <v>77</v>
      </c>
      <c r="D298">
        <v>2009</v>
      </c>
      <c r="E298">
        <v>40</v>
      </c>
      <c r="F298">
        <v>2</v>
      </c>
      <c r="G298">
        <v>14.3</v>
      </c>
      <c r="H298">
        <v>42.8</v>
      </c>
      <c r="I298" t="s">
        <v>35</v>
      </c>
      <c r="J298" t="s">
        <v>29</v>
      </c>
      <c r="K298" t="s">
        <v>31</v>
      </c>
      <c r="L298" t="s">
        <v>31</v>
      </c>
      <c r="M298" t="s">
        <v>76</v>
      </c>
      <c r="N298" t="s">
        <v>93</v>
      </c>
      <c r="O298">
        <v>40.208889999999997</v>
      </c>
      <c r="P298">
        <v>-3.5686100000000001</v>
      </c>
      <c r="Q298" t="s">
        <v>31</v>
      </c>
      <c r="R298">
        <v>0.25140000000000001</v>
      </c>
      <c r="S298" t="s">
        <v>171</v>
      </c>
    </row>
    <row r="299" spans="1:19" x14ac:dyDescent="0.2">
      <c r="A299">
        <v>23</v>
      </c>
      <c r="B299">
        <v>4</v>
      </c>
      <c r="C299" t="s">
        <v>77</v>
      </c>
      <c r="D299">
        <v>2009</v>
      </c>
      <c r="E299">
        <v>80</v>
      </c>
      <c r="F299">
        <v>2</v>
      </c>
      <c r="G299">
        <v>14.3</v>
      </c>
      <c r="H299">
        <v>42.8</v>
      </c>
      <c r="I299" t="s">
        <v>35</v>
      </c>
      <c r="J299" t="s">
        <v>29</v>
      </c>
      <c r="K299" t="s">
        <v>31</v>
      </c>
      <c r="L299" t="s">
        <v>31</v>
      </c>
      <c r="M299" t="s">
        <v>76</v>
      </c>
      <c r="N299" t="s">
        <v>93</v>
      </c>
      <c r="O299">
        <v>40.208889999999997</v>
      </c>
      <c r="P299">
        <v>-3.5686100000000001</v>
      </c>
      <c r="Q299" t="s">
        <v>31</v>
      </c>
      <c r="R299">
        <v>0.25140000000000001</v>
      </c>
      <c r="S299" t="s">
        <v>171</v>
      </c>
    </row>
    <row r="300" spans="1:19" x14ac:dyDescent="0.2">
      <c r="A300">
        <v>23</v>
      </c>
      <c r="B300">
        <v>5</v>
      </c>
      <c r="C300" t="s">
        <v>77</v>
      </c>
      <c r="D300">
        <v>2009</v>
      </c>
      <c r="E300">
        <v>120</v>
      </c>
      <c r="F300">
        <v>2</v>
      </c>
      <c r="G300">
        <v>14.3</v>
      </c>
      <c r="H300">
        <v>42.8</v>
      </c>
      <c r="I300" t="s">
        <v>35</v>
      </c>
      <c r="J300" t="s">
        <v>29</v>
      </c>
      <c r="K300" t="s">
        <v>31</v>
      </c>
      <c r="L300" t="s">
        <v>31</v>
      </c>
      <c r="M300" t="s">
        <v>76</v>
      </c>
      <c r="N300" t="s">
        <v>93</v>
      </c>
      <c r="O300">
        <v>40.208889999999997</v>
      </c>
      <c r="P300">
        <v>-3.5686100000000001</v>
      </c>
      <c r="Q300" t="s">
        <v>31</v>
      </c>
      <c r="R300">
        <v>0.25140000000000001</v>
      </c>
      <c r="S300" t="s">
        <v>171</v>
      </c>
    </row>
    <row r="301" spans="1:19" x14ac:dyDescent="0.2">
      <c r="A301">
        <v>23</v>
      </c>
      <c r="B301">
        <v>6</v>
      </c>
      <c r="C301" t="s">
        <v>77</v>
      </c>
      <c r="D301">
        <v>2009</v>
      </c>
      <c r="E301">
        <v>40</v>
      </c>
      <c r="F301">
        <v>3</v>
      </c>
      <c r="G301">
        <v>14.3</v>
      </c>
      <c r="H301">
        <v>42.8</v>
      </c>
      <c r="I301" t="s">
        <v>35</v>
      </c>
      <c r="J301" t="s">
        <v>29</v>
      </c>
      <c r="K301" t="s">
        <v>31</v>
      </c>
      <c r="L301" t="s">
        <v>31</v>
      </c>
      <c r="M301" t="s">
        <v>76</v>
      </c>
      <c r="N301" t="s">
        <v>93</v>
      </c>
      <c r="O301">
        <v>40.208889999999997</v>
      </c>
      <c r="P301">
        <v>-3.5686100000000001</v>
      </c>
      <c r="Q301" t="s">
        <v>31</v>
      </c>
      <c r="R301">
        <v>0.25140000000000001</v>
      </c>
      <c r="S301" t="s">
        <v>171</v>
      </c>
    </row>
    <row r="302" spans="1:19" x14ac:dyDescent="0.2">
      <c r="A302">
        <v>23</v>
      </c>
      <c r="B302">
        <v>7</v>
      </c>
      <c r="C302" t="s">
        <v>77</v>
      </c>
      <c r="D302">
        <v>2009</v>
      </c>
      <c r="E302">
        <v>80</v>
      </c>
      <c r="F302">
        <v>3</v>
      </c>
      <c r="G302">
        <v>14.3</v>
      </c>
      <c r="H302">
        <v>42.8</v>
      </c>
      <c r="I302" t="s">
        <v>35</v>
      </c>
      <c r="J302" t="s">
        <v>29</v>
      </c>
      <c r="K302" t="s">
        <v>31</v>
      </c>
      <c r="L302" t="s">
        <v>31</v>
      </c>
      <c r="M302" t="s">
        <v>76</v>
      </c>
      <c r="N302" t="s">
        <v>93</v>
      </c>
      <c r="O302">
        <v>40.208889999999997</v>
      </c>
      <c r="P302">
        <v>-3.5686100000000001</v>
      </c>
      <c r="Q302" t="s">
        <v>31</v>
      </c>
      <c r="R302">
        <v>0.25140000000000001</v>
      </c>
      <c r="S302" t="s">
        <v>171</v>
      </c>
    </row>
    <row r="303" spans="1:19" x14ac:dyDescent="0.2">
      <c r="A303">
        <v>23</v>
      </c>
      <c r="B303">
        <v>8</v>
      </c>
      <c r="C303" t="s">
        <v>77</v>
      </c>
      <c r="D303">
        <v>2009</v>
      </c>
      <c r="E303">
        <v>120</v>
      </c>
      <c r="F303">
        <v>3</v>
      </c>
      <c r="G303">
        <v>14.3</v>
      </c>
      <c r="H303">
        <v>42.8</v>
      </c>
      <c r="I303" t="s">
        <v>35</v>
      </c>
      <c r="J303" t="s">
        <v>29</v>
      </c>
      <c r="K303" t="s">
        <v>31</v>
      </c>
      <c r="L303" t="s">
        <v>31</v>
      </c>
      <c r="M303" t="s">
        <v>76</v>
      </c>
      <c r="N303" t="s">
        <v>93</v>
      </c>
      <c r="O303">
        <v>40.208889999999997</v>
      </c>
      <c r="P303">
        <v>-3.5686100000000001</v>
      </c>
      <c r="Q303" t="s">
        <v>31</v>
      </c>
      <c r="R303">
        <v>0.25140000000000001</v>
      </c>
      <c r="S303" t="s">
        <v>171</v>
      </c>
    </row>
    <row r="304" spans="1:19" x14ac:dyDescent="0.2">
      <c r="A304">
        <v>23</v>
      </c>
      <c r="B304">
        <v>9</v>
      </c>
      <c r="C304" t="s">
        <v>77</v>
      </c>
      <c r="D304">
        <v>2009</v>
      </c>
      <c r="E304">
        <v>40</v>
      </c>
      <c r="F304">
        <v>4</v>
      </c>
      <c r="G304">
        <v>14.3</v>
      </c>
      <c r="H304">
        <v>42.8</v>
      </c>
      <c r="I304" t="s">
        <v>35</v>
      </c>
      <c r="J304" t="s">
        <v>29</v>
      </c>
      <c r="K304" t="s">
        <v>31</v>
      </c>
      <c r="L304" t="s">
        <v>31</v>
      </c>
      <c r="M304" t="s">
        <v>76</v>
      </c>
      <c r="N304" t="s">
        <v>93</v>
      </c>
      <c r="O304">
        <v>40.208889999999997</v>
      </c>
      <c r="P304">
        <v>-3.5686100000000001</v>
      </c>
      <c r="Q304" t="s">
        <v>31</v>
      </c>
      <c r="R304">
        <v>0.25140000000000001</v>
      </c>
      <c r="S304" t="s">
        <v>171</v>
      </c>
    </row>
    <row r="305" spans="1:19" x14ac:dyDescent="0.2">
      <c r="A305">
        <v>23</v>
      </c>
      <c r="B305">
        <v>10</v>
      </c>
      <c r="C305" t="s">
        <v>77</v>
      </c>
      <c r="D305">
        <v>2009</v>
      </c>
      <c r="E305">
        <v>80</v>
      </c>
      <c r="F305">
        <v>4</v>
      </c>
      <c r="G305">
        <v>14.3</v>
      </c>
      <c r="H305">
        <v>42.8</v>
      </c>
      <c r="I305" t="s">
        <v>35</v>
      </c>
      <c r="J305" t="s">
        <v>29</v>
      </c>
      <c r="K305" t="s">
        <v>31</v>
      </c>
      <c r="L305" t="s">
        <v>31</v>
      </c>
      <c r="M305" t="s">
        <v>76</v>
      </c>
      <c r="N305" t="s">
        <v>93</v>
      </c>
      <c r="O305">
        <v>40.208889999999997</v>
      </c>
      <c r="P305">
        <v>-3.5686100000000001</v>
      </c>
      <c r="Q305" t="s">
        <v>31</v>
      </c>
      <c r="R305">
        <v>0.25140000000000001</v>
      </c>
      <c r="S305" t="s">
        <v>171</v>
      </c>
    </row>
    <row r="306" spans="1:19" x14ac:dyDescent="0.2">
      <c r="A306">
        <v>23</v>
      </c>
      <c r="B306">
        <v>11</v>
      </c>
      <c r="C306" t="s">
        <v>77</v>
      </c>
      <c r="D306">
        <v>2009</v>
      </c>
      <c r="E306">
        <v>120</v>
      </c>
      <c r="F306">
        <v>4</v>
      </c>
      <c r="G306">
        <v>14.3</v>
      </c>
      <c r="H306">
        <v>42.8</v>
      </c>
      <c r="I306" t="s">
        <v>35</v>
      </c>
      <c r="J306" t="s">
        <v>29</v>
      </c>
      <c r="K306" t="s">
        <v>31</v>
      </c>
      <c r="L306" t="s">
        <v>31</v>
      </c>
      <c r="M306" t="s">
        <v>76</v>
      </c>
      <c r="N306" t="s">
        <v>93</v>
      </c>
      <c r="O306">
        <v>40.208889999999997</v>
      </c>
      <c r="P306">
        <v>-3.5686100000000001</v>
      </c>
      <c r="Q306" t="s">
        <v>31</v>
      </c>
      <c r="R306">
        <v>0.25140000000000001</v>
      </c>
      <c r="S306" t="s">
        <v>171</v>
      </c>
    </row>
    <row r="307" spans="1:19" x14ac:dyDescent="0.2">
      <c r="A307">
        <v>23</v>
      </c>
      <c r="B307">
        <v>12</v>
      </c>
      <c r="C307" t="s">
        <v>77</v>
      </c>
      <c r="D307">
        <v>2009</v>
      </c>
      <c r="E307">
        <v>40</v>
      </c>
      <c r="F307">
        <v>5</v>
      </c>
      <c r="G307">
        <v>14.3</v>
      </c>
      <c r="H307">
        <v>42.8</v>
      </c>
      <c r="I307" t="s">
        <v>35</v>
      </c>
      <c r="J307" t="s">
        <v>29</v>
      </c>
      <c r="K307" t="s">
        <v>31</v>
      </c>
      <c r="L307" t="s">
        <v>31</v>
      </c>
      <c r="M307" t="s">
        <v>76</v>
      </c>
      <c r="N307" t="s">
        <v>93</v>
      </c>
      <c r="O307">
        <v>40.208889999999997</v>
      </c>
      <c r="P307">
        <v>-3.5686100000000001</v>
      </c>
      <c r="Q307" t="s">
        <v>31</v>
      </c>
      <c r="R307">
        <v>0.25140000000000001</v>
      </c>
      <c r="S307" t="s">
        <v>171</v>
      </c>
    </row>
    <row r="308" spans="1:19" x14ac:dyDescent="0.2">
      <c r="A308">
        <v>23</v>
      </c>
      <c r="B308">
        <v>13</v>
      </c>
      <c r="C308" t="s">
        <v>77</v>
      </c>
      <c r="D308">
        <v>2009</v>
      </c>
      <c r="E308">
        <v>80</v>
      </c>
      <c r="F308">
        <v>5</v>
      </c>
      <c r="G308">
        <v>14.3</v>
      </c>
      <c r="H308">
        <v>42.8</v>
      </c>
      <c r="I308" t="s">
        <v>35</v>
      </c>
      <c r="J308" t="s">
        <v>29</v>
      </c>
      <c r="K308" t="s">
        <v>31</v>
      </c>
      <c r="L308" t="s">
        <v>31</v>
      </c>
      <c r="M308" t="s">
        <v>76</v>
      </c>
      <c r="N308" t="s">
        <v>93</v>
      </c>
      <c r="O308">
        <v>40.208889999999997</v>
      </c>
      <c r="P308">
        <v>-3.5686100000000001</v>
      </c>
      <c r="Q308" t="s">
        <v>31</v>
      </c>
      <c r="R308">
        <v>0.25140000000000001</v>
      </c>
      <c r="S308" t="s">
        <v>171</v>
      </c>
    </row>
    <row r="309" spans="1:19" x14ac:dyDescent="0.2">
      <c r="A309">
        <v>23</v>
      </c>
      <c r="B309">
        <v>14</v>
      </c>
      <c r="C309" t="s">
        <v>77</v>
      </c>
      <c r="D309">
        <v>2009</v>
      </c>
      <c r="E309">
        <v>120</v>
      </c>
      <c r="F309">
        <v>5</v>
      </c>
      <c r="G309">
        <v>14.3</v>
      </c>
      <c r="H309">
        <v>42.8</v>
      </c>
      <c r="I309" t="s">
        <v>35</v>
      </c>
      <c r="J309" t="s">
        <v>29</v>
      </c>
      <c r="K309" t="s">
        <v>31</v>
      </c>
      <c r="L309" t="s">
        <v>31</v>
      </c>
      <c r="M309" t="s">
        <v>76</v>
      </c>
      <c r="N309" t="s">
        <v>93</v>
      </c>
      <c r="O309">
        <v>40.208889999999997</v>
      </c>
      <c r="P309">
        <v>-3.5686100000000001</v>
      </c>
      <c r="Q309" t="s">
        <v>31</v>
      </c>
      <c r="R309">
        <v>0.25140000000000001</v>
      </c>
      <c r="S309" t="s">
        <v>171</v>
      </c>
    </row>
    <row r="310" spans="1:19" x14ac:dyDescent="0.2">
      <c r="A310">
        <v>23</v>
      </c>
      <c r="B310">
        <v>15</v>
      </c>
      <c r="C310" t="s">
        <v>77</v>
      </c>
      <c r="D310">
        <v>2009</v>
      </c>
      <c r="E310">
        <v>40</v>
      </c>
      <c r="F310">
        <v>6</v>
      </c>
      <c r="G310">
        <v>14.3</v>
      </c>
      <c r="H310">
        <v>42.8</v>
      </c>
      <c r="I310" t="s">
        <v>35</v>
      </c>
      <c r="J310" t="s">
        <v>29</v>
      </c>
      <c r="K310" t="s">
        <v>31</v>
      </c>
      <c r="L310" t="s">
        <v>31</v>
      </c>
      <c r="M310" t="s">
        <v>76</v>
      </c>
      <c r="N310" t="s">
        <v>93</v>
      </c>
      <c r="O310">
        <v>40.208889999999997</v>
      </c>
      <c r="P310">
        <v>-3.5686100000000001</v>
      </c>
      <c r="Q310" t="s">
        <v>31</v>
      </c>
      <c r="R310">
        <v>0.25140000000000001</v>
      </c>
      <c r="S310" t="s">
        <v>171</v>
      </c>
    </row>
    <row r="311" spans="1:19" x14ac:dyDescent="0.2">
      <c r="A311">
        <v>23</v>
      </c>
      <c r="B311">
        <v>16</v>
      </c>
      <c r="C311" t="s">
        <v>77</v>
      </c>
      <c r="D311">
        <v>2009</v>
      </c>
      <c r="E311">
        <v>80</v>
      </c>
      <c r="F311">
        <v>6</v>
      </c>
      <c r="G311">
        <v>14.3</v>
      </c>
      <c r="H311">
        <v>42.8</v>
      </c>
      <c r="I311" t="s">
        <v>35</v>
      </c>
      <c r="J311" t="s">
        <v>29</v>
      </c>
      <c r="K311" t="s">
        <v>31</v>
      </c>
      <c r="L311" t="s">
        <v>31</v>
      </c>
      <c r="M311" t="s">
        <v>76</v>
      </c>
      <c r="N311" t="s">
        <v>93</v>
      </c>
      <c r="O311">
        <v>40.208889999999997</v>
      </c>
      <c r="P311">
        <v>-3.5686100000000001</v>
      </c>
      <c r="Q311" t="s">
        <v>31</v>
      </c>
      <c r="R311">
        <v>0.25140000000000001</v>
      </c>
      <c r="S311" t="s">
        <v>171</v>
      </c>
    </row>
    <row r="312" spans="1:19" x14ac:dyDescent="0.2">
      <c r="A312">
        <v>23</v>
      </c>
      <c r="B312">
        <v>17</v>
      </c>
      <c r="C312" t="s">
        <v>77</v>
      </c>
      <c r="D312">
        <v>2009</v>
      </c>
      <c r="E312">
        <v>120</v>
      </c>
      <c r="F312">
        <v>6</v>
      </c>
      <c r="G312">
        <v>14.3</v>
      </c>
      <c r="H312">
        <v>42.8</v>
      </c>
      <c r="I312" t="s">
        <v>35</v>
      </c>
      <c r="J312" t="s">
        <v>29</v>
      </c>
      <c r="K312" t="s">
        <v>31</v>
      </c>
      <c r="L312" t="s">
        <v>31</v>
      </c>
      <c r="M312" t="s">
        <v>76</v>
      </c>
      <c r="N312" t="s">
        <v>93</v>
      </c>
      <c r="O312">
        <v>40.208889999999997</v>
      </c>
      <c r="P312">
        <v>-3.5686100000000001</v>
      </c>
      <c r="Q312" t="s">
        <v>31</v>
      </c>
      <c r="R312">
        <v>0.25140000000000001</v>
      </c>
      <c r="S312" t="s">
        <v>171</v>
      </c>
    </row>
    <row r="313" spans="1:19" x14ac:dyDescent="0.2">
      <c r="A313">
        <v>24</v>
      </c>
      <c r="B313">
        <v>1</v>
      </c>
      <c r="C313" t="s">
        <v>191</v>
      </c>
      <c r="D313">
        <v>2012</v>
      </c>
      <c r="E313">
        <v>5</v>
      </c>
      <c r="F313">
        <v>6</v>
      </c>
      <c r="G313">
        <v>18</v>
      </c>
      <c r="H313">
        <v>31.5</v>
      </c>
      <c r="I313" t="s">
        <v>35</v>
      </c>
      <c r="J313" t="s">
        <v>31</v>
      </c>
      <c r="K313" t="s">
        <v>31</v>
      </c>
      <c r="L313" t="s">
        <v>31</v>
      </c>
      <c r="M313" t="s">
        <v>78</v>
      </c>
      <c r="N313" t="s">
        <v>93</v>
      </c>
      <c r="O313">
        <v>37.6</v>
      </c>
      <c r="P313">
        <v>-0.82</v>
      </c>
      <c r="Q313" t="s">
        <v>29</v>
      </c>
      <c r="R313">
        <v>0.1719</v>
      </c>
      <c r="S313" t="s">
        <v>171</v>
      </c>
    </row>
    <row r="314" spans="1:19" x14ac:dyDescent="0.2">
      <c r="A314">
        <v>24</v>
      </c>
      <c r="B314">
        <v>2</v>
      </c>
      <c r="C314" t="s">
        <v>191</v>
      </c>
      <c r="D314">
        <v>2012</v>
      </c>
      <c r="E314">
        <v>10</v>
      </c>
      <c r="F314">
        <v>6</v>
      </c>
      <c r="G314">
        <v>18</v>
      </c>
      <c r="H314">
        <v>31.5</v>
      </c>
      <c r="I314" t="s">
        <v>35</v>
      </c>
      <c r="J314" t="s">
        <v>31</v>
      </c>
      <c r="K314" t="s">
        <v>31</v>
      </c>
      <c r="L314" t="s">
        <v>31</v>
      </c>
      <c r="M314" t="s">
        <v>78</v>
      </c>
      <c r="N314" t="s">
        <v>93</v>
      </c>
      <c r="O314">
        <v>37.6</v>
      </c>
      <c r="P314">
        <v>-0.82</v>
      </c>
      <c r="Q314" t="s">
        <v>29</v>
      </c>
      <c r="R314">
        <v>0.1719</v>
      </c>
      <c r="S314" t="s">
        <v>171</v>
      </c>
    </row>
    <row r="315" spans="1:19" x14ac:dyDescent="0.2">
      <c r="A315">
        <v>24</v>
      </c>
      <c r="B315">
        <v>3</v>
      </c>
      <c r="C315" t="s">
        <v>191</v>
      </c>
      <c r="D315">
        <v>2012</v>
      </c>
      <c r="E315">
        <v>20</v>
      </c>
      <c r="F315">
        <v>6</v>
      </c>
      <c r="G315">
        <v>18</v>
      </c>
      <c r="H315">
        <v>31.5</v>
      </c>
      <c r="I315" t="s">
        <v>35</v>
      </c>
      <c r="J315" t="s">
        <v>31</v>
      </c>
      <c r="K315" t="s">
        <v>31</v>
      </c>
      <c r="L315" t="s">
        <v>31</v>
      </c>
      <c r="M315" t="s">
        <v>78</v>
      </c>
      <c r="N315" t="s">
        <v>93</v>
      </c>
      <c r="O315">
        <v>37.6</v>
      </c>
      <c r="P315">
        <v>-0.82</v>
      </c>
      <c r="Q315" t="s">
        <v>29</v>
      </c>
      <c r="R315">
        <v>0.1719</v>
      </c>
      <c r="S315" t="s">
        <v>171</v>
      </c>
    </row>
    <row r="316" spans="1:19" x14ac:dyDescent="0.2">
      <c r="A316">
        <v>25</v>
      </c>
      <c r="B316">
        <v>1</v>
      </c>
      <c r="C316" t="s">
        <v>79</v>
      </c>
      <c r="D316">
        <v>2010</v>
      </c>
      <c r="E316">
        <f>3.37</f>
        <v>3.37</v>
      </c>
      <c r="F316">
        <v>2</v>
      </c>
      <c r="G316">
        <v>10.6</v>
      </c>
      <c r="H316">
        <v>41.8</v>
      </c>
      <c r="I316" t="s">
        <v>31</v>
      </c>
      <c r="J316" t="s">
        <v>31</v>
      </c>
      <c r="K316" t="s">
        <v>31</v>
      </c>
      <c r="L316" t="s">
        <v>31</v>
      </c>
      <c r="M316" t="s">
        <v>80</v>
      </c>
      <c r="N316" t="s">
        <v>91</v>
      </c>
      <c r="O316">
        <v>40.700000000000003</v>
      </c>
      <c r="P316">
        <v>-111.916</v>
      </c>
      <c r="Q316" t="s">
        <v>31</v>
      </c>
      <c r="R316">
        <v>0.248</v>
      </c>
      <c r="S316" t="s">
        <v>172</v>
      </c>
    </row>
    <row r="317" spans="1:19" x14ac:dyDescent="0.2">
      <c r="A317">
        <v>25</v>
      </c>
      <c r="B317">
        <v>2</v>
      </c>
      <c r="C317" t="s">
        <v>79</v>
      </c>
      <c r="D317">
        <v>2010</v>
      </c>
      <c r="E317">
        <f>3.37*5</f>
        <v>16.850000000000001</v>
      </c>
      <c r="F317">
        <v>2</v>
      </c>
      <c r="G317">
        <v>10.6</v>
      </c>
      <c r="H317">
        <v>41.8</v>
      </c>
      <c r="I317" t="s">
        <v>31</v>
      </c>
      <c r="J317" t="s">
        <v>31</v>
      </c>
      <c r="K317" t="s">
        <v>31</v>
      </c>
      <c r="L317" t="s">
        <v>31</v>
      </c>
      <c r="M317" t="s">
        <v>80</v>
      </c>
      <c r="N317" t="s">
        <v>91</v>
      </c>
      <c r="O317">
        <v>40.700000000000003</v>
      </c>
      <c r="P317">
        <v>-111.916</v>
      </c>
      <c r="Q317" t="s">
        <v>31</v>
      </c>
      <c r="R317">
        <v>0.248</v>
      </c>
      <c r="S317" t="s">
        <v>172</v>
      </c>
    </row>
    <row r="318" spans="1:19" x14ac:dyDescent="0.2">
      <c r="A318">
        <v>25</v>
      </c>
      <c r="B318">
        <v>3</v>
      </c>
      <c r="C318" t="s">
        <v>79</v>
      </c>
      <c r="D318">
        <v>2010</v>
      </c>
      <c r="E318">
        <f>3.37*10</f>
        <v>33.700000000000003</v>
      </c>
      <c r="F318">
        <v>2</v>
      </c>
      <c r="G318">
        <v>10.6</v>
      </c>
      <c r="H318">
        <v>41.8</v>
      </c>
      <c r="I318" t="s">
        <v>31</v>
      </c>
      <c r="J318" t="s">
        <v>31</v>
      </c>
      <c r="K318" t="s">
        <v>31</v>
      </c>
      <c r="L318" t="s">
        <v>31</v>
      </c>
      <c r="M318" t="s">
        <v>80</v>
      </c>
      <c r="N318" t="s">
        <v>91</v>
      </c>
      <c r="O318">
        <v>40.700000000000003</v>
      </c>
      <c r="P318">
        <v>-111.916</v>
      </c>
      <c r="Q318" t="s">
        <v>31</v>
      </c>
      <c r="R318">
        <v>0.248</v>
      </c>
      <c r="S318" t="s">
        <v>172</v>
      </c>
    </row>
    <row r="319" spans="1:19" x14ac:dyDescent="0.2">
      <c r="A319">
        <v>25</v>
      </c>
      <c r="B319">
        <v>4</v>
      </c>
      <c r="C319" t="s">
        <v>79</v>
      </c>
      <c r="D319">
        <v>2010</v>
      </c>
      <c r="E319" s="1">
        <f>3.37*20</f>
        <v>67.400000000000006</v>
      </c>
      <c r="F319">
        <v>2</v>
      </c>
      <c r="G319">
        <v>10.6</v>
      </c>
      <c r="H319">
        <v>41.8</v>
      </c>
      <c r="I319" t="s">
        <v>31</v>
      </c>
      <c r="J319" t="s">
        <v>31</v>
      </c>
      <c r="K319" t="s">
        <v>31</v>
      </c>
      <c r="L319" t="s">
        <v>31</v>
      </c>
      <c r="M319" t="s">
        <v>80</v>
      </c>
      <c r="N319" t="s">
        <v>91</v>
      </c>
      <c r="O319">
        <v>40.700000000000003</v>
      </c>
      <c r="P319">
        <v>-111.916</v>
      </c>
      <c r="Q319" t="s">
        <v>31</v>
      </c>
      <c r="R319">
        <v>0.248</v>
      </c>
      <c r="S319" t="s">
        <v>172</v>
      </c>
    </row>
    <row r="320" spans="1:19" s="17" customFormat="1" x14ac:dyDescent="0.2">
      <c r="A320" s="17">
        <v>25</v>
      </c>
      <c r="B320" s="17">
        <v>5</v>
      </c>
      <c r="C320" s="17" t="s">
        <v>79</v>
      </c>
      <c r="D320" s="17">
        <v>2010</v>
      </c>
      <c r="E320" s="17">
        <v>1.8</v>
      </c>
      <c r="F320" s="17">
        <v>2</v>
      </c>
      <c r="G320" s="17">
        <v>10.6</v>
      </c>
      <c r="H320" s="17">
        <v>41.8</v>
      </c>
      <c r="I320" s="17" t="s">
        <v>31</v>
      </c>
      <c r="J320" s="17" t="s">
        <v>31</v>
      </c>
      <c r="K320" s="17" t="s">
        <v>31</v>
      </c>
      <c r="L320" s="17" t="s">
        <v>31</v>
      </c>
      <c r="M320" s="17" t="s">
        <v>81</v>
      </c>
      <c r="N320" s="17" t="s">
        <v>91</v>
      </c>
      <c r="O320" s="17">
        <v>40.799999999999997</v>
      </c>
      <c r="P320" s="17">
        <v>-111.6</v>
      </c>
      <c r="Q320" s="17" t="s">
        <v>31</v>
      </c>
      <c r="R320" s="17">
        <v>0.248</v>
      </c>
      <c r="S320" s="17" t="s">
        <v>172</v>
      </c>
    </row>
    <row r="321" spans="1:19" s="17" customFormat="1" x14ac:dyDescent="0.2">
      <c r="A321" s="17">
        <v>25</v>
      </c>
      <c r="B321" s="17">
        <v>6</v>
      </c>
      <c r="C321" s="17" t="s">
        <v>79</v>
      </c>
      <c r="D321" s="17">
        <v>2010</v>
      </c>
      <c r="E321" s="17">
        <f>E320*5</f>
        <v>9</v>
      </c>
      <c r="F321" s="17">
        <v>2</v>
      </c>
      <c r="G321" s="17">
        <v>10.6</v>
      </c>
      <c r="H321" s="17">
        <v>41.8</v>
      </c>
      <c r="I321" s="17" t="s">
        <v>31</v>
      </c>
      <c r="J321" s="17" t="s">
        <v>31</v>
      </c>
      <c r="K321" s="17" t="s">
        <v>31</v>
      </c>
      <c r="L321" s="17" t="s">
        <v>31</v>
      </c>
      <c r="M321" s="17" t="s">
        <v>81</v>
      </c>
      <c r="N321" s="17" t="s">
        <v>91</v>
      </c>
      <c r="O321" s="17">
        <v>40.799999999999997</v>
      </c>
      <c r="P321" s="17">
        <v>-111.6</v>
      </c>
      <c r="Q321" s="17" t="s">
        <v>31</v>
      </c>
      <c r="R321" s="17">
        <v>0.248</v>
      </c>
      <c r="S321" s="17" t="s">
        <v>172</v>
      </c>
    </row>
    <row r="322" spans="1:19" s="17" customFormat="1" x14ac:dyDescent="0.2">
      <c r="A322" s="17">
        <v>25</v>
      </c>
      <c r="B322" s="17">
        <v>7</v>
      </c>
      <c r="C322" s="17" t="s">
        <v>79</v>
      </c>
      <c r="D322" s="17">
        <v>2010</v>
      </c>
      <c r="E322" s="17">
        <f>E320*10</f>
        <v>18</v>
      </c>
      <c r="F322" s="17">
        <v>2</v>
      </c>
      <c r="G322" s="17">
        <v>10.6</v>
      </c>
      <c r="H322" s="17">
        <v>41.8</v>
      </c>
      <c r="I322" s="17" t="s">
        <v>31</v>
      </c>
      <c r="J322" s="17" t="s">
        <v>31</v>
      </c>
      <c r="K322" s="17" t="s">
        <v>31</v>
      </c>
      <c r="L322" s="17" t="s">
        <v>31</v>
      </c>
      <c r="M322" s="17" t="s">
        <v>81</v>
      </c>
      <c r="N322" s="17" t="s">
        <v>91</v>
      </c>
      <c r="O322" s="17">
        <v>40.799999999999997</v>
      </c>
      <c r="P322" s="17">
        <v>-111.6</v>
      </c>
      <c r="Q322" s="17" t="s">
        <v>31</v>
      </c>
      <c r="R322" s="17">
        <v>0.248</v>
      </c>
      <c r="S322" s="17" t="s">
        <v>172</v>
      </c>
    </row>
    <row r="323" spans="1:19" s="17" customFormat="1" x14ac:dyDescent="0.2">
      <c r="A323" s="17">
        <v>25</v>
      </c>
      <c r="B323" s="17">
        <v>8</v>
      </c>
      <c r="C323" s="17" t="s">
        <v>79</v>
      </c>
      <c r="D323" s="17">
        <v>2010</v>
      </c>
      <c r="E323" s="17">
        <f>E320*20</f>
        <v>36</v>
      </c>
      <c r="F323" s="17">
        <v>2</v>
      </c>
      <c r="G323" s="17">
        <v>10.6</v>
      </c>
      <c r="H323" s="17">
        <v>41.8</v>
      </c>
      <c r="I323" s="17" t="s">
        <v>31</v>
      </c>
      <c r="J323" s="17" t="s">
        <v>31</v>
      </c>
      <c r="K323" s="17" t="s">
        <v>31</v>
      </c>
      <c r="L323" s="17" t="s">
        <v>31</v>
      </c>
      <c r="M323" s="17" t="s">
        <v>81</v>
      </c>
      <c r="N323" s="17" t="s">
        <v>91</v>
      </c>
      <c r="O323" s="17">
        <v>40.799999999999997</v>
      </c>
      <c r="P323" s="17">
        <v>-111.6</v>
      </c>
      <c r="Q323" s="17" t="s">
        <v>31</v>
      </c>
      <c r="R323" s="17">
        <v>0.248</v>
      </c>
      <c r="S323" s="17" t="s">
        <v>172</v>
      </c>
    </row>
    <row r="324" spans="1:19" s="17" customFormat="1" x14ac:dyDescent="0.2">
      <c r="A324" s="17">
        <v>25</v>
      </c>
      <c r="B324" s="17">
        <v>9</v>
      </c>
      <c r="C324" s="17" t="s">
        <v>79</v>
      </c>
      <c r="D324" s="17">
        <v>2010</v>
      </c>
      <c r="E324" s="17">
        <v>7.63</v>
      </c>
      <c r="F324" s="17">
        <v>2</v>
      </c>
      <c r="G324" s="17">
        <v>10.6</v>
      </c>
      <c r="H324" s="17">
        <v>41.8</v>
      </c>
      <c r="I324" s="17" t="s">
        <v>31</v>
      </c>
      <c r="J324" s="17" t="s">
        <v>31</v>
      </c>
      <c r="K324" s="17" t="s">
        <v>31</v>
      </c>
      <c r="L324" s="17" t="s">
        <v>31</v>
      </c>
      <c r="M324" s="17" t="s">
        <v>82</v>
      </c>
      <c r="N324" s="17" t="s">
        <v>91</v>
      </c>
      <c r="O324" s="17">
        <v>41</v>
      </c>
      <c r="P324" s="17">
        <v>-112</v>
      </c>
      <c r="Q324" s="17" t="s">
        <v>31</v>
      </c>
      <c r="R324" s="17">
        <v>0.248</v>
      </c>
      <c r="S324" s="17" t="s">
        <v>172</v>
      </c>
    </row>
    <row r="325" spans="1:19" s="17" customFormat="1" x14ac:dyDescent="0.2">
      <c r="A325" s="17">
        <v>25</v>
      </c>
      <c r="B325" s="17">
        <v>10</v>
      </c>
      <c r="C325" s="17" t="s">
        <v>79</v>
      </c>
      <c r="D325" s="17">
        <v>2010</v>
      </c>
      <c r="E325" s="17">
        <f>E324*5</f>
        <v>38.15</v>
      </c>
      <c r="F325" s="17">
        <v>2</v>
      </c>
      <c r="G325" s="17">
        <v>10.6</v>
      </c>
      <c r="H325" s="17">
        <v>41.8</v>
      </c>
      <c r="I325" s="17" t="s">
        <v>31</v>
      </c>
      <c r="J325" s="17" t="s">
        <v>31</v>
      </c>
      <c r="K325" s="17" t="s">
        <v>31</v>
      </c>
      <c r="L325" s="17" t="s">
        <v>31</v>
      </c>
      <c r="M325" s="17" t="s">
        <v>82</v>
      </c>
      <c r="N325" s="17" t="s">
        <v>91</v>
      </c>
      <c r="O325" s="17">
        <v>41</v>
      </c>
      <c r="P325" s="17">
        <v>-112</v>
      </c>
      <c r="Q325" s="17" t="s">
        <v>31</v>
      </c>
      <c r="R325" s="17">
        <v>0.248</v>
      </c>
      <c r="S325" s="17" t="s">
        <v>172</v>
      </c>
    </row>
    <row r="326" spans="1:19" s="17" customFormat="1" x14ac:dyDescent="0.2">
      <c r="A326" s="17">
        <v>25</v>
      </c>
      <c r="B326" s="17">
        <v>11</v>
      </c>
      <c r="C326" s="17" t="s">
        <v>79</v>
      </c>
      <c r="D326" s="17">
        <v>2010</v>
      </c>
      <c r="E326" s="17">
        <f>E324*10</f>
        <v>76.3</v>
      </c>
      <c r="F326" s="17">
        <v>2</v>
      </c>
      <c r="G326" s="17">
        <v>10.6</v>
      </c>
      <c r="H326" s="17">
        <v>41.8</v>
      </c>
      <c r="I326" s="17" t="s">
        <v>31</v>
      </c>
      <c r="J326" s="17" t="s">
        <v>31</v>
      </c>
      <c r="K326" s="17" t="s">
        <v>31</v>
      </c>
      <c r="L326" s="17" t="s">
        <v>31</v>
      </c>
      <c r="M326" s="17" t="s">
        <v>82</v>
      </c>
      <c r="N326" s="17" t="s">
        <v>91</v>
      </c>
      <c r="O326" s="17">
        <v>41</v>
      </c>
      <c r="P326" s="17">
        <v>-112</v>
      </c>
      <c r="Q326" s="17" t="s">
        <v>31</v>
      </c>
      <c r="R326" s="17">
        <v>0.248</v>
      </c>
      <c r="S326" s="17" t="s">
        <v>172</v>
      </c>
    </row>
    <row r="327" spans="1:19" s="17" customFormat="1" x14ac:dyDescent="0.2">
      <c r="A327" s="17">
        <v>25</v>
      </c>
      <c r="B327" s="17">
        <v>12</v>
      </c>
      <c r="C327" s="17" t="s">
        <v>79</v>
      </c>
      <c r="D327" s="17">
        <v>2010</v>
      </c>
      <c r="E327" s="17">
        <f>E324*20</f>
        <v>152.6</v>
      </c>
      <c r="F327" s="17">
        <v>2</v>
      </c>
      <c r="G327" s="17">
        <v>10.6</v>
      </c>
      <c r="H327" s="17">
        <v>41.8</v>
      </c>
      <c r="I327" s="17" t="s">
        <v>31</v>
      </c>
      <c r="J327" s="17" t="s">
        <v>31</v>
      </c>
      <c r="K327" s="17" t="s">
        <v>31</v>
      </c>
      <c r="L327" s="17" t="s">
        <v>31</v>
      </c>
      <c r="M327" s="17" t="s">
        <v>82</v>
      </c>
      <c r="N327" s="17" t="s">
        <v>91</v>
      </c>
      <c r="O327" s="17">
        <v>41</v>
      </c>
      <c r="P327" s="17">
        <v>-112</v>
      </c>
      <c r="Q327" s="17" t="s">
        <v>31</v>
      </c>
      <c r="R327" s="17">
        <v>0.248</v>
      </c>
      <c r="S327" s="17" t="s">
        <v>172</v>
      </c>
    </row>
    <row r="328" spans="1:19" s="17" customFormat="1" x14ac:dyDescent="0.2">
      <c r="A328" s="17">
        <v>25</v>
      </c>
      <c r="B328" s="17">
        <v>1</v>
      </c>
      <c r="C328" s="17" t="s">
        <v>79</v>
      </c>
      <c r="D328" s="17">
        <v>2010</v>
      </c>
      <c r="E328" s="17">
        <f>3.37</f>
        <v>3.37</v>
      </c>
      <c r="F328" s="17">
        <v>2</v>
      </c>
      <c r="G328" s="17">
        <v>10.3</v>
      </c>
      <c r="H328" s="17">
        <v>45.1</v>
      </c>
      <c r="I328" s="17" t="s">
        <v>35</v>
      </c>
      <c r="J328" s="17" t="s">
        <v>31</v>
      </c>
      <c r="K328" s="17" t="s">
        <v>31</v>
      </c>
      <c r="L328" s="17" t="s">
        <v>31</v>
      </c>
      <c r="M328" s="17" t="s">
        <v>80</v>
      </c>
      <c r="N328" s="17" t="s">
        <v>91</v>
      </c>
      <c r="O328" s="17">
        <v>40.700000000000003</v>
      </c>
      <c r="P328" s="17">
        <v>-111.916</v>
      </c>
      <c r="Q328" s="17" t="s">
        <v>31</v>
      </c>
      <c r="R328" s="17">
        <v>0.2482</v>
      </c>
      <c r="S328" s="17" t="s">
        <v>171</v>
      </c>
    </row>
    <row r="329" spans="1:19" s="17" customFormat="1" x14ac:dyDescent="0.2">
      <c r="A329" s="17">
        <v>25</v>
      </c>
      <c r="B329" s="17">
        <v>2</v>
      </c>
      <c r="C329" s="17" t="s">
        <v>79</v>
      </c>
      <c r="D329" s="17">
        <v>2010</v>
      </c>
      <c r="E329" s="17">
        <f>3.37*5</f>
        <v>16.850000000000001</v>
      </c>
      <c r="F329" s="17">
        <v>2</v>
      </c>
      <c r="G329" s="17">
        <v>10.3</v>
      </c>
      <c r="H329" s="17">
        <v>45.1</v>
      </c>
      <c r="I329" s="17" t="s">
        <v>35</v>
      </c>
      <c r="J329" s="17" t="s">
        <v>31</v>
      </c>
      <c r="K329" s="17" t="s">
        <v>31</v>
      </c>
      <c r="L329" s="17" t="s">
        <v>31</v>
      </c>
      <c r="M329" s="17" t="s">
        <v>80</v>
      </c>
      <c r="N329" s="17" t="s">
        <v>91</v>
      </c>
      <c r="O329" s="17">
        <v>40.700000000000003</v>
      </c>
      <c r="P329" s="17">
        <v>-111.916</v>
      </c>
      <c r="Q329" s="17" t="s">
        <v>31</v>
      </c>
      <c r="R329" s="17">
        <v>0.2482</v>
      </c>
      <c r="S329" s="17" t="s">
        <v>171</v>
      </c>
    </row>
    <row r="330" spans="1:19" s="17" customFormat="1" x14ac:dyDescent="0.2">
      <c r="A330" s="17">
        <v>25</v>
      </c>
      <c r="B330" s="17">
        <v>3</v>
      </c>
      <c r="C330" s="17" t="s">
        <v>79</v>
      </c>
      <c r="D330" s="17">
        <v>2010</v>
      </c>
      <c r="E330" s="17">
        <f>3.37*10</f>
        <v>33.700000000000003</v>
      </c>
      <c r="F330" s="17">
        <v>2</v>
      </c>
      <c r="G330" s="17">
        <v>10.3</v>
      </c>
      <c r="H330" s="17">
        <v>45.1</v>
      </c>
      <c r="I330" s="17" t="s">
        <v>35</v>
      </c>
      <c r="J330" s="17" t="s">
        <v>31</v>
      </c>
      <c r="K330" s="17" t="s">
        <v>31</v>
      </c>
      <c r="L330" s="17" t="s">
        <v>31</v>
      </c>
      <c r="M330" s="17" t="s">
        <v>80</v>
      </c>
      <c r="N330" s="17" t="s">
        <v>91</v>
      </c>
      <c r="O330" s="17">
        <v>40.700000000000003</v>
      </c>
      <c r="P330" s="17">
        <v>-111.916</v>
      </c>
      <c r="Q330" s="17" t="s">
        <v>31</v>
      </c>
      <c r="R330" s="17">
        <v>0.2482</v>
      </c>
      <c r="S330" s="17" t="s">
        <v>171</v>
      </c>
    </row>
    <row r="331" spans="1:19" s="17" customFormat="1" x14ac:dyDescent="0.2">
      <c r="A331" s="17">
        <v>25</v>
      </c>
      <c r="B331" s="17">
        <v>4</v>
      </c>
      <c r="C331" s="17" t="s">
        <v>79</v>
      </c>
      <c r="D331" s="17">
        <v>2010</v>
      </c>
      <c r="E331" s="17">
        <f>3.37*20</f>
        <v>67.400000000000006</v>
      </c>
      <c r="F331" s="17">
        <v>2</v>
      </c>
      <c r="G331" s="17">
        <v>10.3</v>
      </c>
      <c r="H331" s="17">
        <v>45.1</v>
      </c>
      <c r="I331" s="17" t="s">
        <v>35</v>
      </c>
      <c r="J331" s="17" t="s">
        <v>31</v>
      </c>
      <c r="K331" s="17" t="s">
        <v>31</v>
      </c>
      <c r="L331" s="17" t="s">
        <v>31</v>
      </c>
      <c r="M331" s="17" t="s">
        <v>80</v>
      </c>
      <c r="N331" s="17" t="s">
        <v>91</v>
      </c>
      <c r="O331" s="17">
        <v>40.700000000000003</v>
      </c>
      <c r="P331" s="17">
        <v>-111.916</v>
      </c>
      <c r="Q331" s="17" t="s">
        <v>31</v>
      </c>
      <c r="R331" s="17">
        <v>0.2482</v>
      </c>
      <c r="S331" s="17" t="s">
        <v>171</v>
      </c>
    </row>
    <row r="332" spans="1:19" s="17" customFormat="1" x14ac:dyDescent="0.2">
      <c r="A332" s="17">
        <v>25</v>
      </c>
      <c r="B332" s="17">
        <v>5</v>
      </c>
      <c r="C332" s="17" t="s">
        <v>79</v>
      </c>
      <c r="D332" s="17">
        <v>2010</v>
      </c>
      <c r="E332" s="17">
        <v>1.8</v>
      </c>
      <c r="F332" s="17">
        <v>2</v>
      </c>
      <c r="G332" s="17">
        <v>5</v>
      </c>
      <c r="H332" s="17">
        <v>67.8</v>
      </c>
      <c r="I332" s="17" t="s">
        <v>35</v>
      </c>
      <c r="J332" s="17" t="s">
        <v>31</v>
      </c>
      <c r="K332" s="17" t="s">
        <v>31</v>
      </c>
      <c r="L332" s="17" t="s">
        <v>31</v>
      </c>
      <c r="M332" s="17" t="s">
        <v>81</v>
      </c>
      <c r="N332" s="17" t="s">
        <v>91</v>
      </c>
      <c r="O332" s="17">
        <v>40.799999999999997</v>
      </c>
      <c r="P332" s="17">
        <v>-111.6</v>
      </c>
      <c r="Q332" s="17" t="s">
        <v>31</v>
      </c>
      <c r="R332" s="17">
        <v>0.34649999999999997</v>
      </c>
      <c r="S332" s="17" t="s">
        <v>171</v>
      </c>
    </row>
    <row r="333" spans="1:19" s="17" customFormat="1" x14ac:dyDescent="0.2">
      <c r="A333" s="17">
        <v>25</v>
      </c>
      <c r="B333" s="17">
        <v>6</v>
      </c>
      <c r="C333" s="17" t="s">
        <v>79</v>
      </c>
      <c r="D333" s="17">
        <v>2010</v>
      </c>
      <c r="E333" s="17">
        <f>E332*5</f>
        <v>9</v>
      </c>
      <c r="F333" s="17">
        <v>2</v>
      </c>
      <c r="G333" s="17">
        <v>5</v>
      </c>
      <c r="H333" s="17">
        <v>67.8</v>
      </c>
      <c r="I333" s="17" t="s">
        <v>35</v>
      </c>
      <c r="J333" s="17" t="s">
        <v>31</v>
      </c>
      <c r="K333" s="17" t="s">
        <v>31</v>
      </c>
      <c r="L333" s="17" t="s">
        <v>31</v>
      </c>
      <c r="M333" s="17" t="s">
        <v>81</v>
      </c>
      <c r="N333" s="17" t="s">
        <v>91</v>
      </c>
      <c r="O333" s="17">
        <v>40.799999999999997</v>
      </c>
      <c r="P333" s="17">
        <v>-111.6</v>
      </c>
      <c r="Q333" s="17" t="s">
        <v>31</v>
      </c>
      <c r="R333" s="17">
        <v>0.34649999999999997</v>
      </c>
      <c r="S333" s="17" t="s">
        <v>171</v>
      </c>
    </row>
    <row r="334" spans="1:19" s="17" customFormat="1" x14ac:dyDescent="0.2">
      <c r="A334" s="17">
        <v>25</v>
      </c>
      <c r="B334" s="17">
        <v>7</v>
      </c>
      <c r="C334" s="17" t="s">
        <v>79</v>
      </c>
      <c r="D334" s="17">
        <v>2010</v>
      </c>
      <c r="E334" s="17">
        <f>E332*10</f>
        <v>18</v>
      </c>
      <c r="F334" s="17">
        <v>2</v>
      </c>
      <c r="G334" s="17">
        <v>5</v>
      </c>
      <c r="H334" s="17">
        <v>67.8</v>
      </c>
      <c r="I334" s="17" t="s">
        <v>35</v>
      </c>
      <c r="J334" s="17" t="s">
        <v>31</v>
      </c>
      <c r="K334" s="17" t="s">
        <v>31</v>
      </c>
      <c r="L334" s="17" t="s">
        <v>31</v>
      </c>
      <c r="M334" s="17" t="s">
        <v>81</v>
      </c>
      <c r="N334" s="17" t="s">
        <v>91</v>
      </c>
      <c r="O334" s="17">
        <v>40.799999999999997</v>
      </c>
      <c r="P334" s="17">
        <v>-111.6</v>
      </c>
      <c r="Q334" s="17" t="s">
        <v>31</v>
      </c>
      <c r="R334" s="17">
        <v>0.34649999999999997</v>
      </c>
      <c r="S334" s="17" t="s">
        <v>171</v>
      </c>
    </row>
    <row r="335" spans="1:19" s="17" customFormat="1" x14ac:dyDescent="0.2">
      <c r="A335" s="17">
        <v>25</v>
      </c>
      <c r="B335" s="17">
        <v>8</v>
      </c>
      <c r="C335" s="17" t="s">
        <v>79</v>
      </c>
      <c r="D335" s="17">
        <v>2010</v>
      </c>
      <c r="E335" s="17">
        <f>E332*20</f>
        <v>36</v>
      </c>
      <c r="F335" s="17">
        <v>2</v>
      </c>
      <c r="G335" s="17">
        <v>5</v>
      </c>
      <c r="H335" s="17">
        <v>67.8</v>
      </c>
      <c r="I335" s="17" t="s">
        <v>35</v>
      </c>
      <c r="J335" s="17" t="s">
        <v>31</v>
      </c>
      <c r="K335" s="17" t="s">
        <v>31</v>
      </c>
      <c r="L335" s="17" t="s">
        <v>31</v>
      </c>
      <c r="M335" s="17" t="s">
        <v>81</v>
      </c>
      <c r="N335" s="17" t="s">
        <v>91</v>
      </c>
      <c r="O335" s="17">
        <v>40.799999999999997</v>
      </c>
      <c r="P335" s="17">
        <v>-111.6</v>
      </c>
      <c r="Q335" s="17" t="s">
        <v>31</v>
      </c>
      <c r="R335" s="17">
        <v>0.34649999999999997</v>
      </c>
      <c r="S335" s="17" t="s">
        <v>171</v>
      </c>
    </row>
    <row r="336" spans="1:19" s="17" customFormat="1" x14ac:dyDescent="0.2">
      <c r="A336" s="17">
        <v>25</v>
      </c>
      <c r="B336" s="17">
        <v>9</v>
      </c>
      <c r="C336" s="17" t="s">
        <v>79</v>
      </c>
      <c r="D336" s="17">
        <v>2010</v>
      </c>
      <c r="E336" s="17">
        <v>7.63</v>
      </c>
      <c r="F336" s="17">
        <v>2</v>
      </c>
      <c r="G336" s="17">
        <v>9.9</v>
      </c>
      <c r="H336" s="17">
        <v>50.4</v>
      </c>
      <c r="I336" s="17" t="s">
        <v>35</v>
      </c>
      <c r="J336" s="17" t="s">
        <v>31</v>
      </c>
      <c r="K336" s="17" t="s">
        <v>31</v>
      </c>
      <c r="L336" s="17" t="s">
        <v>31</v>
      </c>
      <c r="M336" s="17" t="s">
        <v>82</v>
      </c>
      <c r="N336" s="17" t="s">
        <v>91</v>
      </c>
      <c r="O336" s="17">
        <v>41</v>
      </c>
      <c r="P336" s="17">
        <v>-112</v>
      </c>
      <c r="Q336" s="17" t="s">
        <v>31</v>
      </c>
      <c r="R336" s="17">
        <v>0.26140000000000002</v>
      </c>
      <c r="S336" s="17" t="s">
        <v>171</v>
      </c>
    </row>
    <row r="337" spans="1:20" s="17" customFormat="1" x14ac:dyDescent="0.2">
      <c r="A337" s="17">
        <v>25</v>
      </c>
      <c r="B337" s="17">
        <v>10</v>
      </c>
      <c r="C337" s="17" t="s">
        <v>79</v>
      </c>
      <c r="D337" s="17">
        <v>2010</v>
      </c>
      <c r="E337" s="17">
        <f>E336*5</f>
        <v>38.15</v>
      </c>
      <c r="F337" s="17">
        <v>2</v>
      </c>
      <c r="G337" s="17">
        <v>9.9</v>
      </c>
      <c r="H337" s="17">
        <v>50.4</v>
      </c>
      <c r="I337" s="17" t="s">
        <v>35</v>
      </c>
      <c r="J337" s="17" t="s">
        <v>31</v>
      </c>
      <c r="K337" s="17" t="s">
        <v>31</v>
      </c>
      <c r="L337" s="17" t="s">
        <v>31</v>
      </c>
      <c r="M337" s="17" t="s">
        <v>82</v>
      </c>
      <c r="N337" s="17" t="s">
        <v>91</v>
      </c>
      <c r="O337" s="17">
        <v>41</v>
      </c>
      <c r="P337" s="17">
        <v>-112</v>
      </c>
      <c r="Q337" s="17" t="s">
        <v>31</v>
      </c>
      <c r="R337" s="17">
        <v>0.26140000000000002</v>
      </c>
      <c r="S337" s="17" t="s">
        <v>171</v>
      </c>
    </row>
    <row r="338" spans="1:20" s="17" customFormat="1" x14ac:dyDescent="0.2">
      <c r="A338" s="17">
        <v>25</v>
      </c>
      <c r="B338" s="17">
        <v>11</v>
      </c>
      <c r="C338" s="17" t="s">
        <v>79</v>
      </c>
      <c r="D338" s="17">
        <v>2010</v>
      </c>
      <c r="E338" s="17">
        <f>E336*10</f>
        <v>76.3</v>
      </c>
      <c r="F338" s="17">
        <v>2</v>
      </c>
      <c r="G338" s="17">
        <v>9.9</v>
      </c>
      <c r="H338" s="17">
        <v>50.4</v>
      </c>
      <c r="I338" s="17" t="s">
        <v>35</v>
      </c>
      <c r="J338" s="17" t="s">
        <v>31</v>
      </c>
      <c r="K338" s="17" t="s">
        <v>31</v>
      </c>
      <c r="L338" s="17" t="s">
        <v>31</v>
      </c>
      <c r="M338" s="17" t="s">
        <v>82</v>
      </c>
      <c r="N338" s="17" t="s">
        <v>91</v>
      </c>
      <c r="O338" s="17">
        <v>41</v>
      </c>
      <c r="P338" s="17">
        <v>-112</v>
      </c>
      <c r="Q338" s="17" t="s">
        <v>31</v>
      </c>
      <c r="R338" s="17">
        <v>0.26140000000000002</v>
      </c>
      <c r="S338" s="17" t="s">
        <v>171</v>
      </c>
    </row>
    <row r="339" spans="1:20" s="17" customFormat="1" x14ac:dyDescent="0.2">
      <c r="A339" s="17">
        <v>25</v>
      </c>
      <c r="B339" s="17">
        <v>12</v>
      </c>
      <c r="C339" s="17" t="s">
        <v>79</v>
      </c>
      <c r="D339" s="17">
        <v>2010</v>
      </c>
      <c r="E339" s="17">
        <f>E336*20</f>
        <v>152.6</v>
      </c>
      <c r="F339" s="17">
        <v>2</v>
      </c>
      <c r="G339" s="17">
        <v>9.9</v>
      </c>
      <c r="H339" s="17">
        <v>50.4</v>
      </c>
      <c r="I339" s="17" t="s">
        <v>35</v>
      </c>
      <c r="J339" s="17" t="s">
        <v>31</v>
      </c>
      <c r="K339" s="17" t="s">
        <v>31</v>
      </c>
      <c r="L339" s="17" t="s">
        <v>31</v>
      </c>
      <c r="M339" s="17" t="s">
        <v>82</v>
      </c>
      <c r="N339" s="17" t="s">
        <v>91</v>
      </c>
      <c r="O339" s="17">
        <v>41</v>
      </c>
      <c r="P339" s="17">
        <v>-112</v>
      </c>
      <c r="Q339" s="17" t="s">
        <v>31</v>
      </c>
      <c r="R339" s="17">
        <v>0.26140000000000002</v>
      </c>
      <c r="S339" s="17" t="s">
        <v>171</v>
      </c>
    </row>
    <row r="340" spans="1:20" s="17" customFormat="1" x14ac:dyDescent="0.2">
      <c r="A340" s="17">
        <v>25</v>
      </c>
      <c r="B340" s="17">
        <v>13</v>
      </c>
      <c r="C340" s="17" t="s">
        <v>79</v>
      </c>
      <c r="D340" s="17">
        <v>2010</v>
      </c>
      <c r="E340" s="17">
        <v>19.760000000000002</v>
      </c>
      <c r="F340" s="17">
        <v>2</v>
      </c>
      <c r="G340" s="17">
        <v>10.7</v>
      </c>
      <c r="H340" s="17">
        <v>19.3</v>
      </c>
      <c r="I340" s="17" t="s">
        <v>29</v>
      </c>
      <c r="J340" s="17" t="s">
        <v>31</v>
      </c>
      <c r="K340" s="17" t="s">
        <v>31</v>
      </c>
      <c r="L340" s="17" t="s">
        <v>31</v>
      </c>
      <c r="M340" s="17" t="s">
        <v>83</v>
      </c>
      <c r="N340" s="17" t="s">
        <v>91</v>
      </c>
      <c r="O340" s="17">
        <v>40.4</v>
      </c>
      <c r="P340" s="17">
        <v>-113.2</v>
      </c>
      <c r="Q340" s="17" t="s">
        <v>31</v>
      </c>
      <c r="R340" s="17">
        <v>9.5600000000000004E-2</v>
      </c>
      <c r="S340" s="17" t="s">
        <v>171</v>
      </c>
    </row>
    <row r="341" spans="1:20" s="17" customFormat="1" x14ac:dyDescent="0.2">
      <c r="A341" s="17">
        <v>25</v>
      </c>
      <c r="B341" s="17">
        <v>14</v>
      </c>
      <c r="C341" s="17" t="s">
        <v>79</v>
      </c>
      <c r="D341" s="17">
        <v>2010</v>
      </c>
      <c r="E341" s="17">
        <f>19.76*5</f>
        <v>98.800000000000011</v>
      </c>
      <c r="F341" s="17">
        <v>2</v>
      </c>
      <c r="G341" s="17">
        <v>10.7</v>
      </c>
      <c r="H341" s="17">
        <v>19.3</v>
      </c>
      <c r="I341" s="17" t="s">
        <v>29</v>
      </c>
      <c r="J341" s="17" t="s">
        <v>31</v>
      </c>
      <c r="K341" s="17" t="s">
        <v>31</v>
      </c>
      <c r="L341" s="17" t="s">
        <v>31</v>
      </c>
      <c r="M341" s="17" t="s">
        <v>83</v>
      </c>
      <c r="N341" s="17" t="s">
        <v>91</v>
      </c>
      <c r="O341" s="17">
        <v>40.4</v>
      </c>
      <c r="P341" s="17">
        <v>-113.2</v>
      </c>
      <c r="Q341" s="17" t="s">
        <v>31</v>
      </c>
      <c r="R341" s="17">
        <v>9.5600000000000004E-2</v>
      </c>
      <c r="S341" s="17" t="s">
        <v>171</v>
      </c>
    </row>
    <row r="342" spans="1:20" s="17" customFormat="1" x14ac:dyDescent="0.2">
      <c r="A342" s="17">
        <v>25</v>
      </c>
      <c r="B342" s="17">
        <v>15</v>
      </c>
      <c r="C342" s="17" t="s">
        <v>79</v>
      </c>
      <c r="D342" s="17">
        <v>2010</v>
      </c>
      <c r="E342" s="17">
        <f>19.76*10</f>
        <v>197.60000000000002</v>
      </c>
      <c r="F342" s="17">
        <v>2</v>
      </c>
      <c r="G342" s="17">
        <v>10.7</v>
      </c>
      <c r="H342" s="17">
        <v>19.3</v>
      </c>
      <c r="I342" s="17" t="s">
        <v>29</v>
      </c>
      <c r="J342" s="17" t="s">
        <v>31</v>
      </c>
      <c r="K342" s="17" t="s">
        <v>31</v>
      </c>
      <c r="L342" s="17" t="s">
        <v>31</v>
      </c>
      <c r="M342" s="17" t="s">
        <v>83</v>
      </c>
      <c r="N342" s="17" t="s">
        <v>91</v>
      </c>
      <c r="O342" s="17">
        <v>40.4</v>
      </c>
      <c r="P342" s="17">
        <v>-113.2</v>
      </c>
      <c r="Q342" s="17" t="s">
        <v>31</v>
      </c>
      <c r="R342" s="17">
        <v>9.5600000000000004E-2</v>
      </c>
      <c r="S342" s="17" t="s">
        <v>171</v>
      </c>
    </row>
    <row r="343" spans="1:20" s="17" customFormat="1" x14ac:dyDescent="0.2">
      <c r="A343" s="17">
        <v>25</v>
      </c>
      <c r="B343" s="17">
        <v>13</v>
      </c>
      <c r="C343" s="17" t="s">
        <v>79</v>
      </c>
      <c r="D343" s="17">
        <v>2010</v>
      </c>
      <c r="E343" s="17">
        <v>19.760000000000002</v>
      </c>
      <c r="F343" s="17">
        <v>2</v>
      </c>
      <c r="G343" s="17">
        <v>10.7</v>
      </c>
      <c r="H343" s="17">
        <v>19.3</v>
      </c>
      <c r="I343" s="17" t="s">
        <v>29</v>
      </c>
      <c r="J343" s="17" t="s">
        <v>31</v>
      </c>
      <c r="K343" s="17" t="s">
        <v>31</v>
      </c>
      <c r="L343" s="17" t="s">
        <v>31</v>
      </c>
      <c r="M343" s="17" t="s">
        <v>83</v>
      </c>
      <c r="N343" s="17" t="s">
        <v>91</v>
      </c>
      <c r="O343" s="17">
        <v>40.4</v>
      </c>
      <c r="P343" s="17">
        <v>-113.2</v>
      </c>
      <c r="Q343" s="17" t="s">
        <v>31</v>
      </c>
      <c r="R343" s="17">
        <v>0.87990000000000002</v>
      </c>
      <c r="S343" s="17" t="s">
        <v>172</v>
      </c>
    </row>
    <row r="344" spans="1:20" s="17" customFormat="1" x14ac:dyDescent="0.2">
      <c r="A344" s="17">
        <v>25</v>
      </c>
      <c r="B344" s="17">
        <v>14</v>
      </c>
      <c r="C344" s="17" t="s">
        <v>79</v>
      </c>
      <c r="D344" s="17">
        <v>2010</v>
      </c>
      <c r="E344" s="17">
        <f>19.76*5</f>
        <v>98.800000000000011</v>
      </c>
      <c r="F344" s="17">
        <v>2</v>
      </c>
      <c r="G344" s="17">
        <v>10.7</v>
      </c>
      <c r="H344" s="17">
        <v>19.3</v>
      </c>
      <c r="I344" s="17" t="s">
        <v>29</v>
      </c>
      <c r="J344" s="17" t="s">
        <v>31</v>
      </c>
      <c r="K344" s="17" t="s">
        <v>31</v>
      </c>
      <c r="L344" s="17" t="s">
        <v>31</v>
      </c>
      <c r="M344" s="17" t="s">
        <v>83</v>
      </c>
      <c r="N344" s="17" t="s">
        <v>91</v>
      </c>
      <c r="O344" s="17">
        <v>40.4</v>
      </c>
      <c r="P344" s="17">
        <v>-113.2</v>
      </c>
      <c r="Q344" s="17" t="s">
        <v>31</v>
      </c>
      <c r="R344" s="17">
        <v>0.87990000000000002</v>
      </c>
      <c r="S344" s="17" t="s">
        <v>172</v>
      </c>
    </row>
    <row r="345" spans="1:20" s="17" customFormat="1" x14ac:dyDescent="0.2">
      <c r="A345" s="17">
        <v>25</v>
      </c>
      <c r="B345" s="17">
        <v>15</v>
      </c>
      <c r="C345" s="17" t="s">
        <v>79</v>
      </c>
      <c r="D345" s="17">
        <v>2010</v>
      </c>
      <c r="E345" s="17">
        <f>19.76*10</f>
        <v>197.60000000000002</v>
      </c>
      <c r="F345" s="17">
        <v>2</v>
      </c>
      <c r="G345" s="17">
        <v>10.7</v>
      </c>
      <c r="H345" s="17">
        <v>19.3</v>
      </c>
      <c r="I345" s="17" t="s">
        <v>29</v>
      </c>
      <c r="J345" s="17" t="s">
        <v>31</v>
      </c>
      <c r="K345" s="17" t="s">
        <v>31</v>
      </c>
      <c r="L345" s="17" t="s">
        <v>31</v>
      </c>
      <c r="M345" s="17" t="s">
        <v>83</v>
      </c>
      <c r="N345" s="17" t="s">
        <v>91</v>
      </c>
      <c r="O345" s="17">
        <v>40.4</v>
      </c>
      <c r="P345" s="17">
        <v>-113.2</v>
      </c>
      <c r="Q345" s="17" t="s">
        <v>31</v>
      </c>
      <c r="R345" s="17">
        <v>0.99150000000000005</v>
      </c>
      <c r="S345" s="17" t="s">
        <v>172</v>
      </c>
    </row>
    <row r="346" spans="1:20" x14ac:dyDescent="0.2">
      <c r="A346">
        <v>26</v>
      </c>
      <c r="B346">
        <v>1</v>
      </c>
      <c r="C346" t="s">
        <v>84</v>
      </c>
      <c r="D346">
        <v>2003</v>
      </c>
      <c r="E346">
        <v>250</v>
      </c>
      <c r="F346">
        <v>2</v>
      </c>
      <c r="G346">
        <v>17.100000000000001</v>
      </c>
      <c r="H346">
        <v>32.299999999999997</v>
      </c>
      <c r="I346" t="s">
        <v>31</v>
      </c>
      <c r="J346" t="s">
        <v>31</v>
      </c>
      <c r="K346" t="s">
        <v>31</v>
      </c>
      <c r="L346" t="s">
        <v>31</v>
      </c>
      <c r="M346" t="s">
        <v>85</v>
      </c>
      <c r="N346" t="s">
        <v>93</v>
      </c>
      <c r="O346">
        <v>38</v>
      </c>
      <c r="P346">
        <v>-1.2</v>
      </c>
      <c r="Q346" t="s">
        <v>31</v>
      </c>
      <c r="R346">
        <v>0.1711</v>
      </c>
      <c r="S346" t="s">
        <v>171</v>
      </c>
    </row>
    <row r="347" spans="1:20" x14ac:dyDescent="0.2">
      <c r="A347">
        <v>26</v>
      </c>
      <c r="B347">
        <v>1</v>
      </c>
      <c r="C347" t="s">
        <v>84</v>
      </c>
      <c r="D347">
        <v>2003</v>
      </c>
      <c r="E347">
        <v>250</v>
      </c>
      <c r="F347">
        <v>3</v>
      </c>
      <c r="G347">
        <v>17.100000000000001</v>
      </c>
      <c r="H347">
        <v>32.299999999999997</v>
      </c>
      <c r="I347" t="s">
        <v>31</v>
      </c>
      <c r="J347" t="s">
        <v>31</v>
      </c>
      <c r="K347" t="s">
        <v>31</v>
      </c>
      <c r="L347" t="s">
        <v>31</v>
      </c>
      <c r="M347" t="s">
        <v>85</v>
      </c>
      <c r="N347" t="s">
        <v>93</v>
      </c>
      <c r="O347">
        <v>38</v>
      </c>
      <c r="P347">
        <v>-1.2</v>
      </c>
      <c r="Q347" t="s">
        <v>31</v>
      </c>
      <c r="R347">
        <v>0.1711</v>
      </c>
      <c r="S347" t="s">
        <v>171</v>
      </c>
    </row>
    <row r="348" spans="1:20" x14ac:dyDescent="0.2">
      <c r="A348">
        <v>26</v>
      </c>
      <c r="B348">
        <v>2</v>
      </c>
      <c r="C348" t="s">
        <v>84</v>
      </c>
      <c r="D348">
        <v>2003</v>
      </c>
      <c r="E348">
        <v>250</v>
      </c>
      <c r="F348">
        <v>2</v>
      </c>
      <c r="G348">
        <v>17.100000000000001</v>
      </c>
      <c r="H348">
        <v>32.299999999999997</v>
      </c>
      <c r="I348" t="s">
        <v>29</v>
      </c>
      <c r="J348" t="s">
        <v>31</v>
      </c>
      <c r="K348" t="s">
        <v>31</v>
      </c>
      <c r="L348" t="s">
        <v>31</v>
      </c>
      <c r="M348" t="s">
        <v>85</v>
      </c>
      <c r="N348" t="s">
        <v>93</v>
      </c>
      <c r="O348">
        <v>38</v>
      </c>
      <c r="P348">
        <v>-1.2</v>
      </c>
      <c r="Q348" t="s">
        <v>31</v>
      </c>
      <c r="R348">
        <v>0.1711</v>
      </c>
      <c r="S348" t="s">
        <v>171</v>
      </c>
    </row>
    <row r="349" spans="1:20" x14ac:dyDescent="0.2">
      <c r="A349">
        <v>26</v>
      </c>
      <c r="B349">
        <v>2</v>
      </c>
      <c r="C349" t="s">
        <v>84</v>
      </c>
      <c r="D349">
        <v>2003</v>
      </c>
      <c r="E349">
        <v>250</v>
      </c>
      <c r="F349">
        <v>3</v>
      </c>
      <c r="G349">
        <v>17.100000000000001</v>
      </c>
      <c r="H349">
        <v>32.299999999999997</v>
      </c>
      <c r="I349" t="s">
        <v>29</v>
      </c>
      <c r="J349" t="s">
        <v>31</v>
      </c>
      <c r="K349" t="s">
        <v>31</v>
      </c>
      <c r="L349" t="s">
        <v>31</v>
      </c>
      <c r="M349" t="s">
        <v>85</v>
      </c>
      <c r="N349" t="s">
        <v>93</v>
      </c>
      <c r="O349">
        <v>38</v>
      </c>
      <c r="P349">
        <v>-1.2</v>
      </c>
      <c r="Q349" t="s">
        <v>31</v>
      </c>
      <c r="R349">
        <v>0.1711</v>
      </c>
      <c r="S349" t="s">
        <v>171</v>
      </c>
    </row>
    <row r="350" spans="1:20" x14ac:dyDescent="0.2">
      <c r="A350">
        <v>27</v>
      </c>
      <c r="B350">
        <v>1</v>
      </c>
      <c r="C350" t="s">
        <v>86</v>
      </c>
      <c r="D350">
        <v>1994</v>
      </c>
      <c r="E350">
        <v>224</v>
      </c>
      <c r="F350">
        <v>6</v>
      </c>
      <c r="G350">
        <v>10.6</v>
      </c>
      <c r="H350">
        <v>100.7</v>
      </c>
      <c r="I350" t="s">
        <v>31</v>
      </c>
      <c r="J350" t="s">
        <v>31</v>
      </c>
      <c r="K350" t="s">
        <v>29</v>
      </c>
      <c r="L350" t="s">
        <v>31</v>
      </c>
      <c r="M350" t="s">
        <v>87</v>
      </c>
      <c r="N350" t="s">
        <v>91</v>
      </c>
      <c r="O350">
        <v>39.700000000000003</v>
      </c>
      <c r="P350">
        <v>-81.5</v>
      </c>
      <c r="Q350" t="s">
        <v>29</v>
      </c>
      <c r="R350">
        <v>0.83640000000000003</v>
      </c>
      <c r="S350" t="s">
        <v>171</v>
      </c>
      <c r="T350" s="16" t="e">
        <f>SUMPRODUCT(1/COUNTIF(A350:A818,A350:A818))</f>
        <v>#DIV/0!</v>
      </c>
    </row>
    <row r="351" spans="1:20" x14ac:dyDescent="0.2">
      <c r="A351">
        <v>27</v>
      </c>
      <c r="B351">
        <v>2</v>
      </c>
      <c r="C351" t="s">
        <v>86</v>
      </c>
      <c r="D351">
        <v>1994</v>
      </c>
      <c r="E351">
        <v>224</v>
      </c>
      <c r="F351">
        <v>10</v>
      </c>
      <c r="G351">
        <v>10.6</v>
      </c>
      <c r="H351">
        <v>100.7</v>
      </c>
      <c r="I351" t="s">
        <v>31</v>
      </c>
      <c r="J351" t="s">
        <v>31</v>
      </c>
      <c r="K351" t="s">
        <v>29</v>
      </c>
      <c r="L351" t="s">
        <v>31</v>
      </c>
      <c r="M351" t="s">
        <v>87</v>
      </c>
      <c r="N351" t="s">
        <v>91</v>
      </c>
      <c r="O351">
        <v>39.700000000000003</v>
      </c>
      <c r="P351">
        <v>-81.5</v>
      </c>
      <c r="Q351" t="s">
        <v>29</v>
      </c>
      <c r="R351">
        <v>0.83640000000000003</v>
      </c>
      <c r="S351" t="s">
        <v>171</v>
      </c>
    </row>
    <row r="352" spans="1:20" x14ac:dyDescent="0.2">
      <c r="A352">
        <v>28</v>
      </c>
      <c r="B352">
        <v>1</v>
      </c>
      <c r="C352" t="s">
        <v>88</v>
      </c>
      <c r="D352">
        <v>1998</v>
      </c>
      <c r="E352">
        <v>22.4</v>
      </c>
      <c r="F352">
        <v>2</v>
      </c>
      <c r="G352">
        <v>10.6</v>
      </c>
      <c r="H352">
        <v>41.8</v>
      </c>
      <c r="I352" t="s">
        <v>31</v>
      </c>
      <c r="J352" t="s">
        <v>31</v>
      </c>
      <c r="K352" t="s">
        <v>29</v>
      </c>
      <c r="L352" t="s">
        <v>31</v>
      </c>
      <c r="M352" t="s">
        <v>89</v>
      </c>
      <c r="N352" t="s">
        <v>91</v>
      </c>
      <c r="O352">
        <v>40.700000000000003</v>
      </c>
      <c r="P352">
        <v>-112.1</v>
      </c>
      <c r="Q352" t="s">
        <v>29</v>
      </c>
      <c r="R352">
        <v>0.248</v>
      </c>
      <c r="S352" t="s">
        <v>171</v>
      </c>
    </row>
    <row r="353" spans="1:19" x14ac:dyDescent="0.2">
      <c r="A353">
        <v>28</v>
      </c>
      <c r="B353">
        <v>2</v>
      </c>
      <c r="C353" t="s">
        <v>88</v>
      </c>
      <c r="D353">
        <v>1998</v>
      </c>
      <c r="E353">
        <v>44.8</v>
      </c>
      <c r="F353">
        <v>2</v>
      </c>
      <c r="G353">
        <v>10.6</v>
      </c>
      <c r="H353">
        <v>41.8</v>
      </c>
      <c r="I353" t="s">
        <v>31</v>
      </c>
      <c r="J353" t="s">
        <v>31</v>
      </c>
      <c r="K353" t="s">
        <v>29</v>
      </c>
      <c r="L353" t="s">
        <v>31</v>
      </c>
      <c r="M353" t="s">
        <v>89</v>
      </c>
      <c r="N353" t="s">
        <v>91</v>
      </c>
      <c r="O353">
        <v>40.700000000000003</v>
      </c>
      <c r="P353">
        <v>-112.1</v>
      </c>
      <c r="Q353" t="s">
        <v>29</v>
      </c>
      <c r="R353">
        <v>0.248</v>
      </c>
      <c r="S353" t="s">
        <v>171</v>
      </c>
    </row>
    <row r="354" spans="1:19" x14ac:dyDescent="0.2">
      <c r="A354">
        <v>28</v>
      </c>
      <c r="B354">
        <v>3</v>
      </c>
      <c r="C354" t="s">
        <v>88</v>
      </c>
      <c r="D354">
        <v>1998</v>
      </c>
      <c r="E354">
        <v>67.2</v>
      </c>
      <c r="F354">
        <v>2</v>
      </c>
      <c r="G354">
        <v>10.6</v>
      </c>
      <c r="H354">
        <v>41.8</v>
      </c>
      <c r="I354" t="s">
        <v>31</v>
      </c>
      <c r="J354" t="s">
        <v>31</v>
      </c>
      <c r="K354" t="s">
        <v>29</v>
      </c>
      <c r="L354" t="s">
        <v>31</v>
      </c>
      <c r="M354" t="s">
        <v>89</v>
      </c>
      <c r="N354" t="s">
        <v>91</v>
      </c>
      <c r="O354">
        <v>40.700000000000003</v>
      </c>
      <c r="P354">
        <v>-112.1</v>
      </c>
      <c r="Q354" t="s">
        <v>29</v>
      </c>
      <c r="R354">
        <v>0.248</v>
      </c>
      <c r="S354" t="s">
        <v>171</v>
      </c>
    </row>
    <row r="355" spans="1:19" x14ac:dyDescent="0.2">
      <c r="A355">
        <v>28</v>
      </c>
      <c r="B355">
        <v>4</v>
      </c>
      <c r="C355" t="s">
        <v>88</v>
      </c>
      <c r="D355">
        <v>1998</v>
      </c>
      <c r="E355">
        <v>22.4</v>
      </c>
      <c r="F355">
        <v>2</v>
      </c>
      <c r="G355">
        <v>10.6</v>
      </c>
      <c r="H355">
        <v>41.8</v>
      </c>
      <c r="I355" t="s">
        <v>31</v>
      </c>
      <c r="J355" t="s">
        <v>31</v>
      </c>
      <c r="K355" t="s">
        <v>29</v>
      </c>
      <c r="L355" t="s">
        <v>31</v>
      </c>
      <c r="M355" t="s">
        <v>89</v>
      </c>
      <c r="N355" t="s">
        <v>91</v>
      </c>
      <c r="O355">
        <v>40.700000000000003</v>
      </c>
      <c r="P355">
        <v>-112.1</v>
      </c>
      <c r="Q355" t="s">
        <v>29</v>
      </c>
      <c r="R355">
        <v>0.2482</v>
      </c>
      <c r="S355" t="s">
        <v>172</v>
      </c>
    </row>
    <row r="356" spans="1:19" x14ac:dyDescent="0.2">
      <c r="A356">
        <v>28</v>
      </c>
      <c r="B356">
        <v>5</v>
      </c>
      <c r="C356" t="s">
        <v>88</v>
      </c>
      <c r="D356">
        <v>1998</v>
      </c>
      <c r="E356">
        <v>44.8</v>
      </c>
      <c r="F356">
        <v>2</v>
      </c>
      <c r="G356">
        <v>10.6</v>
      </c>
      <c r="H356">
        <v>41.8</v>
      </c>
      <c r="I356" t="s">
        <v>31</v>
      </c>
      <c r="J356" t="s">
        <v>31</v>
      </c>
      <c r="K356" t="s">
        <v>29</v>
      </c>
      <c r="L356" t="s">
        <v>31</v>
      </c>
      <c r="M356" t="s">
        <v>89</v>
      </c>
      <c r="N356" t="s">
        <v>91</v>
      </c>
      <c r="O356">
        <v>40.700000000000003</v>
      </c>
      <c r="P356">
        <v>-112.1</v>
      </c>
      <c r="Q356" t="s">
        <v>29</v>
      </c>
      <c r="R356">
        <v>0.2482</v>
      </c>
      <c r="S356" t="s">
        <v>172</v>
      </c>
    </row>
    <row r="357" spans="1:19" x14ac:dyDescent="0.2">
      <c r="A357">
        <v>28</v>
      </c>
      <c r="B357">
        <v>6</v>
      </c>
      <c r="C357" t="s">
        <v>88</v>
      </c>
      <c r="D357">
        <v>1998</v>
      </c>
      <c r="E357">
        <v>67.2</v>
      </c>
      <c r="F357">
        <v>2</v>
      </c>
      <c r="G357">
        <v>10.6</v>
      </c>
      <c r="H357">
        <v>41.8</v>
      </c>
      <c r="I357" t="s">
        <v>31</v>
      </c>
      <c r="J357" t="s">
        <v>31</v>
      </c>
      <c r="K357" t="s">
        <v>29</v>
      </c>
      <c r="L357" t="s">
        <v>31</v>
      </c>
      <c r="M357" t="s">
        <v>89</v>
      </c>
      <c r="N357" t="s">
        <v>91</v>
      </c>
      <c r="O357">
        <v>40.700000000000003</v>
      </c>
      <c r="P357">
        <v>-112.1</v>
      </c>
      <c r="Q357" t="s">
        <v>29</v>
      </c>
      <c r="R357">
        <v>0.2482</v>
      </c>
      <c r="S357" t="s">
        <v>172</v>
      </c>
    </row>
    <row r="358" spans="1:19" x14ac:dyDescent="0.2">
      <c r="A358">
        <v>28</v>
      </c>
      <c r="B358">
        <v>10</v>
      </c>
      <c r="C358" t="s">
        <v>88</v>
      </c>
      <c r="D358">
        <v>1998</v>
      </c>
      <c r="E358">
        <v>22.4</v>
      </c>
      <c r="F358">
        <v>2</v>
      </c>
      <c r="G358">
        <v>10.6</v>
      </c>
      <c r="H358">
        <v>41.8</v>
      </c>
      <c r="I358" t="s">
        <v>31</v>
      </c>
      <c r="J358" t="s">
        <v>31</v>
      </c>
      <c r="K358" t="s">
        <v>29</v>
      </c>
      <c r="L358" t="s">
        <v>31</v>
      </c>
      <c r="M358" t="s">
        <v>89</v>
      </c>
      <c r="N358" t="s">
        <v>91</v>
      </c>
      <c r="O358">
        <v>40.700000000000003</v>
      </c>
      <c r="P358">
        <v>-112.1</v>
      </c>
      <c r="Q358" t="s">
        <v>29</v>
      </c>
      <c r="R358">
        <v>0.2482</v>
      </c>
      <c r="S358" t="s">
        <v>172</v>
      </c>
    </row>
    <row r="359" spans="1:19" x14ac:dyDescent="0.2">
      <c r="A359">
        <v>28</v>
      </c>
      <c r="B359">
        <v>11</v>
      </c>
      <c r="C359" t="s">
        <v>88</v>
      </c>
      <c r="D359">
        <v>1998</v>
      </c>
      <c r="E359">
        <v>44.8</v>
      </c>
      <c r="F359">
        <v>2</v>
      </c>
      <c r="G359">
        <v>10.6</v>
      </c>
      <c r="H359">
        <v>41.8</v>
      </c>
      <c r="I359" t="s">
        <v>31</v>
      </c>
      <c r="J359" t="s">
        <v>31</v>
      </c>
      <c r="K359" t="s">
        <v>29</v>
      </c>
      <c r="L359" t="s">
        <v>31</v>
      </c>
      <c r="M359" t="s">
        <v>89</v>
      </c>
      <c r="N359" t="s">
        <v>91</v>
      </c>
      <c r="O359">
        <v>40.700000000000003</v>
      </c>
      <c r="P359">
        <v>-112.1</v>
      </c>
      <c r="Q359" t="s">
        <v>29</v>
      </c>
      <c r="R359">
        <v>0.2482</v>
      </c>
      <c r="S359" t="s">
        <v>172</v>
      </c>
    </row>
    <row r="360" spans="1:19" x14ac:dyDescent="0.2">
      <c r="A360">
        <v>28</v>
      </c>
      <c r="B360">
        <v>12</v>
      </c>
      <c r="C360" t="s">
        <v>88</v>
      </c>
      <c r="D360">
        <v>1998</v>
      </c>
      <c r="E360">
        <v>67.2</v>
      </c>
      <c r="F360">
        <v>2</v>
      </c>
      <c r="G360">
        <v>10.6</v>
      </c>
      <c r="H360">
        <v>41.8</v>
      </c>
      <c r="I360" t="s">
        <v>31</v>
      </c>
      <c r="J360" t="s">
        <v>31</v>
      </c>
      <c r="K360" t="s">
        <v>29</v>
      </c>
      <c r="L360" t="s">
        <v>31</v>
      </c>
      <c r="M360" t="s">
        <v>89</v>
      </c>
      <c r="N360" t="s">
        <v>91</v>
      </c>
      <c r="O360">
        <v>40.700000000000003</v>
      </c>
      <c r="P360">
        <v>-112.1</v>
      </c>
      <c r="Q360" t="s">
        <v>29</v>
      </c>
      <c r="R360">
        <v>0.2482</v>
      </c>
      <c r="S360" t="s">
        <v>172</v>
      </c>
    </row>
    <row r="361" spans="1:19" x14ac:dyDescent="0.2">
      <c r="A361">
        <v>28</v>
      </c>
      <c r="B361">
        <v>1</v>
      </c>
      <c r="C361" t="s">
        <v>88</v>
      </c>
      <c r="D361">
        <v>1998</v>
      </c>
      <c r="E361">
        <v>22.4</v>
      </c>
      <c r="F361">
        <v>2</v>
      </c>
      <c r="G361">
        <v>10.6</v>
      </c>
      <c r="H361">
        <v>41.8</v>
      </c>
      <c r="I361" t="s">
        <v>29</v>
      </c>
      <c r="J361" t="s">
        <v>31</v>
      </c>
      <c r="K361" t="s">
        <v>29</v>
      </c>
      <c r="L361" t="s">
        <v>31</v>
      </c>
      <c r="M361" t="s">
        <v>89</v>
      </c>
      <c r="N361" t="s">
        <v>91</v>
      </c>
      <c r="O361">
        <v>40.700000000000003</v>
      </c>
      <c r="P361">
        <v>-112.1</v>
      </c>
      <c r="Q361" t="s">
        <v>29</v>
      </c>
      <c r="R361">
        <v>0.2482</v>
      </c>
      <c r="S361" t="s">
        <v>172</v>
      </c>
    </row>
    <row r="362" spans="1:19" x14ac:dyDescent="0.2">
      <c r="A362">
        <v>28</v>
      </c>
      <c r="B362">
        <v>2</v>
      </c>
      <c r="C362" t="s">
        <v>88</v>
      </c>
      <c r="D362">
        <v>1998</v>
      </c>
      <c r="E362">
        <v>44.8</v>
      </c>
      <c r="F362">
        <v>2</v>
      </c>
      <c r="G362">
        <v>10.6</v>
      </c>
      <c r="H362">
        <v>41.8</v>
      </c>
      <c r="I362" t="s">
        <v>29</v>
      </c>
      <c r="J362" t="s">
        <v>31</v>
      </c>
      <c r="K362" t="s">
        <v>29</v>
      </c>
      <c r="L362" t="s">
        <v>31</v>
      </c>
      <c r="M362" t="s">
        <v>89</v>
      </c>
      <c r="N362" t="s">
        <v>91</v>
      </c>
      <c r="O362">
        <v>40.700000000000003</v>
      </c>
      <c r="P362">
        <v>-112.1</v>
      </c>
      <c r="Q362" t="s">
        <v>29</v>
      </c>
      <c r="R362">
        <v>0.2482</v>
      </c>
      <c r="S362" t="s">
        <v>172</v>
      </c>
    </row>
    <row r="363" spans="1:19" x14ac:dyDescent="0.2">
      <c r="A363">
        <v>28</v>
      </c>
      <c r="B363">
        <v>3</v>
      </c>
      <c r="C363" t="s">
        <v>88</v>
      </c>
      <c r="D363">
        <v>1998</v>
      </c>
      <c r="E363">
        <v>67.2</v>
      </c>
      <c r="F363">
        <v>2</v>
      </c>
      <c r="G363">
        <v>10.6</v>
      </c>
      <c r="H363">
        <v>41.8</v>
      </c>
      <c r="I363" t="s">
        <v>29</v>
      </c>
      <c r="J363" t="s">
        <v>31</v>
      </c>
      <c r="K363" t="s">
        <v>29</v>
      </c>
      <c r="L363" t="s">
        <v>31</v>
      </c>
      <c r="M363" t="s">
        <v>89</v>
      </c>
      <c r="N363" t="s">
        <v>91</v>
      </c>
      <c r="O363">
        <v>40.700000000000003</v>
      </c>
      <c r="P363">
        <v>-112.1</v>
      </c>
      <c r="Q363" t="s">
        <v>29</v>
      </c>
      <c r="R363">
        <v>0.2482</v>
      </c>
      <c r="S363" t="s">
        <v>172</v>
      </c>
    </row>
    <row r="364" spans="1:19" x14ac:dyDescent="0.2">
      <c r="A364">
        <v>28</v>
      </c>
      <c r="B364">
        <v>7</v>
      </c>
      <c r="C364" t="s">
        <v>88</v>
      </c>
      <c r="D364">
        <v>1998</v>
      </c>
      <c r="E364">
        <v>22.4</v>
      </c>
      <c r="F364">
        <v>2</v>
      </c>
      <c r="G364">
        <v>10.6</v>
      </c>
      <c r="H364">
        <v>41.8</v>
      </c>
      <c r="I364" t="s">
        <v>29</v>
      </c>
      <c r="J364" t="s">
        <v>31</v>
      </c>
      <c r="K364" t="s">
        <v>29</v>
      </c>
      <c r="L364" t="s">
        <v>31</v>
      </c>
      <c r="M364" t="s">
        <v>89</v>
      </c>
      <c r="N364" t="s">
        <v>91</v>
      </c>
      <c r="O364">
        <v>40.700000000000003</v>
      </c>
      <c r="P364">
        <v>-112.1</v>
      </c>
      <c r="Q364" t="s">
        <v>29</v>
      </c>
      <c r="R364">
        <v>0.2482</v>
      </c>
      <c r="S364" t="s">
        <v>172</v>
      </c>
    </row>
    <row r="365" spans="1:19" x14ac:dyDescent="0.2">
      <c r="A365">
        <v>28</v>
      </c>
      <c r="B365">
        <v>8</v>
      </c>
      <c r="C365" t="s">
        <v>88</v>
      </c>
      <c r="D365">
        <v>1998</v>
      </c>
      <c r="E365">
        <v>44.8</v>
      </c>
      <c r="F365">
        <v>2</v>
      </c>
      <c r="G365">
        <v>10.6</v>
      </c>
      <c r="H365">
        <v>41.8</v>
      </c>
      <c r="I365" t="s">
        <v>29</v>
      </c>
      <c r="J365" t="s">
        <v>31</v>
      </c>
      <c r="K365" t="s">
        <v>29</v>
      </c>
      <c r="L365" t="s">
        <v>31</v>
      </c>
      <c r="M365" t="s">
        <v>89</v>
      </c>
      <c r="N365" t="s">
        <v>91</v>
      </c>
      <c r="O365">
        <v>40.700000000000003</v>
      </c>
      <c r="P365">
        <v>-112.1</v>
      </c>
      <c r="Q365" t="s">
        <v>29</v>
      </c>
      <c r="R365">
        <v>0.2482</v>
      </c>
      <c r="S365" t="s">
        <v>172</v>
      </c>
    </row>
    <row r="366" spans="1:19" x14ac:dyDescent="0.2">
      <c r="A366">
        <v>28</v>
      </c>
      <c r="B366">
        <v>9</v>
      </c>
      <c r="C366" t="s">
        <v>88</v>
      </c>
      <c r="D366">
        <v>1998</v>
      </c>
      <c r="E366">
        <v>67.2</v>
      </c>
      <c r="F366">
        <v>2</v>
      </c>
      <c r="G366">
        <v>10.6</v>
      </c>
      <c r="H366">
        <v>41.8</v>
      </c>
      <c r="I366" t="s">
        <v>29</v>
      </c>
      <c r="J366" t="s">
        <v>31</v>
      </c>
      <c r="K366" t="s">
        <v>29</v>
      </c>
      <c r="L366" t="s">
        <v>31</v>
      </c>
      <c r="M366" t="s">
        <v>89</v>
      </c>
      <c r="N366" t="s">
        <v>91</v>
      </c>
      <c r="O366">
        <v>40.700000000000003</v>
      </c>
      <c r="P366">
        <v>-112.1</v>
      </c>
      <c r="Q366" t="s">
        <v>29</v>
      </c>
      <c r="R366">
        <v>0.2482</v>
      </c>
      <c r="S366" t="s">
        <v>172</v>
      </c>
    </row>
    <row r="367" spans="1:19" x14ac:dyDescent="0.2">
      <c r="A367">
        <v>29</v>
      </c>
      <c r="B367">
        <v>1</v>
      </c>
      <c r="C367" t="s">
        <v>104</v>
      </c>
      <c r="D367">
        <v>2018</v>
      </c>
      <c r="E367">
        <v>150</v>
      </c>
      <c r="F367">
        <v>14</v>
      </c>
      <c r="G367">
        <v>3.4</v>
      </c>
      <c r="H367">
        <v>39.200000000000003</v>
      </c>
      <c r="I367" t="s">
        <v>31</v>
      </c>
      <c r="J367" t="s">
        <v>31</v>
      </c>
      <c r="K367" t="s">
        <v>29</v>
      </c>
      <c r="L367" t="s">
        <v>31</v>
      </c>
      <c r="M367" t="s">
        <v>52</v>
      </c>
      <c r="N367" t="s">
        <v>94</v>
      </c>
      <c r="O367">
        <v>50.511940000000003</v>
      </c>
      <c r="P367">
        <v>-120.97472</v>
      </c>
      <c r="Q367" t="s">
        <v>29</v>
      </c>
      <c r="R367">
        <v>0.56010000000000004</v>
      </c>
      <c r="S367" t="s">
        <v>172</v>
      </c>
    </row>
    <row r="368" spans="1:19" x14ac:dyDescent="0.2">
      <c r="A368">
        <v>29</v>
      </c>
      <c r="B368">
        <v>2</v>
      </c>
      <c r="C368" t="s">
        <v>104</v>
      </c>
      <c r="D368">
        <v>2018</v>
      </c>
      <c r="E368">
        <v>250</v>
      </c>
      <c r="F368">
        <v>14</v>
      </c>
      <c r="G368">
        <v>3.4</v>
      </c>
      <c r="H368">
        <v>39.200000000000003</v>
      </c>
      <c r="I368" t="s">
        <v>31</v>
      </c>
      <c r="J368" t="s">
        <v>31</v>
      </c>
      <c r="K368" t="s">
        <v>29</v>
      </c>
      <c r="L368" t="s">
        <v>31</v>
      </c>
      <c r="M368" t="s">
        <v>52</v>
      </c>
      <c r="N368" t="s">
        <v>94</v>
      </c>
      <c r="O368">
        <v>50.511940000000003</v>
      </c>
      <c r="P368">
        <v>-120.97472</v>
      </c>
      <c r="Q368" t="s">
        <v>29</v>
      </c>
      <c r="R368">
        <v>0.56010000000000004</v>
      </c>
      <c r="S368" t="s">
        <v>172</v>
      </c>
    </row>
    <row r="369" spans="1:19" x14ac:dyDescent="0.2">
      <c r="A369">
        <v>30</v>
      </c>
      <c r="B369">
        <v>1</v>
      </c>
      <c r="C369" t="s">
        <v>105</v>
      </c>
      <c r="D369">
        <v>2011</v>
      </c>
      <c r="E369">
        <v>25</v>
      </c>
      <c r="F369">
        <v>2</v>
      </c>
      <c r="G369">
        <v>8.9</v>
      </c>
      <c r="H369">
        <v>44.1</v>
      </c>
      <c r="I369" t="s">
        <v>31</v>
      </c>
      <c r="J369" t="s">
        <v>31</v>
      </c>
      <c r="K369" t="s">
        <v>31</v>
      </c>
      <c r="L369" t="s">
        <v>29</v>
      </c>
      <c r="M369" t="s">
        <v>106</v>
      </c>
      <c r="N369" t="s">
        <v>155</v>
      </c>
      <c r="O369">
        <v>38.613329999999998</v>
      </c>
      <c r="P369">
        <v>43.233879999999999</v>
      </c>
      <c r="Q369" t="s">
        <v>31</v>
      </c>
      <c r="R369">
        <v>0.31290000000000001</v>
      </c>
      <c r="S369" t="s">
        <v>172</v>
      </c>
    </row>
    <row r="370" spans="1:19" x14ac:dyDescent="0.2">
      <c r="A370">
        <v>30</v>
      </c>
      <c r="B370">
        <v>1</v>
      </c>
      <c r="C370" t="s">
        <v>105</v>
      </c>
      <c r="D370">
        <v>2011</v>
      </c>
      <c r="E370">
        <v>50</v>
      </c>
      <c r="F370">
        <v>2</v>
      </c>
      <c r="G370">
        <v>8.9</v>
      </c>
      <c r="H370">
        <v>44.1</v>
      </c>
      <c r="I370" t="s">
        <v>31</v>
      </c>
      <c r="J370" t="s">
        <v>31</v>
      </c>
      <c r="K370" t="s">
        <v>31</v>
      </c>
      <c r="L370" t="s">
        <v>31</v>
      </c>
      <c r="M370" t="s">
        <v>106</v>
      </c>
      <c r="N370" t="s">
        <v>155</v>
      </c>
      <c r="O370">
        <v>38.613329999999998</v>
      </c>
      <c r="P370">
        <v>43.233879999999999</v>
      </c>
      <c r="Q370" t="s">
        <v>31</v>
      </c>
      <c r="R370">
        <v>0.31290000000000001</v>
      </c>
      <c r="S370" t="s">
        <v>172</v>
      </c>
    </row>
    <row r="371" spans="1:19" x14ac:dyDescent="0.2">
      <c r="A371">
        <v>30</v>
      </c>
      <c r="B371">
        <v>1</v>
      </c>
      <c r="C371" t="s">
        <v>105</v>
      </c>
      <c r="D371">
        <v>2011</v>
      </c>
      <c r="E371">
        <v>75</v>
      </c>
      <c r="F371">
        <v>2</v>
      </c>
      <c r="G371">
        <v>8.9</v>
      </c>
      <c r="H371">
        <v>44.1</v>
      </c>
      <c r="I371" t="s">
        <v>31</v>
      </c>
      <c r="J371" t="s">
        <v>31</v>
      </c>
      <c r="K371" t="s">
        <v>31</v>
      </c>
      <c r="L371" t="s">
        <v>31</v>
      </c>
      <c r="M371" t="s">
        <v>106</v>
      </c>
      <c r="N371" t="s">
        <v>155</v>
      </c>
      <c r="O371">
        <v>38.613329999999998</v>
      </c>
      <c r="P371">
        <v>43.233879999999999</v>
      </c>
      <c r="Q371" t="s">
        <v>31</v>
      </c>
      <c r="R371">
        <v>0.31290000000000001</v>
      </c>
      <c r="S371" t="s">
        <v>172</v>
      </c>
    </row>
    <row r="372" spans="1:19" x14ac:dyDescent="0.2">
      <c r="A372">
        <v>30</v>
      </c>
      <c r="B372">
        <v>1</v>
      </c>
      <c r="C372" t="s">
        <v>105</v>
      </c>
      <c r="D372">
        <v>2011</v>
      </c>
      <c r="E372">
        <v>100</v>
      </c>
      <c r="F372">
        <v>2</v>
      </c>
      <c r="G372">
        <v>8.9</v>
      </c>
      <c r="H372">
        <v>44.1</v>
      </c>
      <c r="I372" t="s">
        <v>31</v>
      </c>
      <c r="J372" t="s">
        <v>31</v>
      </c>
      <c r="K372" t="s">
        <v>31</v>
      </c>
      <c r="L372" t="s">
        <v>31</v>
      </c>
      <c r="M372" t="s">
        <v>106</v>
      </c>
      <c r="N372" t="s">
        <v>155</v>
      </c>
      <c r="O372">
        <v>38.613329999999998</v>
      </c>
      <c r="P372">
        <v>43.233879999999999</v>
      </c>
      <c r="Q372" t="s">
        <v>31</v>
      </c>
      <c r="R372">
        <v>0.31290000000000001</v>
      </c>
      <c r="S372" t="s">
        <v>172</v>
      </c>
    </row>
    <row r="373" spans="1:19" x14ac:dyDescent="0.2">
      <c r="A373">
        <v>30</v>
      </c>
      <c r="B373">
        <v>1</v>
      </c>
      <c r="C373" t="s">
        <v>105</v>
      </c>
      <c r="D373">
        <v>2011</v>
      </c>
      <c r="E373">
        <v>50</v>
      </c>
      <c r="F373">
        <v>3</v>
      </c>
      <c r="G373">
        <v>8.9</v>
      </c>
      <c r="H373">
        <v>44.1</v>
      </c>
      <c r="I373" t="s">
        <v>31</v>
      </c>
      <c r="J373" t="s">
        <v>31</v>
      </c>
      <c r="K373" t="s">
        <v>31</v>
      </c>
      <c r="L373" t="s">
        <v>29</v>
      </c>
      <c r="M373" t="s">
        <v>106</v>
      </c>
      <c r="N373" t="s">
        <v>155</v>
      </c>
      <c r="O373">
        <v>38.613329999999998</v>
      </c>
      <c r="P373">
        <v>43.233879999999999</v>
      </c>
      <c r="Q373" t="s">
        <v>31</v>
      </c>
      <c r="R373">
        <v>0.31290000000000001</v>
      </c>
      <c r="S373" t="s">
        <v>172</v>
      </c>
    </row>
    <row r="374" spans="1:19" x14ac:dyDescent="0.2">
      <c r="A374">
        <v>30</v>
      </c>
      <c r="B374">
        <v>1</v>
      </c>
      <c r="C374" t="s">
        <v>105</v>
      </c>
      <c r="D374">
        <v>2011</v>
      </c>
      <c r="E374">
        <v>100</v>
      </c>
      <c r="F374">
        <v>3</v>
      </c>
      <c r="G374">
        <v>8.9</v>
      </c>
      <c r="H374">
        <v>44.1</v>
      </c>
      <c r="I374" t="s">
        <v>31</v>
      </c>
      <c r="J374" t="s">
        <v>31</v>
      </c>
      <c r="K374" t="s">
        <v>31</v>
      </c>
      <c r="L374" t="s">
        <v>29</v>
      </c>
      <c r="M374" t="s">
        <v>106</v>
      </c>
      <c r="N374" t="s">
        <v>155</v>
      </c>
      <c r="O374">
        <v>38.613329999999998</v>
      </c>
      <c r="P374">
        <v>43.233879999999999</v>
      </c>
      <c r="Q374" t="s">
        <v>31</v>
      </c>
      <c r="R374">
        <v>0.31290000000000001</v>
      </c>
      <c r="S374" t="s">
        <v>172</v>
      </c>
    </row>
    <row r="375" spans="1:19" x14ac:dyDescent="0.2">
      <c r="A375">
        <v>30</v>
      </c>
      <c r="B375">
        <v>1</v>
      </c>
      <c r="C375" t="s">
        <v>105</v>
      </c>
      <c r="D375">
        <v>2011</v>
      </c>
      <c r="E375">
        <v>150</v>
      </c>
      <c r="F375">
        <v>3</v>
      </c>
      <c r="G375">
        <v>8.9</v>
      </c>
      <c r="H375">
        <v>44.1</v>
      </c>
      <c r="I375" t="s">
        <v>31</v>
      </c>
      <c r="J375" t="s">
        <v>31</v>
      </c>
      <c r="K375" t="s">
        <v>31</v>
      </c>
      <c r="L375" t="s">
        <v>29</v>
      </c>
      <c r="M375" t="s">
        <v>106</v>
      </c>
      <c r="N375" t="s">
        <v>155</v>
      </c>
      <c r="O375">
        <v>38.613329999999998</v>
      </c>
      <c r="P375">
        <v>43.233879999999999</v>
      </c>
      <c r="Q375" t="s">
        <v>31</v>
      </c>
      <c r="R375">
        <v>0.31290000000000001</v>
      </c>
      <c r="S375" t="s">
        <v>172</v>
      </c>
    </row>
    <row r="376" spans="1:19" x14ac:dyDescent="0.2">
      <c r="A376">
        <v>30</v>
      </c>
      <c r="B376">
        <v>1</v>
      </c>
      <c r="C376" t="s">
        <v>105</v>
      </c>
      <c r="D376">
        <v>2011</v>
      </c>
      <c r="E376">
        <v>200</v>
      </c>
      <c r="F376">
        <v>3</v>
      </c>
      <c r="G376">
        <v>8.9</v>
      </c>
      <c r="H376">
        <v>44.1</v>
      </c>
      <c r="I376" t="s">
        <v>31</v>
      </c>
      <c r="J376" t="s">
        <v>31</v>
      </c>
      <c r="K376" t="s">
        <v>31</v>
      </c>
      <c r="L376" t="s">
        <v>29</v>
      </c>
      <c r="M376" t="s">
        <v>106</v>
      </c>
      <c r="N376" t="s">
        <v>155</v>
      </c>
      <c r="O376">
        <v>38.613329999999998</v>
      </c>
      <c r="P376">
        <v>43.233879999999999</v>
      </c>
      <c r="Q376" t="s">
        <v>31</v>
      </c>
      <c r="R376">
        <v>0.31290000000000001</v>
      </c>
      <c r="S376" t="s">
        <v>172</v>
      </c>
    </row>
    <row r="377" spans="1:19" x14ac:dyDescent="0.2">
      <c r="A377">
        <v>31</v>
      </c>
      <c r="B377">
        <v>1</v>
      </c>
      <c r="C377" t="s">
        <v>107</v>
      </c>
      <c r="D377">
        <v>2018</v>
      </c>
      <c r="E377">
        <v>20</v>
      </c>
      <c r="F377">
        <v>15</v>
      </c>
      <c r="G377">
        <v>3.3</v>
      </c>
      <c r="H377">
        <v>38.799999999999997</v>
      </c>
      <c r="I377" t="s">
        <v>31</v>
      </c>
      <c r="J377" t="s">
        <v>31</v>
      </c>
      <c r="K377" t="s">
        <v>31</v>
      </c>
      <c r="L377" t="s">
        <v>31</v>
      </c>
      <c r="M377" t="s">
        <v>108</v>
      </c>
      <c r="N377" t="s">
        <v>94</v>
      </c>
      <c r="O377">
        <v>51.41666</v>
      </c>
      <c r="P377">
        <v>-122.15</v>
      </c>
      <c r="Q377" t="s">
        <v>31</v>
      </c>
      <c r="R377">
        <v>0.45629999999999998</v>
      </c>
      <c r="S377" t="s">
        <v>172</v>
      </c>
    </row>
    <row r="378" spans="1:19" x14ac:dyDescent="0.2">
      <c r="A378">
        <v>32</v>
      </c>
      <c r="B378">
        <v>1</v>
      </c>
      <c r="C378" t="s">
        <v>109</v>
      </c>
      <c r="D378">
        <v>2015</v>
      </c>
      <c r="E378">
        <v>202</v>
      </c>
      <c r="F378">
        <v>3</v>
      </c>
      <c r="G378">
        <v>9.6999999999999993</v>
      </c>
      <c r="H378">
        <v>93.4</v>
      </c>
      <c r="I378" t="s">
        <v>31</v>
      </c>
      <c r="J378" t="s">
        <v>31</v>
      </c>
      <c r="K378" t="s">
        <v>29</v>
      </c>
      <c r="L378" t="s">
        <v>31</v>
      </c>
      <c r="M378" t="s">
        <v>110</v>
      </c>
      <c r="N378" t="s">
        <v>91</v>
      </c>
      <c r="O378">
        <v>41.798609999999996</v>
      </c>
      <c r="P378">
        <v>-87.969440000000006</v>
      </c>
      <c r="Q378" t="s">
        <v>29</v>
      </c>
      <c r="R378">
        <v>0.80220000000000002</v>
      </c>
      <c r="S378" t="s">
        <v>172</v>
      </c>
    </row>
    <row r="379" spans="1:19" x14ac:dyDescent="0.2">
      <c r="A379">
        <v>32</v>
      </c>
      <c r="B379">
        <v>3</v>
      </c>
      <c r="C379" t="s">
        <v>109</v>
      </c>
      <c r="D379">
        <v>2015</v>
      </c>
      <c r="E379">
        <v>404</v>
      </c>
      <c r="F379">
        <v>3</v>
      </c>
      <c r="G379">
        <v>9.6999999999999993</v>
      </c>
      <c r="H379">
        <v>93.4</v>
      </c>
      <c r="I379" t="s">
        <v>31</v>
      </c>
      <c r="J379" t="s">
        <v>31</v>
      </c>
      <c r="K379" t="s">
        <v>29</v>
      </c>
      <c r="L379" t="s">
        <v>31</v>
      </c>
      <c r="M379" t="s">
        <v>110</v>
      </c>
      <c r="N379" t="s">
        <v>91</v>
      </c>
      <c r="O379">
        <v>41.798609999999996</v>
      </c>
      <c r="P379">
        <v>-87.969440000000006</v>
      </c>
      <c r="Q379" t="s">
        <v>29</v>
      </c>
      <c r="R379">
        <v>0.80220000000000002</v>
      </c>
      <c r="S379" t="s">
        <v>172</v>
      </c>
    </row>
    <row r="380" spans="1:19" x14ac:dyDescent="0.2">
      <c r="A380">
        <v>32</v>
      </c>
      <c r="B380">
        <v>2</v>
      </c>
      <c r="C380" t="s">
        <v>109</v>
      </c>
      <c r="D380">
        <v>2015</v>
      </c>
      <c r="E380">
        <v>202</v>
      </c>
      <c r="F380">
        <v>3</v>
      </c>
      <c r="G380">
        <v>9.6999999999999993</v>
      </c>
      <c r="H380">
        <v>93.4</v>
      </c>
      <c r="I380" t="s">
        <v>29</v>
      </c>
      <c r="J380" t="s">
        <v>31</v>
      </c>
      <c r="K380" t="s">
        <v>29</v>
      </c>
      <c r="L380" t="s">
        <v>31</v>
      </c>
      <c r="M380" t="s">
        <v>110</v>
      </c>
      <c r="N380" t="s">
        <v>91</v>
      </c>
      <c r="O380">
        <v>41.798609999999996</v>
      </c>
      <c r="P380">
        <v>-87.969440000000006</v>
      </c>
      <c r="Q380" t="s">
        <v>29</v>
      </c>
      <c r="R380">
        <v>0.80220000000000002</v>
      </c>
      <c r="S380" t="s">
        <v>172</v>
      </c>
    </row>
    <row r="381" spans="1:19" x14ac:dyDescent="0.2">
      <c r="A381">
        <v>60</v>
      </c>
      <c r="B381">
        <v>1</v>
      </c>
      <c r="C381" t="s">
        <v>27</v>
      </c>
      <c r="D381">
        <v>2005</v>
      </c>
      <c r="E381">
        <v>224</v>
      </c>
      <c r="F381">
        <v>3</v>
      </c>
      <c r="G381">
        <v>-0.6</v>
      </c>
      <c r="H381">
        <v>37.4</v>
      </c>
      <c r="I381" t="s">
        <v>29</v>
      </c>
      <c r="J381" t="s">
        <v>31</v>
      </c>
      <c r="K381" t="s">
        <v>29</v>
      </c>
      <c r="L381" t="s">
        <v>31</v>
      </c>
      <c r="M381" t="s">
        <v>202</v>
      </c>
      <c r="N381" t="s">
        <v>91</v>
      </c>
      <c r="O381">
        <v>39.200000000000003</v>
      </c>
      <c r="P381">
        <v>-106.35</v>
      </c>
      <c r="Q381" t="s">
        <v>29</v>
      </c>
      <c r="R381">
        <v>0.32</v>
      </c>
      <c r="S381" t="s">
        <v>173</v>
      </c>
    </row>
    <row r="382" spans="1:19" x14ac:dyDescent="0.2">
      <c r="A382">
        <v>33</v>
      </c>
      <c r="B382">
        <v>1</v>
      </c>
      <c r="C382" t="s">
        <v>111</v>
      </c>
      <c r="D382">
        <v>2017</v>
      </c>
      <c r="E382">
        <v>22.4</v>
      </c>
      <c r="F382">
        <v>2</v>
      </c>
      <c r="G382">
        <v>6.8</v>
      </c>
      <c r="H382">
        <v>38.4</v>
      </c>
      <c r="I382" t="s">
        <v>31</v>
      </c>
      <c r="J382" t="s">
        <v>31</v>
      </c>
      <c r="K382" t="s">
        <v>31</v>
      </c>
      <c r="L382" t="s">
        <v>31</v>
      </c>
      <c r="M382" t="s">
        <v>113</v>
      </c>
      <c r="N382" t="s">
        <v>91</v>
      </c>
      <c r="O382">
        <v>41.212859999999999</v>
      </c>
      <c r="P382">
        <v>-104.85183000000001</v>
      </c>
      <c r="Q382" t="s">
        <v>31</v>
      </c>
      <c r="R382">
        <v>0.2402</v>
      </c>
      <c r="S382" t="s">
        <v>172</v>
      </c>
    </row>
    <row r="383" spans="1:19" x14ac:dyDescent="0.2">
      <c r="A383">
        <v>33</v>
      </c>
      <c r="B383">
        <v>2</v>
      </c>
      <c r="C383" t="s">
        <v>111</v>
      </c>
      <c r="D383">
        <v>2017</v>
      </c>
      <c r="E383">
        <v>22.4</v>
      </c>
      <c r="F383">
        <v>3</v>
      </c>
      <c r="G383">
        <v>6.8</v>
      </c>
      <c r="H383">
        <v>38.4</v>
      </c>
      <c r="I383" t="s">
        <v>31</v>
      </c>
      <c r="J383" t="s">
        <v>31</v>
      </c>
      <c r="K383" t="s">
        <v>31</v>
      </c>
      <c r="L383" t="s">
        <v>31</v>
      </c>
      <c r="M383" t="s">
        <v>113</v>
      </c>
      <c r="N383" t="s">
        <v>91</v>
      </c>
      <c r="O383">
        <v>41.212859999999999</v>
      </c>
      <c r="P383">
        <v>-104.85183000000001</v>
      </c>
      <c r="Q383" t="s">
        <v>31</v>
      </c>
      <c r="R383">
        <v>0.2402</v>
      </c>
      <c r="S383" t="s">
        <v>172</v>
      </c>
    </row>
    <row r="384" spans="1:19" x14ac:dyDescent="0.2">
      <c r="A384">
        <v>33</v>
      </c>
      <c r="B384">
        <v>3</v>
      </c>
      <c r="C384" t="s">
        <v>111</v>
      </c>
      <c r="D384">
        <v>2017</v>
      </c>
      <c r="E384">
        <v>22.4</v>
      </c>
      <c r="F384">
        <v>4</v>
      </c>
      <c r="G384">
        <v>6.8</v>
      </c>
      <c r="H384">
        <v>38.4</v>
      </c>
      <c r="I384" t="s">
        <v>31</v>
      </c>
      <c r="J384" t="s">
        <v>31</v>
      </c>
      <c r="K384" t="s">
        <v>31</v>
      </c>
      <c r="L384" t="s">
        <v>31</v>
      </c>
      <c r="M384" t="s">
        <v>113</v>
      </c>
      <c r="N384" t="s">
        <v>91</v>
      </c>
      <c r="O384">
        <v>41.212859999999999</v>
      </c>
      <c r="P384">
        <v>-104.85183000000001</v>
      </c>
      <c r="Q384" t="s">
        <v>31</v>
      </c>
      <c r="R384">
        <v>0.2402</v>
      </c>
      <c r="S384" t="s">
        <v>172</v>
      </c>
    </row>
    <row r="385" spans="1:19" x14ac:dyDescent="0.2">
      <c r="A385">
        <v>33</v>
      </c>
      <c r="B385">
        <v>4</v>
      </c>
      <c r="C385" t="s">
        <v>111</v>
      </c>
      <c r="D385">
        <v>2017</v>
      </c>
      <c r="E385">
        <v>22.4</v>
      </c>
      <c r="F385">
        <v>5</v>
      </c>
      <c r="G385">
        <v>6.8</v>
      </c>
      <c r="H385">
        <v>38.4</v>
      </c>
      <c r="I385" t="s">
        <v>31</v>
      </c>
      <c r="J385" t="s">
        <v>31</v>
      </c>
      <c r="K385" t="s">
        <v>31</v>
      </c>
      <c r="L385" t="s">
        <v>31</v>
      </c>
      <c r="M385" t="s">
        <v>113</v>
      </c>
      <c r="N385" t="s">
        <v>91</v>
      </c>
      <c r="O385">
        <v>41.212859999999999</v>
      </c>
      <c r="P385">
        <v>-104.85183000000001</v>
      </c>
      <c r="Q385" t="s">
        <v>31</v>
      </c>
      <c r="R385">
        <v>0.2402</v>
      </c>
      <c r="S385" t="s">
        <v>172</v>
      </c>
    </row>
    <row r="386" spans="1:19" x14ac:dyDescent="0.2">
      <c r="A386">
        <v>33</v>
      </c>
      <c r="B386">
        <v>5</v>
      </c>
      <c r="C386" t="s">
        <v>111</v>
      </c>
      <c r="D386">
        <v>2017</v>
      </c>
      <c r="E386">
        <v>22.4</v>
      </c>
      <c r="F386">
        <v>6</v>
      </c>
      <c r="G386">
        <v>6.8</v>
      </c>
      <c r="H386">
        <v>38.4</v>
      </c>
      <c r="I386" t="s">
        <v>31</v>
      </c>
      <c r="J386" t="s">
        <v>31</v>
      </c>
      <c r="K386" t="s">
        <v>31</v>
      </c>
      <c r="L386" t="s">
        <v>31</v>
      </c>
      <c r="M386" t="s">
        <v>113</v>
      </c>
      <c r="N386" t="s">
        <v>91</v>
      </c>
      <c r="O386">
        <v>41.212859999999999</v>
      </c>
      <c r="P386">
        <v>-104.85183000000001</v>
      </c>
      <c r="Q386" t="s">
        <v>31</v>
      </c>
      <c r="R386">
        <v>0.2402</v>
      </c>
      <c r="S386" t="s">
        <v>172</v>
      </c>
    </row>
    <row r="387" spans="1:19" x14ac:dyDescent="0.2">
      <c r="A387">
        <v>33</v>
      </c>
      <c r="B387">
        <v>6</v>
      </c>
      <c r="C387" t="s">
        <v>111</v>
      </c>
      <c r="D387">
        <v>2017</v>
      </c>
      <c r="E387">
        <v>22.4</v>
      </c>
      <c r="F387">
        <v>18</v>
      </c>
      <c r="G387">
        <v>6.8</v>
      </c>
      <c r="H387">
        <v>38.4</v>
      </c>
      <c r="I387" t="s">
        <v>31</v>
      </c>
      <c r="J387" t="s">
        <v>31</v>
      </c>
      <c r="K387" t="s">
        <v>31</v>
      </c>
      <c r="L387" t="s">
        <v>31</v>
      </c>
      <c r="M387" t="s">
        <v>113</v>
      </c>
      <c r="N387" t="s">
        <v>91</v>
      </c>
      <c r="O387">
        <v>41.212859999999999</v>
      </c>
      <c r="P387">
        <v>-104.85183000000001</v>
      </c>
      <c r="Q387" t="s">
        <v>31</v>
      </c>
      <c r="R387">
        <v>0.2402</v>
      </c>
      <c r="S387" t="s">
        <v>172</v>
      </c>
    </row>
    <row r="388" spans="1:19" x14ac:dyDescent="0.2">
      <c r="A388">
        <v>33</v>
      </c>
      <c r="B388">
        <v>7</v>
      </c>
      <c r="C388" t="s">
        <v>111</v>
      </c>
      <c r="D388">
        <v>2017</v>
      </c>
      <c r="E388">
        <v>22.4</v>
      </c>
      <c r="F388">
        <v>23</v>
      </c>
      <c r="G388">
        <v>6.8</v>
      </c>
      <c r="H388">
        <v>38.4</v>
      </c>
      <c r="I388" t="s">
        <v>31</v>
      </c>
      <c r="J388" t="s">
        <v>31</v>
      </c>
      <c r="K388" t="s">
        <v>31</v>
      </c>
      <c r="L388" t="s">
        <v>31</v>
      </c>
      <c r="M388" t="s">
        <v>113</v>
      </c>
      <c r="N388" t="s">
        <v>91</v>
      </c>
      <c r="O388">
        <v>41.212859999999999</v>
      </c>
      <c r="P388">
        <v>-104.85183000000001</v>
      </c>
      <c r="Q388" t="s">
        <v>31</v>
      </c>
      <c r="R388">
        <v>0.2402</v>
      </c>
      <c r="S388" t="s">
        <v>172</v>
      </c>
    </row>
    <row r="389" spans="1:19" x14ac:dyDescent="0.2">
      <c r="A389">
        <v>34</v>
      </c>
      <c r="B389">
        <v>1</v>
      </c>
      <c r="C389" t="s">
        <v>27</v>
      </c>
      <c r="D389">
        <v>2003</v>
      </c>
      <c r="E389">
        <v>44</v>
      </c>
      <c r="F389">
        <v>2</v>
      </c>
      <c r="G389">
        <v>4.9000000000000004</v>
      </c>
      <c r="H389">
        <v>100.7</v>
      </c>
      <c r="I389" t="s">
        <v>29</v>
      </c>
      <c r="J389" t="s">
        <v>31</v>
      </c>
      <c r="K389" t="s">
        <v>29</v>
      </c>
      <c r="L389" t="s">
        <v>31</v>
      </c>
      <c r="M389" t="s">
        <v>114</v>
      </c>
      <c r="N389" t="s">
        <v>91</v>
      </c>
      <c r="O389">
        <v>47.486849999999997</v>
      </c>
      <c r="P389">
        <v>-115.90071</v>
      </c>
      <c r="Q389" t="s">
        <v>29</v>
      </c>
      <c r="R389">
        <v>0.92559999999999998</v>
      </c>
      <c r="S389" t="s">
        <v>172</v>
      </c>
    </row>
    <row r="390" spans="1:19" x14ac:dyDescent="0.2">
      <c r="A390">
        <v>34</v>
      </c>
      <c r="B390">
        <v>2</v>
      </c>
      <c r="C390" t="s">
        <v>27</v>
      </c>
      <c r="D390">
        <v>2003</v>
      </c>
      <c r="E390">
        <v>44</v>
      </c>
      <c r="F390">
        <v>2</v>
      </c>
      <c r="G390">
        <v>4.9000000000000004</v>
      </c>
      <c r="H390">
        <v>100.7</v>
      </c>
      <c r="I390" t="s">
        <v>29</v>
      </c>
      <c r="J390" t="s">
        <v>31</v>
      </c>
      <c r="K390" t="s">
        <v>29</v>
      </c>
      <c r="L390" t="s">
        <v>31</v>
      </c>
      <c r="M390" t="s">
        <v>114</v>
      </c>
      <c r="N390" t="s">
        <v>91</v>
      </c>
      <c r="O390">
        <v>47.486849999999997</v>
      </c>
      <c r="P390">
        <v>-115.90071</v>
      </c>
      <c r="Q390" t="s">
        <v>29</v>
      </c>
      <c r="R390">
        <v>0.92559999999999998</v>
      </c>
      <c r="S390" t="s">
        <v>172</v>
      </c>
    </row>
    <row r="391" spans="1:19" x14ac:dyDescent="0.2">
      <c r="A391">
        <v>34</v>
      </c>
      <c r="B391">
        <v>3</v>
      </c>
      <c r="C391" t="s">
        <v>27</v>
      </c>
      <c r="D391">
        <v>2003</v>
      </c>
      <c r="E391">
        <v>44</v>
      </c>
      <c r="F391">
        <v>2</v>
      </c>
      <c r="G391">
        <v>4.9000000000000004</v>
      </c>
      <c r="H391">
        <v>100.7</v>
      </c>
      <c r="I391" t="s">
        <v>29</v>
      </c>
      <c r="J391" t="s">
        <v>31</v>
      </c>
      <c r="K391" t="s">
        <v>29</v>
      </c>
      <c r="L391" t="s">
        <v>31</v>
      </c>
      <c r="M391" t="s">
        <v>114</v>
      </c>
      <c r="N391" t="s">
        <v>91</v>
      </c>
      <c r="O391">
        <v>47.486849999999997</v>
      </c>
      <c r="P391">
        <v>-115.90071</v>
      </c>
      <c r="Q391" t="s">
        <v>29</v>
      </c>
      <c r="R391">
        <v>0.92559999999999998</v>
      </c>
      <c r="S391" t="s">
        <v>172</v>
      </c>
    </row>
    <row r="392" spans="1:19" x14ac:dyDescent="0.2">
      <c r="A392">
        <v>34</v>
      </c>
      <c r="B392">
        <v>4</v>
      </c>
      <c r="C392" t="s">
        <v>27</v>
      </c>
      <c r="D392">
        <v>2003</v>
      </c>
      <c r="E392">
        <v>44</v>
      </c>
      <c r="F392">
        <v>2</v>
      </c>
      <c r="G392">
        <v>4.9000000000000004</v>
      </c>
      <c r="H392">
        <v>100.7</v>
      </c>
      <c r="I392" t="s">
        <v>29</v>
      </c>
      <c r="J392" t="s">
        <v>31</v>
      </c>
      <c r="K392" t="s">
        <v>29</v>
      </c>
      <c r="L392" t="s">
        <v>31</v>
      </c>
      <c r="M392" t="s">
        <v>114</v>
      </c>
      <c r="N392" t="s">
        <v>91</v>
      </c>
      <c r="O392">
        <v>47.486849999999997</v>
      </c>
      <c r="P392">
        <v>-115.90071</v>
      </c>
      <c r="Q392" t="s">
        <v>29</v>
      </c>
      <c r="R392">
        <v>0.92559999999999998</v>
      </c>
      <c r="S392" t="s">
        <v>172</v>
      </c>
    </row>
    <row r="393" spans="1:19" x14ac:dyDescent="0.2">
      <c r="A393">
        <v>34</v>
      </c>
      <c r="B393">
        <v>5</v>
      </c>
      <c r="C393" t="s">
        <v>27</v>
      </c>
      <c r="D393">
        <v>2003</v>
      </c>
      <c r="E393">
        <v>66</v>
      </c>
      <c r="F393">
        <v>2</v>
      </c>
      <c r="G393">
        <v>4.9000000000000004</v>
      </c>
      <c r="H393">
        <v>100.7</v>
      </c>
      <c r="I393" t="s">
        <v>29</v>
      </c>
      <c r="J393" t="s">
        <v>31</v>
      </c>
      <c r="K393" t="s">
        <v>29</v>
      </c>
      <c r="L393" t="s">
        <v>31</v>
      </c>
      <c r="M393" t="s">
        <v>114</v>
      </c>
      <c r="N393" t="s">
        <v>91</v>
      </c>
      <c r="O393">
        <v>47.486849999999997</v>
      </c>
      <c r="P393">
        <v>-115.90071</v>
      </c>
      <c r="Q393" t="s">
        <v>29</v>
      </c>
      <c r="R393">
        <v>0.92559999999999998</v>
      </c>
      <c r="S393" t="s">
        <v>172</v>
      </c>
    </row>
    <row r="394" spans="1:19" x14ac:dyDescent="0.2">
      <c r="A394">
        <v>34</v>
      </c>
      <c r="B394">
        <v>6</v>
      </c>
      <c r="C394" t="s">
        <v>27</v>
      </c>
      <c r="D394">
        <v>2003</v>
      </c>
      <c r="E394">
        <v>66</v>
      </c>
      <c r="F394">
        <v>2</v>
      </c>
      <c r="G394">
        <v>4.9000000000000004</v>
      </c>
      <c r="H394">
        <v>100.7</v>
      </c>
      <c r="I394" t="s">
        <v>29</v>
      </c>
      <c r="J394" t="s">
        <v>31</v>
      </c>
      <c r="K394" t="s">
        <v>29</v>
      </c>
      <c r="L394" t="s">
        <v>31</v>
      </c>
      <c r="M394" t="s">
        <v>114</v>
      </c>
      <c r="N394" t="s">
        <v>91</v>
      </c>
      <c r="O394">
        <v>47.486849999999997</v>
      </c>
      <c r="P394">
        <v>-115.90071</v>
      </c>
      <c r="Q394" t="s">
        <v>29</v>
      </c>
      <c r="R394">
        <v>0.92559999999999998</v>
      </c>
      <c r="S394" t="s">
        <v>172</v>
      </c>
    </row>
    <row r="395" spans="1:19" x14ac:dyDescent="0.2">
      <c r="A395">
        <v>34</v>
      </c>
      <c r="B395">
        <v>7</v>
      </c>
      <c r="C395" t="s">
        <v>27</v>
      </c>
      <c r="D395">
        <v>2003</v>
      </c>
      <c r="E395">
        <v>66</v>
      </c>
      <c r="F395">
        <v>2</v>
      </c>
      <c r="G395">
        <v>4.9000000000000004</v>
      </c>
      <c r="H395">
        <v>100.7</v>
      </c>
      <c r="I395" t="s">
        <v>29</v>
      </c>
      <c r="J395" t="s">
        <v>31</v>
      </c>
      <c r="K395" t="s">
        <v>29</v>
      </c>
      <c r="L395" t="s">
        <v>31</v>
      </c>
      <c r="M395" t="s">
        <v>114</v>
      </c>
      <c r="N395" t="s">
        <v>91</v>
      </c>
      <c r="O395">
        <v>47.486849999999997</v>
      </c>
      <c r="P395">
        <v>-115.90071</v>
      </c>
      <c r="Q395" t="s">
        <v>29</v>
      </c>
      <c r="R395">
        <v>0.92559999999999998</v>
      </c>
      <c r="S395" t="s">
        <v>172</v>
      </c>
    </row>
    <row r="396" spans="1:19" x14ac:dyDescent="0.2">
      <c r="A396">
        <v>34</v>
      </c>
      <c r="B396">
        <v>8</v>
      </c>
      <c r="C396" t="s">
        <v>27</v>
      </c>
      <c r="D396">
        <v>2003</v>
      </c>
      <c r="E396">
        <v>66</v>
      </c>
      <c r="F396">
        <v>2</v>
      </c>
      <c r="G396">
        <v>4.9000000000000004</v>
      </c>
      <c r="H396">
        <v>100.7</v>
      </c>
      <c r="I396" t="s">
        <v>29</v>
      </c>
      <c r="J396" t="s">
        <v>31</v>
      </c>
      <c r="K396" t="s">
        <v>29</v>
      </c>
      <c r="L396" t="s">
        <v>31</v>
      </c>
      <c r="M396" t="s">
        <v>114</v>
      </c>
      <c r="N396" t="s">
        <v>91</v>
      </c>
      <c r="O396">
        <v>47.486849999999997</v>
      </c>
      <c r="P396">
        <v>-115.90071</v>
      </c>
      <c r="Q396" t="s">
        <v>29</v>
      </c>
      <c r="R396">
        <v>0.92559999999999998</v>
      </c>
      <c r="S396" t="s">
        <v>172</v>
      </c>
    </row>
    <row r="397" spans="1:19" x14ac:dyDescent="0.2">
      <c r="A397">
        <v>34</v>
      </c>
      <c r="B397">
        <v>9</v>
      </c>
      <c r="C397" t="s">
        <v>27</v>
      </c>
      <c r="D397">
        <v>2003</v>
      </c>
      <c r="E397">
        <v>99</v>
      </c>
      <c r="F397">
        <v>2</v>
      </c>
      <c r="G397">
        <v>4.9000000000000004</v>
      </c>
      <c r="H397">
        <v>100.7</v>
      </c>
      <c r="I397" t="s">
        <v>29</v>
      </c>
      <c r="J397" t="s">
        <v>31</v>
      </c>
      <c r="K397" t="s">
        <v>29</v>
      </c>
      <c r="L397" t="s">
        <v>31</v>
      </c>
      <c r="M397" t="s">
        <v>114</v>
      </c>
      <c r="N397" t="s">
        <v>91</v>
      </c>
      <c r="O397">
        <v>47.486849999999997</v>
      </c>
      <c r="P397">
        <v>-115.90071</v>
      </c>
      <c r="Q397" t="s">
        <v>29</v>
      </c>
      <c r="R397">
        <v>0.92559999999999998</v>
      </c>
      <c r="S397" t="s">
        <v>172</v>
      </c>
    </row>
    <row r="398" spans="1:19" x14ac:dyDescent="0.2">
      <c r="A398">
        <v>34</v>
      </c>
      <c r="B398">
        <v>10</v>
      </c>
      <c r="C398" t="s">
        <v>27</v>
      </c>
      <c r="D398">
        <v>2003</v>
      </c>
      <c r="E398">
        <v>99</v>
      </c>
      <c r="F398">
        <v>2</v>
      </c>
      <c r="G398">
        <v>4.9000000000000004</v>
      </c>
      <c r="H398">
        <v>100.7</v>
      </c>
      <c r="I398" t="s">
        <v>29</v>
      </c>
      <c r="J398" t="s">
        <v>31</v>
      </c>
      <c r="K398" t="s">
        <v>29</v>
      </c>
      <c r="L398" t="s">
        <v>31</v>
      </c>
      <c r="M398" t="s">
        <v>114</v>
      </c>
      <c r="N398" t="s">
        <v>91</v>
      </c>
      <c r="O398">
        <v>47.486849999999997</v>
      </c>
      <c r="P398">
        <v>-115.90071</v>
      </c>
      <c r="Q398" t="s">
        <v>29</v>
      </c>
      <c r="R398">
        <v>0.92559999999999998</v>
      </c>
      <c r="S398" t="s">
        <v>172</v>
      </c>
    </row>
    <row r="399" spans="1:19" x14ac:dyDescent="0.2">
      <c r="A399">
        <v>34</v>
      </c>
      <c r="B399">
        <v>11</v>
      </c>
      <c r="C399" t="s">
        <v>27</v>
      </c>
      <c r="D399">
        <v>2003</v>
      </c>
      <c r="E399">
        <v>155</v>
      </c>
      <c r="F399">
        <v>2</v>
      </c>
      <c r="G399">
        <v>4.9000000000000004</v>
      </c>
      <c r="H399">
        <v>100.7</v>
      </c>
      <c r="I399" t="s">
        <v>29</v>
      </c>
      <c r="J399" t="s">
        <v>31</v>
      </c>
      <c r="K399" t="s">
        <v>29</v>
      </c>
      <c r="L399" t="s">
        <v>31</v>
      </c>
      <c r="M399" t="s">
        <v>114</v>
      </c>
      <c r="N399" t="s">
        <v>91</v>
      </c>
      <c r="O399">
        <v>47.486849999999997</v>
      </c>
      <c r="P399">
        <v>-115.90071</v>
      </c>
      <c r="Q399" t="s">
        <v>29</v>
      </c>
      <c r="R399">
        <v>0.92559999999999998</v>
      </c>
      <c r="S399" t="s">
        <v>172</v>
      </c>
    </row>
    <row r="400" spans="1:19" x14ac:dyDescent="0.2">
      <c r="A400">
        <v>34</v>
      </c>
      <c r="B400">
        <v>12</v>
      </c>
      <c r="C400" t="s">
        <v>27</v>
      </c>
      <c r="D400">
        <v>2003</v>
      </c>
      <c r="E400">
        <v>44</v>
      </c>
      <c r="F400">
        <v>3</v>
      </c>
      <c r="G400">
        <v>4.9000000000000004</v>
      </c>
      <c r="H400">
        <v>100.7</v>
      </c>
      <c r="I400" t="s">
        <v>29</v>
      </c>
      <c r="J400" t="s">
        <v>31</v>
      </c>
      <c r="K400" t="s">
        <v>29</v>
      </c>
      <c r="L400" t="s">
        <v>31</v>
      </c>
      <c r="M400" t="s">
        <v>114</v>
      </c>
      <c r="N400" t="s">
        <v>91</v>
      </c>
      <c r="O400">
        <v>47.486849999999997</v>
      </c>
      <c r="P400">
        <v>-115.90071</v>
      </c>
      <c r="Q400" t="s">
        <v>29</v>
      </c>
      <c r="R400">
        <v>0.92559999999999998</v>
      </c>
      <c r="S400" t="s">
        <v>172</v>
      </c>
    </row>
    <row r="401" spans="1:19" x14ac:dyDescent="0.2">
      <c r="A401">
        <v>34</v>
      </c>
      <c r="B401">
        <v>13</v>
      </c>
      <c r="C401" t="s">
        <v>27</v>
      </c>
      <c r="D401">
        <v>2003</v>
      </c>
      <c r="E401">
        <v>44</v>
      </c>
      <c r="F401">
        <v>3</v>
      </c>
      <c r="G401">
        <v>4.9000000000000004</v>
      </c>
      <c r="H401">
        <v>100.7</v>
      </c>
      <c r="I401" t="s">
        <v>29</v>
      </c>
      <c r="J401" t="s">
        <v>31</v>
      </c>
      <c r="K401" t="s">
        <v>29</v>
      </c>
      <c r="L401" t="s">
        <v>31</v>
      </c>
      <c r="M401" t="s">
        <v>114</v>
      </c>
      <c r="N401" t="s">
        <v>91</v>
      </c>
      <c r="O401">
        <v>47.486849999999997</v>
      </c>
      <c r="P401">
        <v>-115.90071</v>
      </c>
      <c r="Q401" t="s">
        <v>29</v>
      </c>
      <c r="R401">
        <v>0.92559999999999998</v>
      </c>
      <c r="S401" t="s">
        <v>172</v>
      </c>
    </row>
    <row r="402" spans="1:19" x14ac:dyDescent="0.2">
      <c r="A402">
        <v>34</v>
      </c>
      <c r="B402">
        <v>14</v>
      </c>
      <c r="C402" t="s">
        <v>27</v>
      </c>
      <c r="D402">
        <v>2003</v>
      </c>
      <c r="E402">
        <v>44</v>
      </c>
      <c r="F402">
        <v>3</v>
      </c>
      <c r="G402">
        <v>4.9000000000000004</v>
      </c>
      <c r="H402">
        <v>100.7</v>
      </c>
      <c r="I402" t="s">
        <v>29</v>
      </c>
      <c r="J402" t="s">
        <v>31</v>
      </c>
      <c r="K402" t="s">
        <v>29</v>
      </c>
      <c r="L402" t="s">
        <v>31</v>
      </c>
      <c r="M402" t="s">
        <v>114</v>
      </c>
      <c r="N402" t="s">
        <v>91</v>
      </c>
      <c r="O402">
        <v>47.486849999999997</v>
      </c>
      <c r="P402">
        <v>-115.90071</v>
      </c>
      <c r="Q402" t="s">
        <v>29</v>
      </c>
      <c r="R402">
        <v>0.92559999999999998</v>
      </c>
      <c r="S402" t="s">
        <v>172</v>
      </c>
    </row>
    <row r="403" spans="1:19" x14ac:dyDescent="0.2">
      <c r="A403">
        <v>34</v>
      </c>
      <c r="B403">
        <v>15</v>
      </c>
      <c r="C403" t="s">
        <v>27</v>
      </c>
      <c r="D403">
        <v>2003</v>
      </c>
      <c r="E403">
        <v>44</v>
      </c>
      <c r="F403">
        <v>3</v>
      </c>
      <c r="G403">
        <v>4.9000000000000004</v>
      </c>
      <c r="H403">
        <v>100.7</v>
      </c>
      <c r="I403" t="s">
        <v>29</v>
      </c>
      <c r="J403" t="s">
        <v>31</v>
      </c>
      <c r="K403" t="s">
        <v>29</v>
      </c>
      <c r="L403" t="s">
        <v>31</v>
      </c>
      <c r="M403" t="s">
        <v>114</v>
      </c>
      <c r="N403" t="s">
        <v>91</v>
      </c>
      <c r="O403">
        <v>47.486849999999997</v>
      </c>
      <c r="P403">
        <v>-115.90071</v>
      </c>
      <c r="Q403" t="s">
        <v>29</v>
      </c>
      <c r="R403">
        <v>0.92559999999999998</v>
      </c>
      <c r="S403" t="s">
        <v>172</v>
      </c>
    </row>
    <row r="404" spans="1:19" x14ac:dyDescent="0.2">
      <c r="A404">
        <v>34</v>
      </c>
      <c r="B404">
        <v>16</v>
      </c>
      <c r="C404" t="s">
        <v>27</v>
      </c>
      <c r="D404">
        <v>2003</v>
      </c>
      <c r="E404">
        <v>66</v>
      </c>
      <c r="F404">
        <v>3</v>
      </c>
      <c r="G404">
        <v>4.9000000000000004</v>
      </c>
      <c r="H404">
        <v>100.7</v>
      </c>
      <c r="I404" t="s">
        <v>29</v>
      </c>
      <c r="J404" t="s">
        <v>31</v>
      </c>
      <c r="K404" t="s">
        <v>29</v>
      </c>
      <c r="L404" t="s">
        <v>31</v>
      </c>
      <c r="M404" t="s">
        <v>114</v>
      </c>
      <c r="N404" t="s">
        <v>91</v>
      </c>
      <c r="O404">
        <v>47.486849999999997</v>
      </c>
      <c r="P404">
        <v>-115.90071</v>
      </c>
      <c r="Q404" t="s">
        <v>29</v>
      </c>
      <c r="R404">
        <v>0.92559999999999998</v>
      </c>
      <c r="S404" t="s">
        <v>172</v>
      </c>
    </row>
    <row r="405" spans="1:19" x14ac:dyDescent="0.2">
      <c r="A405">
        <v>34</v>
      </c>
      <c r="B405">
        <v>17</v>
      </c>
      <c r="C405" t="s">
        <v>27</v>
      </c>
      <c r="D405">
        <v>2003</v>
      </c>
      <c r="E405">
        <v>66</v>
      </c>
      <c r="F405">
        <v>3</v>
      </c>
      <c r="G405">
        <v>4.9000000000000004</v>
      </c>
      <c r="H405">
        <v>100.7</v>
      </c>
      <c r="I405" t="s">
        <v>29</v>
      </c>
      <c r="J405" t="s">
        <v>31</v>
      </c>
      <c r="K405" t="s">
        <v>29</v>
      </c>
      <c r="L405" t="s">
        <v>31</v>
      </c>
      <c r="M405" t="s">
        <v>114</v>
      </c>
      <c r="N405" t="s">
        <v>91</v>
      </c>
      <c r="O405">
        <v>47.486849999999997</v>
      </c>
      <c r="P405">
        <v>-115.90071</v>
      </c>
      <c r="Q405" t="s">
        <v>29</v>
      </c>
      <c r="R405">
        <v>0.92559999999999998</v>
      </c>
      <c r="S405" t="s">
        <v>172</v>
      </c>
    </row>
    <row r="406" spans="1:19" x14ac:dyDescent="0.2">
      <c r="A406">
        <v>34</v>
      </c>
      <c r="B406">
        <v>18</v>
      </c>
      <c r="C406" t="s">
        <v>27</v>
      </c>
      <c r="D406">
        <v>2003</v>
      </c>
      <c r="E406">
        <v>66</v>
      </c>
      <c r="F406">
        <v>3</v>
      </c>
      <c r="G406">
        <v>4.9000000000000004</v>
      </c>
      <c r="H406">
        <v>100.7</v>
      </c>
      <c r="I406" t="s">
        <v>29</v>
      </c>
      <c r="J406" t="s">
        <v>31</v>
      </c>
      <c r="K406" t="s">
        <v>29</v>
      </c>
      <c r="L406" t="s">
        <v>31</v>
      </c>
      <c r="M406" t="s">
        <v>114</v>
      </c>
      <c r="N406" t="s">
        <v>91</v>
      </c>
      <c r="O406">
        <v>47.486849999999997</v>
      </c>
      <c r="P406">
        <v>-115.90071</v>
      </c>
      <c r="Q406" t="s">
        <v>29</v>
      </c>
      <c r="R406">
        <v>0.92559999999999998</v>
      </c>
      <c r="S406" t="s">
        <v>172</v>
      </c>
    </row>
    <row r="407" spans="1:19" x14ac:dyDescent="0.2">
      <c r="A407">
        <v>34</v>
      </c>
      <c r="B407">
        <v>19</v>
      </c>
      <c r="C407" t="s">
        <v>27</v>
      </c>
      <c r="D407">
        <v>2003</v>
      </c>
      <c r="E407">
        <v>99</v>
      </c>
      <c r="F407">
        <v>3</v>
      </c>
      <c r="G407">
        <v>4.9000000000000004</v>
      </c>
      <c r="H407">
        <v>100.7</v>
      </c>
      <c r="I407" t="s">
        <v>29</v>
      </c>
      <c r="J407" t="s">
        <v>31</v>
      </c>
      <c r="K407" t="s">
        <v>29</v>
      </c>
      <c r="L407" t="s">
        <v>31</v>
      </c>
      <c r="M407" t="s">
        <v>114</v>
      </c>
      <c r="N407" t="s">
        <v>91</v>
      </c>
      <c r="O407">
        <v>47.486849999999997</v>
      </c>
      <c r="P407">
        <v>-115.90071</v>
      </c>
      <c r="Q407" t="s">
        <v>29</v>
      </c>
      <c r="R407">
        <v>0.92559999999999998</v>
      </c>
      <c r="S407" t="s">
        <v>172</v>
      </c>
    </row>
    <row r="408" spans="1:19" x14ac:dyDescent="0.2">
      <c r="A408">
        <v>34</v>
      </c>
      <c r="B408">
        <v>20</v>
      </c>
      <c r="C408" t="s">
        <v>27</v>
      </c>
      <c r="D408">
        <v>2003</v>
      </c>
      <c r="E408">
        <v>99</v>
      </c>
      <c r="F408">
        <v>3</v>
      </c>
      <c r="G408">
        <v>4.9000000000000004</v>
      </c>
      <c r="H408">
        <v>100.7</v>
      </c>
      <c r="I408" t="s">
        <v>29</v>
      </c>
      <c r="J408" t="s">
        <v>31</v>
      </c>
      <c r="K408" t="s">
        <v>29</v>
      </c>
      <c r="L408" t="s">
        <v>31</v>
      </c>
      <c r="M408" t="s">
        <v>114</v>
      </c>
      <c r="N408" t="s">
        <v>91</v>
      </c>
      <c r="O408">
        <v>47.486849999999997</v>
      </c>
      <c r="P408">
        <v>-115.90071</v>
      </c>
      <c r="Q408" t="s">
        <v>29</v>
      </c>
      <c r="R408">
        <v>0.92559999999999998</v>
      </c>
      <c r="S408" t="s">
        <v>172</v>
      </c>
    </row>
    <row r="409" spans="1:19" x14ac:dyDescent="0.2">
      <c r="A409">
        <v>34</v>
      </c>
      <c r="B409">
        <v>21</v>
      </c>
      <c r="C409" t="s">
        <v>27</v>
      </c>
      <c r="D409">
        <v>2003</v>
      </c>
      <c r="E409">
        <v>99</v>
      </c>
      <c r="F409">
        <v>3</v>
      </c>
      <c r="G409">
        <v>4.9000000000000004</v>
      </c>
      <c r="H409">
        <v>100.7</v>
      </c>
      <c r="I409" t="s">
        <v>29</v>
      </c>
      <c r="J409" t="s">
        <v>31</v>
      </c>
      <c r="K409" t="s">
        <v>29</v>
      </c>
      <c r="L409" t="s">
        <v>31</v>
      </c>
      <c r="M409" t="s">
        <v>114</v>
      </c>
      <c r="N409" t="s">
        <v>91</v>
      </c>
      <c r="O409">
        <v>47.486849999999997</v>
      </c>
      <c r="P409">
        <v>-115.90071</v>
      </c>
      <c r="Q409" t="s">
        <v>29</v>
      </c>
      <c r="R409">
        <v>0.92559999999999998</v>
      </c>
      <c r="S409" t="s">
        <v>172</v>
      </c>
    </row>
    <row r="410" spans="1:19" x14ac:dyDescent="0.2">
      <c r="A410">
        <v>34</v>
      </c>
      <c r="B410">
        <v>22</v>
      </c>
      <c r="C410" t="s">
        <v>27</v>
      </c>
      <c r="D410">
        <v>2003</v>
      </c>
      <c r="E410">
        <v>155</v>
      </c>
      <c r="F410">
        <v>3</v>
      </c>
      <c r="G410">
        <v>4.9000000000000004</v>
      </c>
      <c r="H410">
        <v>100.7</v>
      </c>
      <c r="I410" t="s">
        <v>29</v>
      </c>
      <c r="J410" t="s">
        <v>31</v>
      </c>
      <c r="K410" t="s">
        <v>29</v>
      </c>
      <c r="L410" t="s">
        <v>31</v>
      </c>
      <c r="M410" t="s">
        <v>114</v>
      </c>
      <c r="N410" t="s">
        <v>91</v>
      </c>
      <c r="O410">
        <v>47.486849999999997</v>
      </c>
      <c r="P410">
        <v>-115.90071</v>
      </c>
      <c r="Q410" t="s">
        <v>29</v>
      </c>
      <c r="R410">
        <v>0.92559999999999998</v>
      </c>
      <c r="S410" t="s">
        <v>172</v>
      </c>
    </row>
    <row r="411" spans="1:19" x14ac:dyDescent="0.2">
      <c r="A411">
        <v>35</v>
      </c>
      <c r="B411">
        <v>1</v>
      </c>
      <c r="C411" t="s">
        <v>27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29</v>
      </c>
      <c r="J411" t="s">
        <v>31</v>
      </c>
      <c r="K411" t="s">
        <v>29</v>
      </c>
      <c r="L411" t="s">
        <v>31</v>
      </c>
      <c r="M411" t="s">
        <v>32</v>
      </c>
      <c r="N411" t="s">
        <v>91</v>
      </c>
      <c r="O411">
        <v>37.084159999999997</v>
      </c>
      <c r="P411">
        <v>-94.513050000000007</v>
      </c>
      <c r="Q411" t="s">
        <v>29</v>
      </c>
      <c r="R411">
        <v>0.75939999999999996</v>
      </c>
      <c r="S411" t="s">
        <v>172</v>
      </c>
    </row>
    <row r="412" spans="1:19" x14ac:dyDescent="0.2">
      <c r="A412">
        <v>35</v>
      </c>
      <c r="B412">
        <v>2</v>
      </c>
      <c r="C412" t="s">
        <v>27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29</v>
      </c>
      <c r="J412" t="s">
        <v>31</v>
      </c>
      <c r="K412" t="s">
        <v>29</v>
      </c>
      <c r="L412" t="s">
        <v>31</v>
      </c>
      <c r="M412" t="s">
        <v>32</v>
      </c>
      <c r="N412" t="s">
        <v>91</v>
      </c>
      <c r="O412">
        <v>37.084159999999997</v>
      </c>
      <c r="P412">
        <v>-94.513050000000007</v>
      </c>
      <c r="Q412" t="s">
        <v>29</v>
      </c>
      <c r="R412">
        <v>0.75939999999999996</v>
      </c>
      <c r="S412" t="s">
        <v>172</v>
      </c>
    </row>
    <row r="413" spans="1:19" x14ac:dyDescent="0.2">
      <c r="A413">
        <v>36</v>
      </c>
      <c r="B413">
        <v>1</v>
      </c>
      <c r="C413" t="s">
        <v>115</v>
      </c>
      <c r="D413">
        <v>1988</v>
      </c>
      <c r="E413">
        <v>8.9600000000000009</v>
      </c>
      <c r="F413">
        <v>2</v>
      </c>
      <c r="G413">
        <v>11.1</v>
      </c>
      <c r="H413">
        <v>104.8</v>
      </c>
      <c r="I413" t="s">
        <v>31</v>
      </c>
      <c r="J413" t="s">
        <v>31</v>
      </c>
      <c r="K413" t="s">
        <v>29</v>
      </c>
      <c r="L413" t="s">
        <v>29</v>
      </c>
      <c r="M413" t="s">
        <v>147</v>
      </c>
      <c r="N413" t="s">
        <v>91</v>
      </c>
      <c r="O413">
        <v>39.5</v>
      </c>
      <c r="P413">
        <v>-84.733333000000002</v>
      </c>
      <c r="Q413" t="s">
        <v>29</v>
      </c>
      <c r="R413">
        <v>0.87609999999999999</v>
      </c>
      <c r="S413" t="s">
        <v>173</v>
      </c>
    </row>
    <row r="414" spans="1:19" x14ac:dyDescent="0.2">
      <c r="A414">
        <v>36</v>
      </c>
      <c r="B414">
        <v>2</v>
      </c>
      <c r="C414" t="s">
        <v>115</v>
      </c>
      <c r="D414">
        <v>1988</v>
      </c>
      <c r="E414">
        <v>17.920000000000002</v>
      </c>
      <c r="F414">
        <v>2</v>
      </c>
      <c r="G414">
        <v>11.1</v>
      </c>
      <c r="H414">
        <v>104.8</v>
      </c>
      <c r="I414" t="s">
        <v>31</v>
      </c>
      <c r="J414" t="s">
        <v>31</v>
      </c>
      <c r="K414" t="s">
        <v>29</v>
      </c>
      <c r="L414" t="s">
        <v>29</v>
      </c>
      <c r="M414" t="s">
        <v>147</v>
      </c>
      <c r="N414" t="s">
        <v>91</v>
      </c>
      <c r="O414">
        <v>39.5</v>
      </c>
      <c r="P414">
        <v>-84.733333000000002</v>
      </c>
      <c r="Q414" t="s">
        <v>29</v>
      </c>
      <c r="R414">
        <v>0.87609999999999999</v>
      </c>
      <c r="S414" t="s">
        <v>173</v>
      </c>
    </row>
    <row r="415" spans="1:19" x14ac:dyDescent="0.2">
      <c r="A415">
        <v>36</v>
      </c>
      <c r="B415">
        <v>3</v>
      </c>
      <c r="C415" t="s">
        <v>115</v>
      </c>
      <c r="D415">
        <v>1988</v>
      </c>
      <c r="E415">
        <v>26.88</v>
      </c>
      <c r="F415">
        <v>2</v>
      </c>
      <c r="G415">
        <v>11.1</v>
      </c>
      <c r="H415">
        <v>104.8</v>
      </c>
      <c r="I415" t="s">
        <v>31</v>
      </c>
      <c r="J415" t="s">
        <v>31</v>
      </c>
      <c r="K415" t="s">
        <v>29</v>
      </c>
      <c r="L415" t="s">
        <v>29</v>
      </c>
      <c r="M415" t="s">
        <v>147</v>
      </c>
      <c r="N415" t="s">
        <v>91</v>
      </c>
      <c r="O415">
        <v>39.5</v>
      </c>
      <c r="P415">
        <v>-84.733333000000002</v>
      </c>
      <c r="Q415" t="s">
        <v>29</v>
      </c>
      <c r="R415">
        <v>0.87609999999999999</v>
      </c>
      <c r="S415" t="s">
        <v>173</v>
      </c>
    </row>
    <row r="416" spans="1:19" x14ac:dyDescent="0.2">
      <c r="A416">
        <v>36</v>
      </c>
      <c r="B416">
        <v>4</v>
      </c>
      <c r="C416" t="s">
        <v>115</v>
      </c>
      <c r="D416">
        <v>1988</v>
      </c>
      <c r="E416">
        <v>8.9600000000000009</v>
      </c>
      <c r="F416">
        <v>3</v>
      </c>
      <c r="G416">
        <v>11.1</v>
      </c>
      <c r="H416">
        <v>104.8</v>
      </c>
      <c r="I416" t="s">
        <v>31</v>
      </c>
      <c r="J416" t="s">
        <v>31</v>
      </c>
      <c r="K416" t="s">
        <v>29</v>
      </c>
      <c r="L416" t="s">
        <v>29</v>
      </c>
      <c r="M416" t="s">
        <v>147</v>
      </c>
      <c r="N416" t="s">
        <v>91</v>
      </c>
      <c r="O416">
        <v>39.5</v>
      </c>
      <c r="P416">
        <v>-84.733333000000002</v>
      </c>
      <c r="Q416" t="s">
        <v>29</v>
      </c>
      <c r="R416">
        <v>0.87609999999999999</v>
      </c>
      <c r="S416" t="s">
        <v>173</v>
      </c>
    </row>
    <row r="417" spans="1:19" x14ac:dyDescent="0.2">
      <c r="A417">
        <v>36</v>
      </c>
      <c r="B417">
        <v>5</v>
      </c>
      <c r="C417" t="s">
        <v>115</v>
      </c>
      <c r="D417">
        <v>1988</v>
      </c>
      <c r="E417">
        <v>17.920000000000002</v>
      </c>
      <c r="F417">
        <v>3</v>
      </c>
      <c r="G417">
        <v>11.1</v>
      </c>
      <c r="H417">
        <v>104.8</v>
      </c>
      <c r="I417" t="s">
        <v>31</v>
      </c>
      <c r="J417" t="s">
        <v>31</v>
      </c>
      <c r="K417" t="s">
        <v>29</v>
      </c>
      <c r="L417" t="s">
        <v>29</v>
      </c>
      <c r="M417" t="s">
        <v>147</v>
      </c>
      <c r="N417" t="s">
        <v>91</v>
      </c>
      <c r="O417">
        <v>39.5</v>
      </c>
      <c r="P417">
        <v>-84.733333000000002</v>
      </c>
      <c r="Q417" t="s">
        <v>29</v>
      </c>
      <c r="R417">
        <v>0.87609999999999999</v>
      </c>
      <c r="S417" t="s">
        <v>173</v>
      </c>
    </row>
    <row r="418" spans="1:19" x14ac:dyDescent="0.2">
      <c r="A418">
        <v>36</v>
      </c>
      <c r="B418">
        <v>6</v>
      </c>
      <c r="C418" t="s">
        <v>115</v>
      </c>
      <c r="D418">
        <v>1988</v>
      </c>
      <c r="E418">
        <v>26.88</v>
      </c>
      <c r="F418">
        <v>3</v>
      </c>
      <c r="G418">
        <v>11.1</v>
      </c>
      <c r="H418">
        <v>104.8</v>
      </c>
      <c r="I418" t="s">
        <v>31</v>
      </c>
      <c r="J418" t="s">
        <v>31</v>
      </c>
      <c r="K418" t="s">
        <v>29</v>
      </c>
      <c r="L418" t="s">
        <v>29</v>
      </c>
      <c r="M418" t="s">
        <v>147</v>
      </c>
      <c r="N418" t="s">
        <v>91</v>
      </c>
      <c r="O418">
        <v>39.5</v>
      </c>
      <c r="P418">
        <v>-84.733333000000002</v>
      </c>
      <c r="Q418" t="s">
        <v>29</v>
      </c>
      <c r="R418">
        <v>0.87609999999999999</v>
      </c>
      <c r="S418" t="s">
        <v>173</v>
      </c>
    </row>
    <row r="419" spans="1:19" x14ac:dyDescent="0.2">
      <c r="A419">
        <v>36</v>
      </c>
      <c r="B419">
        <v>7</v>
      </c>
      <c r="C419" t="s">
        <v>115</v>
      </c>
      <c r="D419">
        <v>1988</v>
      </c>
      <c r="E419">
        <v>8.9600000000000009</v>
      </c>
      <c r="F419">
        <v>4</v>
      </c>
      <c r="G419">
        <v>11.1</v>
      </c>
      <c r="H419">
        <v>104.8</v>
      </c>
      <c r="I419" t="s">
        <v>31</v>
      </c>
      <c r="J419" t="s">
        <v>31</v>
      </c>
      <c r="K419" t="s">
        <v>29</v>
      </c>
      <c r="L419" t="s">
        <v>29</v>
      </c>
      <c r="M419" t="s">
        <v>147</v>
      </c>
      <c r="N419" t="s">
        <v>91</v>
      </c>
      <c r="O419">
        <v>39.5</v>
      </c>
      <c r="P419">
        <v>-84.733333000000002</v>
      </c>
      <c r="Q419" t="s">
        <v>29</v>
      </c>
      <c r="R419">
        <v>0.87609999999999999</v>
      </c>
      <c r="S419" t="s">
        <v>173</v>
      </c>
    </row>
    <row r="420" spans="1:19" x14ac:dyDescent="0.2">
      <c r="A420">
        <v>36</v>
      </c>
      <c r="B420">
        <v>8</v>
      </c>
      <c r="C420" t="s">
        <v>115</v>
      </c>
      <c r="D420">
        <v>1988</v>
      </c>
      <c r="E420">
        <v>17.920000000000002</v>
      </c>
      <c r="F420">
        <v>4</v>
      </c>
      <c r="G420">
        <v>11.1</v>
      </c>
      <c r="H420">
        <v>104.8</v>
      </c>
      <c r="I420" t="s">
        <v>31</v>
      </c>
      <c r="J420" t="s">
        <v>31</v>
      </c>
      <c r="K420" t="s">
        <v>29</v>
      </c>
      <c r="L420" t="s">
        <v>29</v>
      </c>
      <c r="M420" t="s">
        <v>147</v>
      </c>
      <c r="N420" t="s">
        <v>91</v>
      </c>
      <c r="O420">
        <v>39.5</v>
      </c>
      <c r="P420">
        <v>-84.733333000000002</v>
      </c>
      <c r="Q420" t="s">
        <v>29</v>
      </c>
      <c r="R420">
        <v>0.87609999999999999</v>
      </c>
      <c r="S420" t="s">
        <v>173</v>
      </c>
    </row>
    <row r="421" spans="1:19" x14ac:dyDescent="0.2">
      <c r="A421">
        <v>36</v>
      </c>
      <c r="B421">
        <v>13</v>
      </c>
      <c r="C421" t="s">
        <v>115</v>
      </c>
      <c r="D421">
        <v>1988</v>
      </c>
      <c r="E421">
        <v>8.9600000000000009</v>
      </c>
      <c r="F421">
        <v>3</v>
      </c>
      <c r="G421">
        <v>11.1</v>
      </c>
      <c r="H421">
        <v>104.8</v>
      </c>
      <c r="I421" t="s">
        <v>31</v>
      </c>
      <c r="J421" t="s">
        <v>31</v>
      </c>
      <c r="K421" t="s">
        <v>29</v>
      </c>
      <c r="L421" t="s">
        <v>29</v>
      </c>
      <c r="M421" t="s">
        <v>147</v>
      </c>
      <c r="N421" t="s">
        <v>91</v>
      </c>
      <c r="O421">
        <v>39.5</v>
      </c>
      <c r="P421">
        <v>-84.733333000000002</v>
      </c>
      <c r="Q421" t="s">
        <v>29</v>
      </c>
      <c r="R421">
        <v>0.87609999999999999</v>
      </c>
      <c r="S421" t="s">
        <v>173</v>
      </c>
    </row>
    <row r="422" spans="1:19" x14ac:dyDescent="0.2">
      <c r="A422">
        <v>36</v>
      </c>
      <c r="B422">
        <v>14</v>
      </c>
      <c r="C422" t="s">
        <v>115</v>
      </c>
      <c r="D422">
        <v>1988</v>
      </c>
      <c r="E422">
        <v>17.920000000000002</v>
      </c>
      <c r="F422">
        <v>3</v>
      </c>
      <c r="G422">
        <v>11.1</v>
      </c>
      <c r="H422">
        <v>104.8</v>
      </c>
      <c r="I422" t="s">
        <v>31</v>
      </c>
      <c r="J422" t="s">
        <v>31</v>
      </c>
      <c r="K422" t="s">
        <v>29</v>
      </c>
      <c r="L422" t="s">
        <v>29</v>
      </c>
      <c r="M422" t="s">
        <v>147</v>
      </c>
      <c r="N422" t="s">
        <v>91</v>
      </c>
      <c r="O422">
        <v>39.5</v>
      </c>
      <c r="P422">
        <v>-84.733333000000002</v>
      </c>
      <c r="Q422" t="s">
        <v>29</v>
      </c>
      <c r="R422">
        <v>0.87609999999999999</v>
      </c>
      <c r="S422" t="s">
        <v>173</v>
      </c>
    </row>
    <row r="423" spans="1:19" x14ac:dyDescent="0.2">
      <c r="A423">
        <v>36</v>
      </c>
      <c r="B423">
        <v>15</v>
      </c>
      <c r="C423" t="s">
        <v>115</v>
      </c>
      <c r="D423">
        <v>1988</v>
      </c>
      <c r="E423">
        <v>26.88</v>
      </c>
      <c r="F423">
        <v>3</v>
      </c>
      <c r="G423">
        <v>11.1</v>
      </c>
      <c r="H423">
        <v>104.8</v>
      </c>
      <c r="I423" t="s">
        <v>31</v>
      </c>
      <c r="J423" t="s">
        <v>31</v>
      </c>
      <c r="K423" t="s">
        <v>29</v>
      </c>
      <c r="L423" t="s">
        <v>29</v>
      </c>
      <c r="M423" t="s">
        <v>147</v>
      </c>
      <c r="N423" t="s">
        <v>91</v>
      </c>
      <c r="O423">
        <v>39.5</v>
      </c>
      <c r="P423">
        <v>-84.733333000000002</v>
      </c>
      <c r="Q423" t="s">
        <v>29</v>
      </c>
      <c r="R423">
        <v>0.87609999999999999</v>
      </c>
      <c r="S423" t="s">
        <v>173</v>
      </c>
    </row>
    <row r="424" spans="1:19" x14ac:dyDescent="0.2">
      <c r="A424">
        <v>36</v>
      </c>
      <c r="B424">
        <v>16</v>
      </c>
      <c r="C424" t="s">
        <v>115</v>
      </c>
      <c r="D424">
        <v>1988</v>
      </c>
      <c r="E424">
        <v>8.9600000000000009</v>
      </c>
      <c r="F424">
        <v>4</v>
      </c>
      <c r="G424">
        <v>11.1</v>
      </c>
      <c r="H424">
        <v>104.8</v>
      </c>
      <c r="I424" t="s">
        <v>31</v>
      </c>
      <c r="J424" t="s">
        <v>31</v>
      </c>
      <c r="K424" t="s">
        <v>29</v>
      </c>
      <c r="L424" t="s">
        <v>29</v>
      </c>
      <c r="M424" t="s">
        <v>147</v>
      </c>
      <c r="N424" t="s">
        <v>91</v>
      </c>
      <c r="O424">
        <v>39.5</v>
      </c>
      <c r="P424">
        <v>-84.733333000000002</v>
      </c>
      <c r="Q424" t="s">
        <v>29</v>
      </c>
      <c r="R424">
        <v>0.87609999999999999</v>
      </c>
      <c r="S424" t="s">
        <v>173</v>
      </c>
    </row>
    <row r="425" spans="1:19" x14ac:dyDescent="0.2">
      <c r="A425">
        <v>36</v>
      </c>
      <c r="B425">
        <v>17</v>
      </c>
      <c r="C425" t="s">
        <v>115</v>
      </c>
      <c r="D425">
        <v>1988</v>
      </c>
      <c r="E425">
        <v>17.920000000000002</v>
      </c>
      <c r="F425">
        <v>4</v>
      </c>
      <c r="G425">
        <v>11.1</v>
      </c>
      <c r="H425">
        <v>104.8</v>
      </c>
      <c r="I425" t="s">
        <v>31</v>
      </c>
      <c r="J425" t="s">
        <v>31</v>
      </c>
      <c r="K425" t="s">
        <v>29</v>
      </c>
      <c r="L425" t="s">
        <v>29</v>
      </c>
      <c r="M425" t="s">
        <v>147</v>
      </c>
      <c r="N425" t="s">
        <v>91</v>
      </c>
      <c r="O425">
        <v>39.5</v>
      </c>
      <c r="P425">
        <v>-84.733333000000002</v>
      </c>
      <c r="Q425" t="s">
        <v>29</v>
      </c>
      <c r="R425">
        <v>0.87609999999999999</v>
      </c>
      <c r="S425" t="s">
        <v>173</v>
      </c>
    </row>
    <row r="426" spans="1:19" x14ac:dyDescent="0.2">
      <c r="A426">
        <v>36</v>
      </c>
      <c r="B426">
        <v>18</v>
      </c>
      <c r="C426" t="s">
        <v>115</v>
      </c>
      <c r="D426">
        <v>1988</v>
      </c>
      <c r="E426">
        <v>26.88</v>
      </c>
      <c r="F426">
        <v>4</v>
      </c>
      <c r="G426">
        <v>11.1</v>
      </c>
      <c r="H426">
        <v>104.8</v>
      </c>
      <c r="I426" t="s">
        <v>31</v>
      </c>
      <c r="J426" t="s">
        <v>31</v>
      </c>
      <c r="K426" t="s">
        <v>29</v>
      </c>
      <c r="L426" t="s">
        <v>29</v>
      </c>
      <c r="M426" t="s">
        <v>147</v>
      </c>
      <c r="N426" t="s">
        <v>91</v>
      </c>
      <c r="O426">
        <v>39.5</v>
      </c>
      <c r="P426">
        <v>-84.733333000000002</v>
      </c>
      <c r="Q426" t="s">
        <v>29</v>
      </c>
      <c r="R426">
        <v>0.87609999999999999</v>
      </c>
      <c r="S426" t="s">
        <v>173</v>
      </c>
    </row>
    <row r="427" spans="1:19" x14ac:dyDescent="0.2">
      <c r="A427">
        <v>36</v>
      </c>
      <c r="B427">
        <v>9</v>
      </c>
      <c r="C427" t="s">
        <v>115</v>
      </c>
      <c r="D427">
        <v>1988</v>
      </c>
      <c r="E427">
        <v>26.88</v>
      </c>
      <c r="F427">
        <v>4</v>
      </c>
      <c r="G427">
        <v>11.1</v>
      </c>
      <c r="H427">
        <v>104.8</v>
      </c>
      <c r="I427" t="s">
        <v>31</v>
      </c>
      <c r="J427" t="s">
        <v>31</v>
      </c>
      <c r="K427" t="s">
        <v>29</v>
      </c>
      <c r="L427" t="s">
        <v>29</v>
      </c>
      <c r="M427" t="s">
        <v>147</v>
      </c>
      <c r="N427" t="s">
        <v>91</v>
      </c>
      <c r="O427">
        <v>39.5</v>
      </c>
      <c r="P427">
        <v>-84.733333000000002</v>
      </c>
      <c r="Q427" t="s">
        <v>29</v>
      </c>
      <c r="R427">
        <v>0.87609999999999999</v>
      </c>
      <c r="S427" t="s">
        <v>173</v>
      </c>
    </row>
    <row r="428" spans="1:19" x14ac:dyDescent="0.2">
      <c r="A428">
        <v>36</v>
      </c>
      <c r="B428">
        <v>10</v>
      </c>
      <c r="C428" t="s">
        <v>115</v>
      </c>
      <c r="D428">
        <v>1988</v>
      </c>
      <c r="E428">
        <v>8.9600000000000009</v>
      </c>
      <c r="F428">
        <v>2</v>
      </c>
      <c r="G428">
        <v>11.1</v>
      </c>
      <c r="H428">
        <v>104.8</v>
      </c>
      <c r="I428" t="s">
        <v>31</v>
      </c>
      <c r="J428" t="s">
        <v>31</v>
      </c>
      <c r="K428" t="s">
        <v>29</v>
      </c>
      <c r="L428" t="s">
        <v>29</v>
      </c>
      <c r="M428" t="s">
        <v>147</v>
      </c>
      <c r="N428" t="s">
        <v>91</v>
      </c>
      <c r="O428">
        <v>39.5</v>
      </c>
      <c r="P428">
        <v>-84.733333000000002</v>
      </c>
      <c r="Q428" t="s">
        <v>29</v>
      </c>
      <c r="R428">
        <v>0.87609999999999999</v>
      </c>
      <c r="S428" t="s">
        <v>173</v>
      </c>
    </row>
    <row r="429" spans="1:19" x14ac:dyDescent="0.2">
      <c r="A429">
        <v>36</v>
      </c>
      <c r="B429">
        <v>11</v>
      </c>
      <c r="C429" t="s">
        <v>115</v>
      </c>
      <c r="D429">
        <v>1988</v>
      </c>
      <c r="E429">
        <v>17.920000000000002</v>
      </c>
      <c r="F429">
        <v>2</v>
      </c>
      <c r="G429">
        <v>11.1</v>
      </c>
      <c r="H429">
        <v>104.8</v>
      </c>
      <c r="I429" t="s">
        <v>31</v>
      </c>
      <c r="J429" t="s">
        <v>31</v>
      </c>
      <c r="K429" t="s">
        <v>29</v>
      </c>
      <c r="L429" t="s">
        <v>29</v>
      </c>
      <c r="M429" t="s">
        <v>147</v>
      </c>
      <c r="N429" t="s">
        <v>91</v>
      </c>
      <c r="O429">
        <v>39.5</v>
      </c>
      <c r="P429">
        <v>-84.733333000000002</v>
      </c>
      <c r="Q429" t="s">
        <v>29</v>
      </c>
      <c r="R429">
        <v>0.87609999999999999</v>
      </c>
      <c r="S429" t="s">
        <v>173</v>
      </c>
    </row>
    <row r="430" spans="1:19" x14ac:dyDescent="0.2">
      <c r="A430">
        <v>36</v>
      </c>
      <c r="B430">
        <v>12</v>
      </c>
      <c r="C430" t="s">
        <v>115</v>
      </c>
      <c r="D430">
        <v>1988</v>
      </c>
      <c r="E430">
        <v>26.88</v>
      </c>
      <c r="F430">
        <v>2</v>
      </c>
      <c r="G430">
        <v>11.1</v>
      </c>
      <c r="H430">
        <v>104.8</v>
      </c>
      <c r="I430" t="s">
        <v>31</v>
      </c>
      <c r="J430" t="s">
        <v>31</v>
      </c>
      <c r="K430" t="s">
        <v>29</v>
      </c>
      <c r="L430" t="s">
        <v>29</v>
      </c>
      <c r="M430" t="s">
        <v>147</v>
      </c>
      <c r="N430" t="s">
        <v>91</v>
      </c>
      <c r="O430">
        <v>39.5</v>
      </c>
      <c r="P430">
        <v>-84.733333000000002</v>
      </c>
      <c r="Q430" t="s">
        <v>29</v>
      </c>
      <c r="R430">
        <v>0.87609999999999999</v>
      </c>
      <c r="S430" t="s">
        <v>173</v>
      </c>
    </row>
    <row r="431" spans="1:19" x14ac:dyDescent="0.2">
      <c r="A431">
        <v>36</v>
      </c>
      <c r="B431">
        <v>1</v>
      </c>
      <c r="C431" t="s">
        <v>115</v>
      </c>
      <c r="D431">
        <v>1988</v>
      </c>
      <c r="E431">
        <v>8.9600000000000009</v>
      </c>
      <c r="F431">
        <v>2</v>
      </c>
      <c r="G431">
        <v>11.1</v>
      </c>
      <c r="H431">
        <v>104.8</v>
      </c>
      <c r="I431" t="s">
        <v>31</v>
      </c>
      <c r="J431" t="s">
        <v>31</v>
      </c>
      <c r="K431" t="s">
        <v>29</v>
      </c>
      <c r="L431" t="s">
        <v>29</v>
      </c>
      <c r="M431" t="s">
        <v>116</v>
      </c>
      <c r="N431" t="s">
        <v>91</v>
      </c>
      <c r="O431">
        <v>39.5</v>
      </c>
      <c r="P431">
        <v>-84.733329999999995</v>
      </c>
      <c r="Q431" t="s">
        <v>29</v>
      </c>
      <c r="R431">
        <v>0.87609999999999999</v>
      </c>
      <c r="S431" t="s">
        <v>172</v>
      </c>
    </row>
    <row r="432" spans="1:19" x14ac:dyDescent="0.2">
      <c r="A432">
        <v>36</v>
      </c>
      <c r="B432">
        <v>2</v>
      </c>
      <c r="C432" t="s">
        <v>115</v>
      </c>
      <c r="D432">
        <v>1988</v>
      </c>
      <c r="E432">
        <v>8.9600000000000009</v>
      </c>
      <c r="F432">
        <v>2</v>
      </c>
      <c r="G432">
        <v>11.1</v>
      </c>
      <c r="H432">
        <v>104.8</v>
      </c>
      <c r="I432" t="s">
        <v>31</v>
      </c>
      <c r="J432" t="s">
        <v>31</v>
      </c>
      <c r="K432" t="s">
        <v>29</v>
      </c>
      <c r="L432" t="s">
        <v>29</v>
      </c>
      <c r="M432" t="s">
        <v>116</v>
      </c>
      <c r="N432" t="s">
        <v>91</v>
      </c>
      <c r="O432">
        <v>39.5</v>
      </c>
      <c r="P432">
        <v>-84.733329999999995</v>
      </c>
      <c r="Q432" t="s">
        <v>29</v>
      </c>
      <c r="R432">
        <v>0.87609999999999999</v>
      </c>
      <c r="S432" t="s">
        <v>172</v>
      </c>
    </row>
    <row r="433" spans="1:19" x14ac:dyDescent="0.2">
      <c r="A433">
        <v>36</v>
      </c>
      <c r="B433">
        <v>3</v>
      </c>
      <c r="C433" t="s">
        <v>115</v>
      </c>
      <c r="D433">
        <v>1988</v>
      </c>
      <c r="E433">
        <v>17.920000000000002</v>
      </c>
      <c r="F433">
        <v>3</v>
      </c>
      <c r="G433">
        <v>11.1</v>
      </c>
      <c r="H433">
        <v>104.8</v>
      </c>
      <c r="I433" t="s">
        <v>31</v>
      </c>
      <c r="J433" t="s">
        <v>31</v>
      </c>
      <c r="K433" t="s">
        <v>29</v>
      </c>
      <c r="L433" t="s">
        <v>29</v>
      </c>
      <c r="M433" t="s">
        <v>116</v>
      </c>
      <c r="N433" t="s">
        <v>91</v>
      </c>
      <c r="O433">
        <v>39.5</v>
      </c>
      <c r="P433">
        <v>-84.733329999999995</v>
      </c>
      <c r="Q433" t="s">
        <v>29</v>
      </c>
      <c r="R433">
        <v>0.87609999999999999</v>
      </c>
      <c r="S433" t="s">
        <v>172</v>
      </c>
    </row>
    <row r="434" spans="1:19" x14ac:dyDescent="0.2">
      <c r="A434">
        <v>36</v>
      </c>
      <c r="B434">
        <v>4</v>
      </c>
      <c r="C434" t="s">
        <v>115</v>
      </c>
      <c r="D434">
        <v>1988</v>
      </c>
      <c r="E434">
        <v>17.920000000000002</v>
      </c>
      <c r="F434">
        <v>3</v>
      </c>
      <c r="G434">
        <v>11.1</v>
      </c>
      <c r="H434">
        <v>104.8</v>
      </c>
      <c r="I434" t="s">
        <v>31</v>
      </c>
      <c r="J434" t="s">
        <v>31</v>
      </c>
      <c r="K434" t="s">
        <v>29</v>
      </c>
      <c r="L434" t="s">
        <v>29</v>
      </c>
      <c r="M434" t="s">
        <v>116</v>
      </c>
      <c r="N434" t="s">
        <v>91</v>
      </c>
      <c r="O434">
        <v>39.5</v>
      </c>
      <c r="P434">
        <v>-84.733329999999995</v>
      </c>
      <c r="Q434" t="s">
        <v>29</v>
      </c>
      <c r="R434">
        <v>0.87609999999999999</v>
      </c>
      <c r="S434" t="s">
        <v>172</v>
      </c>
    </row>
    <row r="435" spans="1:19" x14ac:dyDescent="0.2">
      <c r="A435">
        <v>36</v>
      </c>
      <c r="B435">
        <v>5</v>
      </c>
      <c r="C435" t="s">
        <v>115</v>
      </c>
      <c r="D435">
        <v>1988</v>
      </c>
      <c r="E435">
        <v>26.94</v>
      </c>
      <c r="F435">
        <v>4</v>
      </c>
      <c r="G435">
        <v>11.1</v>
      </c>
      <c r="H435">
        <v>104.8</v>
      </c>
      <c r="I435" t="s">
        <v>31</v>
      </c>
      <c r="J435" t="s">
        <v>31</v>
      </c>
      <c r="K435" t="s">
        <v>29</v>
      </c>
      <c r="L435" t="s">
        <v>29</v>
      </c>
      <c r="M435" t="s">
        <v>116</v>
      </c>
      <c r="N435" t="s">
        <v>91</v>
      </c>
      <c r="O435">
        <v>39.5</v>
      </c>
      <c r="P435">
        <v>-84.733329999999995</v>
      </c>
      <c r="Q435" t="s">
        <v>29</v>
      </c>
      <c r="R435">
        <v>0.87609999999999999</v>
      </c>
      <c r="S435" t="s">
        <v>172</v>
      </c>
    </row>
    <row r="436" spans="1:19" x14ac:dyDescent="0.2">
      <c r="A436">
        <v>36</v>
      </c>
      <c r="B436">
        <v>6</v>
      </c>
      <c r="C436" t="s">
        <v>115</v>
      </c>
      <c r="D436">
        <v>1988</v>
      </c>
      <c r="E436">
        <v>26.94</v>
      </c>
      <c r="F436">
        <v>4</v>
      </c>
      <c r="G436">
        <v>11.1</v>
      </c>
      <c r="H436">
        <v>104.8</v>
      </c>
      <c r="I436" t="s">
        <v>31</v>
      </c>
      <c r="J436" t="s">
        <v>31</v>
      </c>
      <c r="K436" t="s">
        <v>29</v>
      </c>
      <c r="L436" t="s">
        <v>29</v>
      </c>
      <c r="M436" t="s">
        <v>116</v>
      </c>
      <c r="N436" t="s">
        <v>91</v>
      </c>
      <c r="O436">
        <v>39.5</v>
      </c>
      <c r="P436">
        <v>-84.733329999999995</v>
      </c>
      <c r="Q436" t="s">
        <v>29</v>
      </c>
      <c r="R436">
        <v>0.87609999999999999</v>
      </c>
      <c r="S436" t="s">
        <v>172</v>
      </c>
    </row>
    <row r="437" spans="1:19" x14ac:dyDescent="0.2">
      <c r="A437">
        <v>37</v>
      </c>
      <c r="B437">
        <v>1</v>
      </c>
      <c r="C437" t="s">
        <v>97</v>
      </c>
      <c r="D437">
        <v>2012</v>
      </c>
      <c r="E437">
        <v>50</v>
      </c>
      <c r="F437">
        <v>2</v>
      </c>
      <c r="G437">
        <v>2.2999999999999998</v>
      </c>
      <c r="H437">
        <v>44.8</v>
      </c>
      <c r="I437" t="s">
        <v>31</v>
      </c>
      <c r="J437" t="s">
        <v>31</v>
      </c>
      <c r="K437" t="s">
        <v>29</v>
      </c>
      <c r="L437" t="s">
        <v>31</v>
      </c>
      <c r="M437" t="s">
        <v>52</v>
      </c>
      <c r="N437" t="s">
        <v>94</v>
      </c>
      <c r="O437">
        <v>50.473109999999998</v>
      </c>
      <c r="P437">
        <v>-121.0218</v>
      </c>
      <c r="Q437" t="s">
        <v>29</v>
      </c>
      <c r="R437">
        <v>0.46660000000000001</v>
      </c>
      <c r="S437" t="s">
        <v>172</v>
      </c>
    </row>
    <row r="438" spans="1:19" x14ac:dyDescent="0.2">
      <c r="A438">
        <v>37</v>
      </c>
      <c r="B438">
        <v>2</v>
      </c>
      <c r="C438" t="s">
        <v>97</v>
      </c>
      <c r="D438">
        <v>2012</v>
      </c>
      <c r="E438">
        <v>100</v>
      </c>
      <c r="F438">
        <v>2</v>
      </c>
      <c r="G438">
        <v>2.2999999999999998</v>
      </c>
      <c r="H438">
        <v>44.8</v>
      </c>
      <c r="I438" t="s">
        <v>31</v>
      </c>
      <c r="J438" t="s">
        <v>31</v>
      </c>
      <c r="K438" t="s">
        <v>29</v>
      </c>
      <c r="L438" t="s">
        <v>31</v>
      </c>
      <c r="M438" t="s">
        <v>52</v>
      </c>
      <c r="N438" t="s">
        <v>94</v>
      </c>
      <c r="O438">
        <v>50.473109999999998</v>
      </c>
      <c r="P438">
        <v>-121.0218</v>
      </c>
      <c r="Q438" t="s">
        <v>29</v>
      </c>
      <c r="R438">
        <v>0.46660000000000001</v>
      </c>
      <c r="S438" t="s">
        <v>172</v>
      </c>
    </row>
    <row r="439" spans="1:19" x14ac:dyDescent="0.2">
      <c r="A439">
        <v>37</v>
      </c>
      <c r="B439">
        <v>3</v>
      </c>
      <c r="C439" t="s">
        <v>97</v>
      </c>
      <c r="D439">
        <v>2012</v>
      </c>
      <c r="E439">
        <v>150</v>
      </c>
      <c r="F439">
        <v>2</v>
      </c>
      <c r="G439">
        <v>2.2999999999999998</v>
      </c>
      <c r="H439">
        <v>44.8</v>
      </c>
      <c r="I439" t="s">
        <v>31</v>
      </c>
      <c r="J439" t="s">
        <v>31</v>
      </c>
      <c r="K439" t="s">
        <v>29</v>
      </c>
      <c r="L439" t="s">
        <v>31</v>
      </c>
      <c r="M439" t="s">
        <v>52</v>
      </c>
      <c r="N439" t="s">
        <v>94</v>
      </c>
      <c r="O439">
        <v>50.473109999999998</v>
      </c>
      <c r="P439">
        <v>-121.0218</v>
      </c>
      <c r="Q439" t="s">
        <v>29</v>
      </c>
      <c r="R439">
        <v>0.46660000000000001</v>
      </c>
      <c r="S439" t="s">
        <v>172</v>
      </c>
    </row>
    <row r="440" spans="1:19" x14ac:dyDescent="0.2">
      <c r="A440">
        <v>37</v>
      </c>
      <c r="B440">
        <v>4</v>
      </c>
      <c r="C440" t="s">
        <v>97</v>
      </c>
      <c r="D440">
        <v>2012</v>
      </c>
      <c r="E440">
        <v>200</v>
      </c>
      <c r="F440">
        <v>2</v>
      </c>
      <c r="G440">
        <v>2.2999999999999998</v>
      </c>
      <c r="H440">
        <v>44.8</v>
      </c>
      <c r="I440" t="s">
        <v>31</v>
      </c>
      <c r="J440" t="s">
        <v>31</v>
      </c>
      <c r="K440" t="s">
        <v>29</v>
      </c>
      <c r="L440" t="s">
        <v>31</v>
      </c>
      <c r="M440" t="s">
        <v>52</v>
      </c>
      <c r="N440" t="s">
        <v>94</v>
      </c>
      <c r="O440">
        <v>50.473109999999998</v>
      </c>
      <c r="P440">
        <v>-121.0218</v>
      </c>
      <c r="Q440" t="s">
        <v>29</v>
      </c>
      <c r="R440">
        <v>0.46660000000000001</v>
      </c>
      <c r="S440" t="s">
        <v>172</v>
      </c>
    </row>
    <row r="441" spans="1:19" x14ac:dyDescent="0.2">
      <c r="A441">
        <v>37</v>
      </c>
      <c r="B441">
        <v>5</v>
      </c>
      <c r="C441" t="s">
        <v>97</v>
      </c>
      <c r="D441">
        <v>2012</v>
      </c>
      <c r="E441">
        <v>250</v>
      </c>
      <c r="F441">
        <v>2</v>
      </c>
      <c r="G441">
        <v>2.2999999999999998</v>
      </c>
      <c r="H441">
        <v>44.8</v>
      </c>
      <c r="I441" t="s">
        <v>31</v>
      </c>
      <c r="J441" t="s">
        <v>31</v>
      </c>
      <c r="K441" t="s">
        <v>29</v>
      </c>
      <c r="L441" t="s">
        <v>31</v>
      </c>
      <c r="M441" t="s">
        <v>52</v>
      </c>
      <c r="N441" t="s">
        <v>94</v>
      </c>
      <c r="O441">
        <v>50.473109999999998</v>
      </c>
      <c r="P441">
        <v>-121.0218</v>
      </c>
      <c r="Q441" t="s">
        <v>29</v>
      </c>
      <c r="R441">
        <v>0.46660000000000001</v>
      </c>
      <c r="S441" t="s">
        <v>172</v>
      </c>
    </row>
    <row r="442" spans="1:19" x14ac:dyDescent="0.2">
      <c r="A442">
        <v>37</v>
      </c>
      <c r="B442">
        <v>6</v>
      </c>
      <c r="C442" t="s">
        <v>97</v>
      </c>
      <c r="D442">
        <v>2012</v>
      </c>
      <c r="E442">
        <v>50</v>
      </c>
      <c r="F442">
        <v>3</v>
      </c>
      <c r="G442">
        <v>2.2999999999999998</v>
      </c>
      <c r="H442">
        <v>44.8</v>
      </c>
      <c r="I442" t="s">
        <v>31</v>
      </c>
      <c r="J442" t="s">
        <v>31</v>
      </c>
      <c r="K442" t="s">
        <v>29</v>
      </c>
      <c r="L442" t="s">
        <v>31</v>
      </c>
      <c r="M442" t="s">
        <v>52</v>
      </c>
      <c r="N442" t="s">
        <v>94</v>
      </c>
      <c r="O442">
        <v>50.473109999999998</v>
      </c>
      <c r="P442">
        <v>-121.0218</v>
      </c>
      <c r="Q442" t="s">
        <v>29</v>
      </c>
      <c r="R442">
        <v>0.46660000000000001</v>
      </c>
      <c r="S442" t="s">
        <v>172</v>
      </c>
    </row>
    <row r="443" spans="1:19" x14ac:dyDescent="0.2">
      <c r="A443">
        <v>37</v>
      </c>
      <c r="B443">
        <v>7</v>
      </c>
      <c r="C443" t="s">
        <v>97</v>
      </c>
      <c r="D443">
        <v>2012</v>
      </c>
      <c r="E443">
        <v>100</v>
      </c>
      <c r="F443">
        <v>3</v>
      </c>
      <c r="G443">
        <v>2.2999999999999998</v>
      </c>
      <c r="H443">
        <v>44.8</v>
      </c>
      <c r="I443" t="s">
        <v>31</v>
      </c>
      <c r="J443" t="s">
        <v>31</v>
      </c>
      <c r="K443" t="s">
        <v>29</v>
      </c>
      <c r="L443" t="s">
        <v>31</v>
      </c>
      <c r="M443" t="s">
        <v>52</v>
      </c>
      <c r="N443" t="s">
        <v>94</v>
      </c>
      <c r="O443">
        <v>50.473109999999998</v>
      </c>
      <c r="P443">
        <v>-121.0218</v>
      </c>
      <c r="Q443" t="s">
        <v>29</v>
      </c>
      <c r="R443">
        <v>0.46660000000000001</v>
      </c>
      <c r="S443" t="s">
        <v>172</v>
      </c>
    </row>
    <row r="444" spans="1:19" x14ac:dyDescent="0.2">
      <c r="A444">
        <v>37</v>
      </c>
      <c r="B444">
        <v>8</v>
      </c>
      <c r="C444" t="s">
        <v>97</v>
      </c>
      <c r="D444">
        <v>2012</v>
      </c>
      <c r="E444">
        <v>150</v>
      </c>
      <c r="F444">
        <v>3</v>
      </c>
      <c r="G444">
        <v>2.2999999999999998</v>
      </c>
      <c r="H444">
        <v>44.8</v>
      </c>
      <c r="I444" t="s">
        <v>31</v>
      </c>
      <c r="J444" t="s">
        <v>31</v>
      </c>
      <c r="K444" t="s">
        <v>29</v>
      </c>
      <c r="L444" t="s">
        <v>31</v>
      </c>
      <c r="M444" t="s">
        <v>52</v>
      </c>
      <c r="N444" t="s">
        <v>94</v>
      </c>
      <c r="O444">
        <v>50.473109999999998</v>
      </c>
      <c r="P444">
        <v>-121.0218</v>
      </c>
      <c r="Q444" t="s">
        <v>29</v>
      </c>
      <c r="R444">
        <v>0.46660000000000001</v>
      </c>
      <c r="S444" t="s">
        <v>172</v>
      </c>
    </row>
    <row r="445" spans="1:19" x14ac:dyDescent="0.2">
      <c r="A445">
        <v>37</v>
      </c>
      <c r="B445">
        <v>9</v>
      </c>
      <c r="C445" t="s">
        <v>97</v>
      </c>
      <c r="D445">
        <v>2012</v>
      </c>
      <c r="E445">
        <v>200</v>
      </c>
      <c r="F445">
        <v>3</v>
      </c>
      <c r="G445">
        <v>2.2999999999999998</v>
      </c>
      <c r="H445">
        <v>44.8</v>
      </c>
      <c r="I445" t="s">
        <v>31</v>
      </c>
      <c r="J445" t="s">
        <v>31</v>
      </c>
      <c r="K445" t="s">
        <v>29</v>
      </c>
      <c r="L445" t="s">
        <v>31</v>
      </c>
      <c r="M445" t="s">
        <v>52</v>
      </c>
      <c r="N445" t="s">
        <v>94</v>
      </c>
      <c r="O445">
        <v>50.473109999999998</v>
      </c>
      <c r="P445">
        <v>-121.0218</v>
      </c>
      <c r="Q445" t="s">
        <v>29</v>
      </c>
      <c r="R445">
        <v>0.46660000000000001</v>
      </c>
      <c r="S445" t="s">
        <v>172</v>
      </c>
    </row>
    <row r="446" spans="1:19" x14ac:dyDescent="0.2">
      <c r="A446">
        <v>37</v>
      </c>
      <c r="B446">
        <v>10</v>
      </c>
      <c r="C446" t="s">
        <v>97</v>
      </c>
      <c r="D446">
        <v>2012</v>
      </c>
      <c r="E446">
        <v>250</v>
      </c>
      <c r="F446">
        <v>3</v>
      </c>
      <c r="G446">
        <v>2.2999999999999998</v>
      </c>
      <c r="H446">
        <v>44.8</v>
      </c>
      <c r="I446" t="s">
        <v>31</v>
      </c>
      <c r="J446" t="s">
        <v>31</v>
      </c>
      <c r="K446" t="s">
        <v>29</v>
      </c>
      <c r="L446" t="s">
        <v>31</v>
      </c>
      <c r="M446" t="s">
        <v>52</v>
      </c>
      <c r="N446" t="s">
        <v>94</v>
      </c>
      <c r="O446">
        <v>50.473109999999998</v>
      </c>
      <c r="P446">
        <v>-121.0218</v>
      </c>
      <c r="Q446" t="s">
        <v>29</v>
      </c>
      <c r="R446">
        <v>0.46660000000000001</v>
      </c>
      <c r="S446" t="s">
        <v>172</v>
      </c>
    </row>
    <row r="447" spans="1:19" x14ac:dyDescent="0.2">
      <c r="A447">
        <v>37</v>
      </c>
      <c r="B447">
        <v>11</v>
      </c>
      <c r="C447" t="s">
        <v>97</v>
      </c>
      <c r="D447">
        <v>2012</v>
      </c>
      <c r="E447">
        <v>50</v>
      </c>
      <c r="F447">
        <v>2</v>
      </c>
      <c r="G447">
        <v>2.2999999999999998</v>
      </c>
      <c r="H447">
        <v>44.8</v>
      </c>
      <c r="I447" t="s">
        <v>31</v>
      </c>
      <c r="J447" t="s">
        <v>31</v>
      </c>
      <c r="K447" t="s">
        <v>29</v>
      </c>
      <c r="L447" t="s">
        <v>31</v>
      </c>
      <c r="M447" t="s">
        <v>52</v>
      </c>
      <c r="N447" t="s">
        <v>94</v>
      </c>
      <c r="O447">
        <v>50.473109999999998</v>
      </c>
      <c r="P447">
        <v>-121.0218</v>
      </c>
      <c r="Q447" t="s">
        <v>29</v>
      </c>
      <c r="R447">
        <v>0.46660000000000001</v>
      </c>
      <c r="S447" t="s">
        <v>172</v>
      </c>
    </row>
    <row r="448" spans="1:19" x14ac:dyDescent="0.2">
      <c r="A448">
        <v>37</v>
      </c>
      <c r="B448">
        <v>12</v>
      </c>
      <c r="C448" t="s">
        <v>97</v>
      </c>
      <c r="D448">
        <v>2012</v>
      </c>
      <c r="E448">
        <v>100</v>
      </c>
      <c r="F448">
        <v>2</v>
      </c>
      <c r="G448">
        <v>2.2999999999999998</v>
      </c>
      <c r="H448">
        <v>44.8</v>
      </c>
      <c r="I448" t="s">
        <v>31</v>
      </c>
      <c r="J448" t="s">
        <v>31</v>
      </c>
      <c r="K448" t="s">
        <v>29</v>
      </c>
      <c r="L448" t="s">
        <v>31</v>
      </c>
      <c r="M448" t="s">
        <v>52</v>
      </c>
      <c r="N448" t="s">
        <v>94</v>
      </c>
      <c r="O448">
        <v>50.473109999999998</v>
      </c>
      <c r="P448">
        <v>-121.0218</v>
      </c>
      <c r="Q448" t="s">
        <v>29</v>
      </c>
      <c r="R448">
        <v>0.46660000000000001</v>
      </c>
      <c r="S448" t="s">
        <v>172</v>
      </c>
    </row>
    <row r="449" spans="1:19" x14ac:dyDescent="0.2">
      <c r="A449">
        <v>37</v>
      </c>
      <c r="B449">
        <v>13</v>
      </c>
      <c r="C449" t="s">
        <v>97</v>
      </c>
      <c r="D449">
        <v>2012</v>
      </c>
      <c r="E449">
        <v>150</v>
      </c>
      <c r="F449">
        <v>2</v>
      </c>
      <c r="G449">
        <v>2.2999999999999998</v>
      </c>
      <c r="H449">
        <v>44.8</v>
      </c>
      <c r="I449" t="s">
        <v>31</v>
      </c>
      <c r="J449" t="s">
        <v>31</v>
      </c>
      <c r="K449" t="s">
        <v>29</v>
      </c>
      <c r="L449" t="s">
        <v>31</v>
      </c>
      <c r="M449" t="s">
        <v>52</v>
      </c>
      <c r="N449" t="s">
        <v>94</v>
      </c>
      <c r="O449">
        <v>50.473109999999998</v>
      </c>
      <c r="P449">
        <v>-121.0218</v>
      </c>
      <c r="Q449" t="s">
        <v>29</v>
      </c>
      <c r="R449">
        <v>0.46660000000000001</v>
      </c>
      <c r="S449" t="s">
        <v>172</v>
      </c>
    </row>
    <row r="450" spans="1:19" x14ac:dyDescent="0.2">
      <c r="A450">
        <v>37</v>
      </c>
      <c r="B450">
        <v>14</v>
      </c>
      <c r="C450" t="s">
        <v>97</v>
      </c>
      <c r="D450">
        <v>2012</v>
      </c>
      <c r="E450">
        <v>200</v>
      </c>
      <c r="F450">
        <v>2</v>
      </c>
      <c r="G450">
        <v>2.2999999999999998</v>
      </c>
      <c r="H450">
        <v>44.8</v>
      </c>
      <c r="I450" t="s">
        <v>31</v>
      </c>
      <c r="J450" t="s">
        <v>31</v>
      </c>
      <c r="K450" t="s">
        <v>29</v>
      </c>
      <c r="L450" t="s">
        <v>31</v>
      </c>
      <c r="M450" t="s">
        <v>52</v>
      </c>
      <c r="N450" t="s">
        <v>94</v>
      </c>
      <c r="O450">
        <v>50.473109999999998</v>
      </c>
      <c r="P450">
        <v>-121.0218</v>
      </c>
      <c r="Q450" t="s">
        <v>29</v>
      </c>
      <c r="R450">
        <v>0.46660000000000001</v>
      </c>
      <c r="S450" t="s">
        <v>172</v>
      </c>
    </row>
    <row r="451" spans="1:19" x14ac:dyDescent="0.2">
      <c r="A451">
        <v>37</v>
      </c>
      <c r="B451">
        <v>15</v>
      </c>
      <c r="C451" t="s">
        <v>97</v>
      </c>
      <c r="D451">
        <v>2012</v>
      </c>
      <c r="E451">
        <v>250</v>
      </c>
      <c r="F451">
        <v>2</v>
      </c>
      <c r="G451">
        <v>2.2999999999999998</v>
      </c>
      <c r="H451">
        <v>44.8</v>
      </c>
      <c r="I451" t="s">
        <v>31</v>
      </c>
      <c r="J451" t="s">
        <v>31</v>
      </c>
      <c r="K451" t="s">
        <v>29</v>
      </c>
      <c r="L451" t="s">
        <v>31</v>
      </c>
      <c r="M451" t="s">
        <v>52</v>
      </c>
      <c r="N451" t="s">
        <v>94</v>
      </c>
      <c r="O451">
        <v>50.473109999999998</v>
      </c>
      <c r="P451">
        <v>-121.0218</v>
      </c>
      <c r="Q451" t="s">
        <v>29</v>
      </c>
      <c r="R451">
        <v>0.46660000000000001</v>
      </c>
      <c r="S451" t="s">
        <v>172</v>
      </c>
    </row>
    <row r="452" spans="1:19" x14ac:dyDescent="0.2">
      <c r="A452">
        <v>37</v>
      </c>
      <c r="B452">
        <v>16</v>
      </c>
      <c r="C452" t="s">
        <v>97</v>
      </c>
      <c r="D452">
        <v>2012</v>
      </c>
      <c r="E452">
        <v>50</v>
      </c>
      <c r="F452">
        <v>3</v>
      </c>
      <c r="G452">
        <v>2.2999999999999998</v>
      </c>
      <c r="H452">
        <v>44.8</v>
      </c>
      <c r="I452" t="s">
        <v>31</v>
      </c>
      <c r="J452" t="s">
        <v>31</v>
      </c>
      <c r="K452" t="s">
        <v>29</v>
      </c>
      <c r="L452" t="s">
        <v>31</v>
      </c>
      <c r="M452" t="s">
        <v>52</v>
      </c>
      <c r="N452" t="s">
        <v>94</v>
      </c>
      <c r="O452">
        <v>50.473109999999998</v>
      </c>
      <c r="P452">
        <v>-121.0218</v>
      </c>
      <c r="Q452" t="s">
        <v>29</v>
      </c>
      <c r="R452">
        <v>0.46660000000000001</v>
      </c>
      <c r="S452" t="s">
        <v>172</v>
      </c>
    </row>
    <row r="453" spans="1:19" x14ac:dyDescent="0.2">
      <c r="A453">
        <v>37</v>
      </c>
      <c r="B453">
        <v>17</v>
      </c>
      <c r="C453" t="s">
        <v>97</v>
      </c>
      <c r="D453">
        <v>2012</v>
      </c>
      <c r="E453">
        <v>100</v>
      </c>
      <c r="F453">
        <v>3</v>
      </c>
      <c r="G453">
        <v>2.2999999999999998</v>
      </c>
      <c r="H453">
        <v>44.8</v>
      </c>
      <c r="I453" t="s">
        <v>31</v>
      </c>
      <c r="J453" t="s">
        <v>31</v>
      </c>
      <c r="K453" t="s">
        <v>29</v>
      </c>
      <c r="L453" t="s">
        <v>31</v>
      </c>
      <c r="M453" t="s">
        <v>52</v>
      </c>
      <c r="N453" t="s">
        <v>94</v>
      </c>
      <c r="O453">
        <v>50.473109999999998</v>
      </c>
      <c r="P453">
        <v>-121.0218</v>
      </c>
      <c r="Q453" t="s">
        <v>29</v>
      </c>
      <c r="R453">
        <v>0.46660000000000001</v>
      </c>
      <c r="S453" t="s">
        <v>172</v>
      </c>
    </row>
    <row r="454" spans="1:19" x14ac:dyDescent="0.2">
      <c r="A454">
        <v>37</v>
      </c>
      <c r="B454">
        <v>18</v>
      </c>
      <c r="C454" t="s">
        <v>97</v>
      </c>
      <c r="D454">
        <v>2012</v>
      </c>
      <c r="E454">
        <v>150</v>
      </c>
      <c r="F454">
        <v>3</v>
      </c>
      <c r="G454">
        <v>2.2999999999999998</v>
      </c>
      <c r="H454">
        <v>44.8</v>
      </c>
      <c r="I454" t="s">
        <v>31</v>
      </c>
      <c r="J454" t="s">
        <v>31</v>
      </c>
      <c r="K454" t="s">
        <v>29</v>
      </c>
      <c r="L454" t="s">
        <v>31</v>
      </c>
      <c r="M454" t="s">
        <v>52</v>
      </c>
      <c r="N454" t="s">
        <v>94</v>
      </c>
      <c r="O454">
        <v>50.473109999999998</v>
      </c>
      <c r="P454">
        <v>-121.0218</v>
      </c>
      <c r="Q454" t="s">
        <v>29</v>
      </c>
      <c r="R454">
        <v>0.46660000000000001</v>
      </c>
      <c r="S454" t="s">
        <v>172</v>
      </c>
    </row>
    <row r="455" spans="1:19" x14ac:dyDescent="0.2">
      <c r="A455">
        <v>37</v>
      </c>
      <c r="B455">
        <v>19</v>
      </c>
      <c r="C455" t="s">
        <v>97</v>
      </c>
      <c r="D455">
        <v>2012</v>
      </c>
      <c r="E455">
        <v>200</v>
      </c>
      <c r="F455">
        <v>3</v>
      </c>
      <c r="G455">
        <v>2.2999999999999998</v>
      </c>
      <c r="H455">
        <v>44.8</v>
      </c>
      <c r="I455" t="s">
        <v>31</v>
      </c>
      <c r="J455" t="s">
        <v>31</v>
      </c>
      <c r="K455" t="s">
        <v>29</v>
      </c>
      <c r="L455" t="s">
        <v>31</v>
      </c>
      <c r="M455" t="s">
        <v>52</v>
      </c>
      <c r="N455" t="s">
        <v>94</v>
      </c>
      <c r="O455">
        <v>50.473109999999998</v>
      </c>
      <c r="P455">
        <v>-121.0218</v>
      </c>
      <c r="Q455" t="s">
        <v>29</v>
      </c>
      <c r="R455">
        <v>0.46660000000000001</v>
      </c>
      <c r="S455" t="s">
        <v>172</v>
      </c>
    </row>
    <row r="456" spans="1:19" x14ac:dyDescent="0.2">
      <c r="A456">
        <v>37</v>
      </c>
      <c r="B456">
        <v>20</v>
      </c>
      <c r="C456" t="s">
        <v>97</v>
      </c>
      <c r="D456">
        <v>2012</v>
      </c>
      <c r="E456">
        <v>200</v>
      </c>
      <c r="F456">
        <v>3</v>
      </c>
      <c r="G456">
        <v>2.2999999999999998</v>
      </c>
      <c r="H456">
        <v>44.8</v>
      </c>
      <c r="I456" t="s">
        <v>31</v>
      </c>
      <c r="J456" t="s">
        <v>31</v>
      </c>
      <c r="K456" t="s">
        <v>29</v>
      </c>
      <c r="L456" t="s">
        <v>31</v>
      </c>
      <c r="M456" t="s">
        <v>52</v>
      </c>
      <c r="N456" t="s">
        <v>94</v>
      </c>
      <c r="O456">
        <v>50.473109999999998</v>
      </c>
      <c r="P456">
        <v>-121.0218</v>
      </c>
      <c r="Q456" t="s">
        <v>29</v>
      </c>
      <c r="R456">
        <v>0.46660000000000001</v>
      </c>
      <c r="S456" t="s">
        <v>172</v>
      </c>
    </row>
    <row r="457" spans="1:19" x14ac:dyDescent="0.2">
      <c r="A457">
        <v>38</v>
      </c>
      <c r="B457">
        <v>2</v>
      </c>
      <c r="C457" t="s">
        <v>117</v>
      </c>
      <c r="D457">
        <v>2016</v>
      </c>
      <c r="E457">
        <v>50</v>
      </c>
      <c r="F457">
        <v>3</v>
      </c>
      <c r="G457">
        <v>10.7</v>
      </c>
      <c r="H457">
        <v>95.3</v>
      </c>
      <c r="I457" t="s">
        <v>31</v>
      </c>
      <c r="J457" t="s">
        <v>31</v>
      </c>
      <c r="K457" t="s">
        <v>31</v>
      </c>
      <c r="L457" t="s">
        <v>31</v>
      </c>
      <c r="M457" t="s">
        <v>119</v>
      </c>
      <c r="N457" t="s">
        <v>93</v>
      </c>
      <c r="O457">
        <v>42.716670000000001</v>
      </c>
      <c r="P457">
        <v>-1.2166699999999999</v>
      </c>
      <c r="Q457" t="s">
        <v>31</v>
      </c>
      <c r="R457">
        <v>0.65369999999999995</v>
      </c>
      <c r="S457" t="s">
        <v>173</v>
      </c>
    </row>
    <row r="458" spans="1:19" x14ac:dyDescent="0.2">
      <c r="A458">
        <v>38</v>
      </c>
      <c r="B458">
        <v>1</v>
      </c>
      <c r="C458" t="s">
        <v>117</v>
      </c>
      <c r="D458">
        <v>2016</v>
      </c>
      <c r="E458">
        <v>50</v>
      </c>
      <c r="F458">
        <v>2</v>
      </c>
      <c r="G458">
        <v>10.7</v>
      </c>
      <c r="H458">
        <v>95.3</v>
      </c>
      <c r="I458" t="s">
        <v>31</v>
      </c>
      <c r="J458" t="s">
        <v>31</v>
      </c>
      <c r="K458" t="s">
        <v>31</v>
      </c>
      <c r="L458" t="s">
        <v>31</v>
      </c>
      <c r="M458" t="s">
        <v>119</v>
      </c>
      <c r="N458" t="s">
        <v>93</v>
      </c>
      <c r="O458">
        <v>42.716670000000001</v>
      </c>
      <c r="P458">
        <v>-1.2166699999999999</v>
      </c>
      <c r="Q458" t="s">
        <v>31</v>
      </c>
      <c r="R458">
        <v>0.65369999999999995</v>
      </c>
      <c r="S458" t="s">
        <v>173</v>
      </c>
    </row>
    <row r="459" spans="1:19" x14ac:dyDescent="0.2">
      <c r="A459">
        <v>38</v>
      </c>
      <c r="B459">
        <v>3</v>
      </c>
      <c r="C459" t="s">
        <v>117</v>
      </c>
      <c r="D459">
        <v>2016</v>
      </c>
      <c r="E459">
        <v>50</v>
      </c>
      <c r="F459">
        <v>4</v>
      </c>
      <c r="G459">
        <v>10.7</v>
      </c>
      <c r="H459">
        <v>95.3</v>
      </c>
      <c r="I459" t="s">
        <v>31</v>
      </c>
      <c r="J459" t="s">
        <v>31</v>
      </c>
      <c r="K459" t="s">
        <v>31</v>
      </c>
      <c r="L459" t="s">
        <v>31</v>
      </c>
      <c r="M459" t="s">
        <v>119</v>
      </c>
      <c r="N459" t="s">
        <v>93</v>
      </c>
      <c r="O459">
        <v>42.716670000000001</v>
      </c>
      <c r="P459">
        <v>-1.2166699999999999</v>
      </c>
      <c r="Q459" t="s">
        <v>31</v>
      </c>
      <c r="R459">
        <v>0.65369999999999995</v>
      </c>
      <c r="S459" t="s">
        <v>173</v>
      </c>
    </row>
    <row r="460" spans="1:19" x14ac:dyDescent="0.2">
      <c r="A460">
        <v>38</v>
      </c>
      <c r="B460">
        <v>6</v>
      </c>
      <c r="C460" t="s">
        <v>117</v>
      </c>
      <c r="D460">
        <v>2016</v>
      </c>
      <c r="E460">
        <v>50</v>
      </c>
      <c r="F460">
        <v>7</v>
      </c>
      <c r="G460">
        <v>10.7</v>
      </c>
      <c r="H460">
        <v>95.3</v>
      </c>
      <c r="I460" t="s">
        <v>31</v>
      </c>
      <c r="J460" t="s">
        <v>31</v>
      </c>
      <c r="K460" t="s">
        <v>31</v>
      </c>
      <c r="L460" t="s">
        <v>31</v>
      </c>
      <c r="M460" t="s">
        <v>119</v>
      </c>
      <c r="N460" t="s">
        <v>93</v>
      </c>
      <c r="O460">
        <v>42.716670000000001</v>
      </c>
      <c r="P460">
        <v>-1.2166699999999999</v>
      </c>
      <c r="Q460" t="s">
        <v>31</v>
      </c>
      <c r="R460">
        <v>0.65369999999999995</v>
      </c>
      <c r="S460" t="s">
        <v>173</v>
      </c>
    </row>
    <row r="461" spans="1:19" x14ac:dyDescent="0.2">
      <c r="A461">
        <v>38</v>
      </c>
      <c r="B461">
        <v>7</v>
      </c>
      <c r="C461" t="s">
        <v>117</v>
      </c>
      <c r="D461">
        <v>2016</v>
      </c>
      <c r="E461">
        <v>50</v>
      </c>
      <c r="F461">
        <v>8</v>
      </c>
      <c r="G461">
        <v>10.7</v>
      </c>
      <c r="H461">
        <v>95.3</v>
      </c>
      <c r="I461" t="s">
        <v>31</v>
      </c>
      <c r="J461" t="s">
        <v>31</v>
      </c>
      <c r="K461" t="s">
        <v>31</v>
      </c>
      <c r="L461" t="s">
        <v>31</v>
      </c>
      <c r="M461" t="s">
        <v>119</v>
      </c>
      <c r="N461" t="s">
        <v>93</v>
      </c>
      <c r="O461">
        <v>42.716670000000001</v>
      </c>
      <c r="P461">
        <v>-1.2166699999999999</v>
      </c>
      <c r="Q461" t="s">
        <v>31</v>
      </c>
      <c r="R461">
        <v>0.65369999999999995</v>
      </c>
      <c r="S461" t="s">
        <v>173</v>
      </c>
    </row>
    <row r="462" spans="1:19" x14ac:dyDescent="0.2">
      <c r="A462">
        <v>38</v>
      </c>
      <c r="B462">
        <v>11</v>
      </c>
      <c r="C462" t="s">
        <v>117</v>
      </c>
      <c r="D462">
        <v>2016</v>
      </c>
      <c r="E462">
        <v>50</v>
      </c>
      <c r="F462">
        <v>12</v>
      </c>
      <c r="G462">
        <v>10.7</v>
      </c>
      <c r="H462">
        <v>95.3</v>
      </c>
      <c r="I462" t="s">
        <v>31</v>
      </c>
      <c r="J462" t="s">
        <v>31</v>
      </c>
      <c r="K462" t="s">
        <v>31</v>
      </c>
      <c r="L462" t="s">
        <v>31</v>
      </c>
      <c r="M462" t="s">
        <v>119</v>
      </c>
      <c r="N462" t="s">
        <v>93</v>
      </c>
      <c r="O462">
        <v>42.716670000000001</v>
      </c>
      <c r="P462">
        <v>-1.2166699999999999</v>
      </c>
      <c r="Q462" t="s">
        <v>31</v>
      </c>
      <c r="R462">
        <v>0.65369999999999995</v>
      </c>
      <c r="S462" t="s">
        <v>173</v>
      </c>
    </row>
    <row r="463" spans="1:19" x14ac:dyDescent="0.2">
      <c r="A463">
        <v>38</v>
      </c>
      <c r="B463">
        <v>9</v>
      </c>
      <c r="C463" t="s">
        <v>117</v>
      </c>
      <c r="D463">
        <v>2016</v>
      </c>
      <c r="E463">
        <v>50</v>
      </c>
      <c r="F463">
        <v>10</v>
      </c>
      <c r="G463">
        <v>10.7</v>
      </c>
      <c r="H463">
        <v>95.3</v>
      </c>
      <c r="I463" t="s">
        <v>31</v>
      </c>
      <c r="J463" t="s">
        <v>31</v>
      </c>
      <c r="K463" t="s">
        <v>31</v>
      </c>
      <c r="L463" t="s">
        <v>31</v>
      </c>
      <c r="M463" t="s">
        <v>119</v>
      </c>
      <c r="N463" t="s">
        <v>93</v>
      </c>
      <c r="O463">
        <v>42.716670000000001</v>
      </c>
      <c r="P463">
        <v>-1.2166699999999999</v>
      </c>
      <c r="Q463" t="s">
        <v>31</v>
      </c>
      <c r="R463">
        <v>0.65369999999999995</v>
      </c>
      <c r="S463" t="s">
        <v>173</v>
      </c>
    </row>
    <row r="464" spans="1:19" x14ac:dyDescent="0.2">
      <c r="A464">
        <v>38</v>
      </c>
      <c r="B464">
        <v>8</v>
      </c>
      <c r="C464" t="s">
        <v>117</v>
      </c>
      <c r="D464">
        <v>2016</v>
      </c>
      <c r="E464">
        <v>50</v>
      </c>
      <c r="F464">
        <v>9</v>
      </c>
      <c r="G464">
        <v>10.7</v>
      </c>
      <c r="H464">
        <v>95.3</v>
      </c>
      <c r="I464" t="s">
        <v>31</v>
      </c>
      <c r="J464" t="s">
        <v>31</v>
      </c>
      <c r="K464" t="s">
        <v>31</v>
      </c>
      <c r="L464" t="s">
        <v>31</v>
      </c>
      <c r="M464" t="s">
        <v>119</v>
      </c>
      <c r="N464" t="s">
        <v>93</v>
      </c>
      <c r="O464">
        <v>42.716670000000001</v>
      </c>
      <c r="P464">
        <v>-1.2166699999999999</v>
      </c>
      <c r="Q464" t="s">
        <v>31</v>
      </c>
      <c r="R464">
        <v>0.65369999999999995</v>
      </c>
      <c r="S464" t="s">
        <v>173</v>
      </c>
    </row>
    <row r="465" spans="1:19" x14ac:dyDescent="0.2">
      <c r="A465">
        <v>38</v>
      </c>
      <c r="B465">
        <v>10</v>
      </c>
      <c r="C465" t="s">
        <v>117</v>
      </c>
      <c r="D465">
        <v>2016</v>
      </c>
      <c r="E465">
        <v>50</v>
      </c>
      <c r="F465">
        <v>11</v>
      </c>
      <c r="G465">
        <v>10.7</v>
      </c>
      <c r="H465">
        <v>95.3</v>
      </c>
      <c r="I465" t="s">
        <v>31</v>
      </c>
      <c r="J465" t="s">
        <v>31</v>
      </c>
      <c r="K465" t="s">
        <v>31</v>
      </c>
      <c r="L465" t="s">
        <v>31</v>
      </c>
      <c r="M465" t="s">
        <v>119</v>
      </c>
      <c r="N465" t="s">
        <v>93</v>
      </c>
      <c r="O465">
        <v>42.716670000000001</v>
      </c>
      <c r="P465">
        <v>-1.2166699999999999</v>
      </c>
      <c r="Q465" t="s">
        <v>31</v>
      </c>
      <c r="R465">
        <v>0.65369999999999995</v>
      </c>
      <c r="S465" t="s">
        <v>173</v>
      </c>
    </row>
    <row r="466" spans="1:19" x14ac:dyDescent="0.2">
      <c r="A466">
        <v>38</v>
      </c>
      <c r="B466">
        <v>4</v>
      </c>
      <c r="C466" t="s">
        <v>117</v>
      </c>
      <c r="D466">
        <v>2016</v>
      </c>
      <c r="E466">
        <v>50</v>
      </c>
      <c r="F466">
        <v>5</v>
      </c>
      <c r="G466">
        <v>10.7</v>
      </c>
      <c r="H466">
        <v>95.3</v>
      </c>
      <c r="I466" t="s">
        <v>31</v>
      </c>
      <c r="J466" t="s">
        <v>31</v>
      </c>
      <c r="K466" t="s">
        <v>31</v>
      </c>
      <c r="L466" t="s">
        <v>31</v>
      </c>
      <c r="M466" t="s">
        <v>119</v>
      </c>
      <c r="N466" t="s">
        <v>93</v>
      </c>
      <c r="O466">
        <v>42.716670000000001</v>
      </c>
      <c r="P466">
        <v>-1.2166699999999999</v>
      </c>
      <c r="Q466" t="s">
        <v>31</v>
      </c>
      <c r="R466">
        <v>0.65369999999999995</v>
      </c>
      <c r="S466" t="s">
        <v>173</v>
      </c>
    </row>
    <row r="467" spans="1:19" x14ac:dyDescent="0.2">
      <c r="A467">
        <v>38</v>
      </c>
      <c r="B467">
        <v>5</v>
      </c>
      <c r="C467" t="s">
        <v>117</v>
      </c>
      <c r="D467">
        <v>2016</v>
      </c>
      <c r="E467">
        <v>50</v>
      </c>
      <c r="F467">
        <v>6</v>
      </c>
      <c r="G467">
        <v>10.7</v>
      </c>
      <c r="H467">
        <v>95.3</v>
      </c>
      <c r="I467" t="s">
        <v>31</v>
      </c>
      <c r="J467" t="s">
        <v>31</v>
      </c>
      <c r="K467" t="s">
        <v>31</v>
      </c>
      <c r="L467" t="s">
        <v>31</v>
      </c>
      <c r="M467" t="s">
        <v>119</v>
      </c>
      <c r="N467" t="s">
        <v>93</v>
      </c>
      <c r="O467">
        <v>42.716670000000001</v>
      </c>
      <c r="P467">
        <v>-1.2166699999999999</v>
      </c>
      <c r="Q467" t="s">
        <v>31</v>
      </c>
      <c r="R467">
        <v>0.65369999999999995</v>
      </c>
      <c r="S467" t="s">
        <v>173</v>
      </c>
    </row>
    <row r="468" spans="1:19" x14ac:dyDescent="0.2">
      <c r="A468">
        <v>38</v>
      </c>
      <c r="B468">
        <v>1</v>
      </c>
      <c r="C468" t="s">
        <v>117</v>
      </c>
      <c r="D468">
        <v>2016</v>
      </c>
      <c r="E468">
        <v>50</v>
      </c>
      <c r="F468">
        <v>3</v>
      </c>
      <c r="G468">
        <v>10.7</v>
      </c>
      <c r="H468">
        <v>95.3</v>
      </c>
      <c r="I468" t="s">
        <v>31</v>
      </c>
      <c r="J468" t="s">
        <v>31</v>
      </c>
      <c r="K468" t="s">
        <v>31</v>
      </c>
      <c r="L468" t="s">
        <v>31</v>
      </c>
      <c r="M468" t="s">
        <v>119</v>
      </c>
      <c r="N468" t="s">
        <v>93</v>
      </c>
      <c r="O468">
        <v>42.716670000000001</v>
      </c>
      <c r="P468">
        <v>-1.2166699999999999</v>
      </c>
      <c r="Q468" t="s">
        <v>31</v>
      </c>
      <c r="R468">
        <v>0.65369999999999995</v>
      </c>
      <c r="S468" t="s">
        <v>172</v>
      </c>
    </row>
    <row r="469" spans="1:19" x14ac:dyDescent="0.2">
      <c r="A469">
        <v>38</v>
      </c>
      <c r="B469">
        <v>2</v>
      </c>
      <c r="C469" t="s">
        <v>117</v>
      </c>
      <c r="D469">
        <v>2016</v>
      </c>
      <c r="E469">
        <v>50</v>
      </c>
      <c r="F469">
        <v>5</v>
      </c>
      <c r="G469">
        <v>10.7</v>
      </c>
      <c r="H469">
        <v>95.3</v>
      </c>
      <c r="I469" t="s">
        <v>31</v>
      </c>
      <c r="J469" t="s">
        <v>31</v>
      </c>
      <c r="K469" t="s">
        <v>31</v>
      </c>
      <c r="L469" t="s">
        <v>31</v>
      </c>
      <c r="M469" t="s">
        <v>119</v>
      </c>
      <c r="N469" t="s">
        <v>93</v>
      </c>
      <c r="O469">
        <v>42.716670000000001</v>
      </c>
      <c r="P469">
        <v>-1.2166699999999999</v>
      </c>
      <c r="Q469" t="s">
        <v>31</v>
      </c>
      <c r="R469">
        <v>0.65369999999999995</v>
      </c>
      <c r="S469" t="s">
        <v>172</v>
      </c>
    </row>
    <row r="470" spans="1:19" x14ac:dyDescent="0.2">
      <c r="A470">
        <v>39</v>
      </c>
      <c r="B470">
        <v>1</v>
      </c>
      <c r="C470" t="s">
        <v>120</v>
      </c>
      <c r="D470">
        <v>2001</v>
      </c>
      <c r="E470">
        <v>0.4</v>
      </c>
      <c r="F470">
        <v>1</v>
      </c>
      <c r="G470">
        <v>8.6</v>
      </c>
      <c r="H470">
        <v>116.5</v>
      </c>
      <c r="I470" t="s">
        <v>31</v>
      </c>
      <c r="J470" t="s">
        <v>31</v>
      </c>
      <c r="K470" t="s">
        <v>29</v>
      </c>
      <c r="L470" t="s">
        <v>31</v>
      </c>
      <c r="M470" t="s">
        <v>121</v>
      </c>
      <c r="N470" t="s">
        <v>156</v>
      </c>
      <c r="O470">
        <v>54.010399999999997</v>
      </c>
      <c r="P470">
        <v>-2.7877000000000001</v>
      </c>
      <c r="Q470" t="s">
        <v>31</v>
      </c>
      <c r="R470">
        <v>1.7728999999999999</v>
      </c>
      <c r="S470" t="s">
        <v>172</v>
      </c>
    </row>
    <row r="471" spans="1:19" x14ac:dyDescent="0.2">
      <c r="A471">
        <v>40</v>
      </c>
      <c r="B471">
        <v>1</v>
      </c>
      <c r="C471" t="s">
        <v>122</v>
      </c>
      <c r="D471">
        <v>2005</v>
      </c>
      <c r="E471">
        <v>60</v>
      </c>
      <c r="F471">
        <v>3</v>
      </c>
      <c r="G471">
        <v>17.100000000000001</v>
      </c>
      <c r="H471">
        <v>67.2</v>
      </c>
      <c r="I471" t="s">
        <v>31</v>
      </c>
      <c r="J471" t="s">
        <v>31</v>
      </c>
      <c r="K471" t="s">
        <v>31</v>
      </c>
      <c r="L471" t="s">
        <v>31</v>
      </c>
      <c r="M471" t="s">
        <v>123</v>
      </c>
      <c r="N471" t="s">
        <v>157</v>
      </c>
      <c r="O471">
        <v>-32.25</v>
      </c>
      <c r="P471">
        <v>150.88333</v>
      </c>
      <c r="Q471" t="s">
        <v>29</v>
      </c>
      <c r="R471">
        <v>0.36870000000000003</v>
      </c>
      <c r="S471" t="s">
        <v>172</v>
      </c>
    </row>
    <row r="472" spans="1:19" x14ac:dyDescent="0.2">
      <c r="A472">
        <v>40</v>
      </c>
      <c r="B472">
        <v>2</v>
      </c>
      <c r="C472" t="s">
        <v>122</v>
      </c>
      <c r="D472">
        <v>2005</v>
      </c>
      <c r="E472">
        <v>60</v>
      </c>
      <c r="F472">
        <v>3</v>
      </c>
      <c r="G472">
        <v>17.100000000000001</v>
      </c>
      <c r="H472">
        <v>67.2</v>
      </c>
      <c r="I472" t="s">
        <v>31</v>
      </c>
      <c r="J472" t="s">
        <v>31</v>
      </c>
      <c r="K472" t="s">
        <v>31</v>
      </c>
      <c r="L472" t="s">
        <v>31</v>
      </c>
      <c r="M472" t="s">
        <v>123</v>
      </c>
      <c r="N472" t="s">
        <v>157</v>
      </c>
      <c r="O472">
        <v>-32.25</v>
      </c>
      <c r="P472">
        <v>150.88333</v>
      </c>
      <c r="Q472" t="s">
        <v>29</v>
      </c>
      <c r="R472">
        <v>0.36870000000000003</v>
      </c>
      <c r="S472" t="s">
        <v>172</v>
      </c>
    </row>
    <row r="473" spans="1:19" x14ac:dyDescent="0.2">
      <c r="A473">
        <v>41</v>
      </c>
      <c r="B473">
        <v>16</v>
      </c>
      <c r="C473" t="s">
        <v>124</v>
      </c>
      <c r="D473">
        <v>2019</v>
      </c>
      <c r="E473">
        <v>10</v>
      </c>
      <c r="F473">
        <v>3</v>
      </c>
      <c r="G473">
        <v>16.100000000000001</v>
      </c>
      <c r="H473">
        <v>37.4</v>
      </c>
      <c r="I473" t="s">
        <v>29</v>
      </c>
      <c r="J473" t="s">
        <v>31</v>
      </c>
      <c r="K473" t="s">
        <v>29</v>
      </c>
      <c r="L473" t="s">
        <v>31</v>
      </c>
      <c r="M473" t="s">
        <v>125</v>
      </c>
      <c r="N473" t="s">
        <v>93</v>
      </c>
      <c r="O473">
        <v>43.011246</v>
      </c>
      <c r="P473">
        <v>-7.5602799999999997</v>
      </c>
      <c r="Q473" t="s">
        <v>31</v>
      </c>
      <c r="R473">
        <v>1.2936000000000001</v>
      </c>
      <c r="S473" t="s">
        <v>173</v>
      </c>
    </row>
    <row r="474" spans="1:19" x14ac:dyDescent="0.2">
      <c r="A474">
        <v>41</v>
      </c>
      <c r="B474">
        <v>2</v>
      </c>
      <c r="C474" t="s">
        <v>124</v>
      </c>
      <c r="D474">
        <v>2019</v>
      </c>
      <c r="E474">
        <v>2.5</v>
      </c>
      <c r="F474">
        <v>2</v>
      </c>
      <c r="G474">
        <v>12.5</v>
      </c>
      <c r="H474">
        <v>37.4</v>
      </c>
      <c r="I474" t="s">
        <v>29</v>
      </c>
      <c r="J474" t="s">
        <v>31</v>
      </c>
      <c r="K474" t="s">
        <v>29</v>
      </c>
      <c r="L474" t="s">
        <v>31</v>
      </c>
      <c r="M474" t="s">
        <v>125</v>
      </c>
      <c r="N474" t="s">
        <v>93</v>
      </c>
      <c r="O474">
        <v>43.011246</v>
      </c>
      <c r="P474">
        <v>-7.5602799999999997</v>
      </c>
      <c r="Q474" t="s">
        <v>31</v>
      </c>
      <c r="R474">
        <v>1.2936000000000001</v>
      </c>
      <c r="S474" t="s">
        <v>173</v>
      </c>
    </row>
    <row r="475" spans="1:19" x14ac:dyDescent="0.2">
      <c r="A475">
        <v>41</v>
      </c>
      <c r="B475">
        <v>10</v>
      </c>
      <c r="C475" t="s">
        <v>124</v>
      </c>
      <c r="D475">
        <v>2019</v>
      </c>
      <c r="E475">
        <v>2.5</v>
      </c>
      <c r="F475">
        <v>3</v>
      </c>
      <c r="G475">
        <v>12.5</v>
      </c>
      <c r="H475">
        <v>37.4</v>
      </c>
      <c r="I475" t="s">
        <v>29</v>
      </c>
      <c r="J475" t="s">
        <v>31</v>
      </c>
      <c r="K475" t="s">
        <v>29</v>
      </c>
      <c r="L475" t="s">
        <v>31</v>
      </c>
      <c r="M475" t="s">
        <v>125</v>
      </c>
      <c r="N475" t="s">
        <v>93</v>
      </c>
      <c r="O475">
        <v>43.011246</v>
      </c>
      <c r="P475">
        <v>-7.5602799999999997</v>
      </c>
      <c r="Q475" t="s">
        <v>31</v>
      </c>
      <c r="R475">
        <v>1.2936000000000001</v>
      </c>
      <c r="S475" t="s">
        <v>173</v>
      </c>
    </row>
    <row r="476" spans="1:19" x14ac:dyDescent="0.2">
      <c r="A476">
        <v>41</v>
      </c>
      <c r="B476">
        <v>12</v>
      </c>
      <c r="C476" t="s">
        <v>124</v>
      </c>
      <c r="D476">
        <v>2019</v>
      </c>
      <c r="E476">
        <v>10</v>
      </c>
      <c r="F476">
        <v>3</v>
      </c>
      <c r="G476">
        <v>12.5</v>
      </c>
      <c r="H476">
        <v>37.4</v>
      </c>
      <c r="I476" t="s">
        <v>29</v>
      </c>
      <c r="J476" t="s">
        <v>31</v>
      </c>
      <c r="K476" t="s">
        <v>29</v>
      </c>
      <c r="L476" t="s">
        <v>31</v>
      </c>
      <c r="M476" t="s">
        <v>125</v>
      </c>
      <c r="N476" t="s">
        <v>93</v>
      </c>
      <c r="O476">
        <v>43.011246</v>
      </c>
      <c r="P476">
        <v>-7.5602799999999997</v>
      </c>
      <c r="Q476" t="s">
        <v>31</v>
      </c>
      <c r="R476">
        <v>1.2936000000000001</v>
      </c>
      <c r="S476" t="s">
        <v>173</v>
      </c>
    </row>
    <row r="477" spans="1:19" x14ac:dyDescent="0.2">
      <c r="A477">
        <v>41</v>
      </c>
      <c r="B477">
        <v>8</v>
      </c>
      <c r="C477" t="s">
        <v>124</v>
      </c>
      <c r="D477">
        <v>2019</v>
      </c>
      <c r="E477">
        <v>10</v>
      </c>
      <c r="F477">
        <v>2</v>
      </c>
      <c r="G477">
        <v>12.5</v>
      </c>
      <c r="H477">
        <v>37.4</v>
      </c>
      <c r="I477" t="s">
        <v>29</v>
      </c>
      <c r="J477" t="s">
        <v>31</v>
      </c>
      <c r="K477" t="s">
        <v>29</v>
      </c>
      <c r="L477" t="s">
        <v>31</v>
      </c>
      <c r="M477" t="s">
        <v>125</v>
      </c>
      <c r="N477" t="s">
        <v>93</v>
      </c>
      <c r="O477">
        <v>43.011246</v>
      </c>
      <c r="P477">
        <v>-7.5602799999999997</v>
      </c>
      <c r="Q477" t="s">
        <v>31</v>
      </c>
      <c r="R477">
        <v>1.2936000000000001</v>
      </c>
      <c r="S477" t="s">
        <v>173</v>
      </c>
    </row>
    <row r="478" spans="1:19" x14ac:dyDescent="0.2">
      <c r="A478">
        <v>41</v>
      </c>
      <c r="B478">
        <v>3</v>
      </c>
      <c r="C478" t="s">
        <v>124</v>
      </c>
      <c r="D478">
        <v>2019</v>
      </c>
      <c r="E478">
        <v>5</v>
      </c>
      <c r="F478">
        <v>2</v>
      </c>
      <c r="G478">
        <v>12.5</v>
      </c>
      <c r="H478">
        <v>37.4</v>
      </c>
      <c r="I478" t="s">
        <v>29</v>
      </c>
      <c r="J478" t="s">
        <v>31</v>
      </c>
      <c r="K478" t="s">
        <v>29</v>
      </c>
      <c r="L478" t="s">
        <v>31</v>
      </c>
      <c r="M478" t="s">
        <v>125</v>
      </c>
      <c r="N478" t="s">
        <v>93</v>
      </c>
      <c r="O478">
        <v>43.011246</v>
      </c>
      <c r="P478">
        <v>-7.5602799999999997</v>
      </c>
      <c r="Q478" t="s">
        <v>31</v>
      </c>
      <c r="R478">
        <v>1.2936000000000001</v>
      </c>
      <c r="S478" t="s">
        <v>173</v>
      </c>
    </row>
    <row r="479" spans="1:19" x14ac:dyDescent="0.2">
      <c r="A479">
        <v>41</v>
      </c>
      <c r="B479">
        <v>5</v>
      </c>
      <c r="C479" t="s">
        <v>124</v>
      </c>
      <c r="D479">
        <v>2019</v>
      </c>
      <c r="E479">
        <v>1</v>
      </c>
      <c r="F479">
        <v>2</v>
      </c>
      <c r="G479">
        <v>12.5</v>
      </c>
      <c r="H479">
        <v>37.4</v>
      </c>
      <c r="I479" t="s">
        <v>29</v>
      </c>
      <c r="J479" t="s">
        <v>31</v>
      </c>
      <c r="K479" t="s">
        <v>29</v>
      </c>
      <c r="L479" t="s">
        <v>31</v>
      </c>
      <c r="M479" t="s">
        <v>125</v>
      </c>
      <c r="N479" t="s">
        <v>93</v>
      </c>
      <c r="O479">
        <v>43.011246</v>
      </c>
      <c r="P479">
        <v>-7.5602799999999997</v>
      </c>
      <c r="Q479" t="s">
        <v>31</v>
      </c>
      <c r="R479">
        <v>1.2936000000000001</v>
      </c>
      <c r="S479" t="s">
        <v>173</v>
      </c>
    </row>
    <row r="480" spans="1:19" x14ac:dyDescent="0.2">
      <c r="A480">
        <v>41</v>
      </c>
      <c r="B480">
        <v>6</v>
      </c>
      <c r="C480" t="s">
        <v>124</v>
      </c>
      <c r="D480">
        <v>2019</v>
      </c>
      <c r="E480">
        <v>2.5</v>
      </c>
      <c r="F480">
        <v>2</v>
      </c>
      <c r="G480">
        <v>12.5</v>
      </c>
      <c r="H480">
        <v>37.4</v>
      </c>
      <c r="I480" t="s">
        <v>29</v>
      </c>
      <c r="J480" t="s">
        <v>31</v>
      </c>
      <c r="K480" t="s">
        <v>29</v>
      </c>
      <c r="L480" t="s">
        <v>31</v>
      </c>
      <c r="M480" t="s">
        <v>125</v>
      </c>
      <c r="N480" t="s">
        <v>93</v>
      </c>
      <c r="O480">
        <v>43.011246</v>
      </c>
      <c r="P480">
        <v>-7.5602799999999997</v>
      </c>
      <c r="Q480" t="s">
        <v>31</v>
      </c>
      <c r="R480">
        <v>1.2936000000000001</v>
      </c>
      <c r="S480" t="s">
        <v>173</v>
      </c>
    </row>
    <row r="481" spans="1:19" x14ac:dyDescent="0.2">
      <c r="A481">
        <v>41</v>
      </c>
      <c r="B481">
        <v>1</v>
      </c>
      <c r="C481" t="s">
        <v>124</v>
      </c>
      <c r="D481">
        <v>2019</v>
      </c>
      <c r="E481">
        <v>1</v>
      </c>
      <c r="F481">
        <v>2</v>
      </c>
      <c r="G481">
        <v>12.5</v>
      </c>
      <c r="H481">
        <v>37.4</v>
      </c>
      <c r="I481" t="s">
        <v>29</v>
      </c>
      <c r="J481" t="s">
        <v>31</v>
      </c>
      <c r="K481" t="s">
        <v>29</v>
      </c>
      <c r="L481" t="s">
        <v>31</v>
      </c>
      <c r="M481" t="s">
        <v>125</v>
      </c>
      <c r="N481" t="s">
        <v>93</v>
      </c>
      <c r="O481">
        <v>43.011246</v>
      </c>
      <c r="P481">
        <v>-7.5602799999999997</v>
      </c>
      <c r="Q481" t="s">
        <v>31</v>
      </c>
      <c r="R481">
        <v>1.2936000000000001</v>
      </c>
      <c r="S481" t="s">
        <v>173</v>
      </c>
    </row>
    <row r="482" spans="1:19" x14ac:dyDescent="0.2">
      <c r="A482">
        <v>41</v>
      </c>
      <c r="B482">
        <v>15</v>
      </c>
      <c r="C482" t="s">
        <v>124</v>
      </c>
      <c r="D482">
        <v>2019</v>
      </c>
      <c r="E482">
        <v>5</v>
      </c>
      <c r="F482">
        <v>3</v>
      </c>
      <c r="G482">
        <v>12.5</v>
      </c>
      <c r="H482">
        <v>37.4</v>
      </c>
      <c r="I482" t="s">
        <v>29</v>
      </c>
      <c r="J482" t="s">
        <v>31</v>
      </c>
      <c r="K482" t="s">
        <v>29</v>
      </c>
      <c r="L482" t="s">
        <v>31</v>
      </c>
      <c r="M482" t="s">
        <v>125</v>
      </c>
      <c r="N482" t="s">
        <v>93</v>
      </c>
      <c r="O482">
        <v>43.011246</v>
      </c>
      <c r="P482">
        <v>-7.5602799999999997</v>
      </c>
      <c r="Q482" t="s">
        <v>31</v>
      </c>
      <c r="R482">
        <v>1.2936000000000001</v>
      </c>
      <c r="S482" t="s">
        <v>173</v>
      </c>
    </row>
    <row r="483" spans="1:19" x14ac:dyDescent="0.2">
      <c r="A483">
        <v>41</v>
      </c>
      <c r="B483">
        <v>7</v>
      </c>
      <c r="C483" t="s">
        <v>124</v>
      </c>
      <c r="D483">
        <v>2019</v>
      </c>
      <c r="E483">
        <v>5</v>
      </c>
      <c r="F483">
        <v>2</v>
      </c>
      <c r="G483">
        <v>12.5</v>
      </c>
      <c r="H483">
        <v>37.4</v>
      </c>
      <c r="I483" t="s">
        <v>29</v>
      </c>
      <c r="J483" t="s">
        <v>31</v>
      </c>
      <c r="K483" t="s">
        <v>29</v>
      </c>
      <c r="L483" t="s">
        <v>31</v>
      </c>
      <c r="M483" t="s">
        <v>125</v>
      </c>
      <c r="N483" t="s">
        <v>93</v>
      </c>
      <c r="O483">
        <v>43.011246</v>
      </c>
      <c r="P483">
        <v>-7.5602799999999997</v>
      </c>
      <c r="Q483" t="s">
        <v>31</v>
      </c>
      <c r="R483">
        <v>1.2936000000000001</v>
      </c>
      <c r="S483" t="s">
        <v>173</v>
      </c>
    </row>
    <row r="484" spans="1:19" x14ac:dyDescent="0.2">
      <c r="A484">
        <v>41</v>
      </c>
      <c r="B484">
        <v>14</v>
      </c>
      <c r="C484" t="s">
        <v>124</v>
      </c>
      <c r="D484">
        <v>2019</v>
      </c>
      <c r="E484">
        <v>2.5</v>
      </c>
      <c r="F484">
        <v>3</v>
      </c>
      <c r="G484">
        <v>12.5</v>
      </c>
      <c r="H484">
        <v>37.4</v>
      </c>
      <c r="I484" t="s">
        <v>29</v>
      </c>
      <c r="J484" t="s">
        <v>31</v>
      </c>
      <c r="K484" t="s">
        <v>29</v>
      </c>
      <c r="L484" t="s">
        <v>31</v>
      </c>
      <c r="M484" t="s">
        <v>125</v>
      </c>
      <c r="N484" t="s">
        <v>93</v>
      </c>
      <c r="O484">
        <v>43.011246</v>
      </c>
      <c r="P484">
        <v>-7.5602799999999997</v>
      </c>
      <c r="Q484" t="s">
        <v>31</v>
      </c>
      <c r="R484">
        <v>1.2936000000000001</v>
      </c>
      <c r="S484" t="s">
        <v>173</v>
      </c>
    </row>
    <row r="485" spans="1:19" x14ac:dyDescent="0.2">
      <c r="A485">
        <v>41</v>
      </c>
      <c r="B485">
        <v>13</v>
      </c>
      <c r="C485" t="s">
        <v>124</v>
      </c>
      <c r="D485">
        <v>2019</v>
      </c>
      <c r="E485">
        <v>1</v>
      </c>
      <c r="F485">
        <v>3</v>
      </c>
      <c r="G485">
        <v>12.5</v>
      </c>
      <c r="H485">
        <v>37.4</v>
      </c>
      <c r="I485" t="s">
        <v>29</v>
      </c>
      <c r="J485" t="s">
        <v>31</v>
      </c>
      <c r="K485" t="s">
        <v>29</v>
      </c>
      <c r="L485" t="s">
        <v>31</v>
      </c>
      <c r="M485" t="s">
        <v>125</v>
      </c>
      <c r="N485" t="s">
        <v>93</v>
      </c>
      <c r="O485">
        <v>43.011246</v>
      </c>
      <c r="P485">
        <v>-7.5602799999999997</v>
      </c>
      <c r="Q485" t="s">
        <v>31</v>
      </c>
      <c r="R485">
        <v>1.2936000000000001</v>
      </c>
      <c r="S485" t="s">
        <v>173</v>
      </c>
    </row>
    <row r="486" spans="1:19" x14ac:dyDescent="0.2">
      <c r="A486">
        <v>41</v>
      </c>
      <c r="B486">
        <v>9</v>
      </c>
      <c r="C486" t="s">
        <v>124</v>
      </c>
      <c r="D486">
        <v>2019</v>
      </c>
      <c r="E486">
        <v>1</v>
      </c>
      <c r="F486">
        <v>3</v>
      </c>
      <c r="G486">
        <v>12.5</v>
      </c>
      <c r="H486">
        <v>37.4</v>
      </c>
      <c r="I486" t="s">
        <v>29</v>
      </c>
      <c r="J486" t="s">
        <v>31</v>
      </c>
      <c r="K486" t="s">
        <v>29</v>
      </c>
      <c r="L486" t="s">
        <v>31</v>
      </c>
      <c r="M486" t="s">
        <v>125</v>
      </c>
      <c r="N486" t="s">
        <v>93</v>
      </c>
      <c r="O486">
        <v>43.011246</v>
      </c>
      <c r="P486">
        <v>-7.5602799999999997</v>
      </c>
      <c r="Q486" t="s">
        <v>31</v>
      </c>
      <c r="R486">
        <v>1.2936000000000001</v>
      </c>
      <c r="S486" t="s">
        <v>173</v>
      </c>
    </row>
    <row r="487" spans="1:19" x14ac:dyDescent="0.2">
      <c r="A487">
        <v>41</v>
      </c>
      <c r="B487">
        <v>4</v>
      </c>
      <c r="C487" t="s">
        <v>124</v>
      </c>
      <c r="D487">
        <v>2019</v>
      </c>
      <c r="E487">
        <v>10</v>
      </c>
      <c r="F487">
        <v>2</v>
      </c>
      <c r="G487">
        <v>12.5</v>
      </c>
      <c r="H487">
        <v>37.4</v>
      </c>
      <c r="I487" t="s">
        <v>29</v>
      </c>
      <c r="J487" t="s">
        <v>31</v>
      </c>
      <c r="K487" t="s">
        <v>29</v>
      </c>
      <c r="L487" t="s">
        <v>31</v>
      </c>
      <c r="M487" t="s">
        <v>125</v>
      </c>
      <c r="N487" t="s">
        <v>93</v>
      </c>
      <c r="O487">
        <v>43.011246</v>
      </c>
      <c r="P487">
        <v>-7.5602799999999997</v>
      </c>
      <c r="Q487" t="s">
        <v>31</v>
      </c>
      <c r="R487">
        <v>1.2936000000000001</v>
      </c>
      <c r="S487" t="s">
        <v>173</v>
      </c>
    </row>
    <row r="488" spans="1:19" x14ac:dyDescent="0.2">
      <c r="A488">
        <v>41</v>
      </c>
      <c r="B488">
        <v>11</v>
      </c>
      <c r="C488" t="s">
        <v>124</v>
      </c>
      <c r="D488">
        <v>2019</v>
      </c>
      <c r="E488">
        <v>5</v>
      </c>
      <c r="F488">
        <v>3</v>
      </c>
      <c r="G488">
        <v>12.5</v>
      </c>
      <c r="H488">
        <v>37.4</v>
      </c>
      <c r="I488" t="s">
        <v>29</v>
      </c>
      <c r="J488" t="s">
        <v>31</v>
      </c>
      <c r="K488" t="s">
        <v>29</v>
      </c>
      <c r="L488" t="s">
        <v>31</v>
      </c>
      <c r="M488" t="s">
        <v>125</v>
      </c>
      <c r="N488" t="s">
        <v>93</v>
      </c>
      <c r="O488">
        <v>43.011246</v>
      </c>
      <c r="P488">
        <v>-7.5602799999999997</v>
      </c>
      <c r="Q488" t="s">
        <v>31</v>
      </c>
      <c r="R488">
        <v>1.2936000000000001</v>
      </c>
      <c r="S488" t="s">
        <v>173</v>
      </c>
    </row>
    <row r="489" spans="1:19" x14ac:dyDescent="0.2">
      <c r="A489">
        <v>41</v>
      </c>
      <c r="B489">
        <v>1</v>
      </c>
      <c r="C489" t="s">
        <v>124</v>
      </c>
      <c r="D489">
        <v>2019</v>
      </c>
      <c r="E489">
        <v>1</v>
      </c>
      <c r="F489">
        <v>2</v>
      </c>
      <c r="G489">
        <v>12.5</v>
      </c>
      <c r="H489">
        <v>104.6</v>
      </c>
      <c r="I489" t="s">
        <v>29</v>
      </c>
      <c r="J489" t="s">
        <v>31</v>
      </c>
      <c r="K489" t="s">
        <v>29</v>
      </c>
      <c r="L489" t="s">
        <v>31</v>
      </c>
      <c r="M489" t="s">
        <v>125</v>
      </c>
      <c r="N489" t="s">
        <v>93</v>
      </c>
      <c r="O489">
        <v>43.011246</v>
      </c>
      <c r="P489">
        <v>-7.5602799999999997</v>
      </c>
      <c r="Q489" t="s">
        <v>31</v>
      </c>
      <c r="R489">
        <v>1.2936000000000001</v>
      </c>
      <c r="S489" t="s">
        <v>172</v>
      </c>
    </row>
    <row r="490" spans="1:19" x14ac:dyDescent="0.2">
      <c r="A490">
        <v>41</v>
      </c>
      <c r="B490">
        <v>2</v>
      </c>
      <c r="C490" t="s">
        <v>124</v>
      </c>
      <c r="D490">
        <v>2019</v>
      </c>
      <c r="E490">
        <v>1</v>
      </c>
      <c r="F490">
        <v>2</v>
      </c>
      <c r="G490">
        <v>12.5</v>
      </c>
      <c r="H490">
        <v>104.6</v>
      </c>
      <c r="I490" t="s">
        <v>29</v>
      </c>
      <c r="J490" t="s">
        <v>31</v>
      </c>
      <c r="K490" t="s">
        <v>29</v>
      </c>
      <c r="L490" t="s">
        <v>31</v>
      </c>
      <c r="M490" t="s">
        <v>125</v>
      </c>
      <c r="N490" t="s">
        <v>93</v>
      </c>
      <c r="O490">
        <v>43.011246</v>
      </c>
      <c r="P490">
        <v>-7.5602799999999997</v>
      </c>
      <c r="Q490" t="s">
        <v>31</v>
      </c>
      <c r="R490">
        <v>1.2936000000000001</v>
      </c>
      <c r="S490" t="s">
        <v>172</v>
      </c>
    </row>
    <row r="491" spans="1:19" x14ac:dyDescent="0.2">
      <c r="A491">
        <v>41</v>
      </c>
      <c r="B491">
        <v>3</v>
      </c>
      <c r="C491" t="s">
        <v>124</v>
      </c>
      <c r="D491">
        <v>2019</v>
      </c>
      <c r="E491">
        <v>2.5</v>
      </c>
      <c r="F491">
        <v>2</v>
      </c>
      <c r="G491">
        <v>12.5</v>
      </c>
      <c r="H491">
        <v>104.6</v>
      </c>
      <c r="I491" t="s">
        <v>29</v>
      </c>
      <c r="J491" t="s">
        <v>31</v>
      </c>
      <c r="K491" t="s">
        <v>29</v>
      </c>
      <c r="L491" t="s">
        <v>31</v>
      </c>
      <c r="M491" t="s">
        <v>125</v>
      </c>
      <c r="N491" t="s">
        <v>93</v>
      </c>
      <c r="O491">
        <v>43.011246</v>
      </c>
      <c r="P491">
        <v>-7.5602799999999997</v>
      </c>
      <c r="Q491" t="s">
        <v>31</v>
      </c>
      <c r="R491">
        <v>1.2936000000000001</v>
      </c>
      <c r="S491" t="s">
        <v>172</v>
      </c>
    </row>
    <row r="492" spans="1:19" x14ac:dyDescent="0.2">
      <c r="A492">
        <v>41</v>
      </c>
      <c r="B492">
        <v>4</v>
      </c>
      <c r="C492" t="s">
        <v>124</v>
      </c>
      <c r="D492">
        <v>2019</v>
      </c>
      <c r="E492">
        <v>2.5</v>
      </c>
      <c r="F492">
        <v>2</v>
      </c>
      <c r="G492">
        <v>12.5</v>
      </c>
      <c r="H492">
        <v>104.6</v>
      </c>
      <c r="I492" t="s">
        <v>29</v>
      </c>
      <c r="J492" t="s">
        <v>31</v>
      </c>
      <c r="K492" t="s">
        <v>29</v>
      </c>
      <c r="L492" t="s">
        <v>31</v>
      </c>
      <c r="M492" t="s">
        <v>125</v>
      </c>
      <c r="N492" t="s">
        <v>93</v>
      </c>
      <c r="O492">
        <v>43.011246</v>
      </c>
      <c r="P492">
        <v>-7.5602799999999997</v>
      </c>
      <c r="Q492" t="s">
        <v>31</v>
      </c>
      <c r="R492">
        <v>1.2936000000000001</v>
      </c>
      <c r="S492" t="s">
        <v>172</v>
      </c>
    </row>
    <row r="493" spans="1:19" x14ac:dyDescent="0.2">
      <c r="A493">
        <v>41</v>
      </c>
      <c r="B493">
        <v>5</v>
      </c>
      <c r="C493" t="s">
        <v>124</v>
      </c>
      <c r="D493">
        <v>2019</v>
      </c>
      <c r="E493">
        <v>5</v>
      </c>
      <c r="F493">
        <v>2</v>
      </c>
      <c r="G493">
        <v>12.5</v>
      </c>
      <c r="H493">
        <v>104.6</v>
      </c>
      <c r="I493" t="s">
        <v>29</v>
      </c>
      <c r="J493" t="s">
        <v>31</v>
      </c>
      <c r="K493" t="s">
        <v>29</v>
      </c>
      <c r="L493" t="s">
        <v>31</v>
      </c>
      <c r="M493" t="s">
        <v>125</v>
      </c>
      <c r="N493" t="s">
        <v>93</v>
      </c>
      <c r="O493">
        <v>43.011246</v>
      </c>
      <c r="P493">
        <v>-7.5602799999999997</v>
      </c>
      <c r="Q493" t="s">
        <v>31</v>
      </c>
      <c r="R493">
        <v>1.2936000000000001</v>
      </c>
      <c r="S493" t="s">
        <v>172</v>
      </c>
    </row>
    <row r="494" spans="1:19" x14ac:dyDescent="0.2">
      <c r="A494">
        <v>41</v>
      </c>
      <c r="B494">
        <v>6</v>
      </c>
      <c r="C494" t="s">
        <v>124</v>
      </c>
      <c r="D494">
        <v>2019</v>
      </c>
      <c r="E494">
        <v>5</v>
      </c>
      <c r="F494">
        <v>2</v>
      </c>
      <c r="G494">
        <v>12.5</v>
      </c>
      <c r="H494">
        <v>104.6</v>
      </c>
      <c r="I494" t="s">
        <v>29</v>
      </c>
      <c r="J494" t="s">
        <v>31</v>
      </c>
      <c r="K494" t="s">
        <v>29</v>
      </c>
      <c r="L494" t="s">
        <v>31</v>
      </c>
      <c r="M494" t="s">
        <v>125</v>
      </c>
      <c r="N494" t="s">
        <v>93</v>
      </c>
      <c r="O494">
        <v>43.011246</v>
      </c>
      <c r="P494">
        <v>-7.5602799999999997</v>
      </c>
      <c r="Q494" t="s">
        <v>31</v>
      </c>
      <c r="R494">
        <v>1.2936000000000001</v>
      </c>
      <c r="S494" t="s">
        <v>172</v>
      </c>
    </row>
    <row r="495" spans="1:19" x14ac:dyDescent="0.2">
      <c r="A495">
        <v>41</v>
      </c>
      <c r="B495">
        <v>7</v>
      </c>
      <c r="C495" t="s">
        <v>124</v>
      </c>
      <c r="D495">
        <v>2019</v>
      </c>
      <c r="E495">
        <v>10</v>
      </c>
      <c r="F495">
        <v>2</v>
      </c>
      <c r="G495">
        <v>12.5</v>
      </c>
      <c r="H495">
        <v>104.6</v>
      </c>
      <c r="I495" t="s">
        <v>29</v>
      </c>
      <c r="J495" t="s">
        <v>31</v>
      </c>
      <c r="K495" t="s">
        <v>29</v>
      </c>
      <c r="L495" t="s">
        <v>31</v>
      </c>
      <c r="M495" t="s">
        <v>125</v>
      </c>
      <c r="N495" t="s">
        <v>93</v>
      </c>
      <c r="O495">
        <v>43.011246</v>
      </c>
      <c r="P495">
        <v>-7.5602799999999997</v>
      </c>
      <c r="Q495" t="s">
        <v>31</v>
      </c>
      <c r="R495">
        <v>1.2936000000000001</v>
      </c>
      <c r="S495" t="s">
        <v>172</v>
      </c>
    </row>
    <row r="496" spans="1:19" x14ac:dyDescent="0.2">
      <c r="A496">
        <v>41</v>
      </c>
      <c r="B496">
        <v>8</v>
      </c>
      <c r="C496" t="s">
        <v>124</v>
      </c>
      <c r="D496">
        <v>2019</v>
      </c>
      <c r="E496">
        <v>10</v>
      </c>
      <c r="F496">
        <v>2</v>
      </c>
      <c r="G496">
        <v>12.5</v>
      </c>
      <c r="H496">
        <v>104.6</v>
      </c>
      <c r="I496" t="s">
        <v>29</v>
      </c>
      <c r="J496" t="s">
        <v>31</v>
      </c>
      <c r="K496" t="s">
        <v>29</v>
      </c>
      <c r="L496" t="s">
        <v>31</v>
      </c>
      <c r="M496" t="s">
        <v>125</v>
      </c>
      <c r="N496" t="s">
        <v>93</v>
      </c>
      <c r="O496">
        <v>43.011246</v>
      </c>
      <c r="P496">
        <v>-7.5602799999999997</v>
      </c>
      <c r="Q496" t="s">
        <v>31</v>
      </c>
      <c r="R496">
        <v>1.2936000000000001</v>
      </c>
      <c r="S496" t="s">
        <v>172</v>
      </c>
    </row>
    <row r="497" spans="1:19" x14ac:dyDescent="0.2">
      <c r="A497">
        <v>41</v>
      </c>
      <c r="B497">
        <v>9</v>
      </c>
      <c r="C497" t="s">
        <v>124</v>
      </c>
      <c r="D497">
        <v>2019</v>
      </c>
      <c r="E497">
        <v>1</v>
      </c>
      <c r="F497">
        <v>3</v>
      </c>
      <c r="G497">
        <v>12.5</v>
      </c>
      <c r="H497">
        <v>104.6</v>
      </c>
      <c r="I497" t="s">
        <v>29</v>
      </c>
      <c r="J497" t="s">
        <v>31</v>
      </c>
      <c r="K497" t="s">
        <v>29</v>
      </c>
      <c r="L497" t="s">
        <v>31</v>
      </c>
      <c r="M497" t="s">
        <v>125</v>
      </c>
      <c r="N497" t="s">
        <v>93</v>
      </c>
      <c r="O497">
        <v>43.011246</v>
      </c>
      <c r="P497">
        <v>-7.5602799999999997</v>
      </c>
      <c r="Q497" t="s">
        <v>31</v>
      </c>
      <c r="R497">
        <v>1.2936000000000001</v>
      </c>
      <c r="S497" t="s">
        <v>172</v>
      </c>
    </row>
    <row r="498" spans="1:19" x14ac:dyDescent="0.2">
      <c r="A498">
        <v>41</v>
      </c>
      <c r="B498">
        <v>10</v>
      </c>
      <c r="C498" t="s">
        <v>124</v>
      </c>
      <c r="D498">
        <v>2019</v>
      </c>
      <c r="E498">
        <v>1</v>
      </c>
      <c r="F498">
        <v>3</v>
      </c>
      <c r="G498">
        <v>12.5</v>
      </c>
      <c r="H498">
        <v>104.6</v>
      </c>
      <c r="I498" t="s">
        <v>29</v>
      </c>
      <c r="J498" t="s">
        <v>31</v>
      </c>
      <c r="K498" t="s">
        <v>29</v>
      </c>
      <c r="L498" t="s">
        <v>31</v>
      </c>
      <c r="M498" t="s">
        <v>125</v>
      </c>
      <c r="N498" t="s">
        <v>93</v>
      </c>
      <c r="O498">
        <v>43.011246</v>
      </c>
      <c r="P498">
        <v>-7.5602799999999997</v>
      </c>
      <c r="Q498" t="s">
        <v>31</v>
      </c>
      <c r="R498">
        <v>1.2936000000000001</v>
      </c>
      <c r="S498" t="s">
        <v>172</v>
      </c>
    </row>
    <row r="499" spans="1:19" x14ac:dyDescent="0.2">
      <c r="A499">
        <v>41</v>
      </c>
      <c r="B499">
        <v>11</v>
      </c>
      <c r="C499" t="s">
        <v>124</v>
      </c>
      <c r="D499">
        <v>2019</v>
      </c>
      <c r="E499">
        <v>2.5</v>
      </c>
      <c r="F499">
        <v>3</v>
      </c>
      <c r="G499">
        <v>12.5</v>
      </c>
      <c r="H499">
        <v>104.6</v>
      </c>
      <c r="I499" t="s">
        <v>29</v>
      </c>
      <c r="J499" t="s">
        <v>31</v>
      </c>
      <c r="K499" t="s">
        <v>29</v>
      </c>
      <c r="L499" t="s">
        <v>31</v>
      </c>
      <c r="M499" t="s">
        <v>125</v>
      </c>
      <c r="N499" t="s">
        <v>93</v>
      </c>
      <c r="O499">
        <v>43.011246</v>
      </c>
      <c r="P499">
        <v>-7.5602799999999997</v>
      </c>
      <c r="Q499" t="s">
        <v>31</v>
      </c>
      <c r="R499">
        <v>1.2936000000000001</v>
      </c>
      <c r="S499" t="s">
        <v>172</v>
      </c>
    </row>
    <row r="500" spans="1:19" x14ac:dyDescent="0.2">
      <c r="A500">
        <v>41</v>
      </c>
      <c r="B500">
        <v>12</v>
      </c>
      <c r="C500" t="s">
        <v>124</v>
      </c>
      <c r="D500">
        <v>2019</v>
      </c>
      <c r="E500">
        <v>2.5</v>
      </c>
      <c r="F500">
        <v>3</v>
      </c>
      <c r="G500">
        <v>12.5</v>
      </c>
      <c r="H500">
        <v>104.6</v>
      </c>
      <c r="I500" t="s">
        <v>29</v>
      </c>
      <c r="J500" t="s">
        <v>31</v>
      </c>
      <c r="K500" t="s">
        <v>29</v>
      </c>
      <c r="L500" t="s">
        <v>31</v>
      </c>
      <c r="M500" t="s">
        <v>125</v>
      </c>
      <c r="N500" t="s">
        <v>93</v>
      </c>
      <c r="O500">
        <v>43.011246</v>
      </c>
      <c r="P500">
        <v>-7.5602799999999997</v>
      </c>
      <c r="Q500" t="s">
        <v>31</v>
      </c>
      <c r="R500">
        <v>1.2936000000000001</v>
      </c>
      <c r="S500" t="s">
        <v>172</v>
      </c>
    </row>
    <row r="501" spans="1:19" x14ac:dyDescent="0.2">
      <c r="A501">
        <v>41</v>
      </c>
      <c r="B501">
        <v>13</v>
      </c>
      <c r="C501" t="s">
        <v>124</v>
      </c>
      <c r="D501">
        <v>2019</v>
      </c>
      <c r="E501">
        <v>5</v>
      </c>
      <c r="F501">
        <v>3</v>
      </c>
      <c r="G501">
        <v>12.5</v>
      </c>
      <c r="H501">
        <v>104.6</v>
      </c>
      <c r="I501" t="s">
        <v>29</v>
      </c>
      <c r="J501" t="s">
        <v>31</v>
      </c>
      <c r="K501" t="s">
        <v>29</v>
      </c>
      <c r="L501" t="s">
        <v>31</v>
      </c>
      <c r="M501" t="s">
        <v>125</v>
      </c>
      <c r="N501" t="s">
        <v>93</v>
      </c>
      <c r="O501">
        <v>43.011246</v>
      </c>
      <c r="P501">
        <v>-7.5602799999999997</v>
      </c>
      <c r="Q501" t="s">
        <v>31</v>
      </c>
      <c r="R501">
        <v>1.2936000000000001</v>
      </c>
      <c r="S501" t="s">
        <v>172</v>
      </c>
    </row>
    <row r="502" spans="1:19" x14ac:dyDescent="0.2">
      <c r="A502">
        <v>41</v>
      </c>
      <c r="B502">
        <v>14</v>
      </c>
      <c r="C502" t="s">
        <v>124</v>
      </c>
      <c r="D502">
        <v>2019</v>
      </c>
      <c r="E502">
        <v>5</v>
      </c>
      <c r="F502">
        <v>3</v>
      </c>
      <c r="G502">
        <v>12.5</v>
      </c>
      <c r="H502">
        <v>104.6</v>
      </c>
      <c r="I502" t="s">
        <v>29</v>
      </c>
      <c r="J502" t="s">
        <v>31</v>
      </c>
      <c r="K502" t="s">
        <v>29</v>
      </c>
      <c r="L502" t="s">
        <v>31</v>
      </c>
      <c r="M502" t="s">
        <v>125</v>
      </c>
      <c r="N502" t="s">
        <v>93</v>
      </c>
      <c r="O502">
        <v>43.011246</v>
      </c>
      <c r="P502">
        <v>-7.5602799999999997</v>
      </c>
      <c r="Q502" t="s">
        <v>31</v>
      </c>
      <c r="R502">
        <v>1.2936000000000001</v>
      </c>
      <c r="S502" t="s">
        <v>172</v>
      </c>
    </row>
    <row r="503" spans="1:19" x14ac:dyDescent="0.2">
      <c r="A503">
        <v>41</v>
      </c>
      <c r="B503">
        <v>15</v>
      </c>
      <c r="C503" t="s">
        <v>124</v>
      </c>
      <c r="D503">
        <v>2019</v>
      </c>
      <c r="E503">
        <v>10</v>
      </c>
      <c r="F503">
        <v>3</v>
      </c>
      <c r="G503">
        <v>12.5</v>
      </c>
      <c r="H503">
        <v>104.6</v>
      </c>
      <c r="I503" t="s">
        <v>29</v>
      </c>
      <c r="J503" t="s">
        <v>31</v>
      </c>
      <c r="K503" t="s">
        <v>29</v>
      </c>
      <c r="L503" t="s">
        <v>31</v>
      </c>
      <c r="M503" t="s">
        <v>125</v>
      </c>
      <c r="N503" t="s">
        <v>93</v>
      </c>
      <c r="O503">
        <v>43.011246</v>
      </c>
      <c r="P503">
        <v>-7.5602799999999997</v>
      </c>
      <c r="Q503" t="s">
        <v>31</v>
      </c>
      <c r="R503">
        <v>1.2936000000000001</v>
      </c>
      <c r="S503" t="s">
        <v>172</v>
      </c>
    </row>
    <row r="504" spans="1:19" x14ac:dyDescent="0.2">
      <c r="A504">
        <v>41</v>
      </c>
      <c r="B504">
        <v>16</v>
      </c>
      <c r="C504" t="s">
        <v>124</v>
      </c>
      <c r="D504">
        <v>2019</v>
      </c>
      <c r="E504">
        <v>10</v>
      </c>
      <c r="F504">
        <v>3</v>
      </c>
      <c r="G504">
        <v>12.5</v>
      </c>
      <c r="H504">
        <v>104.6</v>
      </c>
      <c r="I504" t="s">
        <v>29</v>
      </c>
      <c r="J504" t="s">
        <v>31</v>
      </c>
      <c r="K504" t="s">
        <v>29</v>
      </c>
      <c r="L504" t="s">
        <v>31</v>
      </c>
      <c r="M504" t="s">
        <v>125</v>
      </c>
      <c r="N504" t="s">
        <v>93</v>
      </c>
      <c r="O504">
        <v>43.011246</v>
      </c>
      <c r="P504">
        <v>-7.5602799999999997</v>
      </c>
      <c r="Q504" t="s">
        <v>31</v>
      </c>
      <c r="R504">
        <v>1.2936000000000001</v>
      </c>
      <c r="S504" t="s">
        <v>172</v>
      </c>
    </row>
    <row r="505" spans="1:19" x14ac:dyDescent="0.2">
      <c r="A505">
        <v>42</v>
      </c>
      <c r="B505">
        <v>1</v>
      </c>
      <c r="C505" t="s">
        <v>126</v>
      </c>
      <c r="D505">
        <v>2005</v>
      </c>
      <c r="E505">
        <v>56</v>
      </c>
      <c r="F505">
        <v>25</v>
      </c>
      <c r="G505">
        <v>5.6</v>
      </c>
      <c r="H505">
        <v>39.200000000000003</v>
      </c>
      <c r="I505" t="s">
        <v>31</v>
      </c>
      <c r="J505" t="s">
        <v>31</v>
      </c>
      <c r="K505" t="s">
        <v>29</v>
      </c>
      <c r="L505" t="s">
        <v>31</v>
      </c>
      <c r="M505" t="s">
        <v>127</v>
      </c>
      <c r="N505" t="s">
        <v>91</v>
      </c>
      <c r="O505">
        <v>39.861800000000002</v>
      </c>
      <c r="P505">
        <v>-108.3322</v>
      </c>
      <c r="Q505" t="s">
        <v>29</v>
      </c>
      <c r="R505">
        <v>0.23780000000000001</v>
      </c>
      <c r="S505" t="s">
        <v>172</v>
      </c>
    </row>
    <row r="506" spans="1:19" x14ac:dyDescent="0.2">
      <c r="A506">
        <v>42</v>
      </c>
      <c r="B506">
        <v>2</v>
      </c>
      <c r="C506" t="s">
        <v>126</v>
      </c>
      <c r="D506">
        <v>2005</v>
      </c>
      <c r="E506">
        <v>56</v>
      </c>
      <c r="F506">
        <v>25</v>
      </c>
      <c r="G506">
        <v>5.6</v>
      </c>
      <c r="H506">
        <v>39.200000000000003</v>
      </c>
      <c r="I506" t="s">
        <v>31</v>
      </c>
      <c r="J506" t="s">
        <v>31</v>
      </c>
      <c r="K506" t="s">
        <v>29</v>
      </c>
      <c r="L506" t="s">
        <v>31</v>
      </c>
      <c r="M506" t="s">
        <v>127</v>
      </c>
      <c r="N506" t="s">
        <v>91</v>
      </c>
      <c r="O506">
        <v>39.861800000000002</v>
      </c>
      <c r="P506">
        <v>-108.3322</v>
      </c>
      <c r="Q506" t="s">
        <v>29</v>
      </c>
      <c r="R506">
        <v>0.23780000000000001</v>
      </c>
      <c r="S506" t="s">
        <v>172</v>
      </c>
    </row>
    <row r="507" spans="1:19" x14ac:dyDescent="0.2">
      <c r="A507">
        <v>42</v>
      </c>
      <c r="B507">
        <v>3</v>
      </c>
      <c r="C507" t="s">
        <v>126</v>
      </c>
      <c r="D507">
        <v>2005</v>
      </c>
      <c r="E507">
        <v>112</v>
      </c>
      <c r="F507">
        <v>25</v>
      </c>
      <c r="G507">
        <v>5.6</v>
      </c>
      <c r="H507">
        <v>39.200000000000003</v>
      </c>
      <c r="I507" t="s">
        <v>29</v>
      </c>
      <c r="J507" t="s">
        <v>31</v>
      </c>
      <c r="K507" t="s">
        <v>29</v>
      </c>
      <c r="L507" t="s">
        <v>31</v>
      </c>
      <c r="M507" t="s">
        <v>127</v>
      </c>
      <c r="N507" t="s">
        <v>91</v>
      </c>
      <c r="O507">
        <v>39.861800000000002</v>
      </c>
      <c r="P507">
        <v>-108.3322</v>
      </c>
      <c r="Q507" t="s">
        <v>29</v>
      </c>
      <c r="R507">
        <v>0.23780000000000001</v>
      </c>
      <c r="S507" t="s">
        <v>172</v>
      </c>
    </row>
    <row r="508" spans="1:19" x14ac:dyDescent="0.2">
      <c r="A508">
        <v>42</v>
      </c>
      <c r="B508">
        <v>4</v>
      </c>
      <c r="C508" t="s">
        <v>126</v>
      </c>
      <c r="D508">
        <v>2005</v>
      </c>
      <c r="E508">
        <v>112</v>
      </c>
      <c r="F508">
        <v>25</v>
      </c>
      <c r="G508">
        <v>5.6</v>
      </c>
      <c r="H508">
        <v>39.200000000000003</v>
      </c>
      <c r="I508" t="s">
        <v>29</v>
      </c>
      <c r="J508" t="s">
        <v>31</v>
      </c>
      <c r="K508" t="s">
        <v>29</v>
      </c>
      <c r="L508" t="s">
        <v>31</v>
      </c>
      <c r="M508" t="s">
        <v>127</v>
      </c>
      <c r="N508" t="s">
        <v>91</v>
      </c>
      <c r="O508">
        <v>39.861800000000002</v>
      </c>
      <c r="P508">
        <v>-108.3322</v>
      </c>
      <c r="Q508" t="s">
        <v>29</v>
      </c>
      <c r="R508">
        <v>0.23780000000000001</v>
      </c>
      <c r="S508" t="s">
        <v>172</v>
      </c>
    </row>
    <row r="509" spans="1:19" x14ac:dyDescent="0.2">
      <c r="A509">
        <v>42</v>
      </c>
      <c r="B509">
        <v>5</v>
      </c>
      <c r="C509" t="s">
        <v>126</v>
      </c>
      <c r="D509">
        <v>2005</v>
      </c>
      <c r="E509">
        <v>224</v>
      </c>
      <c r="F509">
        <v>25</v>
      </c>
      <c r="G509">
        <v>5.6</v>
      </c>
      <c r="H509">
        <v>39.200000000000003</v>
      </c>
      <c r="I509" t="s">
        <v>29</v>
      </c>
      <c r="J509" t="s">
        <v>31</v>
      </c>
      <c r="K509" t="s">
        <v>29</v>
      </c>
      <c r="L509" t="s">
        <v>31</v>
      </c>
      <c r="M509" t="s">
        <v>127</v>
      </c>
      <c r="N509" t="s">
        <v>91</v>
      </c>
      <c r="O509">
        <v>39.861800000000002</v>
      </c>
      <c r="P509">
        <v>-108.3322</v>
      </c>
      <c r="Q509" t="s">
        <v>29</v>
      </c>
      <c r="R509">
        <v>0.23780000000000001</v>
      </c>
      <c r="S509" t="s">
        <v>172</v>
      </c>
    </row>
    <row r="510" spans="1:19" x14ac:dyDescent="0.2">
      <c r="A510">
        <v>42</v>
      </c>
      <c r="B510">
        <v>6</v>
      </c>
      <c r="C510" t="s">
        <v>126</v>
      </c>
      <c r="D510">
        <v>2005</v>
      </c>
      <c r="E510">
        <v>224</v>
      </c>
      <c r="F510">
        <v>25</v>
      </c>
      <c r="G510">
        <v>5.6</v>
      </c>
      <c r="H510">
        <v>39.200000000000003</v>
      </c>
      <c r="I510" t="s">
        <v>29</v>
      </c>
      <c r="J510" t="s">
        <v>31</v>
      </c>
      <c r="K510" t="s">
        <v>29</v>
      </c>
      <c r="L510" t="s">
        <v>31</v>
      </c>
      <c r="M510" t="s">
        <v>127</v>
      </c>
      <c r="N510" t="s">
        <v>91</v>
      </c>
      <c r="O510">
        <v>39.861800000000002</v>
      </c>
      <c r="P510">
        <v>-108.3322</v>
      </c>
      <c r="Q510" t="s">
        <v>29</v>
      </c>
      <c r="R510">
        <v>0.23780000000000001</v>
      </c>
      <c r="S510" t="s">
        <v>172</v>
      </c>
    </row>
    <row r="511" spans="1:19" x14ac:dyDescent="0.2">
      <c r="A511">
        <v>42</v>
      </c>
      <c r="B511">
        <v>1</v>
      </c>
      <c r="C511" t="s">
        <v>126</v>
      </c>
      <c r="D511">
        <v>2005</v>
      </c>
      <c r="E511">
        <v>56</v>
      </c>
      <c r="F511">
        <v>5</v>
      </c>
      <c r="G511">
        <v>5.6</v>
      </c>
      <c r="H511">
        <v>39.200000000000003</v>
      </c>
      <c r="I511" t="s">
        <v>29</v>
      </c>
      <c r="J511" t="s">
        <v>31</v>
      </c>
      <c r="K511" t="s">
        <v>29</v>
      </c>
      <c r="L511" t="s">
        <v>31</v>
      </c>
      <c r="M511" t="s">
        <v>127</v>
      </c>
      <c r="N511" t="s">
        <v>91</v>
      </c>
      <c r="O511">
        <v>39.861800000000002</v>
      </c>
      <c r="P511">
        <v>-108.3322</v>
      </c>
      <c r="Q511" t="s">
        <v>29</v>
      </c>
      <c r="R511">
        <v>0.23780000000000001</v>
      </c>
      <c r="S511" t="s">
        <v>173</v>
      </c>
    </row>
    <row r="512" spans="1:19" x14ac:dyDescent="0.2">
      <c r="A512">
        <v>42</v>
      </c>
      <c r="B512">
        <v>2</v>
      </c>
      <c r="C512" t="s">
        <v>126</v>
      </c>
      <c r="D512">
        <v>2005</v>
      </c>
      <c r="E512">
        <v>56</v>
      </c>
      <c r="F512">
        <v>5</v>
      </c>
      <c r="G512">
        <v>5.6</v>
      </c>
      <c r="H512">
        <v>39.200000000000003</v>
      </c>
      <c r="I512" t="s">
        <v>29</v>
      </c>
      <c r="J512" t="s">
        <v>31</v>
      </c>
      <c r="K512" t="s">
        <v>29</v>
      </c>
      <c r="L512" t="s">
        <v>31</v>
      </c>
      <c r="M512" t="s">
        <v>127</v>
      </c>
      <c r="N512" t="s">
        <v>91</v>
      </c>
      <c r="O512">
        <v>39.861800000000002</v>
      </c>
      <c r="P512">
        <v>-108.3322</v>
      </c>
      <c r="Q512" t="s">
        <v>29</v>
      </c>
      <c r="R512">
        <v>0.23780000000000001</v>
      </c>
      <c r="S512" t="s">
        <v>173</v>
      </c>
    </row>
    <row r="513" spans="1:19" x14ac:dyDescent="0.2">
      <c r="A513">
        <v>42</v>
      </c>
      <c r="B513">
        <v>3</v>
      </c>
      <c r="C513" t="s">
        <v>126</v>
      </c>
      <c r="D513">
        <v>2005</v>
      </c>
      <c r="E513">
        <v>112</v>
      </c>
      <c r="F513">
        <v>5</v>
      </c>
      <c r="G513">
        <v>5.6</v>
      </c>
      <c r="H513">
        <v>39.200000000000003</v>
      </c>
      <c r="I513" t="s">
        <v>29</v>
      </c>
      <c r="J513" t="s">
        <v>31</v>
      </c>
      <c r="K513" t="s">
        <v>29</v>
      </c>
      <c r="L513" t="s">
        <v>31</v>
      </c>
      <c r="M513" t="s">
        <v>127</v>
      </c>
      <c r="N513" t="s">
        <v>91</v>
      </c>
      <c r="O513">
        <v>39.861800000000002</v>
      </c>
      <c r="P513">
        <v>-108.3322</v>
      </c>
      <c r="Q513" t="s">
        <v>29</v>
      </c>
      <c r="R513">
        <v>0.23780000000000001</v>
      </c>
      <c r="S513" t="s">
        <v>173</v>
      </c>
    </row>
    <row r="514" spans="1:19" x14ac:dyDescent="0.2">
      <c r="A514">
        <v>42</v>
      </c>
      <c r="B514">
        <v>4</v>
      </c>
      <c r="C514" t="s">
        <v>126</v>
      </c>
      <c r="D514">
        <v>2005</v>
      </c>
      <c r="E514">
        <v>112</v>
      </c>
      <c r="F514">
        <v>5</v>
      </c>
      <c r="G514">
        <v>5.6</v>
      </c>
      <c r="H514">
        <v>39.200000000000003</v>
      </c>
      <c r="I514" t="s">
        <v>29</v>
      </c>
      <c r="J514" t="s">
        <v>31</v>
      </c>
      <c r="K514" t="s">
        <v>29</v>
      </c>
      <c r="L514" t="s">
        <v>31</v>
      </c>
      <c r="M514" t="s">
        <v>127</v>
      </c>
      <c r="N514" t="s">
        <v>91</v>
      </c>
      <c r="O514">
        <v>39.861800000000002</v>
      </c>
      <c r="P514">
        <v>-108.3322</v>
      </c>
      <c r="Q514" t="s">
        <v>29</v>
      </c>
      <c r="R514">
        <v>0.23780000000000001</v>
      </c>
      <c r="S514" t="s">
        <v>173</v>
      </c>
    </row>
    <row r="515" spans="1:19" x14ac:dyDescent="0.2">
      <c r="A515">
        <v>42</v>
      </c>
      <c r="B515">
        <v>5</v>
      </c>
      <c r="C515" t="s">
        <v>126</v>
      </c>
      <c r="D515">
        <v>2005</v>
      </c>
      <c r="E515">
        <v>224</v>
      </c>
      <c r="F515">
        <v>5</v>
      </c>
      <c r="G515">
        <v>5.6</v>
      </c>
      <c r="H515">
        <v>39.200000000000003</v>
      </c>
      <c r="I515" t="s">
        <v>29</v>
      </c>
      <c r="J515" t="s">
        <v>31</v>
      </c>
      <c r="K515" t="s">
        <v>29</v>
      </c>
      <c r="L515" t="s">
        <v>31</v>
      </c>
      <c r="M515" t="s">
        <v>127</v>
      </c>
      <c r="N515" t="s">
        <v>91</v>
      </c>
      <c r="O515">
        <v>39.861800000000002</v>
      </c>
      <c r="P515">
        <v>-108.3322</v>
      </c>
      <c r="Q515" t="s">
        <v>29</v>
      </c>
      <c r="R515">
        <v>0.23780000000000001</v>
      </c>
      <c r="S515" t="s">
        <v>173</v>
      </c>
    </row>
    <row r="516" spans="1:19" x14ac:dyDescent="0.2">
      <c r="A516">
        <v>42</v>
      </c>
      <c r="B516">
        <v>6</v>
      </c>
      <c r="C516" t="s">
        <v>126</v>
      </c>
      <c r="D516">
        <v>2005</v>
      </c>
      <c r="E516">
        <v>224</v>
      </c>
      <c r="F516">
        <v>5</v>
      </c>
      <c r="G516">
        <v>5.6</v>
      </c>
      <c r="H516">
        <v>39.200000000000003</v>
      </c>
      <c r="I516" t="s">
        <v>29</v>
      </c>
      <c r="J516" t="s">
        <v>31</v>
      </c>
      <c r="K516" t="s">
        <v>29</v>
      </c>
      <c r="L516" t="s">
        <v>31</v>
      </c>
      <c r="M516" t="s">
        <v>127</v>
      </c>
      <c r="N516" t="s">
        <v>91</v>
      </c>
      <c r="O516">
        <v>39.861800000000002</v>
      </c>
      <c r="P516">
        <v>-108.3322</v>
      </c>
      <c r="Q516" t="s">
        <v>29</v>
      </c>
      <c r="R516">
        <v>0.23780000000000001</v>
      </c>
      <c r="S516" t="s">
        <v>173</v>
      </c>
    </row>
    <row r="517" spans="1:19" x14ac:dyDescent="0.2">
      <c r="A517">
        <v>43</v>
      </c>
      <c r="B517">
        <v>1</v>
      </c>
      <c r="C517" t="s">
        <v>128</v>
      </c>
      <c r="D517">
        <v>1998</v>
      </c>
      <c r="E517">
        <v>5</v>
      </c>
      <c r="F517">
        <v>3</v>
      </c>
      <c r="G517">
        <v>7.8</v>
      </c>
      <c r="H517">
        <v>37.4</v>
      </c>
      <c r="I517" t="s">
        <v>31</v>
      </c>
      <c r="J517" t="s">
        <v>31</v>
      </c>
      <c r="K517" t="s">
        <v>31</v>
      </c>
      <c r="L517" t="s">
        <v>31</v>
      </c>
      <c r="M517" t="s">
        <v>129</v>
      </c>
      <c r="N517" t="s">
        <v>91</v>
      </c>
      <c r="O517">
        <v>40.89611</v>
      </c>
      <c r="P517">
        <v>-104.87444000000001</v>
      </c>
      <c r="Q517" t="s">
        <v>29</v>
      </c>
      <c r="R517">
        <v>0.22450000000000001</v>
      </c>
      <c r="S517" t="s">
        <v>172</v>
      </c>
    </row>
    <row r="518" spans="1:19" x14ac:dyDescent="0.2">
      <c r="A518">
        <v>43</v>
      </c>
      <c r="B518">
        <v>2</v>
      </c>
      <c r="C518" t="s">
        <v>128</v>
      </c>
      <c r="D518">
        <v>1998</v>
      </c>
      <c r="E518">
        <v>10</v>
      </c>
      <c r="F518">
        <v>3</v>
      </c>
      <c r="G518">
        <v>7.8</v>
      </c>
      <c r="H518">
        <v>37.4</v>
      </c>
      <c r="I518" t="s">
        <v>31</v>
      </c>
      <c r="J518" t="s">
        <v>31</v>
      </c>
      <c r="K518" t="s">
        <v>31</v>
      </c>
      <c r="L518" t="s">
        <v>31</v>
      </c>
      <c r="M518" t="s">
        <v>129</v>
      </c>
      <c r="N518" t="s">
        <v>91</v>
      </c>
      <c r="O518">
        <v>40.89611</v>
      </c>
      <c r="P518">
        <v>-104.87444000000001</v>
      </c>
      <c r="Q518" t="s">
        <v>31</v>
      </c>
      <c r="R518">
        <v>0.22450000000000001</v>
      </c>
      <c r="S518" t="s">
        <v>172</v>
      </c>
    </row>
    <row r="519" spans="1:19" x14ac:dyDescent="0.2">
      <c r="A519">
        <v>43</v>
      </c>
      <c r="B519">
        <v>3</v>
      </c>
      <c r="C519" t="s">
        <v>128</v>
      </c>
      <c r="D519">
        <v>1998</v>
      </c>
      <c r="E519">
        <v>15</v>
      </c>
      <c r="F519">
        <v>3</v>
      </c>
      <c r="G519">
        <v>7.8</v>
      </c>
      <c r="H519">
        <v>37.4</v>
      </c>
      <c r="I519" t="s">
        <v>31</v>
      </c>
      <c r="J519" t="s">
        <v>31</v>
      </c>
      <c r="K519" t="s">
        <v>31</v>
      </c>
      <c r="L519" t="s">
        <v>31</v>
      </c>
      <c r="M519" t="s">
        <v>129</v>
      </c>
      <c r="N519" t="s">
        <v>91</v>
      </c>
      <c r="O519">
        <v>40.89611</v>
      </c>
      <c r="P519">
        <v>-104.87444000000001</v>
      </c>
      <c r="Q519" t="s">
        <v>31</v>
      </c>
      <c r="R519">
        <v>0.22450000000000001</v>
      </c>
      <c r="S519" t="s">
        <v>172</v>
      </c>
    </row>
    <row r="520" spans="1:19" x14ac:dyDescent="0.2">
      <c r="A520">
        <v>43</v>
      </c>
      <c r="B520">
        <v>4</v>
      </c>
      <c r="C520" t="s">
        <v>128</v>
      </c>
      <c r="D520">
        <v>1998</v>
      </c>
      <c r="E520">
        <v>20</v>
      </c>
      <c r="F520">
        <v>3</v>
      </c>
      <c r="G520">
        <v>7.8</v>
      </c>
      <c r="H520">
        <v>37.4</v>
      </c>
      <c r="I520" t="s">
        <v>31</v>
      </c>
      <c r="J520" t="s">
        <v>31</v>
      </c>
      <c r="K520" t="s">
        <v>31</v>
      </c>
      <c r="L520" t="s">
        <v>31</v>
      </c>
      <c r="M520" t="s">
        <v>129</v>
      </c>
      <c r="N520" t="s">
        <v>91</v>
      </c>
      <c r="O520">
        <v>40.89611</v>
      </c>
      <c r="P520">
        <v>-104.87444000000001</v>
      </c>
      <c r="Q520" t="s">
        <v>31</v>
      </c>
      <c r="R520">
        <v>0.22450000000000001</v>
      </c>
      <c r="S520" t="s">
        <v>172</v>
      </c>
    </row>
    <row r="521" spans="1:19" x14ac:dyDescent="0.2">
      <c r="A521">
        <v>43</v>
      </c>
      <c r="B521">
        <v>5</v>
      </c>
      <c r="C521" t="s">
        <v>128</v>
      </c>
      <c r="D521">
        <v>1998</v>
      </c>
      <c r="E521">
        <v>25</v>
      </c>
      <c r="F521">
        <v>3</v>
      </c>
      <c r="G521">
        <v>7.8</v>
      </c>
      <c r="H521">
        <v>37.4</v>
      </c>
      <c r="I521" t="s">
        <v>31</v>
      </c>
      <c r="J521" t="s">
        <v>31</v>
      </c>
      <c r="K521" t="s">
        <v>31</v>
      </c>
      <c r="L521" t="s">
        <v>31</v>
      </c>
      <c r="M521" t="s">
        <v>129</v>
      </c>
      <c r="N521" t="s">
        <v>91</v>
      </c>
      <c r="O521">
        <v>40.89611</v>
      </c>
      <c r="P521">
        <v>-104.87444000000001</v>
      </c>
      <c r="Q521" t="s">
        <v>31</v>
      </c>
      <c r="R521">
        <v>0.22450000000000001</v>
      </c>
      <c r="S521" t="s">
        <v>172</v>
      </c>
    </row>
    <row r="522" spans="1:19" x14ac:dyDescent="0.2">
      <c r="A522">
        <v>43</v>
      </c>
      <c r="B522">
        <v>6</v>
      </c>
      <c r="C522" t="s">
        <v>128</v>
      </c>
      <c r="D522">
        <v>1998</v>
      </c>
      <c r="E522">
        <v>30</v>
      </c>
      <c r="F522">
        <v>3</v>
      </c>
      <c r="G522">
        <v>7.8</v>
      </c>
      <c r="H522">
        <v>37.4</v>
      </c>
      <c r="I522" t="s">
        <v>31</v>
      </c>
      <c r="J522" t="s">
        <v>31</v>
      </c>
      <c r="K522" t="s">
        <v>31</v>
      </c>
      <c r="L522" t="s">
        <v>31</v>
      </c>
      <c r="M522" t="s">
        <v>129</v>
      </c>
      <c r="N522" t="s">
        <v>91</v>
      </c>
      <c r="O522">
        <v>40.89611</v>
      </c>
      <c r="P522">
        <v>-104.87444000000001</v>
      </c>
      <c r="Q522" t="s">
        <v>31</v>
      </c>
      <c r="R522">
        <v>0.22450000000000001</v>
      </c>
      <c r="S522" t="s">
        <v>172</v>
      </c>
    </row>
    <row r="523" spans="1:19" x14ac:dyDescent="0.2">
      <c r="A523">
        <v>43</v>
      </c>
      <c r="B523">
        <v>7</v>
      </c>
      <c r="C523" t="s">
        <v>128</v>
      </c>
      <c r="D523">
        <v>1998</v>
      </c>
      <c r="E523">
        <v>35</v>
      </c>
      <c r="F523">
        <v>3</v>
      </c>
      <c r="G523">
        <v>7.8</v>
      </c>
      <c r="H523">
        <v>37.4</v>
      </c>
      <c r="I523" t="s">
        <v>31</v>
      </c>
      <c r="J523" t="s">
        <v>31</v>
      </c>
      <c r="K523" t="s">
        <v>31</v>
      </c>
      <c r="L523" t="s">
        <v>31</v>
      </c>
      <c r="M523" t="s">
        <v>129</v>
      </c>
      <c r="N523" t="s">
        <v>91</v>
      </c>
      <c r="O523">
        <v>40.89611</v>
      </c>
      <c r="P523">
        <v>-104.87444000000001</v>
      </c>
      <c r="Q523" t="s">
        <v>31</v>
      </c>
      <c r="R523">
        <v>0.22450000000000001</v>
      </c>
      <c r="S523" t="s">
        <v>172</v>
      </c>
    </row>
    <row r="524" spans="1:19" x14ac:dyDescent="0.2">
      <c r="A524">
        <v>43</v>
      </c>
      <c r="B524">
        <v>8</v>
      </c>
      <c r="C524" t="s">
        <v>128</v>
      </c>
      <c r="D524">
        <v>1998</v>
      </c>
      <c r="E524">
        <v>40</v>
      </c>
      <c r="F524">
        <v>3</v>
      </c>
      <c r="G524">
        <v>7.8</v>
      </c>
      <c r="H524">
        <v>37.4</v>
      </c>
      <c r="I524" t="s">
        <v>31</v>
      </c>
      <c r="J524" t="s">
        <v>31</v>
      </c>
      <c r="K524" t="s">
        <v>31</v>
      </c>
      <c r="L524" t="s">
        <v>31</v>
      </c>
      <c r="M524" t="s">
        <v>129</v>
      </c>
      <c r="N524" t="s">
        <v>91</v>
      </c>
      <c r="O524">
        <v>40.89611</v>
      </c>
      <c r="P524">
        <v>-104.87444000000001</v>
      </c>
      <c r="Q524" t="s">
        <v>31</v>
      </c>
      <c r="R524">
        <v>0.22450000000000001</v>
      </c>
      <c r="S524" t="s">
        <v>172</v>
      </c>
    </row>
    <row r="525" spans="1:19" x14ac:dyDescent="0.2">
      <c r="A525">
        <v>44</v>
      </c>
      <c r="B525">
        <v>1</v>
      </c>
      <c r="C525" t="s">
        <v>130</v>
      </c>
      <c r="D525">
        <v>2006</v>
      </c>
      <c r="E525">
        <v>2.5</v>
      </c>
      <c r="F525">
        <v>13</v>
      </c>
      <c r="G525">
        <v>7.8</v>
      </c>
      <c r="H525">
        <v>37.4</v>
      </c>
      <c r="I525" t="s">
        <v>31</v>
      </c>
      <c r="J525" t="s">
        <v>31</v>
      </c>
      <c r="K525" t="s">
        <v>31</v>
      </c>
      <c r="L525" t="s">
        <v>29</v>
      </c>
      <c r="M525" t="s">
        <v>74</v>
      </c>
      <c r="N525" t="s">
        <v>91</v>
      </c>
      <c r="O525">
        <v>40.89611</v>
      </c>
      <c r="P525">
        <v>-104.87444000000001</v>
      </c>
      <c r="Q525" t="s">
        <v>31</v>
      </c>
      <c r="R525">
        <v>0.22450000000000001</v>
      </c>
      <c r="S525" t="s">
        <v>173</v>
      </c>
    </row>
    <row r="526" spans="1:19" x14ac:dyDescent="0.2">
      <c r="A526">
        <v>44</v>
      </c>
      <c r="B526">
        <v>2</v>
      </c>
      <c r="C526" t="s">
        <v>130</v>
      </c>
      <c r="D526">
        <v>2006</v>
      </c>
      <c r="E526">
        <v>5</v>
      </c>
      <c r="F526">
        <v>13</v>
      </c>
      <c r="G526">
        <v>7.8</v>
      </c>
      <c r="H526">
        <v>37.4</v>
      </c>
      <c r="I526" t="s">
        <v>31</v>
      </c>
      <c r="J526" t="s">
        <v>31</v>
      </c>
      <c r="K526" t="s">
        <v>31</v>
      </c>
      <c r="L526" t="s">
        <v>29</v>
      </c>
      <c r="M526" t="s">
        <v>74</v>
      </c>
      <c r="N526" t="s">
        <v>91</v>
      </c>
      <c r="O526">
        <v>40.89611</v>
      </c>
      <c r="P526">
        <v>-104.87444000000001</v>
      </c>
      <c r="Q526" t="s">
        <v>31</v>
      </c>
      <c r="R526">
        <v>0.22450000000000001</v>
      </c>
      <c r="S526" t="s">
        <v>173</v>
      </c>
    </row>
    <row r="527" spans="1:19" x14ac:dyDescent="0.2">
      <c r="A527">
        <v>44</v>
      </c>
      <c r="B527">
        <v>3</v>
      </c>
      <c r="C527" t="s">
        <v>130</v>
      </c>
      <c r="D527">
        <v>2006</v>
      </c>
      <c r="E527">
        <v>10</v>
      </c>
      <c r="F527">
        <v>13</v>
      </c>
      <c r="G527">
        <v>7.8</v>
      </c>
      <c r="H527">
        <v>37.4</v>
      </c>
      <c r="I527" t="s">
        <v>31</v>
      </c>
      <c r="J527" t="s">
        <v>31</v>
      </c>
      <c r="K527" t="s">
        <v>31</v>
      </c>
      <c r="L527" t="s">
        <v>29</v>
      </c>
      <c r="M527" t="s">
        <v>74</v>
      </c>
      <c r="N527" t="s">
        <v>91</v>
      </c>
      <c r="O527">
        <v>40.89611</v>
      </c>
      <c r="P527">
        <v>-104.87444000000001</v>
      </c>
      <c r="Q527" t="s">
        <v>31</v>
      </c>
      <c r="R527">
        <v>0.22450000000000001</v>
      </c>
      <c r="S527" t="s">
        <v>173</v>
      </c>
    </row>
    <row r="528" spans="1:19" x14ac:dyDescent="0.2">
      <c r="A528">
        <v>44</v>
      </c>
      <c r="B528">
        <v>4</v>
      </c>
      <c r="C528" t="s">
        <v>130</v>
      </c>
      <c r="D528">
        <v>2006</v>
      </c>
      <c r="E528">
        <v>21</v>
      </c>
      <c r="F528">
        <v>13</v>
      </c>
      <c r="G528">
        <v>7.8</v>
      </c>
      <c r="H528">
        <v>37.4</v>
      </c>
      <c r="I528" t="s">
        <v>31</v>
      </c>
      <c r="J528" t="s">
        <v>31</v>
      </c>
      <c r="K528" t="s">
        <v>31</v>
      </c>
      <c r="L528" t="s">
        <v>29</v>
      </c>
      <c r="M528" t="s">
        <v>74</v>
      </c>
      <c r="N528" t="s">
        <v>91</v>
      </c>
      <c r="O528">
        <v>40.89611</v>
      </c>
      <c r="P528">
        <v>-104.87444000000001</v>
      </c>
      <c r="Q528" t="s">
        <v>31</v>
      </c>
      <c r="R528">
        <v>0.22450000000000001</v>
      </c>
      <c r="S528" t="s">
        <v>173</v>
      </c>
    </row>
    <row r="529" spans="1:19" x14ac:dyDescent="0.2">
      <c r="A529">
        <v>44</v>
      </c>
      <c r="B529">
        <v>5</v>
      </c>
      <c r="C529" t="s">
        <v>130</v>
      </c>
      <c r="D529">
        <v>2006</v>
      </c>
      <c r="E529">
        <v>30</v>
      </c>
      <c r="F529">
        <v>13</v>
      </c>
      <c r="G529">
        <v>7.8</v>
      </c>
      <c r="H529">
        <v>37.4</v>
      </c>
      <c r="I529" t="s">
        <v>31</v>
      </c>
      <c r="J529" t="s">
        <v>31</v>
      </c>
      <c r="K529" t="s">
        <v>31</v>
      </c>
      <c r="L529" t="s">
        <v>29</v>
      </c>
      <c r="M529" t="s">
        <v>74</v>
      </c>
      <c r="N529" t="s">
        <v>91</v>
      </c>
      <c r="O529">
        <v>40.89611</v>
      </c>
      <c r="P529">
        <v>-104.87444000000001</v>
      </c>
      <c r="Q529" t="s">
        <v>31</v>
      </c>
      <c r="R529">
        <v>0.22450000000000001</v>
      </c>
      <c r="S529" t="s">
        <v>173</v>
      </c>
    </row>
    <row r="530" spans="1:19" x14ac:dyDescent="0.2">
      <c r="A530">
        <v>44</v>
      </c>
      <c r="B530">
        <v>6</v>
      </c>
      <c r="C530" t="s">
        <v>130</v>
      </c>
      <c r="D530">
        <v>2006</v>
      </c>
      <c r="E530">
        <v>2.5</v>
      </c>
      <c r="F530">
        <v>14</v>
      </c>
      <c r="G530">
        <v>7.8</v>
      </c>
      <c r="H530">
        <v>37.4</v>
      </c>
      <c r="I530" t="s">
        <v>31</v>
      </c>
      <c r="J530" t="s">
        <v>31</v>
      </c>
      <c r="K530" t="s">
        <v>31</v>
      </c>
      <c r="L530" t="s">
        <v>29</v>
      </c>
      <c r="M530" t="s">
        <v>74</v>
      </c>
      <c r="N530" t="s">
        <v>91</v>
      </c>
      <c r="O530">
        <v>40.89611</v>
      </c>
      <c r="P530">
        <v>-104.87444000000001</v>
      </c>
      <c r="Q530" t="s">
        <v>31</v>
      </c>
      <c r="R530">
        <v>0.22450000000000001</v>
      </c>
      <c r="S530" t="s">
        <v>173</v>
      </c>
    </row>
    <row r="531" spans="1:19" x14ac:dyDescent="0.2">
      <c r="A531">
        <v>44</v>
      </c>
      <c r="B531">
        <v>7</v>
      </c>
      <c r="C531" t="s">
        <v>130</v>
      </c>
      <c r="D531">
        <v>2006</v>
      </c>
      <c r="E531">
        <v>5</v>
      </c>
      <c r="F531">
        <v>14</v>
      </c>
      <c r="G531">
        <v>7.8</v>
      </c>
      <c r="H531">
        <v>37.4</v>
      </c>
      <c r="I531" t="s">
        <v>31</v>
      </c>
      <c r="J531" t="s">
        <v>31</v>
      </c>
      <c r="K531" t="s">
        <v>31</v>
      </c>
      <c r="L531" t="s">
        <v>29</v>
      </c>
      <c r="M531" t="s">
        <v>74</v>
      </c>
      <c r="N531" t="s">
        <v>91</v>
      </c>
      <c r="O531">
        <v>40.89611</v>
      </c>
      <c r="P531">
        <v>-104.87444000000001</v>
      </c>
      <c r="Q531" t="s">
        <v>31</v>
      </c>
      <c r="R531">
        <v>0.22450000000000001</v>
      </c>
      <c r="S531" t="s">
        <v>173</v>
      </c>
    </row>
    <row r="532" spans="1:19" x14ac:dyDescent="0.2">
      <c r="A532">
        <v>44</v>
      </c>
      <c r="B532">
        <v>8</v>
      </c>
      <c r="C532" t="s">
        <v>130</v>
      </c>
      <c r="D532">
        <v>2006</v>
      </c>
      <c r="E532">
        <v>10</v>
      </c>
      <c r="F532">
        <v>14</v>
      </c>
      <c r="G532">
        <v>7.8</v>
      </c>
      <c r="H532">
        <v>37.4</v>
      </c>
      <c r="I532" t="s">
        <v>31</v>
      </c>
      <c r="J532" t="s">
        <v>31</v>
      </c>
      <c r="K532" t="s">
        <v>31</v>
      </c>
      <c r="L532" t="s">
        <v>29</v>
      </c>
      <c r="M532" t="s">
        <v>74</v>
      </c>
      <c r="N532" t="s">
        <v>91</v>
      </c>
      <c r="O532">
        <v>40.89611</v>
      </c>
      <c r="P532">
        <v>-104.87444000000001</v>
      </c>
      <c r="Q532" t="s">
        <v>31</v>
      </c>
      <c r="R532">
        <v>0.22450000000000001</v>
      </c>
      <c r="S532" t="s">
        <v>173</v>
      </c>
    </row>
    <row r="533" spans="1:19" x14ac:dyDescent="0.2">
      <c r="A533">
        <v>44</v>
      </c>
      <c r="B533">
        <v>9</v>
      </c>
      <c r="C533" t="s">
        <v>130</v>
      </c>
      <c r="D533">
        <v>2006</v>
      </c>
      <c r="E533">
        <v>21</v>
      </c>
      <c r="F533">
        <v>14</v>
      </c>
      <c r="G533">
        <v>7.8</v>
      </c>
      <c r="H533">
        <v>37.4</v>
      </c>
      <c r="I533" t="s">
        <v>31</v>
      </c>
      <c r="J533" t="s">
        <v>31</v>
      </c>
      <c r="K533" t="s">
        <v>31</v>
      </c>
      <c r="L533" t="s">
        <v>29</v>
      </c>
      <c r="M533" t="s">
        <v>74</v>
      </c>
      <c r="N533" t="s">
        <v>91</v>
      </c>
      <c r="O533">
        <v>40.89611</v>
      </c>
      <c r="P533">
        <v>-104.87444000000001</v>
      </c>
      <c r="Q533" t="s">
        <v>31</v>
      </c>
      <c r="R533">
        <v>0.22450000000000001</v>
      </c>
      <c r="S533" t="s">
        <v>173</v>
      </c>
    </row>
    <row r="534" spans="1:19" x14ac:dyDescent="0.2">
      <c r="A534">
        <v>44</v>
      </c>
      <c r="B534">
        <v>10</v>
      </c>
      <c r="C534" t="s">
        <v>130</v>
      </c>
      <c r="D534">
        <v>2006</v>
      </c>
      <c r="E534">
        <v>30</v>
      </c>
      <c r="F534">
        <v>14</v>
      </c>
      <c r="G534">
        <v>7.8</v>
      </c>
      <c r="H534">
        <v>37.4</v>
      </c>
      <c r="I534" t="s">
        <v>31</v>
      </c>
      <c r="J534" t="s">
        <v>31</v>
      </c>
      <c r="K534" t="s">
        <v>31</v>
      </c>
      <c r="L534" t="s">
        <v>29</v>
      </c>
      <c r="M534" t="s">
        <v>74</v>
      </c>
      <c r="N534" t="s">
        <v>91</v>
      </c>
      <c r="O534">
        <v>40.89611</v>
      </c>
      <c r="P534">
        <v>-104.87444000000001</v>
      </c>
      <c r="Q534" t="s">
        <v>31</v>
      </c>
      <c r="R534">
        <v>0.22450000000000001</v>
      </c>
      <c r="S534" t="s">
        <v>173</v>
      </c>
    </row>
    <row r="535" spans="1:19" x14ac:dyDescent="0.2">
      <c r="A535">
        <v>44</v>
      </c>
      <c r="B535">
        <v>1</v>
      </c>
      <c r="C535" t="s">
        <v>130</v>
      </c>
      <c r="D535">
        <v>2006</v>
      </c>
      <c r="E535">
        <v>2.5</v>
      </c>
      <c r="F535">
        <v>13</v>
      </c>
      <c r="G535">
        <v>7.8</v>
      </c>
      <c r="H535">
        <v>37.4</v>
      </c>
      <c r="I535" t="s">
        <v>31</v>
      </c>
      <c r="J535" t="s">
        <v>31</v>
      </c>
      <c r="K535" t="s">
        <v>31</v>
      </c>
      <c r="L535" t="s">
        <v>29</v>
      </c>
      <c r="M535" t="s">
        <v>129</v>
      </c>
      <c r="N535" t="s">
        <v>91</v>
      </c>
      <c r="O535">
        <v>40.89611</v>
      </c>
      <c r="P535">
        <v>-104.87444000000001</v>
      </c>
      <c r="Q535" t="s">
        <v>31</v>
      </c>
      <c r="R535">
        <v>0.22450000000000001</v>
      </c>
      <c r="S535" t="s">
        <v>172</v>
      </c>
    </row>
    <row r="536" spans="1:19" x14ac:dyDescent="0.2">
      <c r="A536">
        <v>44</v>
      </c>
      <c r="B536">
        <v>2</v>
      </c>
      <c r="C536" t="s">
        <v>130</v>
      </c>
      <c r="D536">
        <v>2006</v>
      </c>
      <c r="E536">
        <v>5</v>
      </c>
      <c r="F536">
        <v>13</v>
      </c>
      <c r="G536">
        <v>7.8</v>
      </c>
      <c r="H536">
        <v>37.4</v>
      </c>
      <c r="I536" t="s">
        <v>31</v>
      </c>
      <c r="J536" t="s">
        <v>31</v>
      </c>
      <c r="K536" t="s">
        <v>31</v>
      </c>
      <c r="L536" t="s">
        <v>29</v>
      </c>
      <c r="M536" t="s">
        <v>129</v>
      </c>
      <c r="N536" t="s">
        <v>91</v>
      </c>
      <c r="O536">
        <v>40.89611</v>
      </c>
      <c r="P536">
        <v>-104.87444000000001</v>
      </c>
      <c r="Q536" t="s">
        <v>31</v>
      </c>
      <c r="R536">
        <v>0.22450000000000001</v>
      </c>
      <c r="S536" t="s">
        <v>172</v>
      </c>
    </row>
    <row r="537" spans="1:19" x14ac:dyDescent="0.2">
      <c r="A537">
        <v>44</v>
      </c>
      <c r="B537">
        <v>3</v>
      </c>
      <c r="C537" t="s">
        <v>130</v>
      </c>
      <c r="D537">
        <v>2006</v>
      </c>
      <c r="E537">
        <v>10</v>
      </c>
      <c r="F537">
        <v>13</v>
      </c>
      <c r="G537">
        <v>7.8</v>
      </c>
      <c r="H537">
        <v>37.4</v>
      </c>
      <c r="I537" t="s">
        <v>31</v>
      </c>
      <c r="J537" t="s">
        <v>31</v>
      </c>
      <c r="K537" t="s">
        <v>31</v>
      </c>
      <c r="L537" t="s">
        <v>29</v>
      </c>
      <c r="M537" t="s">
        <v>129</v>
      </c>
      <c r="N537" t="s">
        <v>91</v>
      </c>
      <c r="O537">
        <v>40.89611</v>
      </c>
      <c r="P537">
        <v>-104.87444000000001</v>
      </c>
      <c r="Q537" t="s">
        <v>31</v>
      </c>
      <c r="R537">
        <v>0.22450000000000001</v>
      </c>
      <c r="S537" t="s">
        <v>172</v>
      </c>
    </row>
    <row r="538" spans="1:19" x14ac:dyDescent="0.2">
      <c r="A538">
        <v>44</v>
      </c>
      <c r="B538">
        <v>4</v>
      </c>
      <c r="C538" t="s">
        <v>130</v>
      </c>
      <c r="D538">
        <v>2006</v>
      </c>
      <c r="E538">
        <v>21</v>
      </c>
      <c r="F538">
        <v>13</v>
      </c>
      <c r="G538">
        <v>7.8</v>
      </c>
      <c r="H538">
        <v>37.4</v>
      </c>
      <c r="I538" t="s">
        <v>31</v>
      </c>
      <c r="J538" t="s">
        <v>31</v>
      </c>
      <c r="K538" t="s">
        <v>31</v>
      </c>
      <c r="L538" t="s">
        <v>29</v>
      </c>
      <c r="M538" t="s">
        <v>129</v>
      </c>
      <c r="N538" t="s">
        <v>91</v>
      </c>
      <c r="O538">
        <v>40.89611</v>
      </c>
      <c r="P538">
        <v>-104.87444000000001</v>
      </c>
      <c r="Q538" t="s">
        <v>31</v>
      </c>
      <c r="R538">
        <v>0.22450000000000001</v>
      </c>
      <c r="S538" t="s">
        <v>172</v>
      </c>
    </row>
    <row r="539" spans="1:19" x14ac:dyDescent="0.2">
      <c r="A539">
        <v>44</v>
      </c>
      <c r="B539">
        <v>5</v>
      </c>
      <c r="C539" t="s">
        <v>130</v>
      </c>
      <c r="D539">
        <v>2006</v>
      </c>
      <c r="E539">
        <v>30</v>
      </c>
      <c r="F539">
        <v>13</v>
      </c>
      <c r="G539">
        <v>7.8</v>
      </c>
      <c r="H539">
        <v>37.4</v>
      </c>
      <c r="I539" t="s">
        <v>31</v>
      </c>
      <c r="J539" t="s">
        <v>31</v>
      </c>
      <c r="K539" t="s">
        <v>31</v>
      </c>
      <c r="L539" t="s">
        <v>29</v>
      </c>
      <c r="M539" t="s">
        <v>129</v>
      </c>
      <c r="N539" t="s">
        <v>91</v>
      </c>
      <c r="O539">
        <v>40.89611</v>
      </c>
      <c r="P539">
        <v>-104.87444000000001</v>
      </c>
      <c r="Q539" t="s">
        <v>31</v>
      </c>
      <c r="R539">
        <v>0.22450000000000001</v>
      </c>
      <c r="S539" t="s">
        <v>172</v>
      </c>
    </row>
    <row r="540" spans="1:19" x14ac:dyDescent="0.2">
      <c r="A540">
        <v>44</v>
      </c>
      <c r="B540">
        <v>6</v>
      </c>
      <c r="C540" t="s">
        <v>130</v>
      </c>
      <c r="D540">
        <v>2006</v>
      </c>
      <c r="E540">
        <v>2.5</v>
      </c>
      <c r="F540">
        <v>14</v>
      </c>
      <c r="G540">
        <v>7.8</v>
      </c>
      <c r="H540">
        <v>37.4</v>
      </c>
      <c r="I540" t="s">
        <v>31</v>
      </c>
      <c r="J540" t="s">
        <v>31</v>
      </c>
      <c r="K540" t="s">
        <v>31</v>
      </c>
      <c r="L540" t="s">
        <v>31</v>
      </c>
      <c r="M540" t="s">
        <v>129</v>
      </c>
      <c r="N540" t="s">
        <v>91</v>
      </c>
      <c r="O540">
        <v>40.89611</v>
      </c>
      <c r="P540">
        <v>-104.87444000000001</v>
      </c>
      <c r="Q540" t="s">
        <v>31</v>
      </c>
      <c r="R540">
        <v>0.22450000000000001</v>
      </c>
      <c r="S540" t="s">
        <v>172</v>
      </c>
    </row>
    <row r="541" spans="1:19" x14ac:dyDescent="0.2">
      <c r="A541">
        <v>44</v>
      </c>
      <c r="B541">
        <v>7</v>
      </c>
      <c r="C541" t="s">
        <v>130</v>
      </c>
      <c r="D541">
        <v>2006</v>
      </c>
      <c r="E541">
        <v>5</v>
      </c>
      <c r="F541">
        <v>14</v>
      </c>
      <c r="G541">
        <v>7.8</v>
      </c>
      <c r="H541">
        <v>37.4</v>
      </c>
      <c r="I541" t="s">
        <v>31</v>
      </c>
      <c r="J541" t="s">
        <v>31</v>
      </c>
      <c r="K541" t="s">
        <v>31</v>
      </c>
      <c r="L541" t="s">
        <v>31</v>
      </c>
      <c r="M541" t="s">
        <v>129</v>
      </c>
      <c r="N541" t="s">
        <v>91</v>
      </c>
      <c r="O541">
        <v>40.89611</v>
      </c>
      <c r="P541">
        <v>-104.87444000000001</v>
      </c>
      <c r="Q541" t="s">
        <v>31</v>
      </c>
      <c r="R541">
        <v>0.22450000000000001</v>
      </c>
      <c r="S541" t="s">
        <v>172</v>
      </c>
    </row>
    <row r="542" spans="1:19" x14ac:dyDescent="0.2">
      <c r="A542">
        <v>44</v>
      </c>
      <c r="B542">
        <v>8</v>
      </c>
      <c r="C542" t="s">
        <v>130</v>
      </c>
      <c r="D542">
        <v>2006</v>
      </c>
      <c r="E542">
        <v>10</v>
      </c>
      <c r="F542">
        <v>14</v>
      </c>
      <c r="G542">
        <v>7.8</v>
      </c>
      <c r="H542">
        <v>37.4</v>
      </c>
      <c r="I542" t="s">
        <v>31</v>
      </c>
      <c r="J542" t="s">
        <v>31</v>
      </c>
      <c r="K542" t="s">
        <v>31</v>
      </c>
      <c r="L542" t="s">
        <v>31</v>
      </c>
      <c r="M542" t="s">
        <v>129</v>
      </c>
      <c r="N542" t="s">
        <v>91</v>
      </c>
      <c r="O542">
        <v>40.89611</v>
      </c>
      <c r="P542">
        <v>-104.87444000000001</v>
      </c>
      <c r="Q542" t="s">
        <v>31</v>
      </c>
      <c r="R542">
        <v>0.22450000000000001</v>
      </c>
      <c r="S542" t="s">
        <v>172</v>
      </c>
    </row>
    <row r="543" spans="1:19" x14ac:dyDescent="0.2">
      <c r="A543">
        <v>44</v>
      </c>
      <c r="B543">
        <v>9</v>
      </c>
      <c r="C543" t="s">
        <v>130</v>
      </c>
      <c r="D543">
        <v>2006</v>
      </c>
      <c r="E543">
        <v>21</v>
      </c>
      <c r="F543">
        <v>14</v>
      </c>
      <c r="G543">
        <v>7.8</v>
      </c>
      <c r="H543">
        <v>37.4</v>
      </c>
      <c r="I543" t="s">
        <v>31</v>
      </c>
      <c r="J543" t="s">
        <v>31</v>
      </c>
      <c r="K543" t="s">
        <v>31</v>
      </c>
      <c r="L543" t="s">
        <v>31</v>
      </c>
      <c r="M543" t="s">
        <v>129</v>
      </c>
      <c r="N543" t="s">
        <v>91</v>
      </c>
      <c r="O543">
        <v>40.89611</v>
      </c>
      <c r="P543">
        <v>-104.87444000000001</v>
      </c>
      <c r="Q543" t="s">
        <v>31</v>
      </c>
      <c r="R543">
        <v>0.22450000000000001</v>
      </c>
      <c r="S543" t="s">
        <v>172</v>
      </c>
    </row>
    <row r="544" spans="1:19" x14ac:dyDescent="0.2">
      <c r="A544">
        <v>44</v>
      </c>
      <c r="B544">
        <v>10</v>
      </c>
      <c r="C544" t="s">
        <v>130</v>
      </c>
      <c r="D544">
        <v>2006</v>
      </c>
      <c r="E544">
        <v>30</v>
      </c>
      <c r="F544">
        <v>14</v>
      </c>
      <c r="G544">
        <v>7.8</v>
      </c>
      <c r="H544">
        <v>37.4</v>
      </c>
      <c r="I544" t="s">
        <v>31</v>
      </c>
      <c r="J544" t="s">
        <v>31</v>
      </c>
      <c r="K544" t="s">
        <v>31</v>
      </c>
      <c r="L544" t="s">
        <v>31</v>
      </c>
      <c r="M544" t="s">
        <v>129</v>
      </c>
      <c r="N544" t="s">
        <v>91</v>
      </c>
      <c r="O544">
        <v>40.89611</v>
      </c>
      <c r="P544">
        <v>-104.87444000000001</v>
      </c>
      <c r="Q544" t="s">
        <v>31</v>
      </c>
      <c r="R544">
        <v>0.22450000000000001</v>
      </c>
      <c r="S544" t="s">
        <v>172</v>
      </c>
    </row>
    <row r="545" spans="1:19" x14ac:dyDescent="0.2">
      <c r="A545">
        <v>45</v>
      </c>
      <c r="B545">
        <v>1</v>
      </c>
      <c r="C545" t="s">
        <v>131</v>
      </c>
      <c r="D545">
        <v>2008</v>
      </c>
      <c r="E545">
        <v>2.9</v>
      </c>
      <c r="F545">
        <v>3</v>
      </c>
      <c r="G545">
        <v>10.1</v>
      </c>
      <c r="H545">
        <v>27.8</v>
      </c>
      <c r="I545" t="s">
        <v>31</v>
      </c>
      <c r="J545" t="s">
        <v>31</v>
      </c>
      <c r="K545" t="s">
        <v>31</v>
      </c>
      <c r="L545" t="s">
        <v>31</v>
      </c>
      <c r="M545" t="s">
        <v>132</v>
      </c>
      <c r="N545" t="s">
        <v>91</v>
      </c>
      <c r="O545">
        <v>40.451659999999997</v>
      </c>
      <c r="P545">
        <v>-112.745</v>
      </c>
      <c r="Q545" t="s">
        <v>31</v>
      </c>
      <c r="R545">
        <v>0.13569999999999999</v>
      </c>
      <c r="S545" t="s">
        <v>172</v>
      </c>
    </row>
    <row r="546" spans="1:19" x14ac:dyDescent="0.2">
      <c r="A546">
        <v>45</v>
      </c>
      <c r="B546">
        <v>2</v>
      </c>
      <c r="C546" t="s">
        <v>131</v>
      </c>
      <c r="D546">
        <v>2008</v>
      </c>
      <c r="E546">
        <v>14.3</v>
      </c>
      <c r="F546">
        <v>3</v>
      </c>
      <c r="G546">
        <v>10.1</v>
      </c>
      <c r="H546">
        <v>27.8</v>
      </c>
      <c r="I546" t="s">
        <v>31</v>
      </c>
      <c r="J546" t="s">
        <v>31</v>
      </c>
      <c r="K546" t="s">
        <v>31</v>
      </c>
      <c r="L546" t="s">
        <v>31</v>
      </c>
      <c r="M546" t="s">
        <v>132</v>
      </c>
      <c r="N546" t="s">
        <v>91</v>
      </c>
      <c r="O546">
        <v>40.451659999999997</v>
      </c>
      <c r="P546">
        <v>-112.745</v>
      </c>
      <c r="Q546" t="s">
        <v>31</v>
      </c>
      <c r="R546">
        <v>0.13569999999999999</v>
      </c>
      <c r="S546" t="s">
        <v>172</v>
      </c>
    </row>
    <row r="547" spans="1:19" x14ac:dyDescent="0.2">
      <c r="A547">
        <v>45</v>
      </c>
      <c r="B547">
        <v>3</v>
      </c>
      <c r="C547" t="s">
        <v>131</v>
      </c>
      <c r="D547">
        <v>2008</v>
      </c>
      <c r="E547">
        <v>28.6</v>
      </c>
      <c r="F547">
        <v>3</v>
      </c>
      <c r="G547">
        <v>10.1</v>
      </c>
      <c r="H547">
        <v>27.8</v>
      </c>
      <c r="I547" t="s">
        <v>31</v>
      </c>
      <c r="J547" t="s">
        <v>31</v>
      </c>
      <c r="K547" t="s">
        <v>31</v>
      </c>
      <c r="L547" t="s">
        <v>31</v>
      </c>
      <c r="M547" t="s">
        <v>132</v>
      </c>
      <c r="N547" t="s">
        <v>91</v>
      </c>
      <c r="O547">
        <v>40.451659999999997</v>
      </c>
      <c r="P547">
        <v>-112.745</v>
      </c>
      <c r="Q547" t="s">
        <v>31</v>
      </c>
      <c r="R547">
        <v>0.13569999999999999</v>
      </c>
      <c r="S547" t="s">
        <v>172</v>
      </c>
    </row>
    <row r="548" spans="1:19" x14ac:dyDescent="0.2">
      <c r="A548">
        <v>45</v>
      </c>
      <c r="B548">
        <v>4</v>
      </c>
      <c r="C548" t="s">
        <v>131</v>
      </c>
      <c r="D548">
        <v>2008</v>
      </c>
      <c r="E548">
        <v>57.1</v>
      </c>
      <c r="F548">
        <v>3</v>
      </c>
      <c r="G548">
        <v>10.1</v>
      </c>
      <c r="H548">
        <v>27.8</v>
      </c>
      <c r="I548" t="s">
        <v>31</v>
      </c>
      <c r="J548" t="s">
        <v>31</v>
      </c>
      <c r="K548" t="s">
        <v>31</v>
      </c>
      <c r="L548" t="s">
        <v>31</v>
      </c>
      <c r="M548" t="s">
        <v>132</v>
      </c>
      <c r="N548" t="s">
        <v>91</v>
      </c>
      <c r="O548">
        <v>40.451659999999997</v>
      </c>
      <c r="P548">
        <v>-112.745</v>
      </c>
      <c r="Q548" t="s">
        <v>31</v>
      </c>
      <c r="R548">
        <v>0.13569999999999999</v>
      </c>
      <c r="S548" t="s">
        <v>172</v>
      </c>
    </row>
    <row r="549" spans="1:19" x14ac:dyDescent="0.2">
      <c r="A549">
        <v>45</v>
      </c>
      <c r="B549">
        <v>5</v>
      </c>
      <c r="C549" t="s">
        <v>131</v>
      </c>
      <c r="D549">
        <v>2008</v>
      </c>
      <c r="E549">
        <v>3.4</v>
      </c>
      <c r="F549">
        <v>3</v>
      </c>
      <c r="G549">
        <v>10.1</v>
      </c>
      <c r="H549">
        <v>27.8</v>
      </c>
      <c r="I549" t="s">
        <v>31</v>
      </c>
      <c r="J549" t="s">
        <v>31</v>
      </c>
      <c r="K549" t="s">
        <v>31</v>
      </c>
      <c r="L549" t="s">
        <v>31</v>
      </c>
      <c r="M549" t="s">
        <v>132</v>
      </c>
      <c r="N549" t="s">
        <v>91</v>
      </c>
      <c r="O549">
        <v>40.451659999999997</v>
      </c>
      <c r="P549">
        <v>-112.745</v>
      </c>
      <c r="Q549" t="s">
        <v>31</v>
      </c>
      <c r="R549">
        <v>0.13569999999999999</v>
      </c>
      <c r="S549" t="s">
        <v>172</v>
      </c>
    </row>
    <row r="550" spans="1:19" x14ac:dyDescent="0.2">
      <c r="A550">
        <v>45</v>
      </c>
      <c r="B550">
        <v>6</v>
      </c>
      <c r="C550" t="s">
        <v>131</v>
      </c>
      <c r="D550">
        <v>2008</v>
      </c>
      <c r="E550">
        <v>17.2</v>
      </c>
      <c r="F550">
        <v>3</v>
      </c>
      <c r="G550">
        <v>10.1</v>
      </c>
      <c r="H550">
        <v>27.8</v>
      </c>
      <c r="I550" t="s">
        <v>31</v>
      </c>
      <c r="J550" t="s">
        <v>31</v>
      </c>
      <c r="K550" t="s">
        <v>31</v>
      </c>
      <c r="L550" t="s">
        <v>31</v>
      </c>
      <c r="M550" t="s">
        <v>132</v>
      </c>
      <c r="N550" t="s">
        <v>91</v>
      </c>
      <c r="O550">
        <v>40.451659999999997</v>
      </c>
      <c r="P550">
        <v>-112.745</v>
      </c>
      <c r="Q550" t="s">
        <v>31</v>
      </c>
      <c r="R550">
        <v>0.13569999999999999</v>
      </c>
      <c r="S550" t="s">
        <v>172</v>
      </c>
    </row>
    <row r="551" spans="1:19" x14ac:dyDescent="0.2">
      <c r="A551">
        <v>45</v>
      </c>
      <c r="B551">
        <v>7</v>
      </c>
      <c r="C551" t="s">
        <v>131</v>
      </c>
      <c r="D551">
        <v>2008</v>
      </c>
      <c r="E551">
        <v>34.4</v>
      </c>
      <c r="F551">
        <v>3</v>
      </c>
      <c r="G551">
        <v>10.1</v>
      </c>
      <c r="H551">
        <v>27.8</v>
      </c>
      <c r="I551" t="s">
        <v>31</v>
      </c>
      <c r="J551" t="s">
        <v>31</v>
      </c>
      <c r="K551" t="s">
        <v>31</v>
      </c>
      <c r="L551" t="s">
        <v>31</v>
      </c>
      <c r="M551" t="s">
        <v>132</v>
      </c>
      <c r="N551" t="s">
        <v>91</v>
      </c>
      <c r="O551">
        <v>40.451659999999997</v>
      </c>
      <c r="P551">
        <v>-112.745</v>
      </c>
      <c r="Q551" t="s">
        <v>31</v>
      </c>
      <c r="R551">
        <v>0.13569999999999999</v>
      </c>
      <c r="S551" t="s">
        <v>172</v>
      </c>
    </row>
    <row r="552" spans="1:19" x14ac:dyDescent="0.2">
      <c r="A552">
        <v>45</v>
      </c>
      <c r="B552">
        <v>8</v>
      </c>
      <c r="C552" t="s">
        <v>131</v>
      </c>
      <c r="D552">
        <v>2008</v>
      </c>
      <c r="E552">
        <v>68.8</v>
      </c>
      <c r="F552">
        <v>3</v>
      </c>
      <c r="G552">
        <v>10.1</v>
      </c>
      <c r="H552">
        <v>27.8</v>
      </c>
      <c r="I552" t="s">
        <v>31</v>
      </c>
      <c r="J552" t="s">
        <v>31</v>
      </c>
      <c r="K552" t="s">
        <v>31</v>
      </c>
      <c r="L552" t="s">
        <v>31</v>
      </c>
      <c r="M552" t="s">
        <v>132</v>
      </c>
      <c r="N552" t="s">
        <v>91</v>
      </c>
      <c r="O552">
        <v>40.451659999999997</v>
      </c>
      <c r="P552">
        <v>-112.745</v>
      </c>
      <c r="Q552" t="s">
        <v>31</v>
      </c>
      <c r="R552">
        <v>0.13569999999999999</v>
      </c>
      <c r="S552" t="s">
        <v>172</v>
      </c>
    </row>
    <row r="553" spans="1:19" x14ac:dyDescent="0.2">
      <c r="A553">
        <v>45</v>
      </c>
      <c r="B553">
        <v>12</v>
      </c>
      <c r="C553" t="s">
        <v>131</v>
      </c>
      <c r="D553">
        <v>2008</v>
      </c>
      <c r="E553">
        <v>2.9</v>
      </c>
      <c r="F553">
        <v>4</v>
      </c>
      <c r="G553">
        <v>10.1</v>
      </c>
      <c r="H553">
        <v>27.8</v>
      </c>
      <c r="I553" t="s">
        <v>31</v>
      </c>
      <c r="J553" t="s">
        <v>31</v>
      </c>
      <c r="K553" t="s">
        <v>31</v>
      </c>
      <c r="L553" t="s">
        <v>31</v>
      </c>
      <c r="M553" t="s">
        <v>132</v>
      </c>
      <c r="N553" t="s">
        <v>91</v>
      </c>
      <c r="O553">
        <v>40.451659999999997</v>
      </c>
      <c r="P553">
        <v>-112.745</v>
      </c>
      <c r="Q553" t="s">
        <v>31</v>
      </c>
      <c r="R553">
        <v>0.13569999999999999</v>
      </c>
      <c r="S553" t="s">
        <v>172</v>
      </c>
    </row>
    <row r="554" spans="1:19" x14ac:dyDescent="0.2">
      <c r="A554">
        <v>45</v>
      </c>
      <c r="B554">
        <v>13</v>
      </c>
      <c r="C554" t="s">
        <v>131</v>
      </c>
      <c r="D554">
        <v>2008</v>
      </c>
      <c r="E554">
        <v>14.3</v>
      </c>
      <c r="F554">
        <v>4</v>
      </c>
      <c r="G554">
        <v>10.1</v>
      </c>
      <c r="H554">
        <v>27.8</v>
      </c>
      <c r="I554" t="s">
        <v>31</v>
      </c>
      <c r="J554" t="s">
        <v>31</v>
      </c>
      <c r="K554" t="s">
        <v>31</v>
      </c>
      <c r="L554" t="s">
        <v>31</v>
      </c>
      <c r="M554" t="s">
        <v>132</v>
      </c>
      <c r="N554" t="s">
        <v>91</v>
      </c>
      <c r="O554">
        <v>40.451659999999997</v>
      </c>
      <c r="P554">
        <v>-112.745</v>
      </c>
      <c r="Q554" t="s">
        <v>31</v>
      </c>
      <c r="R554">
        <v>0.13569999999999999</v>
      </c>
      <c r="S554" t="s">
        <v>172</v>
      </c>
    </row>
    <row r="555" spans="1:19" x14ac:dyDescent="0.2">
      <c r="A555">
        <v>45</v>
      </c>
      <c r="B555">
        <v>14</v>
      </c>
      <c r="C555" t="s">
        <v>131</v>
      </c>
      <c r="D555">
        <v>2008</v>
      </c>
      <c r="E555">
        <v>28.6</v>
      </c>
      <c r="F555">
        <v>4</v>
      </c>
      <c r="G555">
        <v>10.1</v>
      </c>
      <c r="H555">
        <v>27.8</v>
      </c>
      <c r="I555" t="s">
        <v>31</v>
      </c>
      <c r="J555" t="s">
        <v>31</v>
      </c>
      <c r="K555" t="s">
        <v>31</v>
      </c>
      <c r="L555" t="s">
        <v>31</v>
      </c>
      <c r="M555" t="s">
        <v>132</v>
      </c>
      <c r="N555" t="s">
        <v>91</v>
      </c>
      <c r="O555">
        <v>40.451659999999997</v>
      </c>
      <c r="P555">
        <v>-112.745</v>
      </c>
      <c r="Q555" t="s">
        <v>31</v>
      </c>
      <c r="R555">
        <v>0.13569999999999999</v>
      </c>
      <c r="S555" t="s">
        <v>172</v>
      </c>
    </row>
    <row r="556" spans="1:19" x14ac:dyDescent="0.2">
      <c r="A556">
        <v>45</v>
      </c>
      <c r="B556">
        <v>15</v>
      </c>
      <c r="C556" t="s">
        <v>131</v>
      </c>
      <c r="D556">
        <v>2008</v>
      </c>
      <c r="E556">
        <v>57.1</v>
      </c>
      <c r="F556">
        <v>4</v>
      </c>
      <c r="G556">
        <v>10.1</v>
      </c>
      <c r="H556">
        <v>27.8</v>
      </c>
      <c r="I556" t="s">
        <v>31</v>
      </c>
      <c r="J556" t="s">
        <v>31</v>
      </c>
      <c r="K556" t="s">
        <v>31</v>
      </c>
      <c r="L556" t="s">
        <v>31</v>
      </c>
      <c r="M556" t="s">
        <v>132</v>
      </c>
      <c r="N556" t="s">
        <v>91</v>
      </c>
      <c r="O556">
        <v>40.451659999999997</v>
      </c>
      <c r="P556">
        <v>-112.745</v>
      </c>
      <c r="Q556" t="s">
        <v>31</v>
      </c>
      <c r="R556">
        <v>0.13569999999999999</v>
      </c>
      <c r="S556" t="s">
        <v>172</v>
      </c>
    </row>
    <row r="557" spans="1:19" x14ac:dyDescent="0.2">
      <c r="A557">
        <v>45</v>
      </c>
      <c r="B557">
        <v>16</v>
      </c>
      <c r="C557" t="s">
        <v>131</v>
      </c>
      <c r="D557">
        <v>2008</v>
      </c>
      <c r="E557">
        <v>3.4</v>
      </c>
      <c r="F557">
        <v>4</v>
      </c>
      <c r="G557">
        <v>10.1</v>
      </c>
      <c r="H557">
        <v>27.8</v>
      </c>
      <c r="I557" t="s">
        <v>31</v>
      </c>
      <c r="J557" t="s">
        <v>31</v>
      </c>
      <c r="K557" t="s">
        <v>31</v>
      </c>
      <c r="L557" t="s">
        <v>31</v>
      </c>
      <c r="M557" t="s">
        <v>132</v>
      </c>
      <c r="N557" t="s">
        <v>91</v>
      </c>
      <c r="O557">
        <v>40.451659999999997</v>
      </c>
      <c r="P557">
        <v>-112.745</v>
      </c>
      <c r="Q557" t="s">
        <v>31</v>
      </c>
      <c r="R557">
        <v>0.13569999999999999</v>
      </c>
      <c r="S557" t="s">
        <v>172</v>
      </c>
    </row>
    <row r="558" spans="1:19" x14ac:dyDescent="0.2">
      <c r="A558">
        <v>45</v>
      </c>
      <c r="B558">
        <v>17</v>
      </c>
      <c r="C558" t="s">
        <v>131</v>
      </c>
      <c r="D558">
        <v>2008</v>
      </c>
      <c r="E558">
        <v>17.2</v>
      </c>
      <c r="F558">
        <v>4</v>
      </c>
      <c r="G558">
        <v>10.1</v>
      </c>
      <c r="H558">
        <v>27.8</v>
      </c>
      <c r="I558" t="s">
        <v>31</v>
      </c>
      <c r="J558" t="s">
        <v>31</v>
      </c>
      <c r="K558" t="s">
        <v>31</v>
      </c>
      <c r="L558" t="s">
        <v>31</v>
      </c>
      <c r="M558" t="s">
        <v>132</v>
      </c>
      <c r="N558" t="s">
        <v>91</v>
      </c>
      <c r="O558">
        <v>40.451659999999997</v>
      </c>
      <c r="P558">
        <v>-112.745</v>
      </c>
      <c r="Q558" t="s">
        <v>31</v>
      </c>
      <c r="R558">
        <v>0.13569999999999999</v>
      </c>
      <c r="S558" t="s">
        <v>172</v>
      </c>
    </row>
    <row r="559" spans="1:19" x14ac:dyDescent="0.2">
      <c r="A559">
        <v>45</v>
      </c>
      <c r="B559">
        <v>18</v>
      </c>
      <c r="C559" t="s">
        <v>131</v>
      </c>
      <c r="D559">
        <v>2008</v>
      </c>
      <c r="E559">
        <v>34.4</v>
      </c>
      <c r="F559">
        <v>4</v>
      </c>
      <c r="G559">
        <v>10.1</v>
      </c>
      <c r="H559">
        <v>27.8</v>
      </c>
      <c r="I559" t="s">
        <v>31</v>
      </c>
      <c r="J559" t="s">
        <v>31</v>
      </c>
      <c r="K559" t="s">
        <v>31</v>
      </c>
      <c r="L559" t="s">
        <v>31</v>
      </c>
      <c r="M559" t="s">
        <v>132</v>
      </c>
      <c r="N559" t="s">
        <v>91</v>
      </c>
      <c r="O559">
        <v>40.451659999999997</v>
      </c>
      <c r="P559">
        <v>-112.745</v>
      </c>
      <c r="Q559" t="s">
        <v>31</v>
      </c>
      <c r="R559">
        <v>0.13569999999999999</v>
      </c>
      <c r="S559" t="s">
        <v>172</v>
      </c>
    </row>
    <row r="560" spans="1:19" x14ac:dyDescent="0.2">
      <c r="A560">
        <v>45</v>
      </c>
      <c r="B560">
        <v>19</v>
      </c>
      <c r="C560" t="s">
        <v>131</v>
      </c>
      <c r="D560">
        <v>2008</v>
      </c>
      <c r="E560">
        <v>68.8</v>
      </c>
      <c r="F560">
        <v>4</v>
      </c>
      <c r="G560">
        <v>10.1</v>
      </c>
      <c r="H560">
        <v>27.8</v>
      </c>
      <c r="I560" t="s">
        <v>31</v>
      </c>
      <c r="J560" t="s">
        <v>31</v>
      </c>
      <c r="K560" t="s">
        <v>31</v>
      </c>
      <c r="L560" t="s">
        <v>31</v>
      </c>
      <c r="M560" t="s">
        <v>132</v>
      </c>
      <c r="N560" t="s">
        <v>91</v>
      </c>
      <c r="O560">
        <v>40.451659999999997</v>
      </c>
      <c r="P560">
        <v>-112.745</v>
      </c>
      <c r="Q560" t="s">
        <v>31</v>
      </c>
      <c r="R560">
        <v>0.13569999999999999</v>
      </c>
      <c r="S560" t="s">
        <v>172</v>
      </c>
    </row>
    <row r="561" spans="1:19" x14ac:dyDescent="0.2">
      <c r="A561">
        <v>45</v>
      </c>
      <c r="B561">
        <v>9</v>
      </c>
      <c r="C561" t="s">
        <v>131</v>
      </c>
      <c r="D561">
        <v>2008</v>
      </c>
      <c r="E561">
        <v>19.7</v>
      </c>
      <c r="F561">
        <v>3</v>
      </c>
      <c r="G561">
        <v>10.1</v>
      </c>
      <c r="H561">
        <v>27.8</v>
      </c>
      <c r="I561" t="s">
        <v>29</v>
      </c>
      <c r="J561" t="s">
        <v>31</v>
      </c>
      <c r="K561" t="s">
        <v>31</v>
      </c>
      <c r="L561" t="s">
        <v>31</v>
      </c>
      <c r="M561" t="s">
        <v>132</v>
      </c>
      <c r="N561" t="s">
        <v>91</v>
      </c>
      <c r="O561">
        <v>40.451659999999997</v>
      </c>
      <c r="P561">
        <v>-112.745</v>
      </c>
      <c r="Q561" t="s">
        <v>31</v>
      </c>
      <c r="R561">
        <v>0.13569999999999999</v>
      </c>
      <c r="S561" t="s">
        <v>172</v>
      </c>
    </row>
    <row r="562" spans="1:19" x14ac:dyDescent="0.2">
      <c r="A562">
        <v>45</v>
      </c>
      <c r="B562">
        <v>10</v>
      </c>
      <c r="C562" t="s">
        <v>131</v>
      </c>
      <c r="D562">
        <v>2008</v>
      </c>
      <c r="E562">
        <v>98.6</v>
      </c>
      <c r="F562">
        <v>3</v>
      </c>
      <c r="G562">
        <v>10.1</v>
      </c>
      <c r="H562">
        <v>27.8</v>
      </c>
      <c r="I562" t="s">
        <v>29</v>
      </c>
      <c r="J562" t="s">
        <v>31</v>
      </c>
      <c r="K562" t="s">
        <v>31</v>
      </c>
      <c r="L562" t="s">
        <v>31</v>
      </c>
      <c r="M562" t="s">
        <v>132</v>
      </c>
      <c r="N562" t="s">
        <v>91</v>
      </c>
      <c r="O562">
        <v>40.451659999999997</v>
      </c>
      <c r="P562">
        <v>-112.745</v>
      </c>
      <c r="Q562" t="s">
        <v>31</v>
      </c>
      <c r="R562">
        <v>0.13569999999999999</v>
      </c>
      <c r="S562" t="s">
        <v>172</v>
      </c>
    </row>
    <row r="563" spans="1:19" x14ac:dyDescent="0.2">
      <c r="A563">
        <v>45</v>
      </c>
      <c r="B563">
        <v>11</v>
      </c>
      <c r="C563" t="s">
        <v>131</v>
      </c>
      <c r="D563">
        <v>2008</v>
      </c>
      <c r="E563">
        <v>297.3</v>
      </c>
      <c r="F563">
        <v>3</v>
      </c>
      <c r="G563">
        <v>10.1</v>
      </c>
      <c r="H563">
        <v>27.8</v>
      </c>
      <c r="I563" t="s">
        <v>29</v>
      </c>
      <c r="J563" t="s">
        <v>31</v>
      </c>
      <c r="K563" t="s">
        <v>31</v>
      </c>
      <c r="L563" t="s">
        <v>31</v>
      </c>
      <c r="M563" t="s">
        <v>132</v>
      </c>
      <c r="N563" t="s">
        <v>91</v>
      </c>
      <c r="O563">
        <v>40.451659999999997</v>
      </c>
      <c r="P563">
        <v>-112.745</v>
      </c>
      <c r="Q563" t="s">
        <v>31</v>
      </c>
      <c r="R563">
        <v>0.13569999999999999</v>
      </c>
      <c r="S563" t="s">
        <v>172</v>
      </c>
    </row>
    <row r="564" spans="1:19" x14ac:dyDescent="0.2">
      <c r="A564">
        <v>45</v>
      </c>
      <c r="B564">
        <v>20</v>
      </c>
      <c r="C564" t="s">
        <v>131</v>
      </c>
      <c r="D564">
        <v>2008</v>
      </c>
      <c r="E564">
        <v>19.7</v>
      </c>
      <c r="F564">
        <v>4</v>
      </c>
      <c r="G564">
        <v>10.1</v>
      </c>
      <c r="H564">
        <v>27.8</v>
      </c>
      <c r="I564" t="s">
        <v>29</v>
      </c>
      <c r="J564" t="s">
        <v>31</v>
      </c>
      <c r="K564" t="s">
        <v>31</v>
      </c>
      <c r="L564" t="s">
        <v>31</v>
      </c>
      <c r="M564" t="s">
        <v>132</v>
      </c>
      <c r="N564" t="s">
        <v>91</v>
      </c>
      <c r="O564">
        <v>40.451659999999997</v>
      </c>
      <c r="P564">
        <v>-112.745</v>
      </c>
      <c r="Q564" t="s">
        <v>31</v>
      </c>
      <c r="R564">
        <v>0.13569999999999999</v>
      </c>
      <c r="S564" t="s">
        <v>172</v>
      </c>
    </row>
    <row r="565" spans="1:19" x14ac:dyDescent="0.2">
      <c r="A565">
        <v>45</v>
      </c>
      <c r="B565">
        <v>21</v>
      </c>
      <c r="C565" t="s">
        <v>131</v>
      </c>
      <c r="D565">
        <v>2008</v>
      </c>
      <c r="E565">
        <v>98.6</v>
      </c>
      <c r="F565">
        <v>4</v>
      </c>
      <c r="G565">
        <v>10.1</v>
      </c>
      <c r="H565">
        <v>27.8</v>
      </c>
      <c r="I565" t="s">
        <v>29</v>
      </c>
      <c r="J565" t="s">
        <v>31</v>
      </c>
      <c r="K565" t="s">
        <v>31</v>
      </c>
      <c r="L565" t="s">
        <v>31</v>
      </c>
      <c r="M565" t="s">
        <v>132</v>
      </c>
      <c r="N565" t="s">
        <v>91</v>
      </c>
      <c r="O565">
        <v>40.451659999999997</v>
      </c>
      <c r="P565">
        <v>-112.745</v>
      </c>
      <c r="Q565" t="s">
        <v>31</v>
      </c>
      <c r="R565">
        <v>0.13569999999999999</v>
      </c>
      <c r="S565" t="s">
        <v>172</v>
      </c>
    </row>
    <row r="566" spans="1:19" x14ac:dyDescent="0.2">
      <c r="A566">
        <v>45</v>
      </c>
      <c r="B566">
        <v>22</v>
      </c>
      <c r="C566" t="s">
        <v>131</v>
      </c>
      <c r="D566">
        <v>2008</v>
      </c>
      <c r="E566">
        <v>297.3</v>
      </c>
      <c r="F566">
        <v>4</v>
      </c>
      <c r="G566">
        <v>10.1</v>
      </c>
      <c r="H566">
        <v>27.8</v>
      </c>
      <c r="I566" t="s">
        <v>29</v>
      </c>
      <c r="J566" t="s">
        <v>31</v>
      </c>
      <c r="K566" t="s">
        <v>31</v>
      </c>
      <c r="L566" t="s">
        <v>31</v>
      </c>
      <c r="M566" t="s">
        <v>132</v>
      </c>
      <c r="N566" t="s">
        <v>91</v>
      </c>
      <c r="O566">
        <v>40.451659999999997</v>
      </c>
      <c r="P566">
        <v>-112.745</v>
      </c>
      <c r="Q566" t="s">
        <v>31</v>
      </c>
      <c r="R566">
        <v>0.13569999999999999</v>
      </c>
      <c r="S566" t="s">
        <v>172</v>
      </c>
    </row>
    <row r="567" spans="1:19" x14ac:dyDescent="0.2">
      <c r="A567">
        <v>46</v>
      </c>
      <c r="B567">
        <v>1</v>
      </c>
      <c r="C567" t="s">
        <v>60</v>
      </c>
      <c r="D567">
        <v>2016</v>
      </c>
      <c r="E567">
        <v>20</v>
      </c>
      <c r="F567">
        <v>9</v>
      </c>
      <c r="G567">
        <v>4.0999999999999996</v>
      </c>
      <c r="H567">
        <v>40.700000000000003</v>
      </c>
      <c r="I567" t="s">
        <v>31</v>
      </c>
      <c r="J567" t="s">
        <v>31</v>
      </c>
      <c r="K567" t="s">
        <v>31</v>
      </c>
      <c r="L567" t="s">
        <v>31</v>
      </c>
      <c r="M567" t="s">
        <v>62</v>
      </c>
      <c r="N567" t="s">
        <v>94</v>
      </c>
      <c r="O567">
        <v>50.68777</v>
      </c>
      <c r="P567">
        <v>-121.34083</v>
      </c>
      <c r="Q567" t="s">
        <v>31</v>
      </c>
      <c r="R567">
        <v>0.26579999999999998</v>
      </c>
      <c r="S567" t="s">
        <v>172</v>
      </c>
    </row>
    <row r="568" spans="1:19" x14ac:dyDescent="0.2">
      <c r="A568">
        <v>46</v>
      </c>
      <c r="B568">
        <v>2</v>
      </c>
      <c r="C568" t="s">
        <v>60</v>
      </c>
      <c r="D568">
        <v>2016</v>
      </c>
      <c r="E568">
        <v>60</v>
      </c>
      <c r="F568">
        <v>9</v>
      </c>
      <c r="G568">
        <v>4.0999999999999996</v>
      </c>
      <c r="H568">
        <v>40.700000000000003</v>
      </c>
      <c r="I568" t="s">
        <v>31</v>
      </c>
      <c r="J568" t="s">
        <v>31</v>
      </c>
      <c r="K568" t="s">
        <v>31</v>
      </c>
      <c r="L568" t="s">
        <v>31</v>
      </c>
      <c r="M568" t="s">
        <v>62</v>
      </c>
      <c r="N568" t="s">
        <v>94</v>
      </c>
      <c r="O568">
        <v>50.68777</v>
      </c>
      <c r="P568">
        <v>-121.34083</v>
      </c>
      <c r="Q568" t="s">
        <v>31</v>
      </c>
      <c r="R568">
        <v>0.26579999999999998</v>
      </c>
      <c r="S568" t="s">
        <v>172</v>
      </c>
    </row>
    <row r="569" spans="1:19" x14ac:dyDescent="0.2">
      <c r="A569">
        <v>47</v>
      </c>
      <c r="B569">
        <v>1</v>
      </c>
      <c r="C569" t="s">
        <v>77</v>
      </c>
      <c r="D569">
        <v>2000</v>
      </c>
      <c r="E569">
        <v>40</v>
      </c>
      <c r="F569">
        <v>2</v>
      </c>
      <c r="G569">
        <v>14.3</v>
      </c>
      <c r="H569">
        <v>42.8</v>
      </c>
      <c r="I569" t="s">
        <v>31</v>
      </c>
      <c r="J569" t="s">
        <v>31</v>
      </c>
      <c r="K569" t="s">
        <v>31</v>
      </c>
      <c r="L569" t="s">
        <v>31</v>
      </c>
      <c r="M569" t="s">
        <v>76</v>
      </c>
      <c r="N569" t="s">
        <v>93</v>
      </c>
      <c r="O569">
        <v>40.208889999999997</v>
      </c>
      <c r="P569">
        <v>-3.5686100000000001</v>
      </c>
      <c r="Q569" t="s">
        <v>31</v>
      </c>
      <c r="R569">
        <v>0.25140000000000001</v>
      </c>
      <c r="S569" t="s">
        <v>172</v>
      </c>
    </row>
    <row r="570" spans="1:19" x14ac:dyDescent="0.2">
      <c r="A570">
        <v>47</v>
      </c>
      <c r="B570">
        <v>2</v>
      </c>
      <c r="C570" t="s">
        <v>77</v>
      </c>
      <c r="D570">
        <v>2000</v>
      </c>
      <c r="E570">
        <v>80</v>
      </c>
      <c r="F570">
        <v>2</v>
      </c>
      <c r="G570">
        <v>14.3</v>
      </c>
      <c r="H570">
        <v>42.8</v>
      </c>
      <c r="I570" t="s">
        <v>31</v>
      </c>
      <c r="J570" t="s">
        <v>31</v>
      </c>
      <c r="K570" t="s">
        <v>31</v>
      </c>
      <c r="L570" t="s">
        <v>31</v>
      </c>
      <c r="M570" t="s">
        <v>76</v>
      </c>
      <c r="N570" t="s">
        <v>93</v>
      </c>
      <c r="O570">
        <v>40.208889999999997</v>
      </c>
      <c r="P570">
        <v>-3.5686100000000001</v>
      </c>
      <c r="Q570" t="s">
        <v>31</v>
      </c>
      <c r="R570">
        <v>0.25140000000000001</v>
      </c>
      <c r="S570" t="s">
        <v>172</v>
      </c>
    </row>
    <row r="571" spans="1:19" x14ac:dyDescent="0.2">
      <c r="A571">
        <v>47</v>
      </c>
      <c r="B571">
        <v>3</v>
      </c>
      <c r="C571" t="s">
        <v>77</v>
      </c>
      <c r="D571">
        <v>2000</v>
      </c>
      <c r="E571">
        <v>120</v>
      </c>
      <c r="F571">
        <v>2</v>
      </c>
      <c r="G571">
        <v>14.3</v>
      </c>
      <c r="H571">
        <v>42.8</v>
      </c>
      <c r="I571" t="s">
        <v>31</v>
      </c>
      <c r="J571" t="s">
        <v>31</v>
      </c>
      <c r="K571" t="s">
        <v>31</v>
      </c>
      <c r="L571" t="s">
        <v>31</v>
      </c>
      <c r="M571" t="s">
        <v>76</v>
      </c>
      <c r="N571" t="s">
        <v>93</v>
      </c>
      <c r="O571">
        <v>40.208889999999997</v>
      </c>
      <c r="P571">
        <v>-3.5686100000000001</v>
      </c>
      <c r="Q571" t="s">
        <v>31</v>
      </c>
      <c r="R571">
        <v>0.25140000000000001</v>
      </c>
      <c r="S571" t="s">
        <v>172</v>
      </c>
    </row>
    <row r="572" spans="1:19" x14ac:dyDescent="0.2">
      <c r="A572">
        <v>47</v>
      </c>
      <c r="B572">
        <v>4</v>
      </c>
      <c r="C572" t="s">
        <v>77</v>
      </c>
      <c r="D572">
        <v>2000</v>
      </c>
      <c r="E572">
        <v>40</v>
      </c>
      <c r="F572">
        <v>2</v>
      </c>
      <c r="G572">
        <v>14.3</v>
      </c>
      <c r="H572">
        <v>42.8</v>
      </c>
      <c r="I572" t="s">
        <v>31</v>
      </c>
      <c r="J572" t="s">
        <v>31</v>
      </c>
      <c r="K572" t="s">
        <v>31</v>
      </c>
      <c r="L572" t="s">
        <v>31</v>
      </c>
      <c r="M572" t="s">
        <v>76</v>
      </c>
      <c r="N572" t="s">
        <v>93</v>
      </c>
      <c r="O572">
        <v>40.208889999999997</v>
      </c>
      <c r="P572">
        <v>-3.5686100000000001</v>
      </c>
      <c r="Q572" t="s">
        <v>31</v>
      </c>
      <c r="R572">
        <v>0.25140000000000001</v>
      </c>
      <c r="S572" t="s">
        <v>172</v>
      </c>
    </row>
    <row r="573" spans="1:19" x14ac:dyDescent="0.2">
      <c r="A573">
        <v>47</v>
      </c>
      <c r="B573">
        <v>5</v>
      </c>
      <c r="C573" t="s">
        <v>77</v>
      </c>
      <c r="D573">
        <v>2000</v>
      </c>
      <c r="E573">
        <v>80</v>
      </c>
      <c r="F573">
        <v>2</v>
      </c>
      <c r="G573">
        <v>14.3</v>
      </c>
      <c r="H573">
        <v>42.8</v>
      </c>
      <c r="I573" t="s">
        <v>31</v>
      </c>
      <c r="J573" t="s">
        <v>31</v>
      </c>
      <c r="K573" t="s">
        <v>31</v>
      </c>
      <c r="L573" t="s">
        <v>31</v>
      </c>
      <c r="M573" t="s">
        <v>76</v>
      </c>
      <c r="N573" t="s">
        <v>93</v>
      </c>
      <c r="O573">
        <v>40.208889999999997</v>
      </c>
      <c r="P573">
        <v>-3.5686100000000001</v>
      </c>
      <c r="Q573" t="s">
        <v>31</v>
      </c>
      <c r="R573">
        <v>0.25140000000000001</v>
      </c>
      <c r="S573" t="s">
        <v>172</v>
      </c>
    </row>
    <row r="574" spans="1:19" x14ac:dyDescent="0.2">
      <c r="A574">
        <v>47</v>
      </c>
      <c r="B574">
        <v>6</v>
      </c>
      <c r="C574" t="s">
        <v>77</v>
      </c>
      <c r="D574">
        <v>2000</v>
      </c>
      <c r="E574">
        <v>120</v>
      </c>
      <c r="F574">
        <v>2</v>
      </c>
      <c r="G574">
        <v>14.3</v>
      </c>
      <c r="H574">
        <v>42.8</v>
      </c>
      <c r="I574" t="s">
        <v>31</v>
      </c>
      <c r="J574" t="s">
        <v>31</v>
      </c>
      <c r="K574" t="s">
        <v>31</v>
      </c>
      <c r="L574" t="s">
        <v>31</v>
      </c>
      <c r="M574" t="s">
        <v>76</v>
      </c>
      <c r="N574" t="s">
        <v>93</v>
      </c>
      <c r="O574">
        <v>40.208889999999997</v>
      </c>
      <c r="P574">
        <v>-3.5686100000000001</v>
      </c>
      <c r="Q574" t="s">
        <v>31</v>
      </c>
      <c r="R574">
        <v>0.25140000000000001</v>
      </c>
      <c r="S574" t="s">
        <v>172</v>
      </c>
    </row>
    <row r="575" spans="1:19" x14ac:dyDescent="0.2">
      <c r="A575">
        <v>47</v>
      </c>
      <c r="B575">
        <v>7</v>
      </c>
      <c r="C575" t="s">
        <v>77</v>
      </c>
      <c r="D575">
        <v>2000</v>
      </c>
      <c r="E575">
        <v>40</v>
      </c>
      <c r="F575">
        <v>2</v>
      </c>
      <c r="G575">
        <v>14.3</v>
      </c>
      <c r="H575">
        <v>42.8</v>
      </c>
      <c r="I575" t="s">
        <v>31</v>
      </c>
      <c r="J575" t="s">
        <v>31</v>
      </c>
      <c r="K575" t="s">
        <v>31</v>
      </c>
      <c r="L575" t="s">
        <v>31</v>
      </c>
      <c r="M575" t="s">
        <v>76</v>
      </c>
      <c r="N575" t="s">
        <v>93</v>
      </c>
      <c r="O575">
        <v>40.208889999999997</v>
      </c>
      <c r="P575">
        <v>-3.5686100000000001</v>
      </c>
      <c r="Q575" t="s">
        <v>31</v>
      </c>
      <c r="R575">
        <v>0.25140000000000001</v>
      </c>
      <c r="S575" t="s">
        <v>172</v>
      </c>
    </row>
    <row r="576" spans="1:19" x14ac:dyDescent="0.2">
      <c r="A576">
        <v>47</v>
      </c>
      <c r="B576">
        <v>8</v>
      </c>
      <c r="C576" t="s">
        <v>77</v>
      </c>
      <c r="D576">
        <v>2000</v>
      </c>
      <c r="E576">
        <v>80</v>
      </c>
      <c r="F576">
        <v>2</v>
      </c>
      <c r="G576">
        <v>14.3</v>
      </c>
      <c r="H576">
        <v>42.8</v>
      </c>
      <c r="I576" t="s">
        <v>31</v>
      </c>
      <c r="J576" t="s">
        <v>31</v>
      </c>
      <c r="K576" t="s">
        <v>31</v>
      </c>
      <c r="L576" t="s">
        <v>31</v>
      </c>
      <c r="M576" t="s">
        <v>76</v>
      </c>
      <c r="N576" t="s">
        <v>93</v>
      </c>
      <c r="O576">
        <v>40.208889999999997</v>
      </c>
      <c r="P576">
        <v>-3.5686100000000001</v>
      </c>
      <c r="Q576" t="s">
        <v>31</v>
      </c>
      <c r="R576">
        <v>0.25140000000000001</v>
      </c>
      <c r="S576" t="s">
        <v>172</v>
      </c>
    </row>
    <row r="577" spans="1:19" x14ac:dyDescent="0.2">
      <c r="A577">
        <v>47</v>
      </c>
      <c r="B577">
        <v>9</v>
      </c>
      <c r="C577" t="s">
        <v>77</v>
      </c>
      <c r="D577">
        <v>2000</v>
      </c>
      <c r="E577">
        <v>120</v>
      </c>
      <c r="F577">
        <v>2</v>
      </c>
      <c r="G577">
        <v>14.3</v>
      </c>
      <c r="H577">
        <v>42.8</v>
      </c>
      <c r="I577" t="s">
        <v>31</v>
      </c>
      <c r="J577" t="s">
        <v>31</v>
      </c>
      <c r="K577" t="s">
        <v>31</v>
      </c>
      <c r="L577" t="s">
        <v>31</v>
      </c>
      <c r="M577" t="s">
        <v>76</v>
      </c>
      <c r="N577" t="s">
        <v>93</v>
      </c>
      <c r="O577">
        <v>40.208889999999997</v>
      </c>
      <c r="P577">
        <v>-3.5686100000000001</v>
      </c>
      <c r="Q577" t="s">
        <v>31</v>
      </c>
      <c r="R577">
        <v>0.25140000000000001</v>
      </c>
      <c r="S577" t="s">
        <v>172</v>
      </c>
    </row>
    <row r="578" spans="1:19" x14ac:dyDescent="0.2">
      <c r="A578">
        <v>47</v>
      </c>
      <c r="B578">
        <v>1</v>
      </c>
      <c r="C578" t="s">
        <v>77</v>
      </c>
      <c r="D578">
        <v>2009</v>
      </c>
      <c r="E578">
        <v>40</v>
      </c>
      <c r="F578">
        <v>5</v>
      </c>
      <c r="G578">
        <v>14.3</v>
      </c>
      <c r="H578">
        <v>42.8</v>
      </c>
      <c r="I578" t="s">
        <v>31</v>
      </c>
      <c r="J578" t="s">
        <v>31</v>
      </c>
      <c r="K578" t="s">
        <v>31</v>
      </c>
      <c r="L578" t="s">
        <v>31</v>
      </c>
      <c r="M578" t="s">
        <v>76</v>
      </c>
      <c r="N578" t="s">
        <v>93</v>
      </c>
      <c r="O578">
        <v>40.208889999999997</v>
      </c>
      <c r="P578">
        <v>-3.5686100000000001</v>
      </c>
      <c r="Q578" t="s">
        <v>31</v>
      </c>
      <c r="R578">
        <v>0.25140000000000001</v>
      </c>
      <c r="S578" t="s">
        <v>172</v>
      </c>
    </row>
    <row r="579" spans="1:19" x14ac:dyDescent="0.2">
      <c r="A579">
        <v>47</v>
      </c>
      <c r="B579">
        <v>2</v>
      </c>
      <c r="C579" t="s">
        <v>77</v>
      </c>
      <c r="D579">
        <v>2009</v>
      </c>
      <c r="E579">
        <v>80</v>
      </c>
      <c r="F579">
        <v>5</v>
      </c>
      <c r="G579">
        <v>14.3</v>
      </c>
      <c r="H579">
        <v>42.8</v>
      </c>
      <c r="I579" t="s">
        <v>31</v>
      </c>
      <c r="J579" t="s">
        <v>31</v>
      </c>
      <c r="K579" t="s">
        <v>31</v>
      </c>
      <c r="L579" t="s">
        <v>31</v>
      </c>
      <c r="M579" t="s">
        <v>76</v>
      </c>
      <c r="N579" t="s">
        <v>93</v>
      </c>
      <c r="O579">
        <v>40.208889999999997</v>
      </c>
      <c r="P579">
        <v>-3.5686100000000001</v>
      </c>
      <c r="Q579" t="s">
        <v>31</v>
      </c>
      <c r="R579">
        <v>0.25140000000000001</v>
      </c>
      <c r="S579" t="s">
        <v>172</v>
      </c>
    </row>
    <row r="580" spans="1:19" x14ac:dyDescent="0.2">
      <c r="A580">
        <v>47</v>
      </c>
      <c r="B580">
        <v>3</v>
      </c>
      <c r="C580" t="s">
        <v>77</v>
      </c>
      <c r="D580">
        <v>2009</v>
      </c>
      <c r="E580">
        <v>120</v>
      </c>
      <c r="F580">
        <v>5</v>
      </c>
      <c r="G580">
        <v>14.3</v>
      </c>
      <c r="H580">
        <v>42.8</v>
      </c>
      <c r="I580" t="s">
        <v>31</v>
      </c>
      <c r="J580" t="s">
        <v>31</v>
      </c>
      <c r="K580" t="s">
        <v>31</v>
      </c>
      <c r="L580" t="s">
        <v>31</v>
      </c>
      <c r="M580" t="s">
        <v>76</v>
      </c>
      <c r="N580" t="s">
        <v>93</v>
      </c>
      <c r="O580">
        <v>40.208889999999997</v>
      </c>
      <c r="P580">
        <v>-3.5686100000000001</v>
      </c>
      <c r="Q580" t="s">
        <v>31</v>
      </c>
      <c r="R580">
        <v>0.25140000000000001</v>
      </c>
      <c r="S580" t="s">
        <v>172</v>
      </c>
    </row>
    <row r="581" spans="1:19" x14ac:dyDescent="0.2">
      <c r="A581">
        <v>47</v>
      </c>
      <c r="B581">
        <v>4</v>
      </c>
      <c r="C581" t="s">
        <v>77</v>
      </c>
      <c r="D581">
        <v>2009</v>
      </c>
      <c r="E581">
        <v>40</v>
      </c>
      <c r="F581">
        <v>6</v>
      </c>
      <c r="G581">
        <v>14.3</v>
      </c>
      <c r="H581">
        <v>42.8</v>
      </c>
      <c r="I581" t="s">
        <v>31</v>
      </c>
      <c r="J581" t="s">
        <v>31</v>
      </c>
      <c r="K581" t="s">
        <v>31</v>
      </c>
      <c r="L581" t="s">
        <v>31</v>
      </c>
      <c r="M581" t="s">
        <v>76</v>
      </c>
      <c r="N581" t="s">
        <v>93</v>
      </c>
      <c r="O581">
        <v>40.208889999999997</v>
      </c>
      <c r="P581">
        <v>-3.5686100000000001</v>
      </c>
      <c r="Q581" t="s">
        <v>31</v>
      </c>
      <c r="R581">
        <v>0.25140000000000001</v>
      </c>
      <c r="S581" t="s">
        <v>172</v>
      </c>
    </row>
    <row r="582" spans="1:19" x14ac:dyDescent="0.2">
      <c r="A582">
        <v>47</v>
      </c>
      <c r="B582">
        <v>5</v>
      </c>
      <c r="C582" t="s">
        <v>77</v>
      </c>
      <c r="D582">
        <v>2009</v>
      </c>
      <c r="E582">
        <v>80</v>
      </c>
      <c r="F582">
        <v>6</v>
      </c>
      <c r="G582">
        <v>14.3</v>
      </c>
      <c r="H582">
        <v>42.8</v>
      </c>
      <c r="I582" t="s">
        <v>31</v>
      </c>
      <c r="J582" t="s">
        <v>31</v>
      </c>
      <c r="K582" t="s">
        <v>31</v>
      </c>
      <c r="L582" t="s">
        <v>31</v>
      </c>
      <c r="M582" t="s">
        <v>76</v>
      </c>
      <c r="N582" t="s">
        <v>93</v>
      </c>
      <c r="O582">
        <v>40.208889999999997</v>
      </c>
      <c r="P582">
        <v>-3.5686100000000001</v>
      </c>
      <c r="Q582" t="s">
        <v>31</v>
      </c>
      <c r="R582">
        <v>0.25140000000000001</v>
      </c>
      <c r="S582" t="s">
        <v>172</v>
      </c>
    </row>
    <row r="583" spans="1:19" x14ac:dyDescent="0.2">
      <c r="A583">
        <v>47</v>
      </c>
      <c r="B583">
        <v>6</v>
      </c>
      <c r="C583" t="s">
        <v>77</v>
      </c>
      <c r="D583">
        <v>2009</v>
      </c>
      <c r="E583">
        <v>120</v>
      </c>
      <c r="F583">
        <v>6</v>
      </c>
      <c r="G583">
        <v>14.3</v>
      </c>
      <c r="H583">
        <v>42.8</v>
      </c>
      <c r="I583" t="s">
        <v>31</v>
      </c>
      <c r="J583" t="s">
        <v>31</v>
      </c>
      <c r="K583" t="s">
        <v>31</v>
      </c>
      <c r="L583" t="s">
        <v>31</v>
      </c>
      <c r="M583" t="s">
        <v>76</v>
      </c>
      <c r="N583" t="s">
        <v>93</v>
      </c>
      <c r="O583">
        <v>40.208889999999997</v>
      </c>
      <c r="P583">
        <v>-3.5686100000000001</v>
      </c>
      <c r="Q583" t="s">
        <v>31</v>
      </c>
      <c r="R583">
        <v>0.25140000000000001</v>
      </c>
      <c r="S583" t="s">
        <v>172</v>
      </c>
    </row>
    <row r="584" spans="1:19" x14ac:dyDescent="0.2">
      <c r="A584">
        <v>48</v>
      </c>
      <c r="B584">
        <v>1</v>
      </c>
      <c r="C584" t="s">
        <v>133</v>
      </c>
      <c r="D584">
        <v>1994</v>
      </c>
      <c r="E584">
        <v>224</v>
      </c>
      <c r="F584">
        <v>6</v>
      </c>
      <c r="G584">
        <v>10.7</v>
      </c>
      <c r="H584">
        <v>19.3</v>
      </c>
      <c r="I584" t="s">
        <v>31</v>
      </c>
      <c r="J584" t="s">
        <v>31</v>
      </c>
      <c r="K584" t="s">
        <v>29</v>
      </c>
      <c r="L584" t="s">
        <v>31</v>
      </c>
      <c r="M584" t="s">
        <v>134</v>
      </c>
      <c r="N584" t="s">
        <v>91</v>
      </c>
      <c r="O584">
        <v>39.700000000000003</v>
      </c>
      <c r="P584">
        <v>-81.11</v>
      </c>
      <c r="Q584" t="s">
        <v>29</v>
      </c>
      <c r="R584">
        <v>9.5600000000000004E-2</v>
      </c>
      <c r="S584" t="s">
        <v>172</v>
      </c>
    </row>
    <row r="585" spans="1:19" x14ac:dyDescent="0.2">
      <c r="A585">
        <v>48</v>
      </c>
      <c r="B585">
        <v>2</v>
      </c>
      <c r="C585" t="s">
        <v>133</v>
      </c>
      <c r="D585">
        <v>1994</v>
      </c>
      <c r="E585">
        <v>224</v>
      </c>
      <c r="F585">
        <v>10</v>
      </c>
      <c r="G585">
        <v>10.7</v>
      </c>
      <c r="H585">
        <v>19.3</v>
      </c>
      <c r="I585" t="s">
        <v>31</v>
      </c>
      <c r="J585" t="s">
        <v>31</v>
      </c>
      <c r="K585" t="s">
        <v>29</v>
      </c>
      <c r="L585" t="s">
        <v>31</v>
      </c>
      <c r="M585" t="s">
        <v>134</v>
      </c>
      <c r="N585" t="s">
        <v>91</v>
      </c>
      <c r="O585">
        <v>39.700000000000003</v>
      </c>
      <c r="P585">
        <v>-81.11</v>
      </c>
      <c r="Q585" t="s">
        <v>29</v>
      </c>
      <c r="R585">
        <v>9.5600000000000004E-2</v>
      </c>
      <c r="S585" t="s">
        <v>172</v>
      </c>
    </row>
    <row r="586" spans="1:19" x14ac:dyDescent="0.2">
      <c r="A586">
        <v>49</v>
      </c>
      <c r="B586">
        <v>1</v>
      </c>
      <c r="C586" t="s">
        <v>149</v>
      </c>
      <c r="D586">
        <v>2017</v>
      </c>
      <c r="E586">
        <v>90</v>
      </c>
      <c r="F586">
        <v>10</v>
      </c>
      <c r="G586">
        <v>2.2999999999999998</v>
      </c>
      <c r="H586">
        <v>37.4</v>
      </c>
      <c r="I586" t="s">
        <v>31</v>
      </c>
      <c r="J586" t="s">
        <v>31</v>
      </c>
      <c r="K586" t="s">
        <v>31</v>
      </c>
      <c r="L586" t="s">
        <v>31</v>
      </c>
      <c r="M586" t="s">
        <v>150</v>
      </c>
      <c r="N586" t="s">
        <v>150</v>
      </c>
      <c r="O586">
        <v>53.976227999999999</v>
      </c>
      <c r="P586">
        <v>21.621939999999999</v>
      </c>
      <c r="Q586" t="s">
        <v>31</v>
      </c>
      <c r="R586">
        <v>0.64559999999999995</v>
      </c>
      <c r="S586" t="s">
        <v>173</v>
      </c>
    </row>
    <row r="587" spans="1:19" x14ac:dyDescent="0.2">
      <c r="A587">
        <v>49</v>
      </c>
      <c r="B587">
        <v>2</v>
      </c>
      <c r="C587" t="s">
        <v>149</v>
      </c>
      <c r="D587">
        <v>2017</v>
      </c>
      <c r="E587">
        <v>180</v>
      </c>
      <c r="F587">
        <v>10</v>
      </c>
      <c r="G587">
        <v>2.2999999999999998</v>
      </c>
      <c r="H587">
        <v>37.4</v>
      </c>
      <c r="I587" t="s">
        <v>31</v>
      </c>
      <c r="J587" t="s">
        <v>31</v>
      </c>
      <c r="K587" t="s">
        <v>31</v>
      </c>
      <c r="L587" t="s">
        <v>31</v>
      </c>
      <c r="M587" t="s">
        <v>150</v>
      </c>
      <c r="N587" t="s">
        <v>150</v>
      </c>
      <c r="O587">
        <v>53.976227999999999</v>
      </c>
      <c r="P587">
        <v>21.621939999999999</v>
      </c>
      <c r="Q587" t="s">
        <v>31</v>
      </c>
      <c r="R587">
        <v>0.64559999999999995</v>
      </c>
      <c r="S587" t="s">
        <v>173</v>
      </c>
    </row>
    <row r="588" spans="1:19" x14ac:dyDescent="0.2">
      <c r="A588">
        <v>49</v>
      </c>
      <c r="B588">
        <v>3</v>
      </c>
      <c r="C588" t="s">
        <v>149</v>
      </c>
      <c r="D588">
        <v>2017</v>
      </c>
      <c r="E588">
        <v>270</v>
      </c>
      <c r="F588">
        <v>10</v>
      </c>
      <c r="G588">
        <v>2.2999999999999998</v>
      </c>
      <c r="H588">
        <v>37.4</v>
      </c>
      <c r="I588" t="s">
        <v>31</v>
      </c>
      <c r="J588" t="s">
        <v>31</v>
      </c>
      <c r="K588" t="s">
        <v>31</v>
      </c>
      <c r="L588" t="s">
        <v>31</v>
      </c>
      <c r="M588" t="s">
        <v>150</v>
      </c>
      <c r="N588" t="s">
        <v>150</v>
      </c>
      <c r="O588">
        <v>53.976227999999999</v>
      </c>
      <c r="P588">
        <v>21.621939999999999</v>
      </c>
      <c r="Q588" t="s">
        <v>31</v>
      </c>
      <c r="R588">
        <v>0.64559999999999995</v>
      </c>
      <c r="S588" t="s">
        <v>173</v>
      </c>
    </row>
    <row r="589" spans="1:19" x14ac:dyDescent="0.2">
      <c r="A589">
        <v>49</v>
      </c>
      <c r="B589">
        <v>4</v>
      </c>
      <c r="C589" t="s">
        <v>149</v>
      </c>
      <c r="D589">
        <v>2017</v>
      </c>
      <c r="E589">
        <v>90</v>
      </c>
      <c r="F589">
        <v>10</v>
      </c>
      <c r="G589">
        <v>2.2999999999999998</v>
      </c>
      <c r="H589">
        <v>37.4</v>
      </c>
      <c r="I589" t="s">
        <v>31</v>
      </c>
      <c r="J589" t="s">
        <v>31</v>
      </c>
      <c r="K589" t="s">
        <v>31</v>
      </c>
      <c r="L589" t="s">
        <v>31</v>
      </c>
      <c r="M589" t="s">
        <v>150</v>
      </c>
      <c r="N589" t="s">
        <v>150</v>
      </c>
      <c r="O589">
        <v>53.976227999999999</v>
      </c>
      <c r="P589">
        <v>21.621939999999999</v>
      </c>
      <c r="Q589" t="s">
        <v>31</v>
      </c>
      <c r="R589">
        <v>0.64559999999999995</v>
      </c>
      <c r="S589" t="s">
        <v>173</v>
      </c>
    </row>
    <row r="590" spans="1:19" x14ac:dyDescent="0.2">
      <c r="A590">
        <v>49</v>
      </c>
      <c r="B590">
        <v>5</v>
      </c>
      <c r="C590" t="s">
        <v>149</v>
      </c>
      <c r="D590">
        <v>2017</v>
      </c>
      <c r="E590">
        <v>180</v>
      </c>
      <c r="F590">
        <v>10</v>
      </c>
      <c r="G590">
        <v>2.2999999999999998</v>
      </c>
      <c r="H590">
        <v>37.4</v>
      </c>
      <c r="I590" t="s">
        <v>31</v>
      </c>
      <c r="J590" t="s">
        <v>31</v>
      </c>
      <c r="K590" t="s">
        <v>31</v>
      </c>
      <c r="L590" t="s">
        <v>31</v>
      </c>
      <c r="M590" t="s">
        <v>150</v>
      </c>
      <c r="N590" t="s">
        <v>150</v>
      </c>
      <c r="O590">
        <v>53.976227999999999</v>
      </c>
      <c r="P590">
        <v>21.621939999999999</v>
      </c>
      <c r="Q590" t="s">
        <v>31</v>
      </c>
      <c r="R590">
        <v>0.64559999999999995</v>
      </c>
      <c r="S590" t="s">
        <v>173</v>
      </c>
    </row>
    <row r="591" spans="1:19" x14ac:dyDescent="0.2">
      <c r="A591">
        <v>49</v>
      </c>
      <c r="B591">
        <v>6</v>
      </c>
      <c r="C591" t="s">
        <v>149</v>
      </c>
      <c r="D591">
        <v>2017</v>
      </c>
      <c r="E591">
        <v>270</v>
      </c>
      <c r="F591">
        <v>10</v>
      </c>
      <c r="G591">
        <v>2.2999999999999998</v>
      </c>
      <c r="H591">
        <v>37.4</v>
      </c>
      <c r="I591" t="s">
        <v>31</v>
      </c>
      <c r="J591" t="s">
        <v>31</v>
      </c>
      <c r="K591" t="s">
        <v>31</v>
      </c>
      <c r="L591" t="s">
        <v>31</v>
      </c>
      <c r="M591" t="s">
        <v>150</v>
      </c>
      <c r="N591" t="s">
        <v>150</v>
      </c>
      <c r="O591">
        <v>53.976227999999999</v>
      </c>
      <c r="P591">
        <v>21.621939999999999</v>
      </c>
      <c r="Q591" t="s">
        <v>31</v>
      </c>
      <c r="R591">
        <v>0.64559999999999995</v>
      </c>
      <c r="S591" t="s">
        <v>173</v>
      </c>
    </row>
    <row r="592" spans="1:19" x14ac:dyDescent="0.2">
      <c r="A592">
        <v>49</v>
      </c>
      <c r="B592">
        <v>7</v>
      </c>
      <c r="C592" t="s">
        <v>149</v>
      </c>
      <c r="D592">
        <v>2017</v>
      </c>
      <c r="E592">
        <v>90</v>
      </c>
      <c r="F592">
        <v>10</v>
      </c>
      <c r="G592">
        <v>2.2999999999999998</v>
      </c>
      <c r="H592">
        <v>37.4</v>
      </c>
      <c r="I592" t="s">
        <v>31</v>
      </c>
      <c r="J592" t="s">
        <v>31</v>
      </c>
      <c r="K592" t="s">
        <v>31</v>
      </c>
      <c r="L592" t="s">
        <v>31</v>
      </c>
      <c r="M592" t="s">
        <v>150</v>
      </c>
      <c r="N592" t="s">
        <v>150</v>
      </c>
      <c r="O592">
        <v>53.976227999999999</v>
      </c>
      <c r="P592">
        <v>21.621939999999999</v>
      </c>
      <c r="Q592" t="s">
        <v>31</v>
      </c>
      <c r="R592">
        <v>0.64559999999999995</v>
      </c>
      <c r="S592" t="s">
        <v>173</v>
      </c>
    </row>
    <row r="593" spans="1:19" x14ac:dyDescent="0.2">
      <c r="A593">
        <v>49</v>
      </c>
      <c r="B593">
        <v>8</v>
      </c>
      <c r="C593" t="s">
        <v>149</v>
      </c>
      <c r="D593">
        <v>2017</v>
      </c>
      <c r="E593">
        <v>180</v>
      </c>
      <c r="F593">
        <v>10</v>
      </c>
      <c r="G593">
        <v>2.2999999999999998</v>
      </c>
      <c r="H593">
        <v>37.4</v>
      </c>
      <c r="I593" t="s">
        <v>31</v>
      </c>
      <c r="J593" t="s">
        <v>31</v>
      </c>
      <c r="K593" t="s">
        <v>31</v>
      </c>
      <c r="L593" t="s">
        <v>31</v>
      </c>
      <c r="M593" t="s">
        <v>150</v>
      </c>
      <c r="N593" t="s">
        <v>150</v>
      </c>
      <c r="O593">
        <v>53.976227999999999</v>
      </c>
      <c r="P593">
        <v>21.621939999999999</v>
      </c>
      <c r="Q593" t="s">
        <v>31</v>
      </c>
      <c r="R593">
        <v>0.64559999999999995</v>
      </c>
      <c r="S593" t="s">
        <v>173</v>
      </c>
    </row>
    <row r="594" spans="1:19" x14ac:dyDescent="0.2">
      <c r="A594">
        <v>49</v>
      </c>
      <c r="B594">
        <v>9</v>
      </c>
      <c r="C594" t="s">
        <v>149</v>
      </c>
      <c r="D594">
        <v>2017</v>
      </c>
      <c r="E594">
        <v>270</v>
      </c>
      <c r="F594">
        <v>10</v>
      </c>
      <c r="G594">
        <v>2.2999999999999998</v>
      </c>
      <c r="H594">
        <v>37.4</v>
      </c>
      <c r="I594" t="s">
        <v>31</v>
      </c>
      <c r="J594" t="s">
        <v>31</v>
      </c>
      <c r="K594" t="s">
        <v>31</v>
      </c>
      <c r="L594" t="s">
        <v>31</v>
      </c>
      <c r="M594" t="s">
        <v>150</v>
      </c>
      <c r="N594" t="s">
        <v>150</v>
      </c>
      <c r="O594">
        <v>53.976227999999999</v>
      </c>
      <c r="P594">
        <v>21.621939999999999</v>
      </c>
      <c r="Q594" t="s">
        <v>31</v>
      </c>
      <c r="R594">
        <v>0.64559999999999995</v>
      </c>
      <c r="S594" t="s">
        <v>173</v>
      </c>
    </row>
    <row r="595" spans="1:19" x14ac:dyDescent="0.2">
      <c r="A595">
        <v>49</v>
      </c>
      <c r="B595">
        <v>10</v>
      </c>
      <c r="C595" t="s">
        <v>149</v>
      </c>
      <c r="D595">
        <v>2017</v>
      </c>
      <c r="E595">
        <v>90</v>
      </c>
      <c r="F595">
        <v>10</v>
      </c>
      <c r="G595">
        <v>2.2999999999999998</v>
      </c>
      <c r="H595">
        <v>37.4</v>
      </c>
      <c r="I595" t="s">
        <v>31</v>
      </c>
      <c r="J595" t="s">
        <v>31</v>
      </c>
      <c r="K595" t="s">
        <v>31</v>
      </c>
      <c r="L595" t="s">
        <v>31</v>
      </c>
      <c r="M595" t="s">
        <v>150</v>
      </c>
      <c r="N595" t="s">
        <v>150</v>
      </c>
      <c r="O595">
        <v>53.976227999999999</v>
      </c>
      <c r="P595">
        <v>21.621939999999999</v>
      </c>
      <c r="Q595" t="s">
        <v>31</v>
      </c>
      <c r="R595">
        <v>0.64559999999999995</v>
      </c>
      <c r="S595" t="s">
        <v>173</v>
      </c>
    </row>
    <row r="596" spans="1:19" x14ac:dyDescent="0.2">
      <c r="A596">
        <v>49</v>
      </c>
      <c r="B596">
        <v>11</v>
      </c>
      <c r="C596" t="s">
        <v>149</v>
      </c>
      <c r="D596">
        <v>2017</v>
      </c>
      <c r="E596">
        <v>180</v>
      </c>
      <c r="F596">
        <v>10</v>
      </c>
      <c r="G596">
        <v>2.2999999999999998</v>
      </c>
      <c r="H596">
        <v>37.4</v>
      </c>
      <c r="I596" t="s">
        <v>31</v>
      </c>
      <c r="J596" t="s">
        <v>31</v>
      </c>
      <c r="K596" t="s">
        <v>31</v>
      </c>
      <c r="L596" t="s">
        <v>31</v>
      </c>
      <c r="M596" t="s">
        <v>150</v>
      </c>
      <c r="N596" t="s">
        <v>150</v>
      </c>
      <c r="O596">
        <v>53.976227999999999</v>
      </c>
      <c r="P596">
        <v>21.621939999999999</v>
      </c>
      <c r="Q596" t="s">
        <v>31</v>
      </c>
      <c r="R596">
        <v>0.64559999999999995</v>
      </c>
      <c r="S596" t="s">
        <v>173</v>
      </c>
    </row>
    <row r="597" spans="1:19" x14ac:dyDescent="0.2">
      <c r="A597">
        <v>49</v>
      </c>
      <c r="B597">
        <v>12</v>
      </c>
      <c r="C597" t="s">
        <v>149</v>
      </c>
      <c r="D597">
        <v>2017</v>
      </c>
      <c r="E597">
        <v>270</v>
      </c>
      <c r="F597">
        <v>10</v>
      </c>
      <c r="G597">
        <v>2.2999999999999998</v>
      </c>
      <c r="H597">
        <v>37.4</v>
      </c>
      <c r="I597" t="s">
        <v>31</v>
      </c>
      <c r="J597" t="s">
        <v>31</v>
      </c>
      <c r="K597" t="s">
        <v>31</v>
      </c>
      <c r="L597" t="s">
        <v>31</v>
      </c>
      <c r="M597" t="s">
        <v>150</v>
      </c>
      <c r="N597" t="s">
        <v>150</v>
      </c>
      <c r="O597">
        <v>53.976227999999999</v>
      </c>
      <c r="P597">
        <v>21.621939999999999</v>
      </c>
      <c r="Q597" t="s">
        <v>31</v>
      </c>
      <c r="R597">
        <v>0.64559999999999995</v>
      </c>
      <c r="S597" t="s">
        <v>173</v>
      </c>
    </row>
    <row r="598" spans="1:19" x14ac:dyDescent="0.2">
      <c r="A598">
        <v>49</v>
      </c>
      <c r="B598">
        <v>13</v>
      </c>
      <c r="C598" t="s">
        <v>149</v>
      </c>
      <c r="D598">
        <v>2017</v>
      </c>
      <c r="E598">
        <v>90</v>
      </c>
      <c r="F598">
        <v>11</v>
      </c>
      <c r="G598">
        <v>2.2999999999999998</v>
      </c>
      <c r="H598">
        <v>37.4</v>
      </c>
      <c r="I598" t="s">
        <v>31</v>
      </c>
      <c r="J598" t="s">
        <v>31</v>
      </c>
      <c r="K598" t="s">
        <v>31</v>
      </c>
      <c r="L598" t="s">
        <v>31</v>
      </c>
      <c r="M598" t="s">
        <v>150</v>
      </c>
      <c r="N598" t="s">
        <v>150</v>
      </c>
      <c r="O598">
        <v>53.976227999999999</v>
      </c>
      <c r="P598">
        <v>21.621939999999999</v>
      </c>
      <c r="Q598" t="s">
        <v>31</v>
      </c>
      <c r="R598">
        <v>0.64559999999999995</v>
      </c>
      <c r="S598" t="s">
        <v>173</v>
      </c>
    </row>
    <row r="599" spans="1:19" x14ac:dyDescent="0.2">
      <c r="A599">
        <v>49</v>
      </c>
      <c r="B599">
        <v>14</v>
      </c>
      <c r="C599" t="s">
        <v>149</v>
      </c>
      <c r="D599">
        <v>2017</v>
      </c>
      <c r="E599">
        <v>180</v>
      </c>
      <c r="F599">
        <v>11</v>
      </c>
      <c r="G599">
        <v>2.2999999999999998</v>
      </c>
      <c r="H599">
        <v>37.4</v>
      </c>
      <c r="I599" t="s">
        <v>31</v>
      </c>
      <c r="J599" t="s">
        <v>31</v>
      </c>
      <c r="K599" t="s">
        <v>31</v>
      </c>
      <c r="L599" t="s">
        <v>31</v>
      </c>
      <c r="M599" t="s">
        <v>150</v>
      </c>
      <c r="N599" t="s">
        <v>150</v>
      </c>
      <c r="O599">
        <v>53.976227999999999</v>
      </c>
      <c r="P599">
        <v>21.621939999999999</v>
      </c>
      <c r="Q599" t="s">
        <v>31</v>
      </c>
      <c r="R599">
        <v>0.64559999999999995</v>
      </c>
      <c r="S599" t="s">
        <v>173</v>
      </c>
    </row>
    <row r="600" spans="1:19" x14ac:dyDescent="0.2">
      <c r="A600">
        <v>49</v>
      </c>
      <c r="B600">
        <v>15</v>
      </c>
      <c r="C600" t="s">
        <v>149</v>
      </c>
      <c r="D600">
        <v>2017</v>
      </c>
      <c r="E600">
        <v>270</v>
      </c>
      <c r="F600">
        <v>11</v>
      </c>
      <c r="G600">
        <v>2.2999999999999998</v>
      </c>
      <c r="H600">
        <v>37.4</v>
      </c>
      <c r="I600" t="s">
        <v>31</v>
      </c>
      <c r="J600" t="s">
        <v>31</v>
      </c>
      <c r="K600" t="s">
        <v>31</v>
      </c>
      <c r="L600" t="s">
        <v>31</v>
      </c>
      <c r="M600" t="s">
        <v>150</v>
      </c>
      <c r="N600" t="s">
        <v>150</v>
      </c>
      <c r="O600">
        <v>53.976227999999999</v>
      </c>
      <c r="P600">
        <v>21.621939999999999</v>
      </c>
      <c r="Q600" t="s">
        <v>31</v>
      </c>
      <c r="R600">
        <v>0.64559999999999995</v>
      </c>
      <c r="S600" t="s">
        <v>173</v>
      </c>
    </row>
    <row r="601" spans="1:19" x14ac:dyDescent="0.2">
      <c r="A601">
        <v>49</v>
      </c>
      <c r="B601">
        <v>16</v>
      </c>
      <c r="C601" t="s">
        <v>149</v>
      </c>
      <c r="D601">
        <v>2017</v>
      </c>
      <c r="E601">
        <v>90</v>
      </c>
      <c r="F601">
        <v>11</v>
      </c>
      <c r="G601">
        <v>2.2999999999999998</v>
      </c>
      <c r="H601">
        <v>37.4</v>
      </c>
      <c r="I601" t="s">
        <v>31</v>
      </c>
      <c r="J601" t="s">
        <v>31</v>
      </c>
      <c r="K601" t="s">
        <v>31</v>
      </c>
      <c r="L601" t="s">
        <v>31</v>
      </c>
      <c r="M601" t="s">
        <v>150</v>
      </c>
      <c r="N601" t="s">
        <v>150</v>
      </c>
      <c r="O601">
        <v>53.976227999999999</v>
      </c>
      <c r="P601">
        <v>21.621939999999999</v>
      </c>
      <c r="Q601" t="s">
        <v>31</v>
      </c>
      <c r="R601">
        <v>0.64559999999999995</v>
      </c>
      <c r="S601" t="s">
        <v>173</v>
      </c>
    </row>
    <row r="602" spans="1:19" x14ac:dyDescent="0.2">
      <c r="A602">
        <v>49</v>
      </c>
      <c r="B602">
        <v>17</v>
      </c>
      <c r="C602" t="s">
        <v>149</v>
      </c>
      <c r="D602">
        <v>2017</v>
      </c>
      <c r="E602">
        <v>180</v>
      </c>
      <c r="F602">
        <v>11</v>
      </c>
      <c r="G602">
        <v>2.2999999999999998</v>
      </c>
      <c r="H602">
        <v>37.4</v>
      </c>
      <c r="I602" t="s">
        <v>31</v>
      </c>
      <c r="J602" t="s">
        <v>31</v>
      </c>
      <c r="K602" t="s">
        <v>31</v>
      </c>
      <c r="L602" t="s">
        <v>31</v>
      </c>
      <c r="M602" t="s">
        <v>150</v>
      </c>
      <c r="N602" t="s">
        <v>150</v>
      </c>
      <c r="O602">
        <v>53.976227999999999</v>
      </c>
      <c r="P602">
        <v>21.621939999999999</v>
      </c>
      <c r="Q602" t="s">
        <v>31</v>
      </c>
      <c r="R602">
        <v>0.64559999999999995</v>
      </c>
      <c r="S602" t="s">
        <v>173</v>
      </c>
    </row>
    <row r="603" spans="1:19" x14ac:dyDescent="0.2">
      <c r="A603">
        <v>49</v>
      </c>
      <c r="B603">
        <v>18</v>
      </c>
      <c r="C603" t="s">
        <v>149</v>
      </c>
      <c r="D603">
        <v>2017</v>
      </c>
      <c r="E603">
        <v>270</v>
      </c>
      <c r="F603">
        <v>11</v>
      </c>
      <c r="G603">
        <v>2.2999999999999998</v>
      </c>
      <c r="H603">
        <v>37.4</v>
      </c>
      <c r="I603" t="s">
        <v>31</v>
      </c>
      <c r="J603" t="s">
        <v>31</v>
      </c>
      <c r="K603" t="s">
        <v>31</v>
      </c>
      <c r="L603" t="s">
        <v>31</v>
      </c>
      <c r="M603" t="s">
        <v>150</v>
      </c>
      <c r="N603" t="s">
        <v>150</v>
      </c>
      <c r="O603">
        <v>53.976227999999999</v>
      </c>
      <c r="P603">
        <v>21.621939999999999</v>
      </c>
      <c r="Q603" t="s">
        <v>31</v>
      </c>
      <c r="R603">
        <v>0.64559999999999995</v>
      </c>
      <c r="S603" t="s">
        <v>173</v>
      </c>
    </row>
    <row r="604" spans="1:19" x14ac:dyDescent="0.2">
      <c r="A604">
        <v>49</v>
      </c>
      <c r="B604">
        <v>19</v>
      </c>
      <c r="C604" t="s">
        <v>149</v>
      </c>
      <c r="D604">
        <v>2017</v>
      </c>
      <c r="E604">
        <v>90</v>
      </c>
      <c r="F604">
        <v>11</v>
      </c>
      <c r="G604">
        <v>2.2999999999999998</v>
      </c>
      <c r="H604">
        <v>37.4</v>
      </c>
      <c r="I604" t="s">
        <v>31</v>
      </c>
      <c r="J604" t="s">
        <v>31</v>
      </c>
      <c r="K604" t="s">
        <v>31</v>
      </c>
      <c r="L604" t="s">
        <v>31</v>
      </c>
      <c r="M604" t="s">
        <v>150</v>
      </c>
      <c r="N604" t="s">
        <v>150</v>
      </c>
      <c r="O604">
        <v>53.976227999999999</v>
      </c>
      <c r="P604">
        <v>21.621939999999999</v>
      </c>
      <c r="Q604" t="s">
        <v>31</v>
      </c>
      <c r="R604">
        <v>0.64559999999999995</v>
      </c>
      <c r="S604" t="s">
        <v>173</v>
      </c>
    </row>
    <row r="605" spans="1:19" x14ac:dyDescent="0.2">
      <c r="A605">
        <v>49</v>
      </c>
      <c r="B605">
        <v>20</v>
      </c>
      <c r="C605" t="s">
        <v>149</v>
      </c>
      <c r="D605">
        <v>2017</v>
      </c>
      <c r="E605">
        <v>180</v>
      </c>
      <c r="F605">
        <v>11</v>
      </c>
      <c r="G605">
        <v>2.2999999999999998</v>
      </c>
      <c r="H605">
        <v>37.4</v>
      </c>
      <c r="I605" t="s">
        <v>31</v>
      </c>
      <c r="J605" t="s">
        <v>31</v>
      </c>
      <c r="K605" t="s">
        <v>31</v>
      </c>
      <c r="L605" t="s">
        <v>31</v>
      </c>
      <c r="M605" t="s">
        <v>150</v>
      </c>
      <c r="N605" t="s">
        <v>150</v>
      </c>
      <c r="O605">
        <v>53.976227999999999</v>
      </c>
      <c r="P605">
        <v>21.621939999999999</v>
      </c>
      <c r="Q605" t="s">
        <v>31</v>
      </c>
      <c r="R605">
        <v>0.64559999999999995</v>
      </c>
      <c r="S605" t="s">
        <v>173</v>
      </c>
    </row>
    <row r="606" spans="1:19" x14ac:dyDescent="0.2">
      <c r="A606">
        <v>49</v>
      </c>
      <c r="B606">
        <v>21</v>
      </c>
      <c r="C606" t="s">
        <v>149</v>
      </c>
      <c r="D606">
        <v>2017</v>
      </c>
      <c r="E606">
        <v>270</v>
      </c>
      <c r="F606">
        <v>11</v>
      </c>
      <c r="G606">
        <v>2.2999999999999998</v>
      </c>
      <c r="H606">
        <v>37.4</v>
      </c>
      <c r="I606" t="s">
        <v>31</v>
      </c>
      <c r="J606" t="s">
        <v>31</v>
      </c>
      <c r="K606" t="s">
        <v>31</v>
      </c>
      <c r="L606" t="s">
        <v>31</v>
      </c>
      <c r="M606" t="s">
        <v>150</v>
      </c>
      <c r="N606" t="s">
        <v>150</v>
      </c>
      <c r="O606">
        <v>53.976227999999999</v>
      </c>
      <c r="P606">
        <v>21.621939999999999</v>
      </c>
      <c r="Q606" t="s">
        <v>31</v>
      </c>
      <c r="R606">
        <v>0.64559999999999995</v>
      </c>
      <c r="S606" t="s">
        <v>173</v>
      </c>
    </row>
    <row r="607" spans="1:19" x14ac:dyDescent="0.2">
      <c r="A607">
        <v>49</v>
      </c>
      <c r="B607">
        <v>22</v>
      </c>
      <c r="C607" t="s">
        <v>149</v>
      </c>
      <c r="D607">
        <v>2017</v>
      </c>
      <c r="E607">
        <v>90</v>
      </c>
      <c r="F607">
        <v>11</v>
      </c>
      <c r="G607">
        <v>2.2999999999999998</v>
      </c>
      <c r="H607">
        <v>37.4</v>
      </c>
      <c r="I607" t="s">
        <v>31</v>
      </c>
      <c r="J607" t="s">
        <v>31</v>
      </c>
      <c r="K607" t="s">
        <v>31</v>
      </c>
      <c r="L607" t="s">
        <v>31</v>
      </c>
      <c r="M607" t="s">
        <v>150</v>
      </c>
      <c r="N607" t="s">
        <v>150</v>
      </c>
      <c r="O607">
        <v>53.976227999999999</v>
      </c>
      <c r="P607">
        <v>21.621939999999999</v>
      </c>
      <c r="Q607" t="s">
        <v>31</v>
      </c>
      <c r="R607">
        <v>0.64559999999999995</v>
      </c>
      <c r="S607" t="s">
        <v>173</v>
      </c>
    </row>
    <row r="608" spans="1:19" x14ac:dyDescent="0.2">
      <c r="A608">
        <v>49</v>
      </c>
      <c r="B608">
        <v>23</v>
      </c>
      <c r="C608" t="s">
        <v>149</v>
      </c>
      <c r="D608">
        <v>2017</v>
      </c>
      <c r="E608">
        <v>180</v>
      </c>
      <c r="F608">
        <v>11</v>
      </c>
      <c r="G608">
        <v>2.2999999999999998</v>
      </c>
      <c r="H608">
        <v>37.4</v>
      </c>
      <c r="I608" t="s">
        <v>31</v>
      </c>
      <c r="J608" t="s">
        <v>31</v>
      </c>
      <c r="K608" t="s">
        <v>31</v>
      </c>
      <c r="L608" t="s">
        <v>31</v>
      </c>
      <c r="M608" t="s">
        <v>150</v>
      </c>
      <c r="N608" t="s">
        <v>150</v>
      </c>
      <c r="O608">
        <v>53.976227999999999</v>
      </c>
      <c r="P608">
        <v>21.621939999999999</v>
      </c>
      <c r="Q608" t="s">
        <v>31</v>
      </c>
      <c r="R608">
        <v>0.64559999999999995</v>
      </c>
      <c r="S608" t="s">
        <v>173</v>
      </c>
    </row>
    <row r="609" spans="1:19" x14ac:dyDescent="0.2">
      <c r="A609">
        <v>49</v>
      </c>
      <c r="B609">
        <v>24</v>
      </c>
      <c r="C609" t="s">
        <v>149</v>
      </c>
      <c r="D609">
        <v>2017</v>
      </c>
      <c r="E609">
        <v>270</v>
      </c>
      <c r="F609">
        <v>11</v>
      </c>
      <c r="G609">
        <v>2.2999999999999998</v>
      </c>
      <c r="H609">
        <v>37.4</v>
      </c>
      <c r="I609" t="s">
        <v>31</v>
      </c>
      <c r="J609" t="s">
        <v>31</v>
      </c>
      <c r="K609" t="s">
        <v>31</v>
      </c>
      <c r="L609" t="s">
        <v>31</v>
      </c>
      <c r="M609" t="s">
        <v>150</v>
      </c>
      <c r="N609" t="s">
        <v>150</v>
      </c>
      <c r="O609">
        <v>53.976227999999999</v>
      </c>
      <c r="P609">
        <v>21.621939999999999</v>
      </c>
      <c r="Q609" t="s">
        <v>31</v>
      </c>
      <c r="R609">
        <v>0.64559999999999995</v>
      </c>
      <c r="S609" t="s">
        <v>173</v>
      </c>
    </row>
    <row r="610" spans="1:19" x14ac:dyDescent="0.2">
      <c r="A610">
        <v>50</v>
      </c>
      <c r="B610">
        <v>1</v>
      </c>
      <c r="C610" t="s">
        <v>191</v>
      </c>
      <c r="D610">
        <v>2012</v>
      </c>
      <c r="E610">
        <v>5</v>
      </c>
      <c r="F610">
        <v>6</v>
      </c>
      <c r="G610">
        <v>18</v>
      </c>
      <c r="H610">
        <v>31.5</v>
      </c>
      <c r="I610" t="s">
        <v>31</v>
      </c>
      <c r="J610" t="s">
        <v>31</v>
      </c>
      <c r="K610" t="s">
        <v>31</v>
      </c>
      <c r="L610" t="s">
        <v>31</v>
      </c>
      <c r="M610" t="s">
        <v>78</v>
      </c>
      <c r="N610" t="s">
        <v>93</v>
      </c>
      <c r="O610">
        <v>37.6</v>
      </c>
      <c r="P610">
        <v>-0.82</v>
      </c>
      <c r="Q610" t="s">
        <v>29</v>
      </c>
      <c r="R610">
        <v>0.1719</v>
      </c>
      <c r="S610" t="s">
        <v>173</v>
      </c>
    </row>
    <row r="611" spans="1:19" x14ac:dyDescent="0.2">
      <c r="A611">
        <v>51</v>
      </c>
      <c r="B611">
        <v>2</v>
      </c>
      <c r="C611" t="s">
        <v>191</v>
      </c>
      <c r="D611">
        <v>2013</v>
      </c>
      <c r="E611">
        <v>10</v>
      </c>
      <c r="F611">
        <v>6</v>
      </c>
      <c r="G611">
        <v>18</v>
      </c>
      <c r="H611">
        <v>31.5</v>
      </c>
      <c r="I611" t="s">
        <v>31</v>
      </c>
      <c r="J611" t="s">
        <v>31</v>
      </c>
      <c r="K611" t="s">
        <v>31</v>
      </c>
      <c r="L611" t="s">
        <v>31</v>
      </c>
      <c r="M611" t="s">
        <v>78</v>
      </c>
      <c r="N611" t="s">
        <v>93</v>
      </c>
      <c r="O611">
        <v>37.6</v>
      </c>
      <c r="P611">
        <v>-0.82</v>
      </c>
      <c r="Q611" t="s">
        <v>29</v>
      </c>
      <c r="R611">
        <v>0.1719</v>
      </c>
      <c r="S611" t="s">
        <v>173</v>
      </c>
    </row>
    <row r="612" spans="1:19" x14ac:dyDescent="0.2">
      <c r="A612">
        <v>51</v>
      </c>
      <c r="B612">
        <v>3</v>
      </c>
      <c r="C612" t="s">
        <v>191</v>
      </c>
      <c r="D612">
        <v>2014</v>
      </c>
      <c r="E612">
        <v>20</v>
      </c>
      <c r="F612">
        <v>6</v>
      </c>
      <c r="G612">
        <v>18</v>
      </c>
      <c r="H612">
        <v>31.5</v>
      </c>
      <c r="I612" t="s">
        <v>31</v>
      </c>
      <c r="J612" t="s">
        <v>31</v>
      </c>
      <c r="K612" t="s">
        <v>31</v>
      </c>
      <c r="L612" t="s">
        <v>31</v>
      </c>
      <c r="M612" t="s">
        <v>78</v>
      </c>
      <c r="N612" t="s">
        <v>93</v>
      </c>
      <c r="O612">
        <v>37.6</v>
      </c>
      <c r="P612">
        <v>-0.82</v>
      </c>
      <c r="Q612" t="s">
        <v>29</v>
      </c>
      <c r="R612">
        <v>0.1719</v>
      </c>
      <c r="S612" t="s">
        <v>173</v>
      </c>
    </row>
    <row r="613" spans="1:19" x14ac:dyDescent="0.2">
      <c r="A613">
        <v>25</v>
      </c>
      <c r="B613">
        <v>1</v>
      </c>
      <c r="C613" t="s">
        <v>79</v>
      </c>
      <c r="D613">
        <v>2010</v>
      </c>
      <c r="E613">
        <f>3.37</f>
        <v>3.37</v>
      </c>
      <c r="F613">
        <v>2</v>
      </c>
      <c r="G613">
        <v>10.3</v>
      </c>
      <c r="H613">
        <v>45.1</v>
      </c>
      <c r="I613" t="s">
        <v>31</v>
      </c>
      <c r="J613" t="s">
        <v>31</v>
      </c>
      <c r="K613" t="s">
        <v>31</v>
      </c>
      <c r="L613" t="s">
        <v>31</v>
      </c>
      <c r="M613" t="s">
        <v>80</v>
      </c>
      <c r="N613" t="s">
        <v>91</v>
      </c>
      <c r="O613">
        <v>40.700000000000003</v>
      </c>
      <c r="P613">
        <v>-111.916</v>
      </c>
      <c r="Q613" t="s">
        <v>31</v>
      </c>
      <c r="R613">
        <v>0.2482</v>
      </c>
      <c r="S613" t="s">
        <v>173</v>
      </c>
    </row>
    <row r="614" spans="1:19" x14ac:dyDescent="0.2">
      <c r="A614">
        <v>25</v>
      </c>
      <c r="B614">
        <v>2</v>
      </c>
      <c r="C614" t="s">
        <v>79</v>
      </c>
      <c r="D614">
        <v>2010</v>
      </c>
      <c r="E614">
        <f>3.37*5</f>
        <v>16.850000000000001</v>
      </c>
      <c r="F614">
        <v>2</v>
      </c>
      <c r="G614">
        <v>10.3</v>
      </c>
      <c r="H614">
        <v>45.1</v>
      </c>
      <c r="I614" t="s">
        <v>31</v>
      </c>
      <c r="J614" t="s">
        <v>31</v>
      </c>
      <c r="K614" t="s">
        <v>31</v>
      </c>
      <c r="L614" t="s">
        <v>31</v>
      </c>
      <c r="M614" t="s">
        <v>80</v>
      </c>
      <c r="N614" t="s">
        <v>91</v>
      </c>
      <c r="O614">
        <v>40.700000000000003</v>
      </c>
      <c r="P614">
        <v>-111.916</v>
      </c>
      <c r="Q614" t="s">
        <v>31</v>
      </c>
      <c r="R614">
        <v>0.2482</v>
      </c>
      <c r="S614" t="s">
        <v>173</v>
      </c>
    </row>
    <row r="615" spans="1:19" x14ac:dyDescent="0.2">
      <c r="A615">
        <v>25</v>
      </c>
      <c r="B615">
        <v>3</v>
      </c>
      <c r="C615" t="s">
        <v>79</v>
      </c>
      <c r="D615">
        <v>2010</v>
      </c>
      <c r="E615">
        <f>3.37*10</f>
        <v>33.700000000000003</v>
      </c>
      <c r="F615">
        <v>2</v>
      </c>
      <c r="G615">
        <v>10.3</v>
      </c>
      <c r="H615">
        <v>45.1</v>
      </c>
      <c r="I615" t="s">
        <v>31</v>
      </c>
      <c r="J615" t="s">
        <v>31</v>
      </c>
      <c r="K615" t="s">
        <v>31</v>
      </c>
      <c r="L615" t="s">
        <v>31</v>
      </c>
      <c r="M615" t="s">
        <v>80</v>
      </c>
      <c r="N615" t="s">
        <v>91</v>
      </c>
      <c r="O615">
        <v>40.700000000000003</v>
      </c>
      <c r="P615">
        <v>-111.916</v>
      </c>
      <c r="Q615" t="s">
        <v>31</v>
      </c>
      <c r="R615">
        <v>0.2482</v>
      </c>
      <c r="S615" t="s">
        <v>173</v>
      </c>
    </row>
    <row r="616" spans="1:19" x14ac:dyDescent="0.2">
      <c r="A616">
        <v>25</v>
      </c>
      <c r="B616">
        <v>4</v>
      </c>
      <c r="C616" t="s">
        <v>79</v>
      </c>
      <c r="D616">
        <v>2010</v>
      </c>
      <c r="E616" s="1">
        <f>3.37*20</f>
        <v>67.400000000000006</v>
      </c>
      <c r="F616">
        <v>2</v>
      </c>
      <c r="G616">
        <v>10.3</v>
      </c>
      <c r="H616">
        <v>45.1</v>
      </c>
      <c r="I616" t="s">
        <v>31</v>
      </c>
      <c r="J616" t="s">
        <v>31</v>
      </c>
      <c r="K616" t="s">
        <v>31</v>
      </c>
      <c r="L616" t="s">
        <v>31</v>
      </c>
      <c r="M616" t="s">
        <v>80</v>
      </c>
      <c r="N616" t="s">
        <v>91</v>
      </c>
      <c r="O616">
        <v>40.700000000000003</v>
      </c>
      <c r="P616">
        <v>-111.916</v>
      </c>
      <c r="Q616" t="s">
        <v>31</v>
      </c>
      <c r="R616">
        <v>0.2482</v>
      </c>
      <c r="S616" t="s">
        <v>173</v>
      </c>
    </row>
    <row r="617" spans="1:19" x14ac:dyDescent="0.2">
      <c r="A617">
        <v>25</v>
      </c>
      <c r="B617">
        <v>5</v>
      </c>
      <c r="C617" t="s">
        <v>79</v>
      </c>
      <c r="D617">
        <v>2010</v>
      </c>
      <c r="E617">
        <v>7.63</v>
      </c>
      <c r="F617">
        <v>2</v>
      </c>
      <c r="G617">
        <v>10.3</v>
      </c>
      <c r="H617">
        <v>45.1</v>
      </c>
      <c r="I617" t="s">
        <v>31</v>
      </c>
      <c r="J617" t="s">
        <v>31</v>
      </c>
      <c r="K617" t="s">
        <v>31</v>
      </c>
      <c r="L617" t="s">
        <v>31</v>
      </c>
      <c r="M617" t="s">
        <v>151</v>
      </c>
      <c r="N617" t="s">
        <v>91</v>
      </c>
      <c r="O617">
        <v>40.700000000000003</v>
      </c>
      <c r="P617">
        <v>-111.9</v>
      </c>
      <c r="Q617" t="s">
        <v>31</v>
      </c>
      <c r="R617">
        <v>0.24890000000000001</v>
      </c>
      <c r="S617" t="s">
        <v>173</v>
      </c>
    </row>
    <row r="618" spans="1:19" x14ac:dyDescent="0.2">
      <c r="A618">
        <v>25</v>
      </c>
      <c r="B618">
        <v>6</v>
      </c>
      <c r="C618" t="s">
        <v>79</v>
      </c>
      <c r="D618">
        <v>2010</v>
      </c>
      <c r="E618">
        <f>E617*5</f>
        <v>38.15</v>
      </c>
      <c r="F618">
        <v>2</v>
      </c>
      <c r="G618">
        <v>10.3</v>
      </c>
      <c r="H618">
        <v>45.1</v>
      </c>
      <c r="I618" t="s">
        <v>31</v>
      </c>
      <c r="J618" t="s">
        <v>31</v>
      </c>
      <c r="K618" t="s">
        <v>31</v>
      </c>
      <c r="L618" t="s">
        <v>31</v>
      </c>
      <c r="M618" t="s">
        <v>151</v>
      </c>
      <c r="N618" t="s">
        <v>91</v>
      </c>
      <c r="O618">
        <v>40.700000000000003</v>
      </c>
      <c r="P618">
        <v>-111.9</v>
      </c>
      <c r="Q618" t="s">
        <v>31</v>
      </c>
      <c r="R618">
        <v>0.24890000000000001</v>
      </c>
      <c r="S618" t="s">
        <v>173</v>
      </c>
    </row>
    <row r="619" spans="1:19" x14ac:dyDescent="0.2">
      <c r="A619">
        <v>25</v>
      </c>
      <c r="B619">
        <v>7</v>
      </c>
      <c r="C619" t="s">
        <v>79</v>
      </c>
      <c r="D619">
        <v>2010</v>
      </c>
      <c r="E619">
        <f>E617*10</f>
        <v>76.3</v>
      </c>
      <c r="F619">
        <v>2</v>
      </c>
      <c r="G619">
        <v>10.3</v>
      </c>
      <c r="H619">
        <v>45.1</v>
      </c>
      <c r="I619" t="s">
        <v>31</v>
      </c>
      <c r="J619" t="s">
        <v>31</v>
      </c>
      <c r="K619" t="s">
        <v>31</v>
      </c>
      <c r="L619" t="s">
        <v>31</v>
      </c>
      <c r="M619" t="s">
        <v>151</v>
      </c>
      <c r="N619" t="s">
        <v>91</v>
      </c>
      <c r="O619">
        <v>40.700000000000003</v>
      </c>
      <c r="P619">
        <v>-111.9</v>
      </c>
      <c r="Q619" t="s">
        <v>31</v>
      </c>
      <c r="R619">
        <v>0.24890000000000001</v>
      </c>
      <c r="S619" t="s">
        <v>173</v>
      </c>
    </row>
    <row r="620" spans="1:19" x14ac:dyDescent="0.2">
      <c r="A620">
        <v>25</v>
      </c>
      <c r="B620">
        <v>8</v>
      </c>
      <c r="C620" t="s">
        <v>79</v>
      </c>
      <c r="D620">
        <v>2010</v>
      </c>
      <c r="E620">
        <f>E617*20</f>
        <v>152.6</v>
      </c>
      <c r="F620">
        <v>2</v>
      </c>
      <c r="G620">
        <v>10.3</v>
      </c>
      <c r="H620">
        <v>45.1</v>
      </c>
      <c r="I620" t="s">
        <v>31</v>
      </c>
      <c r="J620" t="s">
        <v>31</v>
      </c>
      <c r="K620" t="s">
        <v>31</v>
      </c>
      <c r="L620" t="s">
        <v>31</v>
      </c>
      <c r="M620" t="s">
        <v>151</v>
      </c>
      <c r="N620" t="s">
        <v>91</v>
      </c>
      <c r="O620">
        <v>40.700000000000003</v>
      </c>
      <c r="P620">
        <v>-111.9</v>
      </c>
      <c r="Q620" t="s">
        <v>31</v>
      </c>
      <c r="R620">
        <v>0.24890000000000001</v>
      </c>
      <c r="S620" t="s">
        <v>173</v>
      </c>
    </row>
    <row r="621" spans="1:19" x14ac:dyDescent="0.2">
      <c r="A621">
        <v>25</v>
      </c>
      <c r="B621">
        <v>12</v>
      </c>
      <c r="C621" t="s">
        <v>79</v>
      </c>
      <c r="D621">
        <v>2010</v>
      </c>
      <c r="E621">
        <v>7.63</v>
      </c>
      <c r="F621">
        <v>2</v>
      </c>
      <c r="G621">
        <v>9.9</v>
      </c>
      <c r="H621">
        <v>50.4</v>
      </c>
      <c r="I621" t="s">
        <v>31</v>
      </c>
      <c r="J621" t="s">
        <v>31</v>
      </c>
      <c r="K621" t="s">
        <v>31</v>
      </c>
      <c r="L621" t="s">
        <v>31</v>
      </c>
      <c r="M621" t="s">
        <v>82</v>
      </c>
      <c r="N621" t="s">
        <v>91</v>
      </c>
      <c r="O621">
        <v>41</v>
      </c>
      <c r="P621">
        <v>-112</v>
      </c>
      <c r="Q621" t="s">
        <v>31</v>
      </c>
      <c r="R621">
        <v>0.26140000000000002</v>
      </c>
      <c r="S621" t="s">
        <v>173</v>
      </c>
    </row>
    <row r="622" spans="1:19" x14ac:dyDescent="0.2">
      <c r="A622">
        <v>25</v>
      </c>
      <c r="B622">
        <v>13</v>
      </c>
      <c r="C622" t="s">
        <v>79</v>
      </c>
      <c r="D622">
        <v>2010</v>
      </c>
      <c r="E622">
        <f>E621*5</f>
        <v>38.15</v>
      </c>
      <c r="F622">
        <v>2</v>
      </c>
      <c r="G622">
        <v>9.9</v>
      </c>
      <c r="H622">
        <v>50.4</v>
      </c>
      <c r="I622" t="s">
        <v>31</v>
      </c>
      <c r="J622" t="s">
        <v>31</v>
      </c>
      <c r="K622" t="s">
        <v>31</v>
      </c>
      <c r="L622" t="s">
        <v>31</v>
      </c>
      <c r="M622" t="s">
        <v>82</v>
      </c>
      <c r="N622" t="s">
        <v>91</v>
      </c>
      <c r="O622">
        <v>41</v>
      </c>
      <c r="P622">
        <v>-112</v>
      </c>
      <c r="Q622" t="s">
        <v>31</v>
      </c>
      <c r="R622">
        <v>0.26140000000000002</v>
      </c>
      <c r="S622" t="s">
        <v>173</v>
      </c>
    </row>
    <row r="623" spans="1:19" x14ac:dyDescent="0.2">
      <c r="A623">
        <v>25</v>
      </c>
      <c r="B623">
        <v>14</v>
      </c>
      <c r="C623" t="s">
        <v>79</v>
      </c>
      <c r="D623">
        <v>2010</v>
      </c>
      <c r="E623">
        <f>E621*10</f>
        <v>76.3</v>
      </c>
      <c r="F623">
        <v>2</v>
      </c>
      <c r="G623">
        <v>9.9</v>
      </c>
      <c r="H623">
        <v>50.4</v>
      </c>
      <c r="I623" t="s">
        <v>31</v>
      </c>
      <c r="J623" t="s">
        <v>31</v>
      </c>
      <c r="K623" t="s">
        <v>31</v>
      </c>
      <c r="L623" t="s">
        <v>31</v>
      </c>
      <c r="M623" t="s">
        <v>82</v>
      </c>
      <c r="N623" t="s">
        <v>91</v>
      </c>
      <c r="O623">
        <v>41</v>
      </c>
      <c r="P623">
        <v>-112</v>
      </c>
      <c r="Q623" t="s">
        <v>31</v>
      </c>
      <c r="R623">
        <v>0.26140000000000002</v>
      </c>
      <c r="S623" t="s">
        <v>173</v>
      </c>
    </row>
    <row r="624" spans="1:19" x14ac:dyDescent="0.2">
      <c r="A624">
        <v>25</v>
      </c>
      <c r="B624">
        <v>15</v>
      </c>
      <c r="C624" t="s">
        <v>79</v>
      </c>
      <c r="D624">
        <v>2010</v>
      </c>
      <c r="E624">
        <f>E621*20</f>
        <v>152.6</v>
      </c>
      <c r="F624">
        <v>2</v>
      </c>
      <c r="G624">
        <v>9.9</v>
      </c>
      <c r="H624">
        <v>50.4</v>
      </c>
      <c r="I624" t="s">
        <v>31</v>
      </c>
      <c r="J624" t="s">
        <v>31</v>
      </c>
      <c r="K624" t="s">
        <v>31</v>
      </c>
      <c r="L624" t="s">
        <v>31</v>
      </c>
      <c r="M624" t="s">
        <v>82</v>
      </c>
      <c r="N624" t="s">
        <v>91</v>
      </c>
      <c r="O624">
        <v>41</v>
      </c>
      <c r="P624">
        <v>-112</v>
      </c>
      <c r="Q624" t="s">
        <v>31</v>
      </c>
      <c r="R624">
        <v>0.26140000000000002</v>
      </c>
      <c r="S624" t="s">
        <v>173</v>
      </c>
    </row>
    <row r="625" spans="1:19" x14ac:dyDescent="0.2">
      <c r="A625">
        <v>25</v>
      </c>
      <c r="B625">
        <v>9</v>
      </c>
      <c r="C625" t="s">
        <v>79</v>
      </c>
      <c r="D625">
        <v>2010</v>
      </c>
      <c r="E625">
        <v>19.760000000000002</v>
      </c>
      <c r="F625">
        <v>2</v>
      </c>
      <c r="G625">
        <v>10.7</v>
      </c>
      <c r="H625">
        <v>19.3</v>
      </c>
      <c r="I625" t="s">
        <v>29</v>
      </c>
      <c r="J625" t="s">
        <v>31</v>
      </c>
      <c r="K625" t="s">
        <v>31</v>
      </c>
      <c r="L625" t="s">
        <v>31</v>
      </c>
      <c r="M625" t="s">
        <v>83</v>
      </c>
      <c r="N625" t="s">
        <v>91</v>
      </c>
      <c r="O625">
        <v>40.4</v>
      </c>
      <c r="P625">
        <v>-113.2</v>
      </c>
      <c r="Q625" t="s">
        <v>31</v>
      </c>
      <c r="R625">
        <v>9.5600000000000004E-2</v>
      </c>
      <c r="S625" t="s">
        <v>173</v>
      </c>
    </row>
    <row r="626" spans="1:19" x14ac:dyDescent="0.2">
      <c r="A626">
        <v>25</v>
      </c>
      <c r="B626">
        <v>10</v>
      </c>
      <c r="C626" t="s">
        <v>79</v>
      </c>
      <c r="D626">
        <v>2010</v>
      </c>
      <c r="E626">
        <f>19.76*5</f>
        <v>98.800000000000011</v>
      </c>
      <c r="F626">
        <v>2</v>
      </c>
      <c r="G626">
        <v>10.7</v>
      </c>
      <c r="H626">
        <v>19.3</v>
      </c>
      <c r="I626" t="s">
        <v>29</v>
      </c>
      <c r="J626" t="s">
        <v>31</v>
      </c>
      <c r="K626" t="s">
        <v>31</v>
      </c>
      <c r="L626" t="s">
        <v>31</v>
      </c>
      <c r="M626" t="s">
        <v>83</v>
      </c>
      <c r="N626" t="s">
        <v>91</v>
      </c>
      <c r="O626">
        <v>40.4</v>
      </c>
      <c r="P626">
        <v>-113.2</v>
      </c>
      <c r="Q626" t="s">
        <v>31</v>
      </c>
      <c r="R626">
        <v>9.5600000000000004E-2</v>
      </c>
      <c r="S626" t="s">
        <v>173</v>
      </c>
    </row>
    <row r="627" spans="1:19" x14ac:dyDescent="0.2">
      <c r="A627">
        <v>25</v>
      </c>
      <c r="B627">
        <v>11</v>
      </c>
      <c r="C627" t="s">
        <v>79</v>
      </c>
      <c r="D627">
        <v>2010</v>
      </c>
      <c r="E627">
        <f>19.76*10</f>
        <v>197.60000000000002</v>
      </c>
      <c r="F627">
        <v>2</v>
      </c>
      <c r="G627">
        <v>10.7</v>
      </c>
      <c r="H627">
        <v>19.3</v>
      </c>
      <c r="I627" t="s">
        <v>29</v>
      </c>
      <c r="J627" t="s">
        <v>31</v>
      </c>
      <c r="K627" t="s">
        <v>31</v>
      </c>
      <c r="L627" t="s">
        <v>31</v>
      </c>
      <c r="M627" t="s">
        <v>83</v>
      </c>
      <c r="N627" t="s">
        <v>91</v>
      </c>
      <c r="O627">
        <v>40.4</v>
      </c>
      <c r="P627">
        <v>-113.2</v>
      </c>
      <c r="Q627" t="s">
        <v>31</v>
      </c>
      <c r="R627">
        <v>9.5600000000000004E-2</v>
      </c>
      <c r="S627" t="s">
        <v>173</v>
      </c>
    </row>
    <row r="628" spans="1:19" x14ac:dyDescent="0.2">
      <c r="A628" s="4">
        <v>54</v>
      </c>
      <c r="B628">
        <v>1</v>
      </c>
      <c r="C628" t="s">
        <v>161</v>
      </c>
      <c r="D628">
        <v>2011</v>
      </c>
      <c r="E628">
        <v>0.02</v>
      </c>
      <c r="F628">
        <v>1</v>
      </c>
      <c r="G628">
        <v>6.3</v>
      </c>
      <c r="H628">
        <v>77.5</v>
      </c>
      <c r="I628" t="s">
        <v>29</v>
      </c>
      <c r="J628" t="s">
        <v>29</v>
      </c>
      <c r="K628" s="9" t="s">
        <v>31</v>
      </c>
      <c r="L628" t="s">
        <v>31</v>
      </c>
      <c r="M628" s="9" t="s">
        <v>162</v>
      </c>
      <c r="N628" s="9" t="s">
        <v>92</v>
      </c>
      <c r="O628" s="9">
        <v>-41.233333000000002</v>
      </c>
      <c r="P628" s="9">
        <v>-71.283332999999999</v>
      </c>
      <c r="Q628" t="s">
        <v>31</v>
      </c>
      <c r="R628">
        <v>0.70909999999999995</v>
      </c>
      <c r="S628" t="s">
        <v>173</v>
      </c>
    </row>
    <row r="629" spans="1:19" x14ac:dyDescent="0.2">
      <c r="A629" s="4">
        <v>54</v>
      </c>
      <c r="B629">
        <v>2</v>
      </c>
      <c r="C629" t="s">
        <v>161</v>
      </c>
      <c r="D629">
        <v>2011</v>
      </c>
      <c r="E629">
        <v>0.02</v>
      </c>
      <c r="F629">
        <v>1</v>
      </c>
      <c r="G629">
        <v>6.3</v>
      </c>
      <c r="H629">
        <v>77.5</v>
      </c>
      <c r="I629" t="s">
        <v>29</v>
      </c>
      <c r="J629" t="s">
        <v>29</v>
      </c>
      <c r="K629" s="9" t="s">
        <v>31</v>
      </c>
      <c r="L629" t="s">
        <v>31</v>
      </c>
      <c r="M629" s="9" t="s">
        <v>162</v>
      </c>
      <c r="N629" s="9" t="s">
        <v>92</v>
      </c>
      <c r="O629" s="9">
        <v>-41.233333000000002</v>
      </c>
      <c r="P629" s="9">
        <v>-71.283332999999999</v>
      </c>
      <c r="Q629" t="s">
        <v>31</v>
      </c>
      <c r="R629">
        <v>0.70909999999999995</v>
      </c>
      <c r="S629" t="s">
        <v>173</v>
      </c>
    </row>
    <row r="630" spans="1:19" x14ac:dyDescent="0.2">
      <c r="A630" s="4">
        <v>54</v>
      </c>
      <c r="B630">
        <v>3</v>
      </c>
      <c r="C630" t="s">
        <v>161</v>
      </c>
      <c r="D630">
        <v>2011</v>
      </c>
      <c r="E630">
        <v>0.02</v>
      </c>
      <c r="F630">
        <v>2</v>
      </c>
      <c r="G630">
        <v>6.3</v>
      </c>
      <c r="H630">
        <v>77.5</v>
      </c>
      <c r="I630" t="s">
        <v>29</v>
      </c>
      <c r="J630" t="s">
        <v>29</v>
      </c>
      <c r="K630" s="9" t="s">
        <v>31</v>
      </c>
      <c r="L630" t="s">
        <v>31</v>
      </c>
      <c r="M630" s="9" t="s">
        <v>162</v>
      </c>
      <c r="N630" s="9" t="s">
        <v>92</v>
      </c>
      <c r="O630" s="9">
        <v>-41.233333000000002</v>
      </c>
      <c r="P630" s="9">
        <v>-71.283332999999999</v>
      </c>
      <c r="Q630" t="s">
        <v>31</v>
      </c>
      <c r="R630">
        <v>0.70909999999999995</v>
      </c>
      <c r="S630" t="s">
        <v>173</v>
      </c>
    </row>
    <row r="631" spans="1:19" x14ac:dyDescent="0.2">
      <c r="A631" s="4">
        <v>54</v>
      </c>
      <c r="B631">
        <v>4</v>
      </c>
      <c r="C631" t="s">
        <v>161</v>
      </c>
      <c r="D631">
        <v>2011</v>
      </c>
      <c r="E631">
        <v>0.02</v>
      </c>
      <c r="F631">
        <v>2</v>
      </c>
      <c r="G631">
        <v>6.3</v>
      </c>
      <c r="H631">
        <v>77.5</v>
      </c>
      <c r="I631" t="s">
        <v>29</v>
      </c>
      <c r="J631" t="s">
        <v>29</v>
      </c>
      <c r="K631" s="9" t="s">
        <v>31</v>
      </c>
      <c r="L631" t="s">
        <v>31</v>
      </c>
      <c r="M631" s="9" t="s">
        <v>162</v>
      </c>
      <c r="N631" s="9" t="s">
        <v>92</v>
      </c>
      <c r="O631" s="9">
        <v>-41.233333000000002</v>
      </c>
      <c r="P631" s="9">
        <v>-71.283332999999999</v>
      </c>
      <c r="Q631" t="s">
        <v>31</v>
      </c>
      <c r="R631">
        <v>0.70909999999999995</v>
      </c>
      <c r="S631" t="s">
        <v>173</v>
      </c>
    </row>
    <row r="632" spans="1:19" x14ac:dyDescent="0.2">
      <c r="A632" s="1">
        <v>54</v>
      </c>
      <c r="B632" s="1">
        <v>1</v>
      </c>
      <c r="C632" s="1" t="s">
        <v>161</v>
      </c>
      <c r="D632" s="1">
        <v>2011</v>
      </c>
      <c r="E632" s="1">
        <v>0.02</v>
      </c>
      <c r="F632">
        <v>1</v>
      </c>
      <c r="G632">
        <v>6.3</v>
      </c>
      <c r="H632">
        <v>77.5</v>
      </c>
      <c r="I632" t="s">
        <v>29</v>
      </c>
      <c r="J632" t="s">
        <v>29</v>
      </c>
      <c r="K632" t="s">
        <v>31</v>
      </c>
      <c r="L632" t="s">
        <v>31</v>
      </c>
      <c r="M632" t="s">
        <v>162</v>
      </c>
      <c r="N632" t="s">
        <v>92</v>
      </c>
      <c r="O632">
        <v>-41.23</v>
      </c>
      <c r="P632">
        <v>-71.283332999999999</v>
      </c>
      <c r="Q632" t="s">
        <v>31</v>
      </c>
      <c r="R632">
        <v>0.70909999999999995</v>
      </c>
      <c r="S632" t="s">
        <v>171</v>
      </c>
    </row>
    <row r="633" spans="1:19" x14ac:dyDescent="0.2">
      <c r="A633" s="1">
        <v>54</v>
      </c>
      <c r="B633" s="1">
        <v>2</v>
      </c>
      <c r="C633" s="1" t="s">
        <v>161</v>
      </c>
      <c r="D633" s="1">
        <v>2011</v>
      </c>
      <c r="E633" s="1">
        <v>0.02</v>
      </c>
      <c r="F633">
        <v>1</v>
      </c>
      <c r="G633">
        <v>6.3</v>
      </c>
      <c r="H633">
        <v>77.5</v>
      </c>
      <c r="I633" t="s">
        <v>29</v>
      </c>
      <c r="J633" t="s">
        <v>29</v>
      </c>
      <c r="K633" t="s">
        <v>31</v>
      </c>
      <c r="L633" t="s">
        <v>31</v>
      </c>
      <c r="M633" t="s">
        <v>162</v>
      </c>
      <c r="N633" t="s">
        <v>92</v>
      </c>
      <c r="O633">
        <v>-41.23</v>
      </c>
      <c r="P633">
        <v>-71.283332999999999</v>
      </c>
      <c r="Q633" t="s">
        <v>31</v>
      </c>
      <c r="R633">
        <v>0.70909999999999995</v>
      </c>
      <c r="S633" t="s">
        <v>171</v>
      </c>
    </row>
    <row r="634" spans="1:19" x14ac:dyDescent="0.2">
      <c r="A634" s="1">
        <v>54</v>
      </c>
      <c r="B634" s="1">
        <v>3</v>
      </c>
      <c r="C634" s="1" t="s">
        <v>161</v>
      </c>
      <c r="D634" s="1">
        <v>2011</v>
      </c>
      <c r="E634" s="1">
        <v>0.02</v>
      </c>
      <c r="F634">
        <v>2</v>
      </c>
      <c r="G634">
        <v>6.3</v>
      </c>
      <c r="H634">
        <v>77.5</v>
      </c>
      <c r="I634" t="s">
        <v>29</v>
      </c>
      <c r="J634" t="s">
        <v>29</v>
      </c>
      <c r="K634" t="s">
        <v>31</v>
      </c>
      <c r="L634" t="s">
        <v>31</v>
      </c>
      <c r="M634" t="s">
        <v>162</v>
      </c>
      <c r="N634" t="s">
        <v>92</v>
      </c>
      <c r="O634">
        <v>-41.23</v>
      </c>
      <c r="P634">
        <v>-71.283332999999999</v>
      </c>
      <c r="Q634" t="s">
        <v>31</v>
      </c>
      <c r="R634">
        <v>0.70909999999999995</v>
      </c>
      <c r="S634" t="s">
        <v>171</v>
      </c>
    </row>
    <row r="635" spans="1:19" x14ac:dyDescent="0.2">
      <c r="A635" s="1">
        <v>54</v>
      </c>
      <c r="B635" s="1">
        <v>4</v>
      </c>
      <c r="C635" s="1" t="s">
        <v>161</v>
      </c>
      <c r="D635" s="1">
        <v>2011</v>
      </c>
      <c r="E635" s="1">
        <v>0.02</v>
      </c>
      <c r="F635">
        <v>2</v>
      </c>
      <c r="G635">
        <v>6.3</v>
      </c>
      <c r="H635">
        <v>77.5</v>
      </c>
      <c r="I635" t="s">
        <v>29</v>
      </c>
      <c r="J635" t="s">
        <v>29</v>
      </c>
      <c r="K635" t="s">
        <v>31</v>
      </c>
      <c r="L635" t="s">
        <v>31</v>
      </c>
      <c r="M635" t="s">
        <v>162</v>
      </c>
      <c r="N635" t="s">
        <v>92</v>
      </c>
      <c r="O635">
        <v>-41.23</v>
      </c>
      <c r="P635">
        <v>-71.283332999999999</v>
      </c>
      <c r="Q635" t="s">
        <v>31</v>
      </c>
      <c r="R635">
        <v>0.70909999999999995</v>
      </c>
      <c r="S635" t="s">
        <v>171</v>
      </c>
    </row>
    <row r="636" spans="1:19" x14ac:dyDescent="0.2">
      <c r="A636" s="4">
        <v>55</v>
      </c>
      <c r="B636" s="4">
        <v>1</v>
      </c>
      <c r="C636" s="3" t="s">
        <v>167</v>
      </c>
      <c r="D636" s="4">
        <v>2019</v>
      </c>
      <c r="E636" s="7">
        <v>45.722110899999997</v>
      </c>
      <c r="F636">
        <v>11</v>
      </c>
      <c r="G636">
        <v>13</v>
      </c>
      <c r="H636">
        <v>47</v>
      </c>
      <c r="I636" t="s">
        <v>31</v>
      </c>
      <c r="J636" t="s">
        <v>31</v>
      </c>
      <c r="K636" t="s">
        <v>31</v>
      </c>
      <c r="L636" t="s">
        <v>31</v>
      </c>
      <c r="M636" t="s">
        <v>163</v>
      </c>
      <c r="N636" t="s">
        <v>93</v>
      </c>
      <c r="O636">
        <v>41.9</v>
      </c>
      <c r="P636">
        <v>-1.6</v>
      </c>
      <c r="Q636" t="s">
        <v>31</v>
      </c>
      <c r="R636">
        <v>0.27639999999999998</v>
      </c>
      <c r="S636" t="s">
        <v>171</v>
      </c>
    </row>
    <row r="637" spans="1:19" x14ac:dyDescent="0.2">
      <c r="A637" s="4">
        <v>56</v>
      </c>
      <c r="B637" s="4">
        <v>1</v>
      </c>
      <c r="C637" s="4" t="s">
        <v>192</v>
      </c>
      <c r="D637" s="4">
        <v>2019</v>
      </c>
      <c r="E637" s="4">
        <v>60</v>
      </c>
      <c r="F637">
        <v>2</v>
      </c>
      <c r="G637">
        <v>6.4</v>
      </c>
      <c r="H637">
        <v>96</v>
      </c>
      <c r="I637" t="s">
        <v>29</v>
      </c>
      <c r="J637" t="s">
        <v>31</v>
      </c>
      <c r="K637" t="s">
        <v>29</v>
      </c>
      <c r="L637" t="s">
        <v>31</v>
      </c>
      <c r="M637" t="s">
        <v>164</v>
      </c>
      <c r="N637" t="s">
        <v>92</v>
      </c>
      <c r="O637">
        <v>-40.994753000000003</v>
      </c>
      <c r="P637">
        <v>-71.496300000000005</v>
      </c>
      <c r="Q637" t="s">
        <v>31</v>
      </c>
      <c r="R637">
        <v>0.97350000000000003</v>
      </c>
      <c r="S637" t="s">
        <v>171</v>
      </c>
    </row>
    <row r="638" spans="1:19" x14ac:dyDescent="0.2">
      <c r="A638">
        <v>56</v>
      </c>
      <c r="B638">
        <v>1</v>
      </c>
      <c r="C638" t="s">
        <v>192</v>
      </c>
      <c r="D638">
        <v>2019</v>
      </c>
      <c r="E638">
        <v>60</v>
      </c>
      <c r="F638">
        <v>2</v>
      </c>
      <c r="G638">
        <v>10.7</v>
      </c>
      <c r="H638">
        <v>19.3</v>
      </c>
      <c r="I638" t="s">
        <v>29</v>
      </c>
      <c r="J638" t="s">
        <v>31</v>
      </c>
      <c r="K638" t="s">
        <v>29</v>
      </c>
      <c r="L638" t="s">
        <v>31</v>
      </c>
      <c r="M638" t="s">
        <v>168</v>
      </c>
      <c r="N638" t="s">
        <v>92</v>
      </c>
      <c r="O638">
        <v>-40.99</v>
      </c>
      <c r="P638">
        <v>-71.496300000000005</v>
      </c>
      <c r="Q638" t="s">
        <v>31</v>
      </c>
      <c r="R638">
        <v>9.5600000000000004E-2</v>
      </c>
      <c r="S638" t="s">
        <v>172</v>
      </c>
    </row>
    <row r="639" spans="1:19" x14ac:dyDescent="0.2">
      <c r="A639" s="1">
        <v>57</v>
      </c>
      <c r="B639" s="1">
        <v>1</v>
      </c>
      <c r="C639" s="1" t="s">
        <v>193</v>
      </c>
      <c r="D639" s="1">
        <v>2019</v>
      </c>
      <c r="E639" s="1">
        <v>250</v>
      </c>
      <c r="F639">
        <v>17</v>
      </c>
      <c r="G639">
        <v>21.4</v>
      </c>
      <c r="H639">
        <v>152.19999999999999</v>
      </c>
      <c r="I639" t="s">
        <v>31</v>
      </c>
      <c r="J639" t="s">
        <v>31</v>
      </c>
      <c r="K639" t="s">
        <v>31</v>
      </c>
      <c r="L639" t="s">
        <v>31</v>
      </c>
      <c r="N639" t="s">
        <v>160</v>
      </c>
      <c r="O639">
        <v>-15.750138</v>
      </c>
      <c r="P639">
        <v>-47.806060000000002</v>
      </c>
      <c r="Q639" t="s">
        <v>29</v>
      </c>
      <c r="R639">
        <v>0.96960000000000002</v>
      </c>
      <c r="S639" t="s">
        <v>171</v>
      </c>
    </row>
    <row r="640" spans="1:19" x14ac:dyDescent="0.2">
      <c r="A640" s="1">
        <v>57</v>
      </c>
      <c r="B640" s="1">
        <v>2</v>
      </c>
      <c r="C640" s="1" t="s">
        <v>193</v>
      </c>
      <c r="D640" s="1">
        <v>2019</v>
      </c>
      <c r="E640" s="1">
        <v>250</v>
      </c>
      <c r="F640">
        <v>11</v>
      </c>
      <c r="G640">
        <v>21.4</v>
      </c>
      <c r="H640">
        <v>152.19999999999999</v>
      </c>
      <c r="I640" t="s">
        <v>31</v>
      </c>
      <c r="J640" t="s">
        <v>31</v>
      </c>
      <c r="K640" t="s">
        <v>31</v>
      </c>
      <c r="L640" t="s">
        <v>31</v>
      </c>
      <c r="N640" t="s">
        <v>160</v>
      </c>
      <c r="O640">
        <v>-15.750138</v>
      </c>
      <c r="P640">
        <v>-47.806060000000002</v>
      </c>
      <c r="Q640" t="s">
        <v>29</v>
      </c>
      <c r="R640">
        <v>0.96960000000000002</v>
      </c>
      <c r="S640" t="s">
        <v>171</v>
      </c>
    </row>
    <row r="641" spans="1:20" x14ac:dyDescent="0.2">
      <c r="A641" s="4">
        <v>58</v>
      </c>
      <c r="B641">
        <v>1</v>
      </c>
      <c r="C641" t="s">
        <v>165</v>
      </c>
      <c r="D641">
        <v>2018</v>
      </c>
      <c r="E641">
        <v>150</v>
      </c>
      <c r="F641">
        <v>21</v>
      </c>
      <c r="G641">
        <v>8.3000000000000007</v>
      </c>
      <c r="H641">
        <v>66.7</v>
      </c>
      <c r="I641" t="s">
        <v>31</v>
      </c>
      <c r="J641" t="s">
        <v>31</v>
      </c>
      <c r="K641" s="9" t="s">
        <v>29</v>
      </c>
      <c r="L641" t="s">
        <v>31</v>
      </c>
      <c r="M641" s="9"/>
      <c r="N641" s="9" t="s">
        <v>150</v>
      </c>
      <c r="O641" s="9">
        <v>50.364505000000001</v>
      </c>
      <c r="P641" s="9">
        <v>18.968959999999999</v>
      </c>
      <c r="Q641" t="s">
        <v>29</v>
      </c>
      <c r="R641">
        <v>0.80020000000000002</v>
      </c>
      <c r="S641" t="s">
        <v>173</v>
      </c>
      <c r="T641" s="16" t="e">
        <f>SUMPRODUCT(1/COUNTIF(A641:A666,A641:A666))</f>
        <v>#DIV/0!</v>
      </c>
    </row>
    <row r="642" spans="1:20" x14ac:dyDescent="0.2">
      <c r="A642" s="4">
        <v>58</v>
      </c>
      <c r="B642">
        <v>2</v>
      </c>
      <c r="C642" t="s">
        <v>165</v>
      </c>
      <c r="D642">
        <v>2018</v>
      </c>
      <c r="E642">
        <v>300</v>
      </c>
      <c r="F642">
        <v>21</v>
      </c>
      <c r="G642">
        <v>8.3000000000000007</v>
      </c>
      <c r="H642">
        <v>66.7</v>
      </c>
      <c r="I642" t="s">
        <v>31</v>
      </c>
      <c r="J642" t="s">
        <v>31</v>
      </c>
      <c r="K642" s="9" t="s">
        <v>29</v>
      </c>
      <c r="L642" t="s">
        <v>31</v>
      </c>
      <c r="M642" s="9"/>
      <c r="N642" s="9" t="s">
        <v>150</v>
      </c>
      <c r="O642" s="9">
        <v>50.364505000000001</v>
      </c>
      <c r="P642" s="9">
        <v>18.968959999999999</v>
      </c>
      <c r="Q642" t="s">
        <v>29</v>
      </c>
      <c r="R642">
        <v>0.80020000000000002</v>
      </c>
      <c r="S642" t="s">
        <v>173</v>
      </c>
    </row>
    <row r="643" spans="1:20" x14ac:dyDescent="0.2">
      <c r="A643" s="4">
        <v>58</v>
      </c>
      <c r="B643">
        <v>3</v>
      </c>
      <c r="C643" t="s">
        <v>165</v>
      </c>
      <c r="D643">
        <v>2018</v>
      </c>
      <c r="E643">
        <v>150</v>
      </c>
      <c r="F643">
        <v>21</v>
      </c>
      <c r="G643">
        <v>8.3000000000000007</v>
      </c>
      <c r="H643">
        <v>66.7</v>
      </c>
      <c r="I643" t="s">
        <v>29</v>
      </c>
      <c r="J643" t="s">
        <v>31</v>
      </c>
      <c r="K643" s="9" t="s">
        <v>29</v>
      </c>
      <c r="L643" t="s">
        <v>31</v>
      </c>
      <c r="M643" s="9"/>
      <c r="N643" s="9" t="s">
        <v>150</v>
      </c>
      <c r="O643" s="9">
        <v>50.364505000000001</v>
      </c>
      <c r="P643" s="9">
        <v>18.968959999999999</v>
      </c>
      <c r="Q643" t="s">
        <v>29</v>
      </c>
      <c r="R643">
        <v>0.80020000000000002</v>
      </c>
      <c r="S643" t="s">
        <v>173</v>
      </c>
    </row>
    <row r="644" spans="1:20" x14ac:dyDescent="0.2">
      <c r="A644" s="4">
        <v>58</v>
      </c>
      <c r="B644">
        <v>4</v>
      </c>
      <c r="C644" t="s">
        <v>165</v>
      </c>
      <c r="D644">
        <v>2018</v>
      </c>
      <c r="E644">
        <v>300</v>
      </c>
      <c r="F644">
        <v>21</v>
      </c>
      <c r="G644">
        <v>8.3000000000000007</v>
      </c>
      <c r="H644">
        <v>66.7</v>
      </c>
      <c r="I644" t="s">
        <v>29</v>
      </c>
      <c r="J644" t="s">
        <v>31</v>
      </c>
      <c r="K644" s="9" t="s">
        <v>29</v>
      </c>
      <c r="L644" t="s">
        <v>31</v>
      </c>
      <c r="M644" s="9"/>
      <c r="N644" s="9" t="s">
        <v>150</v>
      </c>
      <c r="O644" s="9">
        <v>50.364505000000001</v>
      </c>
      <c r="P644" s="9">
        <v>18.968959999999999</v>
      </c>
      <c r="Q644" t="s">
        <v>29</v>
      </c>
      <c r="R644">
        <v>0.80020000000000002</v>
      </c>
      <c r="S644" t="s">
        <v>173</v>
      </c>
    </row>
    <row r="645" spans="1:20" x14ac:dyDescent="0.2">
      <c r="A645" s="4">
        <v>58</v>
      </c>
      <c r="B645">
        <v>5</v>
      </c>
      <c r="C645" t="s">
        <v>165</v>
      </c>
      <c r="D645">
        <v>2018</v>
      </c>
      <c r="E645">
        <v>150</v>
      </c>
      <c r="F645">
        <v>21</v>
      </c>
      <c r="G645">
        <v>8.3000000000000007</v>
      </c>
      <c r="H645">
        <v>66.7</v>
      </c>
      <c r="I645" t="s">
        <v>29</v>
      </c>
      <c r="J645" t="s">
        <v>31</v>
      </c>
      <c r="K645" s="9" t="s">
        <v>29</v>
      </c>
      <c r="L645" t="s">
        <v>31</v>
      </c>
      <c r="M645" s="9"/>
      <c r="N645" s="9" t="s">
        <v>150</v>
      </c>
      <c r="O645" s="9">
        <v>50.364505000000001</v>
      </c>
      <c r="P645" s="9">
        <v>18.968959999999999</v>
      </c>
      <c r="Q645" t="s">
        <v>29</v>
      </c>
      <c r="R645">
        <v>0.80020000000000002</v>
      </c>
      <c r="S645" t="s">
        <v>173</v>
      </c>
    </row>
    <row r="646" spans="1:20" x14ac:dyDescent="0.2">
      <c r="A646" s="4">
        <v>58</v>
      </c>
      <c r="B646">
        <v>6</v>
      </c>
      <c r="C646" t="s">
        <v>165</v>
      </c>
      <c r="D646">
        <v>2018</v>
      </c>
      <c r="E646">
        <v>300</v>
      </c>
      <c r="F646">
        <v>21</v>
      </c>
      <c r="G646">
        <v>8.3000000000000007</v>
      </c>
      <c r="H646">
        <v>66.7</v>
      </c>
      <c r="I646" t="s">
        <v>29</v>
      </c>
      <c r="J646" t="s">
        <v>31</v>
      </c>
      <c r="K646" s="9" t="s">
        <v>29</v>
      </c>
      <c r="L646" t="s">
        <v>31</v>
      </c>
      <c r="M646" s="9"/>
      <c r="N646" s="9" t="s">
        <v>150</v>
      </c>
      <c r="O646" s="9">
        <v>50.364505000000001</v>
      </c>
      <c r="P646" s="9">
        <v>18.968959999999999</v>
      </c>
      <c r="Q646" t="s">
        <v>29</v>
      </c>
      <c r="R646">
        <v>0.80020000000000002</v>
      </c>
      <c r="S646" t="s">
        <v>173</v>
      </c>
    </row>
    <row r="647" spans="1:20" x14ac:dyDescent="0.2">
      <c r="A647" s="4">
        <v>58</v>
      </c>
      <c r="B647" s="4">
        <v>1</v>
      </c>
      <c r="C647" s="4" t="s">
        <v>165</v>
      </c>
      <c r="D647" s="4">
        <v>2018</v>
      </c>
      <c r="E647" s="4">
        <v>150</v>
      </c>
      <c r="F647">
        <v>21</v>
      </c>
      <c r="G647">
        <v>26.6</v>
      </c>
      <c r="H647">
        <v>6</v>
      </c>
      <c r="I647" t="s">
        <v>31</v>
      </c>
      <c r="J647" t="s">
        <v>31</v>
      </c>
      <c r="K647" s="9" t="s">
        <v>29</v>
      </c>
      <c r="L647" t="s">
        <v>31</v>
      </c>
      <c r="N647" t="s">
        <v>150</v>
      </c>
      <c r="O647" s="9">
        <v>50.364505000000001</v>
      </c>
      <c r="P647" s="9">
        <v>18.968959999999999</v>
      </c>
      <c r="Q647" t="s">
        <v>29</v>
      </c>
      <c r="R647">
        <v>0.80020000000000002</v>
      </c>
      <c r="S647" t="s">
        <v>171</v>
      </c>
    </row>
    <row r="648" spans="1:20" x14ac:dyDescent="0.2">
      <c r="A648" s="4">
        <v>58</v>
      </c>
      <c r="B648" s="4">
        <v>2</v>
      </c>
      <c r="C648" s="4" t="s">
        <v>165</v>
      </c>
      <c r="D648" s="4">
        <v>2018</v>
      </c>
      <c r="E648" s="4">
        <v>300</v>
      </c>
      <c r="F648">
        <v>21</v>
      </c>
      <c r="G648">
        <v>26.6</v>
      </c>
      <c r="H648">
        <v>6</v>
      </c>
      <c r="I648" t="s">
        <v>31</v>
      </c>
      <c r="J648" t="s">
        <v>31</v>
      </c>
      <c r="K648" s="9" t="s">
        <v>29</v>
      </c>
      <c r="L648" t="s">
        <v>31</v>
      </c>
      <c r="N648" t="s">
        <v>150</v>
      </c>
      <c r="O648" s="9">
        <v>50.364505000000001</v>
      </c>
      <c r="P648" s="9">
        <v>18.968959999999999</v>
      </c>
      <c r="Q648" t="s">
        <v>29</v>
      </c>
      <c r="R648">
        <v>0.80020000000000002</v>
      </c>
      <c r="S648" t="s">
        <v>171</v>
      </c>
    </row>
    <row r="649" spans="1:20" x14ac:dyDescent="0.2">
      <c r="A649" s="4">
        <v>58</v>
      </c>
      <c r="B649" s="4">
        <v>3</v>
      </c>
      <c r="C649" s="4" t="s">
        <v>165</v>
      </c>
      <c r="D649" s="4">
        <v>2018</v>
      </c>
      <c r="E649" s="4">
        <v>150</v>
      </c>
      <c r="F649">
        <v>21</v>
      </c>
      <c r="G649">
        <v>26.6</v>
      </c>
      <c r="H649">
        <v>6</v>
      </c>
      <c r="I649" t="s">
        <v>29</v>
      </c>
      <c r="J649" t="s">
        <v>31</v>
      </c>
      <c r="K649" s="9" t="s">
        <v>29</v>
      </c>
      <c r="L649" t="s">
        <v>31</v>
      </c>
      <c r="N649" t="s">
        <v>150</v>
      </c>
      <c r="O649" s="9">
        <v>50.364505000000001</v>
      </c>
      <c r="P649" s="9">
        <v>18.968959999999999</v>
      </c>
      <c r="Q649" t="s">
        <v>29</v>
      </c>
      <c r="R649">
        <v>0.80020000000000002</v>
      </c>
      <c r="S649" t="s">
        <v>171</v>
      </c>
    </row>
    <row r="650" spans="1:20" x14ac:dyDescent="0.2">
      <c r="A650" s="4">
        <v>58</v>
      </c>
      <c r="B650" s="4">
        <v>4</v>
      </c>
      <c r="C650" s="4" t="s">
        <v>165</v>
      </c>
      <c r="D650" s="4">
        <v>2018</v>
      </c>
      <c r="E650" s="4">
        <v>300</v>
      </c>
      <c r="F650">
        <v>21</v>
      </c>
      <c r="G650">
        <v>26.6</v>
      </c>
      <c r="H650">
        <v>6</v>
      </c>
      <c r="I650" t="s">
        <v>29</v>
      </c>
      <c r="J650" t="s">
        <v>31</v>
      </c>
      <c r="K650" s="9" t="s">
        <v>29</v>
      </c>
      <c r="L650" t="s">
        <v>31</v>
      </c>
      <c r="N650" t="s">
        <v>150</v>
      </c>
      <c r="O650" s="9">
        <v>50.364505000000001</v>
      </c>
      <c r="P650" s="9">
        <v>18.968959999999999</v>
      </c>
      <c r="Q650" t="s">
        <v>29</v>
      </c>
      <c r="R650">
        <v>0.80020000000000002</v>
      </c>
      <c r="S650" t="s">
        <v>171</v>
      </c>
    </row>
    <row r="651" spans="1:20" x14ac:dyDescent="0.2">
      <c r="A651" s="4">
        <v>58</v>
      </c>
      <c r="B651" s="4">
        <v>5</v>
      </c>
      <c r="C651" s="4" t="s">
        <v>165</v>
      </c>
      <c r="D651" s="4">
        <v>2018</v>
      </c>
      <c r="E651" s="4">
        <v>150</v>
      </c>
      <c r="F651">
        <v>21</v>
      </c>
      <c r="G651">
        <v>26.6</v>
      </c>
      <c r="H651">
        <v>6</v>
      </c>
      <c r="I651" t="s">
        <v>29</v>
      </c>
      <c r="J651" t="s">
        <v>31</v>
      </c>
      <c r="K651" s="9" t="s">
        <v>29</v>
      </c>
      <c r="L651" t="s">
        <v>31</v>
      </c>
      <c r="N651" t="s">
        <v>150</v>
      </c>
      <c r="O651" s="9">
        <v>50.364505000000001</v>
      </c>
      <c r="P651" s="9">
        <v>18.968959999999999</v>
      </c>
      <c r="Q651" t="s">
        <v>29</v>
      </c>
      <c r="R651">
        <v>0.80020000000000002</v>
      </c>
      <c r="S651" t="s">
        <v>171</v>
      </c>
    </row>
    <row r="652" spans="1:20" x14ac:dyDescent="0.2">
      <c r="A652" s="4">
        <v>58</v>
      </c>
      <c r="B652" s="4">
        <v>6</v>
      </c>
      <c r="C652" s="4" t="s">
        <v>165</v>
      </c>
      <c r="D652" s="4">
        <v>2018</v>
      </c>
      <c r="E652" s="4">
        <v>300</v>
      </c>
      <c r="F652">
        <v>21</v>
      </c>
      <c r="G652">
        <v>26.6</v>
      </c>
      <c r="H652">
        <v>6</v>
      </c>
      <c r="I652" t="s">
        <v>29</v>
      </c>
      <c r="J652" t="s">
        <v>31</v>
      </c>
      <c r="K652" s="9" t="s">
        <v>29</v>
      </c>
      <c r="L652" t="s">
        <v>31</v>
      </c>
      <c r="N652" t="s">
        <v>150</v>
      </c>
      <c r="O652" s="9">
        <v>50.364505000000001</v>
      </c>
      <c r="P652" s="9">
        <v>18.968959999999999</v>
      </c>
      <c r="Q652" t="s">
        <v>29</v>
      </c>
      <c r="R652">
        <v>0.80020000000000002</v>
      </c>
      <c r="S652" t="s">
        <v>171</v>
      </c>
    </row>
    <row r="653" spans="1:20" x14ac:dyDescent="0.2">
      <c r="A653" s="4">
        <v>59</v>
      </c>
      <c r="B653">
        <v>1</v>
      </c>
      <c r="C653" t="s">
        <v>196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31</v>
      </c>
      <c r="J653" t="s">
        <v>31</v>
      </c>
      <c r="K653" s="9" t="s">
        <v>31</v>
      </c>
      <c r="L653" t="s">
        <v>31</v>
      </c>
      <c r="M653" s="9" t="s">
        <v>166</v>
      </c>
      <c r="N653" s="9" t="s">
        <v>93</v>
      </c>
      <c r="O653" s="9">
        <v>37.615689000000003</v>
      </c>
      <c r="P653" s="9">
        <v>-0.87287099999999995</v>
      </c>
      <c r="Q653" t="s">
        <v>29</v>
      </c>
      <c r="R653">
        <v>0.17549999999999999</v>
      </c>
      <c r="S653" t="s">
        <v>173</v>
      </c>
    </row>
  </sheetData>
  <sortState xmlns:xlrd2="http://schemas.microsoft.com/office/spreadsheetml/2017/richdata2" ref="A2:T65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Biomass</vt:lpstr>
      <vt:lpstr>Richness</vt:lpstr>
      <vt:lpstr>Diversity(H&amp;D)</vt:lpstr>
      <vt:lpstr>Diversity(H)</vt:lpstr>
      <vt:lpstr>Exotics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2020-05-21T20:51:36Z</dcterms:modified>
</cp:coreProperties>
</file>